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comments8.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userName="Lisa Perrett" algorithmName="SHA-512" hashValue="vsO+3qQxVlRfm0MuGfrUk6dPCP4On6ZUpfe9syVdv/Ef2XNFkPtiOifLfTQtsct2LgUA9uusOUVst8W0Jq3Vgg==" saltValue="BR97RN0TShN4iWnOsF4Qlg==" spinCount="100000"/>
  <workbookPr defaultThemeVersion="202300"/>
  <mc:AlternateContent xmlns:mc="http://schemas.openxmlformats.org/markup-compatibility/2006">
    <mc:Choice Requires="x15">
      <x15ac:absPath xmlns:x15ac="http://schemas.microsoft.com/office/spreadsheetml/2010/11/ac" url="K:\Finance\Projects\KPIs\WK 42 2025 10 17\"/>
    </mc:Choice>
  </mc:AlternateContent>
  <xr:revisionPtr revIDLastSave="0" documentId="13_ncr:10001_{BCB21D92-80FF-4678-902F-B6F9115A8706}" xr6:coauthVersionLast="47" xr6:coauthVersionMax="47" xr10:uidLastSave="{00000000-0000-0000-0000-000000000000}"/>
  <bookViews>
    <workbookView xWindow="57480" yWindow="-915" windowWidth="29040" windowHeight="15720" firstSheet="12" activeTab="19" xr2:uid="{6C3C18AE-0081-4460-A554-51360BCDFAAC}"/>
  </bookViews>
  <sheets>
    <sheet name="KPI Linked Table for Report" sheetId="40" r:id="rId1"/>
    <sheet name="KPI Analysis" sheetId="17" r:id="rId2"/>
    <sheet name="Individual Dept Tabs &gt;&gt;" sheetId="25" r:id="rId3"/>
    <sheet name="Accident Summary" sheetId="42" r:id="rId4"/>
    <sheet name="EHS" sheetId="3" r:id="rId5"/>
    <sheet name="Estimating" sheetId="18" r:id="rId6"/>
    <sheet name="SOP" sheetId="6" r:id="rId7"/>
    <sheet name="Design" sheetId="8" r:id="rId8"/>
    <sheet name="Product Design" sheetId="12" r:id="rId9"/>
    <sheet name="Product Eng - MB" sheetId="13" r:id="rId10"/>
    <sheet name="Product Eng - BE" sheetId="14" r:id="rId11"/>
    <sheet name="Bridgend Manuf" sheetId="9" r:id="rId12"/>
    <sheet name="Maybole Manuf" sheetId="10" r:id="rId13"/>
    <sheet name="Logistics" sheetId="20" r:id="rId14"/>
    <sheet name="Engineering" sheetId="19" r:id="rId15"/>
    <sheet name="Quality MB" sheetId="21" r:id="rId16"/>
    <sheet name="Procurement" sheetId="22" r:id="rId17"/>
    <sheet name="IT" sheetId="4" r:id="rId18"/>
    <sheet name="Marketing" sheetId="5" r:id="rId19"/>
    <sheet name="Finance" sheetId="11" r:id="rId20"/>
    <sheet name="HR mthly" sheetId="7" r:id="rId21"/>
    <sheet name="&gt;&gt; control tabs" sheetId="43" r:id="rId22"/>
    <sheet name="Week No's" sheetId="32" r:id="rId23"/>
    <sheet name="KPI Stats" sheetId="26" r:id="rId24"/>
    <sheet name="Summary By week" sheetId="1" r:id="rId25"/>
  </sheets>
  <externalReferences>
    <externalReference r:id="rId26"/>
    <externalReference r:id="rId27"/>
    <externalReference r:id="rId28"/>
  </externalReferences>
  <definedNames>
    <definedName name="_xlnm._FilterDatabase" localSheetId="23" hidden="1">'KPI Stats'!$B$9:$V$122</definedName>
    <definedName name="_xlnm._FilterDatabase" localSheetId="24">'Summary By week'!$B$11:$R$431</definedName>
    <definedName name="Display_Week" localSheetId="12">'[1]High Level'!$D$3</definedName>
    <definedName name="_xlnm.Print_Area" localSheetId="0">'KPI Linked Table for Report'!$E$129:$AA$138</definedName>
    <definedName name="_xlnm.Print_Titles" localSheetId="0">'KPI Linked Table for Report'!$F:$M,'KPI Linked Table for Report'!$6:$9</definedName>
    <definedName name="Project_Start" localSheetId="12">'[1]High Level'!$D$2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21" i="6" l="1"/>
  <c r="BB9" i="6"/>
  <c r="BB20" i="3" l="1"/>
  <c r="BC20" i="3"/>
  <c r="BD20" i="3"/>
  <c r="BE20" i="3"/>
  <c r="BF20" i="3"/>
  <c r="BG20" i="3"/>
  <c r="BH20" i="3"/>
  <c r="BI20" i="3"/>
  <c r="BJ20" i="3"/>
  <c r="BK20" i="3"/>
  <c r="BL20" i="3"/>
  <c r="BM20" i="3"/>
  <c r="BA20" i="3"/>
  <c r="Z38" i="40"/>
  <c r="Z37" i="40"/>
  <c r="T92" i="40"/>
  <c r="X92" i="40"/>
  <c r="D81" i="17" l="1"/>
  <c r="JN81" i="17" s="1"/>
  <c r="LV81" i="17"/>
  <c r="JO81" i="17"/>
  <c r="HG81" i="17"/>
  <c r="EZ81" i="17"/>
  <c r="CR81" i="17"/>
  <c r="AK81" i="17"/>
  <c r="AI81" i="17"/>
  <c r="C81" i="17"/>
  <c r="K90" i="40"/>
  <c r="J90" i="40"/>
  <c r="C90" i="40"/>
  <c r="B90" i="40"/>
  <c r="BN30" i="20"/>
  <c r="AM29" i="19"/>
  <c r="AL29" i="19"/>
  <c r="AK29" i="19"/>
  <c r="AJ29" i="19"/>
  <c r="AI29" i="19"/>
  <c r="AH29" i="19"/>
  <c r="AG29" i="19"/>
  <c r="AF29" i="19"/>
  <c r="AE29" i="19"/>
  <c r="AD29" i="19"/>
  <c r="AC29" i="19"/>
  <c r="AB29" i="19"/>
  <c r="AA29" i="19"/>
  <c r="Z29" i="19"/>
  <c r="Y29" i="19"/>
  <c r="X29" i="19"/>
  <c r="W29" i="19"/>
  <c r="V29" i="19"/>
  <c r="U29" i="19"/>
  <c r="T29" i="19"/>
  <c r="S29" i="19"/>
  <c r="R29" i="19"/>
  <c r="Q29" i="19"/>
  <c r="P29" i="19"/>
  <c r="O29" i="19"/>
  <c r="N29" i="19"/>
  <c r="M29" i="19"/>
  <c r="L14" i="40"/>
  <c r="K14" i="40"/>
  <c r="J14" i="40"/>
  <c r="A3" i="17"/>
  <c r="D14" i="17"/>
  <c r="F14" i="17"/>
  <c r="G14" i="17"/>
  <c r="E14" i="17"/>
  <c r="C14" i="17"/>
  <c r="B15" i="40"/>
  <c r="B14" i="40"/>
  <c r="C14" i="40"/>
  <c r="LU81" i="17" l="1"/>
  <c r="LT81" i="17"/>
  <c r="JM81" i="17"/>
  <c r="HE81" i="17"/>
  <c r="EX81" i="17"/>
  <c r="CP81" i="17"/>
  <c r="AJ81" i="17"/>
  <c r="CQ81" i="17"/>
  <c r="EY81" i="17"/>
  <c r="HF81" i="17"/>
  <c r="CQ14" i="17" l="1"/>
  <c r="AJ14" i="17"/>
  <c r="CS14" i="17"/>
  <c r="EZ14" i="17"/>
  <c r="HF14" i="17"/>
  <c r="JM14" i="17"/>
  <c r="AL14" i="17" l="1"/>
  <c r="FA14" i="17"/>
  <c r="HG14" i="17"/>
  <c r="JP14" i="17"/>
  <c r="JN14" i="17"/>
  <c r="LT14" i="17"/>
  <c r="AI14" i="17"/>
  <c r="HH14" i="17"/>
  <c r="JO14" i="17"/>
  <c r="LU14" i="17"/>
  <c r="LV14" i="17"/>
  <c r="AK14" i="17"/>
  <c r="CP14" i="17"/>
  <c r="LW14" i="17"/>
  <c r="CR14" i="17"/>
  <c r="EX14" i="17"/>
  <c r="EY14" i="17"/>
  <c r="HE14" i="17"/>
  <c r="L22" i="3" l="1"/>
  <c r="K22" i="3"/>
  <c r="J22" i="3"/>
  <c r="I22" i="3"/>
  <c r="C82" i="17" l="1"/>
  <c r="LT82" i="17" s="1"/>
  <c r="G82" i="17"/>
  <c r="F82" i="17"/>
  <c r="CS82" i="17" s="1"/>
  <c r="D82" i="17"/>
  <c r="LU82" i="17" s="1"/>
  <c r="L91" i="40"/>
  <c r="K91" i="40"/>
  <c r="J91" i="40"/>
  <c r="C91" i="40"/>
  <c r="B91" i="40"/>
  <c r="LV82" i="17"/>
  <c r="JO82" i="17"/>
  <c r="HG82" i="17"/>
  <c r="EZ82" i="17"/>
  <c r="CR82" i="17"/>
  <c r="M32" i="19"/>
  <c r="CP82" i="17" l="1"/>
  <c r="EX82" i="17"/>
  <c r="HE82" i="17"/>
  <c r="EY82" i="17"/>
  <c r="CQ82" i="17"/>
  <c r="LW82" i="17"/>
  <c r="HF82" i="17"/>
  <c r="JM82" i="17"/>
  <c r="JN82" i="17"/>
  <c r="HH82" i="17"/>
  <c r="FA82" i="17"/>
  <c r="JP82" i="17"/>
  <c r="AJ82" i="17"/>
  <c r="AL82" i="17"/>
  <c r="AI82" i="17"/>
  <c r="AK82" i="17"/>
  <c r="F7" i="42" l="1"/>
  <c r="X3" i="40" l="1"/>
  <c r="C78" i="26"/>
  <c r="B78" i="26"/>
  <c r="F10" i="42"/>
  <c r="C2" i="40"/>
  <c r="F4" i="19" l="1"/>
  <c r="F39" i="3"/>
  <c r="B89" i="40" l="1"/>
  <c r="C89" i="40"/>
  <c r="F89" i="40"/>
  <c r="G89" i="40"/>
  <c r="J89" i="40"/>
  <c r="K89" i="40"/>
  <c r="G79" i="17"/>
  <c r="CT79" i="17" s="1"/>
  <c r="E79" i="17"/>
  <c r="EZ79" i="17" s="1"/>
  <c r="C79" i="17"/>
  <c r="AI26" i="19"/>
  <c r="AH26" i="19"/>
  <c r="AG26" i="19"/>
  <c r="AF26" i="19"/>
  <c r="AE26" i="19"/>
  <c r="AD26" i="19"/>
  <c r="AB26" i="19"/>
  <c r="AA26" i="19"/>
  <c r="Z26" i="19"/>
  <c r="Y26" i="19"/>
  <c r="X26" i="19"/>
  <c r="W26" i="19"/>
  <c r="V26" i="19"/>
  <c r="U26" i="19"/>
  <c r="T26" i="19"/>
  <c r="S26" i="19"/>
  <c r="R26" i="19"/>
  <c r="Q26" i="19"/>
  <c r="P26" i="19"/>
  <c r="O26" i="19"/>
  <c r="N26" i="19"/>
  <c r="M26" i="19"/>
  <c r="M4" i="19"/>
  <c r="N4" i="19"/>
  <c r="O4" i="19"/>
  <c r="P4" i="19"/>
  <c r="Q4" i="19"/>
  <c r="S4" i="19"/>
  <c r="T4" i="19"/>
  <c r="U4" i="19"/>
  <c r="V4" i="19"/>
  <c r="W4" i="19"/>
  <c r="X4" i="19"/>
  <c r="R4" i="19"/>
  <c r="J78" i="26"/>
  <c r="F78" i="26"/>
  <c r="F79" i="17" l="1"/>
  <c r="HH79" i="17" s="1"/>
  <c r="F81" i="17"/>
  <c r="A91" i="40"/>
  <c r="A90" i="40"/>
  <c r="A89" i="40"/>
  <c r="JO79" i="17"/>
  <c r="HG79" i="17"/>
  <c r="LV79" i="17"/>
  <c r="LW79" i="17"/>
  <c r="AK79" i="17"/>
  <c r="CR79" i="17"/>
  <c r="FA79" i="17" l="1"/>
  <c r="AL79" i="17"/>
  <c r="FA81" i="17"/>
  <c r="AL81" i="17"/>
  <c r="JP81" i="17"/>
  <c r="HH81" i="17"/>
  <c r="LW81" i="17"/>
  <c r="CS81" i="17"/>
  <c r="CS79" i="17"/>
  <c r="JP79" i="17"/>
  <c r="AJ18" i="18"/>
  <c r="AI18" i="18"/>
  <c r="AH18" i="18"/>
  <c r="G92" i="40" l="1"/>
  <c r="G88" i="40"/>
  <c r="P40" i="6" l="1"/>
  <c r="BN31" i="6"/>
  <c r="BM31" i="6"/>
  <c r="BL31" i="6"/>
  <c r="BK31" i="6"/>
  <c r="BJ31" i="6"/>
  <c r="BI31" i="6"/>
  <c r="BH31" i="6"/>
  <c r="BG31" i="6"/>
  <c r="BF31" i="6"/>
  <c r="BE31" i="6"/>
  <c r="BD31" i="6"/>
  <c r="BC31" i="6"/>
  <c r="BB31" i="6"/>
  <c r="BA31" i="6"/>
  <c r="BA21" i="6" s="1"/>
  <c r="AZ31" i="6"/>
  <c r="AZ21" i="6" s="1"/>
  <c r="AY31" i="6"/>
  <c r="AY21" i="6" s="1"/>
  <c r="AX31" i="6"/>
  <c r="AX21" i="6" s="1"/>
  <c r="AW31" i="6"/>
  <c r="AW21" i="6" s="1"/>
  <c r="AV31" i="6"/>
  <c r="AV21" i="6" s="1"/>
  <c r="AU31" i="6"/>
  <c r="AU21" i="6" s="1"/>
  <c r="AT31" i="6"/>
  <c r="AT21" i="6" s="1"/>
  <c r="AS31" i="6"/>
  <c r="AS21" i="6" s="1"/>
  <c r="AR31" i="6"/>
  <c r="AR21" i="6" s="1"/>
  <c r="AQ31" i="6"/>
  <c r="AQ21" i="6" s="1"/>
  <c r="AP31" i="6"/>
  <c r="AP21" i="6" s="1"/>
  <c r="AO31" i="6"/>
  <c r="AO21" i="6" s="1"/>
  <c r="AN31" i="6"/>
  <c r="AN21" i="6" s="1"/>
  <c r="AM31" i="6"/>
  <c r="AM21" i="6" s="1"/>
  <c r="AL31" i="6"/>
  <c r="AL21" i="6" s="1"/>
  <c r="AK31" i="6"/>
  <c r="AK21" i="6" s="1"/>
  <c r="AJ31" i="6"/>
  <c r="AJ21" i="6" s="1"/>
  <c r="AI31" i="6"/>
  <c r="AI21" i="6" s="1"/>
  <c r="AH31" i="6"/>
  <c r="AH21" i="6" s="1"/>
  <c r="AG31" i="6"/>
  <c r="AG21" i="6" s="1"/>
  <c r="AF31" i="6"/>
  <c r="AF21" i="6" s="1"/>
  <c r="AE31" i="6"/>
  <c r="AE21" i="6" s="1"/>
  <c r="AD31" i="6"/>
  <c r="AD21" i="6" s="1"/>
  <c r="AC31" i="6"/>
  <c r="AC21" i="6" s="1"/>
  <c r="AB31" i="6"/>
  <c r="AB21" i="6" s="1"/>
  <c r="AA31" i="6"/>
  <c r="Z31" i="6"/>
  <c r="Y31" i="6"/>
  <c r="X31" i="6"/>
  <c r="W31" i="6"/>
  <c r="V31" i="6"/>
  <c r="U31" i="6"/>
  <c r="T31" i="6"/>
  <c r="S31" i="6"/>
  <c r="R31" i="6"/>
  <c r="Q31" i="6"/>
  <c r="BM27" i="6"/>
  <c r="BL27" i="6"/>
  <c r="BK27" i="6"/>
  <c r="BJ27" i="6"/>
  <c r="BI27" i="6"/>
  <c r="BH27" i="6"/>
  <c r="BG27" i="6"/>
  <c r="BF27" i="6"/>
  <c r="BE27" i="6"/>
  <c r="BD27" i="6"/>
  <c r="BC27" i="6"/>
  <c r="BB27" i="6"/>
  <c r="BA27" i="6"/>
  <c r="BA9" i="6" s="1"/>
  <c r="AZ27" i="6"/>
  <c r="AZ9" i="6" s="1"/>
  <c r="AY27" i="6"/>
  <c r="AY9" i="6" s="1"/>
  <c r="AX27" i="6"/>
  <c r="AX9" i="6" s="1"/>
  <c r="AW27" i="6"/>
  <c r="AW9" i="6" s="1"/>
  <c r="AV27" i="6"/>
  <c r="AV9" i="6" s="1"/>
  <c r="AU27" i="6"/>
  <c r="AU9" i="6" s="1"/>
  <c r="AT27" i="6"/>
  <c r="AT9" i="6" s="1"/>
  <c r="AS27" i="6"/>
  <c r="AS9" i="6" s="1"/>
  <c r="AR27" i="6"/>
  <c r="AR9" i="6" s="1"/>
  <c r="AQ27" i="6"/>
  <c r="AQ9" i="6" s="1"/>
  <c r="AP27" i="6"/>
  <c r="AP9" i="6" s="1"/>
  <c r="AO27" i="6"/>
  <c r="AO9" i="6" s="1"/>
  <c r="AN27" i="6"/>
  <c r="AN9" i="6" s="1"/>
  <c r="AM27" i="6"/>
  <c r="AM9" i="6" s="1"/>
  <c r="AL27" i="6"/>
  <c r="AL9" i="6" s="1"/>
  <c r="AK27" i="6"/>
  <c r="AK9" i="6" s="1"/>
  <c r="AJ27" i="6"/>
  <c r="AJ9" i="6" s="1"/>
  <c r="AI27" i="6"/>
  <c r="AI9" i="6" s="1"/>
  <c r="AH27" i="6"/>
  <c r="AH9" i="6" s="1"/>
  <c r="AG27" i="6"/>
  <c r="AF27" i="6"/>
  <c r="AE27" i="6"/>
  <c r="AE9" i="6" s="1"/>
  <c r="AD27" i="6"/>
  <c r="AD9" i="6" s="1"/>
  <c r="AC27" i="6"/>
  <c r="AC9" i="6" s="1"/>
  <c r="AB27" i="6"/>
  <c r="AB9" i="6" s="1"/>
  <c r="AA27" i="6"/>
  <c r="Z27" i="6"/>
  <c r="Y27" i="6"/>
  <c r="X27" i="6"/>
  <c r="W27" i="6"/>
  <c r="V27" i="6"/>
  <c r="U27" i="6"/>
  <c r="T27" i="6"/>
  <c r="S27" i="6"/>
  <c r="R27" i="6"/>
  <c r="Q27" i="6"/>
  <c r="L22" i="6"/>
  <c r="K22" i="6"/>
  <c r="J22" i="6"/>
  <c r="I22" i="6"/>
  <c r="AA21" i="6"/>
  <c r="Z21" i="6"/>
  <c r="Y21" i="6"/>
  <c r="X21" i="6"/>
  <c r="W21" i="6"/>
  <c r="W20" i="6"/>
  <c r="V20" i="6"/>
  <c r="U20" i="6"/>
  <c r="T20" i="6"/>
  <c r="S20" i="6"/>
  <c r="R20" i="6"/>
  <c r="Q20" i="6"/>
  <c r="L19" i="6"/>
  <c r="K19" i="6"/>
  <c r="J19" i="6"/>
  <c r="I19" i="6"/>
  <c r="L16" i="6"/>
  <c r="K16" i="6"/>
  <c r="J16" i="6"/>
  <c r="I16" i="6"/>
  <c r="L13" i="6"/>
  <c r="K13" i="6"/>
  <c r="J13" i="6"/>
  <c r="I13" i="6"/>
  <c r="L10" i="6"/>
  <c r="K10" i="6"/>
  <c r="J10" i="6"/>
  <c r="I10" i="6"/>
  <c r="AG9" i="6"/>
  <c r="AF9" i="6"/>
  <c r="AA9" i="6"/>
  <c r="Z9" i="6"/>
  <c r="Y9" i="6"/>
  <c r="X9" i="6"/>
  <c r="W9" i="6"/>
  <c r="W8" i="6"/>
  <c r="V8" i="6"/>
  <c r="U8" i="6"/>
  <c r="T8" i="6"/>
  <c r="S8" i="6"/>
  <c r="R8" i="6"/>
  <c r="Q8" i="6"/>
  <c r="N7" i="6"/>
  <c r="O7" i="6" s="1"/>
  <c r="P7" i="6" s="1"/>
  <c r="Q7" i="6" s="1"/>
  <c r="R7" i="6" s="1"/>
  <c r="S7" i="6" s="1"/>
  <c r="T7" i="6" s="1"/>
  <c r="U7" i="6" s="1"/>
  <c r="V7" i="6" s="1"/>
  <c r="W7" i="6" s="1"/>
  <c r="X7" i="6" s="1"/>
  <c r="Y7" i="6" s="1"/>
  <c r="Z7" i="6" s="1"/>
  <c r="AA7" i="6" s="1"/>
  <c r="AB7" i="6" s="1"/>
  <c r="AC7" i="6" s="1"/>
  <c r="AD7" i="6" s="1"/>
  <c r="AE7" i="6" s="1"/>
  <c r="AF7" i="6" s="1"/>
  <c r="AG7" i="6" s="1"/>
  <c r="AH7" i="6" s="1"/>
  <c r="AI7" i="6" s="1"/>
  <c r="AJ7" i="6" s="1"/>
  <c r="AK7" i="6" s="1"/>
  <c r="AL7" i="6" s="1"/>
  <c r="AM7" i="6" s="1"/>
  <c r="AN7" i="6" s="1"/>
  <c r="AO7" i="6" s="1"/>
  <c r="AP7" i="6" s="1"/>
  <c r="AQ7" i="6" s="1"/>
  <c r="AR7" i="6" s="1"/>
  <c r="AS7" i="6" s="1"/>
  <c r="AT7" i="6" s="1"/>
  <c r="AU7" i="6" s="1"/>
  <c r="AV7" i="6" s="1"/>
  <c r="AW7" i="6" s="1"/>
  <c r="AX7" i="6" s="1"/>
  <c r="AY7" i="6" s="1"/>
  <c r="AZ7" i="6" s="1"/>
  <c r="BA7" i="6" s="1"/>
  <c r="BB7" i="6" s="1"/>
  <c r="BC7" i="6" s="1"/>
  <c r="BD7" i="6" s="1"/>
  <c r="BE7" i="6" s="1"/>
  <c r="BF7" i="6" s="1"/>
  <c r="BG7" i="6" s="1"/>
  <c r="BH7" i="6" s="1"/>
  <c r="BI7" i="6" s="1"/>
  <c r="BJ7" i="6" s="1"/>
  <c r="BK7" i="6" s="1"/>
  <c r="BL7" i="6" s="1"/>
  <c r="BM7" i="6" s="1"/>
  <c r="L7" i="6"/>
  <c r="K7" i="6" s="1"/>
  <c r="J7" i="6" s="1"/>
  <c r="I7" i="6" s="1"/>
  <c r="N6" i="6"/>
  <c r="K6" i="6"/>
  <c r="J6" i="6" s="1"/>
  <c r="I6" i="6" s="1"/>
  <c r="BN4" i="6"/>
  <c r="N1" i="6"/>
  <c r="E426" i="1"/>
  <c r="E418" i="1"/>
  <c r="E410" i="1"/>
  <c r="E402" i="1"/>
  <c r="E394" i="1"/>
  <c r="E386" i="1"/>
  <c r="E378" i="1"/>
  <c r="E370" i="1"/>
  <c r="E362" i="1"/>
  <c r="E354" i="1"/>
  <c r="E346" i="1"/>
  <c r="E338" i="1"/>
  <c r="E330" i="1"/>
  <c r="E322" i="1"/>
  <c r="E314" i="1"/>
  <c r="E306" i="1"/>
  <c r="E298" i="1"/>
  <c r="E290" i="1"/>
  <c r="E282" i="1"/>
  <c r="E274" i="1"/>
  <c r="E266" i="1"/>
  <c r="E258" i="1"/>
  <c r="E250" i="1"/>
  <c r="E242" i="1"/>
  <c r="E234" i="1"/>
  <c r="E226" i="1"/>
  <c r="E218" i="1"/>
  <c r="E210" i="1"/>
  <c r="E202" i="1"/>
  <c r="E194" i="1"/>
  <c r="Y8" i="6" l="1"/>
  <c r="X8" i="6"/>
  <c r="Z20" i="6"/>
  <c r="AA8" i="6"/>
  <c r="Z8" i="6"/>
  <c r="AB20" i="6"/>
  <c r="AC20" i="6"/>
  <c r="O6" i="6"/>
  <c r="AE8" i="6"/>
  <c r="AI20" i="6"/>
  <c r="AH20" i="6"/>
  <c r="AF8" i="6"/>
  <c r="AD8" i="6"/>
  <c r="AG8" i="6"/>
  <c r="AH8" i="6"/>
  <c r="AD20" i="6"/>
  <c r="AI8" i="6"/>
  <c r="AE20" i="6"/>
  <c r="AB8" i="6"/>
  <c r="X20" i="6"/>
  <c r="AF20" i="6"/>
  <c r="AC8" i="6"/>
  <c r="Y20" i="6"/>
  <c r="AG20" i="6"/>
  <c r="AA20" i="6"/>
  <c r="E3" i="7"/>
  <c r="X16" i="19"/>
  <c r="W16" i="19"/>
  <c r="V16" i="19"/>
  <c r="U16" i="19"/>
  <c r="T16" i="19"/>
  <c r="S16" i="19"/>
  <c r="R16" i="19"/>
  <c r="X13" i="19"/>
  <c r="W13" i="19"/>
  <c r="V13" i="19"/>
  <c r="U13" i="19"/>
  <c r="T13" i="19"/>
  <c r="S13" i="19"/>
  <c r="R13" i="19"/>
  <c r="Q13" i="19"/>
  <c r="P13" i="19"/>
  <c r="O13" i="19"/>
  <c r="N13" i="19"/>
  <c r="X10" i="19"/>
  <c r="W10" i="19"/>
  <c r="V10" i="19"/>
  <c r="U10" i="19"/>
  <c r="T10" i="19"/>
  <c r="S10" i="19"/>
  <c r="R10" i="19"/>
  <c r="O10" i="19"/>
  <c r="N10" i="19"/>
  <c r="M13" i="19"/>
  <c r="M10" i="19"/>
  <c r="V3" i="40"/>
  <c r="T3" i="40" s="1"/>
  <c r="R3" i="40" s="1"/>
  <c r="P3" i="40" s="1"/>
  <c r="P76" i="26" l="1"/>
  <c r="O76" i="26"/>
  <c r="N76" i="26"/>
  <c r="T76" i="26"/>
  <c r="L76" i="26"/>
  <c r="Q76" i="26"/>
  <c r="S76" i="26"/>
  <c r="K76" i="26"/>
  <c r="M76" i="26"/>
  <c r="R76" i="26"/>
  <c r="J76" i="26"/>
  <c r="P6" i="6"/>
  <c r="F74" i="26"/>
  <c r="LV75" i="17"/>
  <c r="JO75" i="17"/>
  <c r="HG75" i="17"/>
  <c r="EZ75" i="17"/>
  <c r="CT75" i="17"/>
  <c r="CR75" i="17"/>
  <c r="AK75" i="17"/>
  <c r="O10" i="10"/>
  <c r="P10" i="10"/>
  <c r="Q10" i="10"/>
  <c r="R10" i="10"/>
  <c r="S10" i="10"/>
  <c r="T10" i="10"/>
  <c r="U10" i="10"/>
  <c r="V10" i="10"/>
  <c r="W10" i="10"/>
  <c r="X10" i="10"/>
  <c r="Y10" i="10"/>
  <c r="N10" i="10"/>
  <c r="V76" i="26" l="1"/>
  <c r="I87" i="40"/>
  <c r="I88" i="40" s="1"/>
  <c r="Q6" i="6"/>
  <c r="L16" i="4"/>
  <c r="K16" i="4"/>
  <c r="J16" i="4"/>
  <c r="I16" i="4"/>
  <c r="L13" i="4"/>
  <c r="K13" i="4"/>
  <c r="J13" i="4"/>
  <c r="I13" i="4"/>
  <c r="I89" i="40" l="1"/>
  <c r="I90" i="40" s="1"/>
  <c r="R6" i="6"/>
  <c r="P8" i="40"/>
  <c r="R8" i="40"/>
  <c r="T8" i="40"/>
  <c r="V8" i="40"/>
  <c r="X8" i="40"/>
  <c r="O15" i="19"/>
  <c r="L26" i="40"/>
  <c r="K26" i="40"/>
  <c r="J26" i="40"/>
  <c r="C26" i="40"/>
  <c r="B26" i="40"/>
  <c r="LY114" i="17"/>
  <c r="LY25" i="17"/>
  <c r="LY26" i="17"/>
  <c r="G26" i="17"/>
  <c r="F26" i="17"/>
  <c r="LW26" i="17" s="1"/>
  <c r="E26" i="17"/>
  <c r="CR26" i="17" s="1"/>
  <c r="D26" i="17"/>
  <c r="CQ26" i="17" s="1"/>
  <c r="C26" i="17"/>
  <c r="HE26" i="17" s="1"/>
  <c r="I92" i="40" l="1"/>
  <c r="I91" i="40"/>
  <c r="S6" i="6"/>
  <c r="JO26" i="17"/>
  <c r="AK26" i="17"/>
  <c r="CS26" i="17"/>
  <c r="FA26" i="17"/>
  <c r="JN26" i="17"/>
  <c r="EY26" i="17"/>
  <c r="EZ26" i="17"/>
  <c r="HF26" i="17"/>
  <c r="HG26" i="17"/>
  <c r="JM26" i="17"/>
  <c r="EX26" i="17"/>
  <c r="CP26" i="17"/>
  <c r="LT26" i="17"/>
  <c r="AI26" i="17"/>
  <c r="HH26" i="17"/>
  <c r="LU26" i="17"/>
  <c r="AJ26" i="17"/>
  <c r="JP26" i="17"/>
  <c r="LV26" i="17"/>
  <c r="AL26" i="17"/>
  <c r="BN8" i="11"/>
  <c r="T6" i="6" l="1"/>
  <c r="AG18" i="4"/>
  <c r="U6" i="6" l="1"/>
  <c r="X109" i="40"/>
  <c r="V109" i="40"/>
  <c r="T109" i="40"/>
  <c r="R109" i="40"/>
  <c r="P109" i="40"/>
  <c r="X78" i="40"/>
  <c r="V78" i="40"/>
  <c r="T78" i="40"/>
  <c r="R78" i="40"/>
  <c r="P78" i="40"/>
  <c r="X44" i="40"/>
  <c r="V44" i="40"/>
  <c r="T44" i="40"/>
  <c r="R44" i="40"/>
  <c r="P44" i="40"/>
  <c r="CT115" i="17"/>
  <c r="G108" i="17"/>
  <c r="G102" i="17"/>
  <c r="CT102" i="17" s="1"/>
  <c r="G96" i="17"/>
  <c r="CT96" i="17" s="1"/>
  <c r="CT84" i="17"/>
  <c r="CT69" i="17"/>
  <c r="CT63" i="17"/>
  <c r="CT57" i="17"/>
  <c r="CT51" i="17"/>
  <c r="CT44" i="17"/>
  <c r="CT37" i="17"/>
  <c r="CT30" i="17"/>
  <c r="CT23" i="17"/>
  <c r="CT17" i="17"/>
  <c r="CT10" i="17"/>
  <c r="AI107" i="40"/>
  <c r="AH107" i="40"/>
  <c r="AG107" i="40"/>
  <c r="AF107" i="40"/>
  <c r="AE107" i="40"/>
  <c r="AI76" i="40"/>
  <c r="AH76" i="40"/>
  <c r="AG76" i="40"/>
  <c r="AF76" i="40"/>
  <c r="AE76" i="40"/>
  <c r="AI42" i="40"/>
  <c r="AH42" i="40"/>
  <c r="AG42" i="40"/>
  <c r="AF42" i="40"/>
  <c r="AE42" i="40"/>
  <c r="F75" i="17"/>
  <c r="N16" i="19"/>
  <c r="M16" i="19"/>
  <c r="E4" i="19"/>
  <c r="S1" i="40"/>
  <c r="AF1" i="40" s="1"/>
  <c r="AI8" i="40" s="1"/>
  <c r="AI44" i="40" l="1"/>
  <c r="AI109" i="40"/>
  <c r="AH8" i="40"/>
  <c r="AI78" i="40"/>
  <c r="Q16" i="19"/>
  <c r="Q10" i="19"/>
  <c r="O16" i="19"/>
  <c r="P16" i="19"/>
  <c r="P10" i="19"/>
  <c r="V6" i="6"/>
  <c r="FA75" i="17"/>
  <c r="LW75" i="17"/>
  <c r="JP75" i="17"/>
  <c r="CS75" i="17"/>
  <c r="HH75" i="17"/>
  <c r="AL75" i="17"/>
  <c r="B5" i="19"/>
  <c r="AG8" i="40" l="1"/>
  <c r="AH109" i="40"/>
  <c r="AH44" i="40"/>
  <c r="AH78" i="40"/>
  <c r="T75" i="26"/>
  <c r="O75" i="26"/>
  <c r="L75" i="26"/>
  <c r="R75" i="26"/>
  <c r="J75" i="26"/>
  <c r="K75" i="26"/>
  <c r="S75" i="26"/>
  <c r="Q75" i="26"/>
  <c r="P75" i="26"/>
  <c r="M75" i="26"/>
  <c r="N75" i="26"/>
  <c r="W6" i="6"/>
  <c r="AF8" i="40" l="1"/>
  <c r="AG109" i="40"/>
  <c r="AG44" i="40"/>
  <c r="AG78" i="40"/>
  <c r="V75" i="26"/>
  <c r="X6" i="6"/>
  <c r="Q12" i="14"/>
  <c r="Q12" i="13"/>
  <c r="Q9" i="13"/>
  <c r="P1" i="12"/>
  <c r="E15" i="11"/>
  <c r="AE8" i="40" l="1"/>
  <c r="AF78" i="40"/>
  <c r="AF109" i="40"/>
  <c r="AF44" i="40"/>
  <c r="Y6" i="6"/>
  <c r="V12" i="14"/>
  <c r="BN19" i="13"/>
  <c r="AE109" i="40" l="1"/>
  <c r="AE78" i="40"/>
  <c r="AE44" i="40"/>
  <c r="Z6" i="6"/>
  <c r="L137" i="40"/>
  <c r="K137" i="40"/>
  <c r="J137" i="40"/>
  <c r="C137" i="40"/>
  <c r="B137" i="40"/>
  <c r="L136" i="40"/>
  <c r="K136" i="40"/>
  <c r="J136" i="40"/>
  <c r="C136" i="40"/>
  <c r="B136" i="40"/>
  <c r="L135" i="40"/>
  <c r="K135" i="40"/>
  <c r="J135" i="40"/>
  <c r="C135" i="40"/>
  <c r="B135" i="40"/>
  <c r="L134" i="40"/>
  <c r="K134" i="40"/>
  <c r="J134" i="40"/>
  <c r="C134" i="40"/>
  <c r="B134" i="40"/>
  <c r="L133" i="40"/>
  <c r="K133" i="40"/>
  <c r="J133" i="40"/>
  <c r="C133" i="40"/>
  <c r="B133" i="40"/>
  <c r="L132" i="40"/>
  <c r="K132" i="40"/>
  <c r="J132" i="40"/>
  <c r="C132" i="40"/>
  <c r="B132" i="40"/>
  <c r="L131" i="40"/>
  <c r="K131" i="40"/>
  <c r="J131" i="40"/>
  <c r="C131" i="40"/>
  <c r="B131" i="40"/>
  <c r="L130" i="40"/>
  <c r="K130" i="40"/>
  <c r="J130" i="40"/>
  <c r="G130" i="40"/>
  <c r="F130" i="40"/>
  <c r="C130" i="40"/>
  <c r="B130" i="40"/>
  <c r="L127" i="40"/>
  <c r="K127" i="40"/>
  <c r="J127" i="40"/>
  <c r="C127" i="40"/>
  <c r="L126" i="40"/>
  <c r="K126" i="40"/>
  <c r="J126" i="40"/>
  <c r="C126" i="40"/>
  <c r="L125" i="40"/>
  <c r="K125" i="40"/>
  <c r="J125" i="40"/>
  <c r="C125" i="40"/>
  <c r="L124" i="40"/>
  <c r="K124" i="40"/>
  <c r="J124" i="40"/>
  <c r="G124" i="40"/>
  <c r="F124" i="40"/>
  <c r="C124" i="40"/>
  <c r="L121" i="40"/>
  <c r="K121" i="40"/>
  <c r="J121" i="40"/>
  <c r="G121" i="40"/>
  <c r="F121" i="40"/>
  <c r="C121" i="40"/>
  <c r="B121" i="40"/>
  <c r="L120" i="40"/>
  <c r="K120" i="40"/>
  <c r="J120" i="40"/>
  <c r="G120" i="40"/>
  <c r="F120" i="40"/>
  <c r="C120" i="40"/>
  <c r="B120" i="40"/>
  <c r="L119" i="40"/>
  <c r="K119" i="40"/>
  <c r="J119" i="40"/>
  <c r="G119" i="40"/>
  <c r="F119" i="40"/>
  <c r="C119" i="40"/>
  <c r="B119" i="40"/>
  <c r="L118" i="40"/>
  <c r="K118" i="40"/>
  <c r="J118" i="40"/>
  <c r="G118" i="40"/>
  <c r="F118" i="40"/>
  <c r="C118" i="40"/>
  <c r="B118" i="40"/>
  <c r="L115" i="40"/>
  <c r="K115" i="40"/>
  <c r="J115" i="40"/>
  <c r="G115" i="40"/>
  <c r="F115" i="40"/>
  <c r="C115" i="40"/>
  <c r="B115" i="40"/>
  <c r="L114" i="40"/>
  <c r="K114" i="40"/>
  <c r="J114" i="40"/>
  <c r="G114" i="40"/>
  <c r="F114" i="40"/>
  <c r="C114" i="40"/>
  <c r="B114" i="40"/>
  <c r="L113" i="40"/>
  <c r="K113" i="40"/>
  <c r="J113" i="40"/>
  <c r="G113" i="40"/>
  <c r="F113" i="40"/>
  <c r="C113" i="40"/>
  <c r="B113" i="40"/>
  <c r="L112" i="40"/>
  <c r="K112" i="40"/>
  <c r="J112" i="40"/>
  <c r="G112" i="40"/>
  <c r="F112" i="40"/>
  <c r="C112" i="40"/>
  <c r="B112" i="40"/>
  <c r="H110" i="40"/>
  <c r="F110" i="40"/>
  <c r="H109" i="40"/>
  <c r="F109" i="40"/>
  <c r="H108" i="40"/>
  <c r="F108" i="40"/>
  <c r="M107" i="40"/>
  <c r="L107" i="40"/>
  <c r="K107" i="40"/>
  <c r="J107" i="40"/>
  <c r="I107" i="40"/>
  <c r="H107" i="40"/>
  <c r="F107" i="40"/>
  <c r="L104" i="40"/>
  <c r="K104" i="40"/>
  <c r="J104" i="40"/>
  <c r="G104" i="40"/>
  <c r="F104" i="40"/>
  <c r="C104" i="40"/>
  <c r="B104" i="40"/>
  <c r="L103" i="40"/>
  <c r="K103" i="40"/>
  <c r="J103" i="40"/>
  <c r="G103" i="40"/>
  <c r="F103" i="40"/>
  <c r="C103" i="40"/>
  <c r="B103" i="40"/>
  <c r="L102" i="40"/>
  <c r="K102" i="40"/>
  <c r="J102" i="40"/>
  <c r="G102" i="40"/>
  <c r="F102" i="40"/>
  <c r="C102" i="40"/>
  <c r="B102" i="40"/>
  <c r="L101" i="40"/>
  <c r="K101" i="40"/>
  <c r="J101" i="40"/>
  <c r="G101" i="40"/>
  <c r="F101" i="40"/>
  <c r="C101" i="40"/>
  <c r="B101" i="40"/>
  <c r="L98" i="40"/>
  <c r="K98" i="40"/>
  <c r="J98" i="40"/>
  <c r="G98" i="40"/>
  <c r="F98" i="40"/>
  <c r="C98" i="40"/>
  <c r="B98" i="40"/>
  <c r="L97" i="40"/>
  <c r="K97" i="40"/>
  <c r="J97" i="40"/>
  <c r="G97" i="40"/>
  <c r="F97" i="40"/>
  <c r="C97" i="40"/>
  <c r="B97" i="40"/>
  <c r="L96" i="40"/>
  <c r="K96" i="40"/>
  <c r="J96" i="40"/>
  <c r="G96" i="40"/>
  <c r="F96" i="40"/>
  <c r="C96" i="40"/>
  <c r="B96" i="40"/>
  <c r="L95" i="40"/>
  <c r="K95" i="40"/>
  <c r="J95" i="40"/>
  <c r="G95" i="40"/>
  <c r="F95" i="40"/>
  <c r="C95" i="40"/>
  <c r="B95" i="40"/>
  <c r="L92" i="40"/>
  <c r="K92" i="40"/>
  <c r="J92" i="40"/>
  <c r="F92" i="40"/>
  <c r="C92" i="40"/>
  <c r="B92" i="40"/>
  <c r="L88" i="40"/>
  <c r="K88" i="40"/>
  <c r="J88" i="40"/>
  <c r="F88" i="40"/>
  <c r="C88" i="40"/>
  <c r="B88" i="40"/>
  <c r="L87" i="40"/>
  <c r="K87" i="40"/>
  <c r="J87" i="40"/>
  <c r="F87" i="40"/>
  <c r="C87" i="40"/>
  <c r="B87" i="40"/>
  <c r="L84" i="40"/>
  <c r="K84" i="40"/>
  <c r="J84" i="40"/>
  <c r="G84" i="40"/>
  <c r="F84" i="40"/>
  <c r="C84" i="40"/>
  <c r="B84" i="40"/>
  <c r="L83" i="40"/>
  <c r="K83" i="40"/>
  <c r="J83" i="40"/>
  <c r="G83" i="40"/>
  <c r="F83" i="40"/>
  <c r="C83" i="40"/>
  <c r="B83" i="40"/>
  <c r="L82" i="40"/>
  <c r="K82" i="40"/>
  <c r="J82" i="40"/>
  <c r="G82" i="40"/>
  <c r="F82" i="40"/>
  <c r="C82" i="40"/>
  <c r="B82" i="40"/>
  <c r="L81" i="40"/>
  <c r="K81" i="40"/>
  <c r="J81" i="40"/>
  <c r="F81" i="40"/>
  <c r="C81" i="40"/>
  <c r="B81" i="40"/>
  <c r="H79" i="40"/>
  <c r="F79" i="40"/>
  <c r="H78" i="40"/>
  <c r="F78" i="40"/>
  <c r="H77" i="40"/>
  <c r="F77" i="40"/>
  <c r="M76" i="40"/>
  <c r="L76" i="40"/>
  <c r="K76" i="40"/>
  <c r="J76" i="40"/>
  <c r="I76" i="40"/>
  <c r="H76" i="40"/>
  <c r="F76" i="40"/>
  <c r="L73" i="40"/>
  <c r="K73" i="40"/>
  <c r="J73" i="40"/>
  <c r="G73" i="40"/>
  <c r="F73" i="40"/>
  <c r="C73" i="40"/>
  <c r="B73" i="40"/>
  <c r="L72" i="40"/>
  <c r="K72" i="40"/>
  <c r="J72" i="40"/>
  <c r="G72" i="40"/>
  <c r="F72" i="40"/>
  <c r="C72" i="40"/>
  <c r="B72" i="40"/>
  <c r="L71" i="40"/>
  <c r="K71" i="40"/>
  <c r="J71" i="40"/>
  <c r="G71" i="40"/>
  <c r="F71" i="40"/>
  <c r="C71" i="40"/>
  <c r="B71" i="40"/>
  <c r="L70" i="40"/>
  <c r="K70" i="40"/>
  <c r="J70" i="40"/>
  <c r="G70" i="40"/>
  <c r="F70" i="40"/>
  <c r="C70" i="40"/>
  <c r="B70" i="40"/>
  <c r="L67" i="40"/>
  <c r="K67" i="40"/>
  <c r="J67" i="40"/>
  <c r="G67" i="40"/>
  <c r="F67" i="40"/>
  <c r="C67" i="40"/>
  <c r="B67" i="40"/>
  <c r="L66" i="40"/>
  <c r="K66" i="40"/>
  <c r="J66" i="40"/>
  <c r="G66" i="40"/>
  <c r="F66" i="40"/>
  <c r="C66" i="40"/>
  <c r="B66" i="40"/>
  <c r="L65" i="40"/>
  <c r="K65" i="40"/>
  <c r="J65" i="40"/>
  <c r="G65" i="40"/>
  <c r="F65" i="40"/>
  <c r="C65" i="40"/>
  <c r="B65" i="40"/>
  <c r="L64" i="40"/>
  <c r="K64" i="40"/>
  <c r="J64" i="40"/>
  <c r="F64" i="40"/>
  <c r="C64" i="40"/>
  <c r="B64" i="40"/>
  <c r="L61" i="40"/>
  <c r="K61" i="40"/>
  <c r="J61" i="40"/>
  <c r="G61" i="40"/>
  <c r="F61" i="40"/>
  <c r="C61" i="40"/>
  <c r="B61" i="40"/>
  <c r="L60" i="40"/>
  <c r="K60" i="40"/>
  <c r="J60" i="40"/>
  <c r="G60" i="40"/>
  <c r="F60" i="40"/>
  <c r="C60" i="40"/>
  <c r="B60" i="40"/>
  <c r="L59" i="40"/>
  <c r="K59" i="40"/>
  <c r="J59" i="40"/>
  <c r="G59" i="40"/>
  <c r="F59" i="40"/>
  <c r="C59" i="40"/>
  <c r="B59" i="40"/>
  <c r="L58" i="40"/>
  <c r="K58" i="40"/>
  <c r="J58" i="40"/>
  <c r="G58" i="40"/>
  <c r="F58" i="40"/>
  <c r="C58" i="40"/>
  <c r="B58" i="40"/>
  <c r="L57" i="40"/>
  <c r="K57" i="40"/>
  <c r="J57" i="40"/>
  <c r="G57" i="40"/>
  <c r="F57" i="40"/>
  <c r="C57" i="40"/>
  <c r="L56" i="40"/>
  <c r="K56" i="40"/>
  <c r="J56" i="40"/>
  <c r="G56" i="40"/>
  <c r="F56" i="40"/>
  <c r="C56" i="40"/>
  <c r="B56" i="40"/>
  <c r="L55" i="40"/>
  <c r="K55" i="40"/>
  <c r="J55" i="40"/>
  <c r="G55" i="40"/>
  <c r="F55" i="40"/>
  <c r="C55" i="40"/>
  <c r="B55" i="40"/>
  <c r="L54" i="40"/>
  <c r="K54" i="40"/>
  <c r="J54" i="40"/>
  <c r="G54" i="40"/>
  <c r="F54" i="40"/>
  <c r="C54" i="40"/>
  <c r="B54" i="40"/>
  <c r="L53" i="40"/>
  <c r="K53" i="40"/>
  <c r="J53" i="40"/>
  <c r="G53" i="40"/>
  <c r="F53" i="40"/>
  <c r="C53" i="40"/>
  <c r="B53" i="40"/>
  <c r="L52" i="40"/>
  <c r="K52" i="40"/>
  <c r="J52" i="40"/>
  <c r="G52" i="40"/>
  <c r="F52" i="40"/>
  <c r="C52" i="40"/>
  <c r="B52" i="40"/>
  <c r="L51" i="40"/>
  <c r="K51" i="40"/>
  <c r="J51" i="40"/>
  <c r="C51" i="40"/>
  <c r="B51" i="40"/>
  <c r="L50" i="40"/>
  <c r="K50" i="40"/>
  <c r="J50" i="40"/>
  <c r="C50" i="40"/>
  <c r="B50" i="40"/>
  <c r="L49" i="40"/>
  <c r="K49" i="40"/>
  <c r="J49" i="40"/>
  <c r="C49" i="40"/>
  <c r="B49" i="40"/>
  <c r="L48" i="40"/>
  <c r="K48" i="40"/>
  <c r="J48" i="40"/>
  <c r="C48" i="40"/>
  <c r="B48" i="40"/>
  <c r="L47" i="40"/>
  <c r="K47" i="40"/>
  <c r="J47" i="40"/>
  <c r="G47" i="40"/>
  <c r="F47" i="40"/>
  <c r="C47" i="40"/>
  <c r="B47" i="40"/>
  <c r="H45" i="40"/>
  <c r="F45" i="40"/>
  <c r="H44" i="40"/>
  <c r="F44" i="40"/>
  <c r="H43" i="40"/>
  <c r="F43" i="40"/>
  <c r="M42" i="40"/>
  <c r="L42" i="40"/>
  <c r="K42" i="40"/>
  <c r="J42" i="40"/>
  <c r="I42" i="40"/>
  <c r="H42" i="40"/>
  <c r="F42" i="40"/>
  <c r="L34" i="40"/>
  <c r="K34" i="40"/>
  <c r="J34" i="40"/>
  <c r="G34" i="40"/>
  <c r="F34" i="40"/>
  <c r="C34" i="40"/>
  <c r="B34" i="40"/>
  <c r="L33" i="40"/>
  <c r="K33" i="40"/>
  <c r="J33" i="40"/>
  <c r="G33" i="40"/>
  <c r="F33" i="40"/>
  <c r="C33" i="40"/>
  <c r="B33" i="40"/>
  <c r="L32" i="40"/>
  <c r="K32" i="40"/>
  <c r="J32" i="40"/>
  <c r="G32" i="40"/>
  <c r="F32" i="40"/>
  <c r="C32" i="40"/>
  <c r="B32" i="40"/>
  <c r="L31" i="40"/>
  <c r="K31" i="40"/>
  <c r="J31" i="40"/>
  <c r="G31" i="40"/>
  <c r="F31" i="40"/>
  <c r="C31" i="40"/>
  <c r="B31" i="40"/>
  <c r="L28" i="40"/>
  <c r="K28" i="40"/>
  <c r="J28" i="40"/>
  <c r="G28" i="40"/>
  <c r="F28" i="40"/>
  <c r="C28" i="40"/>
  <c r="B28" i="40"/>
  <c r="L27" i="40"/>
  <c r="K27" i="40"/>
  <c r="J27" i="40"/>
  <c r="G27" i="40"/>
  <c r="F27" i="40"/>
  <c r="C27" i="40"/>
  <c r="B27" i="40"/>
  <c r="L25" i="40"/>
  <c r="K25" i="40"/>
  <c r="J25" i="40"/>
  <c r="G25" i="40"/>
  <c r="F25" i="40"/>
  <c r="C25" i="40"/>
  <c r="B25" i="40"/>
  <c r="L24" i="40"/>
  <c r="K24" i="40"/>
  <c r="J24" i="40"/>
  <c r="G24" i="40"/>
  <c r="F24" i="40"/>
  <c r="A26" i="40" s="1"/>
  <c r="C24" i="40"/>
  <c r="B24" i="40"/>
  <c r="L21" i="40"/>
  <c r="K21" i="40"/>
  <c r="J21" i="40"/>
  <c r="G21" i="40"/>
  <c r="F21" i="40"/>
  <c r="C21" i="40"/>
  <c r="B21" i="40"/>
  <c r="L20" i="40"/>
  <c r="K20" i="40"/>
  <c r="J20" i="40"/>
  <c r="G20" i="40"/>
  <c r="F20" i="40"/>
  <c r="C20" i="40"/>
  <c r="B20" i="40"/>
  <c r="L19" i="40"/>
  <c r="K19" i="40"/>
  <c r="J19" i="40"/>
  <c r="G19" i="40"/>
  <c r="F19" i="40"/>
  <c r="C19" i="40"/>
  <c r="B19" i="40"/>
  <c r="L18" i="40"/>
  <c r="K18" i="40"/>
  <c r="J18" i="40"/>
  <c r="F18" i="40"/>
  <c r="C18" i="40"/>
  <c r="B18" i="40"/>
  <c r="L15" i="40"/>
  <c r="K15" i="40"/>
  <c r="J15" i="40"/>
  <c r="C15" i="40"/>
  <c r="L13" i="40"/>
  <c r="K13" i="40"/>
  <c r="J13" i="40"/>
  <c r="C13" i="40"/>
  <c r="B13" i="40"/>
  <c r="L12" i="40"/>
  <c r="K12" i="40"/>
  <c r="J12" i="40"/>
  <c r="C12" i="40"/>
  <c r="B12" i="40"/>
  <c r="L11" i="40"/>
  <c r="K11" i="40"/>
  <c r="J11" i="40"/>
  <c r="G11" i="40"/>
  <c r="F11" i="40"/>
  <c r="A14" i="40" s="1"/>
  <c r="C11" i="40"/>
  <c r="B11" i="40"/>
  <c r="S2" i="21"/>
  <c r="G73" i="17"/>
  <c r="AA6" i="6" l="1"/>
  <c r="A98" i="40"/>
  <c r="A96" i="40"/>
  <c r="A47" i="40"/>
  <c r="A125" i="40"/>
  <c r="A57" i="40"/>
  <c r="A58" i="40"/>
  <c r="A70" i="40"/>
  <c r="A84" i="40"/>
  <c r="A20" i="40"/>
  <c r="A33" i="40"/>
  <c r="A24" i="40"/>
  <c r="A60" i="40"/>
  <c r="A21" i="40"/>
  <c r="A34" i="40"/>
  <c r="A92" i="40"/>
  <c r="A103" i="40"/>
  <c r="A118" i="40"/>
  <c r="A67" i="40"/>
  <c r="A25" i="40"/>
  <c r="A66" i="40"/>
  <c r="A82" i="40"/>
  <c r="A113" i="40"/>
  <c r="A55" i="40"/>
  <c r="A64" i="40"/>
  <c r="A81" i="40"/>
  <c r="A18" i="40"/>
  <c r="A88" i="40"/>
  <c r="A19" i="40"/>
  <c r="A97" i="40"/>
  <c r="A28" i="40"/>
  <c r="A59" i="40"/>
  <c r="A95" i="40"/>
  <c r="A112" i="40"/>
  <c r="A71" i="40"/>
  <c r="A137" i="40"/>
  <c r="A115" i="40"/>
  <c r="A119" i="40"/>
  <c r="A101" i="40"/>
  <c r="A12" i="40"/>
  <c r="A15" i="40"/>
  <c r="A114" i="40"/>
  <c r="A104" i="40"/>
  <c r="A51" i="40"/>
  <c r="A102" i="40"/>
  <c r="A52" i="40"/>
  <c r="A61" i="40"/>
  <c r="A65" i="40"/>
  <c r="A72" i="40"/>
  <c r="A83" i="40"/>
  <c r="A87" i="40"/>
  <c r="A120" i="40"/>
  <c r="A127" i="40"/>
  <c r="A49" i="40"/>
  <c r="A56" i="40"/>
  <c r="A121" i="40"/>
  <c r="A32" i="40"/>
  <c r="A54" i="40"/>
  <c r="A27" i="40"/>
  <c r="A31" i="40"/>
  <c r="A53" i="40"/>
  <c r="A73" i="40"/>
  <c r="A11" i="40"/>
  <c r="A134" i="40"/>
  <c r="A48" i="40"/>
  <c r="A131" i="40"/>
  <c r="A135" i="40"/>
  <c r="A13" i="40"/>
  <c r="A50" i="40"/>
  <c r="A126" i="40"/>
  <c r="A132" i="40"/>
  <c r="A136" i="40"/>
  <c r="A124" i="40"/>
  <c r="A130" i="40"/>
  <c r="A133" i="40"/>
  <c r="AB6" i="6" l="1"/>
  <c r="F114" i="26"/>
  <c r="F115" i="17" s="1"/>
  <c r="AC6" i="6" l="1"/>
  <c r="I136" i="40"/>
  <c r="I132" i="40"/>
  <c r="I137" i="40"/>
  <c r="I133" i="40"/>
  <c r="I135" i="40"/>
  <c r="I131" i="40"/>
  <c r="I134" i="40"/>
  <c r="I130" i="40"/>
  <c r="AD6" i="6" l="1"/>
  <c r="S15" i="1"/>
  <c r="S14" i="1"/>
  <c r="S12" i="1"/>
  <c r="AE6" i="6" l="1"/>
  <c r="F109" i="26"/>
  <c r="F113" i="17"/>
  <c r="FA113" i="17" s="1"/>
  <c r="E113" i="17"/>
  <c r="D113" i="17"/>
  <c r="LU113" i="17" s="1"/>
  <c r="C113" i="17"/>
  <c r="CP113" i="17" s="1"/>
  <c r="F112" i="17"/>
  <c r="JP112" i="17" s="1"/>
  <c r="E112" i="17"/>
  <c r="CR112" i="17" s="1"/>
  <c r="D112" i="17"/>
  <c r="JN112" i="17" s="1"/>
  <c r="C112" i="17"/>
  <c r="F111" i="17"/>
  <c r="FA111" i="17" s="1"/>
  <c r="E111" i="17"/>
  <c r="EZ111" i="17" s="1"/>
  <c r="D111" i="17"/>
  <c r="HF111" i="17" s="1"/>
  <c r="C111" i="17"/>
  <c r="EX111" i="17" s="1"/>
  <c r="E110" i="17"/>
  <c r="EZ110" i="17" s="1"/>
  <c r="CT110" i="17"/>
  <c r="CP110" i="17"/>
  <c r="C110" i="17"/>
  <c r="LY113" i="17"/>
  <c r="JR113" i="17"/>
  <c r="LY112" i="17"/>
  <c r="JR112" i="17"/>
  <c r="LY111" i="17"/>
  <c r="JR111" i="17"/>
  <c r="J109" i="26"/>
  <c r="AF6" i="6" l="1"/>
  <c r="I127" i="40"/>
  <c r="I126" i="40"/>
  <c r="I125" i="40"/>
  <c r="F110" i="17"/>
  <c r="LW110" i="17" s="1"/>
  <c r="LW113" i="17"/>
  <c r="HG111" i="17"/>
  <c r="CQ112" i="17"/>
  <c r="JN111" i="17"/>
  <c r="LV110" i="17"/>
  <c r="JO110" i="17"/>
  <c r="HH113" i="17"/>
  <c r="HG110" i="17"/>
  <c r="JM113" i="17"/>
  <c r="JN113" i="17"/>
  <c r="LT111" i="17"/>
  <c r="JP113" i="17"/>
  <c r="LU111" i="17"/>
  <c r="EX113" i="17"/>
  <c r="LV111" i="17"/>
  <c r="EY113" i="17"/>
  <c r="LT113" i="17"/>
  <c r="EY111" i="17"/>
  <c r="HE113" i="17"/>
  <c r="AK110" i="17"/>
  <c r="CR110" i="17"/>
  <c r="HH112" i="17"/>
  <c r="LU112" i="17"/>
  <c r="HF112" i="17"/>
  <c r="EY112" i="17"/>
  <c r="AL111" i="17"/>
  <c r="CS111" i="17"/>
  <c r="CP112" i="17"/>
  <c r="HE112" i="17"/>
  <c r="LT112" i="17"/>
  <c r="EX112" i="17"/>
  <c r="JM112" i="17"/>
  <c r="JM111" i="17"/>
  <c r="HE111" i="17"/>
  <c r="AI111" i="17"/>
  <c r="CP111" i="17"/>
  <c r="JO111" i="17"/>
  <c r="AI112" i="17"/>
  <c r="LW111" i="17"/>
  <c r="AJ111" i="17"/>
  <c r="CQ111" i="17"/>
  <c r="JP111" i="17"/>
  <c r="AJ112" i="17"/>
  <c r="HH111" i="17"/>
  <c r="AK111" i="17"/>
  <c r="CR111" i="17"/>
  <c r="JO112" i="17"/>
  <c r="HG112" i="17"/>
  <c r="EZ112" i="17"/>
  <c r="AK112" i="17"/>
  <c r="AJ113" i="17"/>
  <c r="CS112" i="17"/>
  <c r="AL112" i="17"/>
  <c r="JO113" i="17"/>
  <c r="HG113" i="17"/>
  <c r="EZ113" i="17"/>
  <c r="AK113" i="17"/>
  <c r="FA112" i="17"/>
  <c r="HF113" i="17"/>
  <c r="LV113" i="17"/>
  <c r="LV112" i="17"/>
  <c r="CQ113" i="17"/>
  <c r="LW112" i="17"/>
  <c r="CR113" i="17"/>
  <c r="AL113" i="17"/>
  <c r="CS113" i="17"/>
  <c r="AI113" i="17"/>
  <c r="N15" i="11"/>
  <c r="O15" i="11"/>
  <c r="P15" i="11"/>
  <c r="M15" i="11"/>
  <c r="M35" i="9"/>
  <c r="L35" i="9"/>
  <c r="K35" i="9"/>
  <c r="J35" i="9"/>
  <c r="I35" i="9"/>
  <c r="AG6" i="6" l="1"/>
  <c r="FA110" i="17"/>
  <c r="JP110" i="17"/>
  <c r="HH110" i="17"/>
  <c r="AL110" i="17"/>
  <c r="CS110" i="17"/>
  <c r="F31" i="8"/>
  <c r="AH6" i="6" l="1"/>
  <c r="L23" i="10"/>
  <c r="K23" i="10"/>
  <c r="J23" i="10"/>
  <c r="I23" i="10"/>
  <c r="V418" i="1"/>
  <c r="U418" i="1"/>
  <c r="V417" i="1"/>
  <c r="U417" i="1"/>
  <c r="V410" i="1"/>
  <c r="U410" i="1"/>
  <c r="V409" i="1"/>
  <c r="U409" i="1"/>
  <c r="V402" i="1"/>
  <c r="U402" i="1"/>
  <c r="V401" i="1"/>
  <c r="U401" i="1"/>
  <c r="V394" i="1"/>
  <c r="U394" i="1"/>
  <c r="V393" i="1"/>
  <c r="U393" i="1"/>
  <c r="V386" i="1"/>
  <c r="U386" i="1"/>
  <c r="V385" i="1"/>
  <c r="U385" i="1"/>
  <c r="V378" i="1"/>
  <c r="U378" i="1"/>
  <c r="V377" i="1"/>
  <c r="U377" i="1"/>
  <c r="V370" i="1"/>
  <c r="U370" i="1"/>
  <c r="V369" i="1"/>
  <c r="U369" i="1"/>
  <c r="V362" i="1"/>
  <c r="U362" i="1"/>
  <c r="V361" i="1"/>
  <c r="U361" i="1"/>
  <c r="V354" i="1"/>
  <c r="U354" i="1"/>
  <c r="V353" i="1"/>
  <c r="U353" i="1"/>
  <c r="V346" i="1"/>
  <c r="U346" i="1"/>
  <c r="V345" i="1"/>
  <c r="U345" i="1"/>
  <c r="V338" i="1"/>
  <c r="U338" i="1"/>
  <c r="V337" i="1"/>
  <c r="U337" i="1"/>
  <c r="V330" i="1"/>
  <c r="U330" i="1"/>
  <c r="V329" i="1"/>
  <c r="U329" i="1"/>
  <c r="V322" i="1"/>
  <c r="U322" i="1"/>
  <c r="V321" i="1"/>
  <c r="U321" i="1"/>
  <c r="V314" i="1"/>
  <c r="U314" i="1"/>
  <c r="V313" i="1"/>
  <c r="U313" i="1"/>
  <c r="V306" i="1"/>
  <c r="U306" i="1"/>
  <c r="V305" i="1"/>
  <c r="U305" i="1"/>
  <c r="V298" i="1"/>
  <c r="U298" i="1"/>
  <c r="V297" i="1"/>
  <c r="U297" i="1"/>
  <c r="V290" i="1"/>
  <c r="U290" i="1"/>
  <c r="V289" i="1"/>
  <c r="U289" i="1"/>
  <c r="V282" i="1"/>
  <c r="U282" i="1"/>
  <c r="V281" i="1"/>
  <c r="U281" i="1"/>
  <c r="V274" i="1"/>
  <c r="U274" i="1"/>
  <c r="V273" i="1"/>
  <c r="U273" i="1"/>
  <c r="V266" i="1"/>
  <c r="U266" i="1"/>
  <c r="V265" i="1"/>
  <c r="U265" i="1"/>
  <c r="V258" i="1"/>
  <c r="U258" i="1"/>
  <c r="V257" i="1"/>
  <c r="U257" i="1"/>
  <c r="V250" i="1"/>
  <c r="U250" i="1"/>
  <c r="V249" i="1"/>
  <c r="U249" i="1"/>
  <c r="V242" i="1"/>
  <c r="U242" i="1"/>
  <c r="V241" i="1"/>
  <c r="U241" i="1"/>
  <c r="V234" i="1"/>
  <c r="U234" i="1"/>
  <c r="V233" i="1"/>
  <c r="U233" i="1"/>
  <c r="V226" i="1"/>
  <c r="U226" i="1"/>
  <c r="V225" i="1"/>
  <c r="U225" i="1"/>
  <c r="V218" i="1"/>
  <c r="U218" i="1"/>
  <c r="V217" i="1"/>
  <c r="U217" i="1"/>
  <c r="V210" i="1"/>
  <c r="U210" i="1"/>
  <c r="V209" i="1"/>
  <c r="U209" i="1"/>
  <c r="V202" i="1"/>
  <c r="U202" i="1"/>
  <c r="V201" i="1"/>
  <c r="U201" i="1"/>
  <c r="V194" i="1"/>
  <c r="U194" i="1"/>
  <c r="V193" i="1"/>
  <c r="U193" i="1"/>
  <c r="V186" i="1"/>
  <c r="U186" i="1"/>
  <c r="V185" i="1"/>
  <c r="U185" i="1"/>
  <c r="V178" i="1"/>
  <c r="U178" i="1"/>
  <c r="V177" i="1"/>
  <c r="U177" i="1"/>
  <c r="V170" i="1"/>
  <c r="U170" i="1"/>
  <c r="V169" i="1"/>
  <c r="U169" i="1"/>
  <c r="V162" i="1"/>
  <c r="U162" i="1"/>
  <c r="V161" i="1"/>
  <c r="U161" i="1"/>
  <c r="V154" i="1"/>
  <c r="U154" i="1"/>
  <c r="V153" i="1"/>
  <c r="U153" i="1"/>
  <c r="V146" i="1"/>
  <c r="U146" i="1"/>
  <c r="V145" i="1"/>
  <c r="U145" i="1"/>
  <c r="V138" i="1"/>
  <c r="U138" i="1"/>
  <c r="V137" i="1"/>
  <c r="U137" i="1"/>
  <c r="BN19" i="20"/>
  <c r="BN16" i="20"/>
  <c r="BN13" i="20"/>
  <c r="BN4" i="21"/>
  <c r="BN20" i="19"/>
  <c r="BN4" i="18"/>
  <c r="BN10" i="20"/>
  <c r="BN4" i="20"/>
  <c r="BN4" i="22"/>
  <c r="BN4" i="14"/>
  <c r="BN13" i="14" s="1"/>
  <c r="BN4" i="13"/>
  <c r="BN4" i="12"/>
  <c r="BN4" i="10"/>
  <c r="BN19" i="9"/>
  <c r="BN4" i="9"/>
  <c r="BN4" i="11"/>
  <c r="BN16" i="8"/>
  <c r="BN13" i="8"/>
  <c r="BN4" i="8"/>
  <c r="BN4" i="4"/>
  <c r="BN4" i="3"/>
  <c r="FD8" i="17"/>
  <c r="FE8" i="17"/>
  <c r="FF8" i="17"/>
  <c r="FG8" i="17"/>
  <c r="FH8" i="17"/>
  <c r="FI8" i="17"/>
  <c r="FJ8" i="17"/>
  <c r="FK8" i="17"/>
  <c r="FL8" i="17"/>
  <c r="FM8" i="17"/>
  <c r="FN8" i="17"/>
  <c r="FO8" i="17"/>
  <c r="FP8" i="17"/>
  <c r="FQ8" i="17"/>
  <c r="FR8" i="17"/>
  <c r="FS8" i="17"/>
  <c r="FT8" i="17"/>
  <c r="FU8" i="17"/>
  <c r="FV8" i="17"/>
  <c r="FW8" i="17"/>
  <c r="FX8" i="17"/>
  <c r="FY8" i="17"/>
  <c r="FZ8" i="17"/>
  <c r="GA8" i="17"/>
  <c r="GB8" i="17"/>
  <c r="GC8" i="17"/>
  <c r="GD8" i="17"/>
  <c r="GE8" i="17"/>
  <c r="GF8" i="17"/>
  <c r="GG8" i="17"/>
  <c r="GH8" i="17"/>
  <c r="GI8" i="17"/>
  <c r="GJ8" i="17"/>
  <c r="GK8" i="17"/>
  <c r="GL8" i="17"/>
  <c r="GM8" i="17"/>
  <c r="GN8" i="17"/>
  <c r="GO8" i="17"/>
  <c r="GP8" i="17"/>
  <c r="GQ8" i="17"/>
  <c r="GR8" i="17"/>
  <c r="GS8" i="17"/>
  <c r="GT8" i="17"/>
  <c r="GU8" i="17"/>
  <c r="GV8" i="17"/>
  <c r="GW8" i="17"/>
  <c r="GX8" i="17"/>
  <c r="GY8" i="17"/>
  <c r="GZ8" i="17"/>
  <c r="HA8" i="17"/>
  <c r="HB8" i="17"/>
  <c r="HC8" i="17"/>
  <c r="BN4" i="5"/>
  <c r="AI6" i="6" l="1"/>
  <c r="V426" i="1"/>
  <c r="U426" i="1"/>
  <c r="P426" i="1"/>
  <c r="O426" i="1"/>
  <c r="M426" i="1"/>
  <c r="N426" i="1"/>
  <c r="V425" i="1"/>
  <c r="U425" i="1"/>
  <c r="P425" i="1"/>
  <c r="O425" i="1"/>
  <c r="M425" i="1"/>
  <c r="N425" i="1"/>
  <c r="E425" i="1"/>
  <c r="P418" i="1"/>
  <c r="O418" i="1"/>
  <c r="M418" i="1"/>
  <c r="N418" i="1"/>
  <c r="P417" i="1"/>
  <c r="O417" i="1"/>
  <c r="M417" i="1"/>
  <c r="N417" i="1"/>
  <c r="E417" i="1"/>
  <c r="P410" i="1"/>
  <c r="O410" i="1"/>
  <c r="M410" i="1"/>
  <c r="N410" i="1"/>
  <c r="P409" i="1"/>
  <c r="O409" i="1"/>
  <c r="M409" i="1"/>
  <c r="N409" i="1"/>
  <c r="E409" i="1"/>
  <c r="P402" i="1"/>
  <c r="O402" i="1"/>
  <c r="M402" i="1"/>
  <c r="N402" i="1"/>
  <c r="P401" i="1"/>
  <c r="O401" i="1"/>
  <c r="M401" i="1"/>
  <c r="N401" i="1"/>
  <c r="E401" i="1"/>
  <c r="P394" i="1"/>
  <c r="O394" i="1"/>
  <c r="M394" i="1"/>
  <c r="N394" i="1"/>
  <c r="P393" i="1"/>
  <c r="O393" i="1"/>
  <c r="M393" i="1"/>
  <c r="N393" i="1"/>
  <c r="E393" i="1"/>
  <c r="P386" i="1"/>
  <c r="O386" i="1"/>
  <c r="M386" i="1"/>
  <c r="N386" i="1"/>
  <c r="P385" i="1"/>
  <c r="O385" i="1"/>
  <c r="M385" i="1"/>
  <c r="N385" i="1"/>
  <c r="E385" i="1"/>
  <c r="P378" i="1"/>
  <c r="O378" i="1"/>
  <c r="M378" i="1"/>
  <c r="N378" i="1"/>
  <c r="P377" i="1"/>
  <c r="O377" i="1"/>
  <c r="M377" i="1"/>
  <c r="N377" i="1"/>
  <c r="E377" i="1"/>
  <c r="P370" i="1"/>
  <c r="O370" i="1"/>
  <c r="M370" i="1"/>
  <c r="N370" i="1"/>
  <c r="P369" i="1"/>
  <c r="O369" i="1"/>
  <c r="M369" i="1"/>
  <c r="N369" i="1"/>
  <c r="E369" i="1"/>
  <c r="P362" i="1"/>
  <c r="O362" i="1"/>
  <c r="M362" i="1"/>
  <c r="N362" i="1"/>
  <c r="P361" i="1"/>
  <c r="O361" i="1"/>
  <c r="M361" i="1"/>
  <c r="N361" i="1"/>
  <c r="E361" i="1"/>
  <c r="P354" i="1"/>
  <c r="O354" i="1"/>
  <c r="M354" i="1"/>
  <c r="N354" i="1"/>
  <c r="P353" i="1"/>
  <c r="O353" i="1"/>
  <c r="M353" i="1"/>
  <c r="N353" i="1"/>
  <c r="E353" i="1"/>
  <c r="P346" i="1"/>
  <c r="O346" i="1"/>
  <c r="M346" i="1"/>
  <c r="N346" i="1"/>
  <c r="P345" i="1"/>
  <c r="O345" i="1"/>
  <c r="M345" i="1"/>
  <c r="N345" i="1"/>
  <c r="E345" i="1"/>
  <c r="P338" i="1"/>
  <c r="O338" i="1"/>
  <c r="M338" i="1"/>
  <c r="N338" i="1"/>
  <c r="P337" i="1"/>
  <c r="O337" i="1"/>
  <c r="M337" i="1"/>
  <c r="N337" i="1"/>
  <c r="E337" i="1"/>
  <c r="P330" i="1"/>
  <c r="O330" i="1"/>
  <c r="M330" i="1"/>
  <c r="N330" i="1"/>
  <c r="P329" i="1"/>
  <c r="O329" i="1"/>
  <c r="M329" i="1"/>
  <c r="N329" i="1"/>
  <c r="E329" i="1"/>
  <c r="P322" i="1"/>
  <c r="O322" i="1"/>
  <c r="M322" i="1"/>
  <c r="N322" i="1"/>
  <c r="P321" i="1"/>
  <c r="O321" i="1"/>
  <c r="M321" i="1"/>
  <c r="N321" i="1"/>
  <c r="E321" i="1"/>
  <c r="P314" i="1"/>
  <c r="O314" i="1"/>
  <c r="M314" i="1"/>
  <c r="N314" i="1"/>
  <c r="P313" i="1"/>
  <c r="O313" i="1"/>
  <c r="M313" i="1"/>
  <c r="N313" i="1"/>
  <c r="E313" i="1"/>
  <c r="P306" i="1"/>
  <c r="O306" i="1"/>
  <c r="M306" i="1"/>
  <c r="N306" i="1"/>
  <c r="P305" i="1"/>
  <c r="O305" i="1"/>
  <c r="M305" i="1"/>
  <c r="N305" i="1"/>
  <c r="E305" i="1"/>
  <c r="P298" i="1"/>
  <c r="O298" i="1"/>
  <c r="M298" i="1"/>
  <c r="N298" i="1"/>
  <c r="P297" i="1"/>
  <c r="O297" i="1"/>
  <c r="M297" i="1"/>
  <c r="N297" i="1"/>
  <c r="E297" i="1"/>
  <c r="P290" i="1"/>
  <c r="O290" i="1"/>
  <c r="M290" i="1"/>
  <c r="N290" i="1"/>
  <c r="P289" i="1"/>
  <c r="O289" i="1"/>
  <c r="M289" i="1"/>
  <c r="N289" i="1"/>
  <c r="E289" i="1"/>
  <c r="P282" i="1"/>
  <c r="O282" i="1"/>
  <c r="M282" i="1"/>
  <c r="N282" i="1"/>
  <c r="P281" i="1"/>
  <c r="O281" i="1"/>
  <c r="M281" i="1"/>
  <c r="N281" i="1"/>
  <c r="E281" i="1"/>
  <c r="P274" i="1"/>
  <c r="O274" i="1"/>
  <c r="M274" i="1"/>
  <c r="N274" i="1"/>
  <c r="P273" i="1"/>
  <c r="O273" i="1"/>
  <c r="M273" i="1"/>
  <c r="N273" i="1"/>
  <c r="E273" i="1"/>
  <c r="P266" i="1"/>
  <c r="O266" i="1"/>
  <c r="M266" i="1"/>
  <c r="N266" i="1"/>
  <c r="P265" i="1"/>
  <c r="O265" i="1"/>
  <c r="M265" i="1"/>
  <c r="N265" i="1"/>
  <c r="E265" i="1"/>
  <c r="P258" i="1"/>
  <c r="O258" i="1"/>
  <c r="M258" i="1"/>
  <c r="N258" i="1"/>
  <c r="P257" i="1"/>
  <c r="O257" i="1"/>
  <c r="M257" i="1"/>
  <c r="N257" i="1"/>
  <c r="E257" i="1"/>
  <c r="P250" i="1"/>
  <c r="O250" i="1"/>
  <c r="M250" i="1"/>
  <c r="N250" i="1"/>
  <c r="P249" i="1"/>
  <c r="O249" i="1"/>
  <c r="M249" i="1"/>
  <c r="N249" i="1"/>
  <c r="E249" i="1"/>
  <c r="P242" i="1"/>
  <c r="O242" i="1"/>
  <c r="M242" i="1"/>
  <c r="N242" i="1"/>
  <c r="P241" i="1"/>
  <c r="O241" i="1"/>
  <c r="M241" i="1"/>
  <c r="N241" i="1"/>
  <c r="E241" i="1"/>
  <c r="P234" i="1"/>
  <c r="O234" i="1"/>
  <c r="M234" i="1"/>
  <c r="N234" i="1"/>
  <c r="P233" i="1"/>
  <c r="O233" i="1"/>
  <c r="M233" i="1"/>
  <c r="N233" i="1"/>
  <c r="E233" i="1"/>
  <c r="P226" i="1"/>
  <c r="O226" i="1"/>
  <c r="M226" i="1"/>
  <c r="N226" i="1"/>
  <c r="P225" i="1"/>
  <c r="O225" i="1"/>
  <c r="M225" i="1"/>
  <c r="N225" i="1"/>
  <c r="E225" i="1"/>
  <c r="P218" i="1"/>
  <c r="O218" i="1"/>
  <c r="M218" i="1"/>
  <c r="N218" i="1"/>
  <c r="P217" i="1"/>
  <c r="O217" i="1"/>
  <c r="M217" i="1"/>
  <c r="N217" i="1"/>
  <c r="E217" i="1"/>
  <c r="P210" i="1"/>
  <c r="O210" i="1"/>
  <c r="M210" i="1"/>
  <c r="N210" i="1"/>
  <c r="P209" i="1"/>
  <c r="O209" i="1"/>
  <c r="M209" i="1"/>
  <c r="N209" i="1"/>
  <c r="E209" i="1"/>
  <c r="P202" i="1"/>
  <c r="O202" i="1"/>
  <c r="M202" i="1"/>
  <c r="N202" i="1"/>
  <c r="P201" i="1"/>
  <c r="O201" i="1"/>
  <c r="M201" i="1"/>
  <c r="N201" i="1"/>
  <c r="E201" i="1"/>
  <c r="P194" i="1"/>
  <c r="O194" i="1"/>
  <c r="M194" i="1"/>
  <c r="N194" i="1"/>
  <c r="P193" i="1"/>
  <c r="O193" i="1"/>
  <c r="M193" i="1"/>
  <c r="N193" i="1"/>
  <c r="E193" i="1"/>
  <c r="P186" i="1"/>
  <c r="O186" i="1"/>
  <c r="M186" i="1"/>
  <c r="N186" i="1"/>
  <c r="P185" i="1"/>
  <c r="O185" i="1"/>
  <c r="M185" i="1"/>
  <c r="N185" i="1"/>
  <c r="E185" i="1"/>
  <c r="P178" i="1"/>
  <c r="O178" i="1"/>
  <c r="M178" i="1"/>
  <c r="N178" i="1"/>
  <c r="E178" i="1"/>
  <c r="P177" i="1"/>
  <c r="O177" i="1"/>
  <c r="M177" i="1"/>
  <c r="N177" i="1"/>
  <c r="E177" i="1"/>
  <c r="P170" i="1"/>
  <c r="O170" i="1"/>
  <c r="M170" i="1"/>
  <c r="N170" i="1"/>
  <c r="E170" i="1"/>
  <c r="P169" i="1"/>
  <c r="O169" i="1"/>
  <c r="M169" i="1"/>
  <c r="N169" i="1"/>
  <c r="E169" i="1"/>
  <c r="P162" i="1"/>
  <c r="O162" i="1"/>
  <c r="M162" i="1"/>
  <c r="N162" i="1"/>
  <c r="E162" i="1"/>
  <c r="P161" i="1"/>
  <c r="O161" i="1"/>
  <c r="M161" i="1"/>
  <c r="N161" i="1"/>
  <c r="E161" i="1"/>
  <c r="P154" i="1"/>
  <c r="O154" i="1"/>
  <c r="M154" i="1"/>
  <c r="N154" i="1"/>
  <c r="E154" i="1"/>
  <c r="P153" i="1"/>
  <c r="O153" i="1"/>
  <c r="M153" i="1"/>
  <c r="N153" i="1"/>
  <c r="E153" i="1"/>
  <c r="P146" i="1"/>
  <c r="O146" i="1"/>
  <c r="M146" i="1"/>
  <c r="N146" i="1"/>
  <c r="E146" i="1"/>
  <c r="P145" i="1"/>
  <c r="O145" i="1"/>
  <c r="M145" i="1"/>
  <c r="N145" i="1"/>
  <c r="E145" i="1"/>
  <c r="P138" i="1"/>
  <c r="O138" i="1"/>
  <c r="M138" i="1"/>
  <c r="N138" i="1"/>
  <c r="E138" i="1"/>
  <c r="P137" i="1"/>
  <c r="O137" i="1"/>
  <c r="M137" i="1"/>
  <c r="N137" i="1"/>
  <c r="E137" i="1"/>
  <c r="V130" i="1"/>
  <c r="U130" i="1"/>
  <c r="P130" i="1"/>
  <c r="O130" i="1"/>
  <c r="M130" i="1"/>
  <c r="N130" i="1"/>
  <c r="E130" i="1"/>
  <c r="V129" i="1"/>
  <c r="U129" i="1"/>
  <c r="P129" i="1"/>
  <c r="O129" i="1"/>
  <c r="M129" i="1"/>
  <c r="N129" i="1"/>
  <c r="E129" i="1"/>
  <c r="V122" i="1"/>
  <c r="U122" i="1"/>
  <c r="P122" i="1"/>
  <c r="O122" i="1"/>
  <c r="M122" i="1"/>
  <c r="N122" i="1"/>
  <c r="E122" i="1"/>
  <c r="V121" i="1"/>
  <c r="U121" i="1"/>
  <c r="P121" i="1"/>
  <c r="O121" i="1"/>
  <c r="M121" i="1"/>
  <c r="N121" i="1"/>
  <c r="E121" i="1"/>
  <c r="V114" i="1"/>
  <c r="U114" i="1"/>
  <c r="P114" i="1"/>
  <c r="O114" i="1"/>
  <c r="M114" i="1"/>
  <c r="N114" i="1"/>
  <c r="E114" i="1"/>
  <c r="V113" i="1"/>
  <c r="U113" i="1"/>
  <c r="P113" i="1"/>
  <c r="O113" i="1"/>
  <c r="M113" i="1"/>
  <c r="N113" i="1"/>
  <c r="E113" i="1"/>
  <c r="V106" i="1"/>
  <c r="U106" i="1"/>
  <c r="P106" i="1"/>
  <c r="O106" i="1"/>
  <c r="M106" i="1"/>
  <c r="N106" i="1"/>
  <c r="E106" i="1"/>
  <c r="V105" i="1"/>
  <c r="U105" i="1"/>
  <c r="P105" i="1"/>
  <c r="O105" i="1"/>
  <c r="M105" i="1"/>
  <c r="N105" i="1"/>
  <c r="E105" i="1"/>
  <c r="V98" i="1"/>
  <c r="U98" i="1"/>
  <c r="P98" i="1"/>
  <c r="O98" i="1"/>
  <c r="M98" i="1"/>
  <c r="N98" i="1"/>
  <c r="E98" i="1"/>
  <c r="V97" i="1"/>
  <c r="U97" i="1"/>
  <c r="P97" i="1"/>
  <c r="O97" i="1"/>
  <c r="M97" i="1"/>
  <c r="N97" i="1"/>
  <c r="E97" i="1"/>
  <c r="V90" i="1"/>
  <c r="U90" i="1"/>
  <c r="P90" i="1"/>
  <c r="O90" i="1"/>
  <c r="M90" i="1"/>
  <c r="N90" i="1"/>
  <c r="E90" i="1"/>
  <c r="V89" i="1"/>
  <c r="U89" i="1"/>
  <c r="P89" i="1"/>
  <c r="O89" i="1"/>
  <c r="M89" i="1"/>
  <c r="N89" i="1"/>
  <c r="E89" i="1"/>
  <c r="V82" i="1"/>
  <c r="U82" i="1"/>
  <c r="P82" i="1"/>
  <c r="O82" i="1"/>
  <c r="M82" i="1"/>
  <c r="N82" i="1"/>
  <c r="E82" i="1"/>
  <c r="V81" i="1"/>
  <c r="U81" i="1"/>
  <c r="P81" i="1"/>
  <c r="O81" i="1"/>
  <c r="M81" i="1"/>
  <c r="N81" i="1"/>
  <c r="E81" i="1"/>
  <c r="V74" i="1"/>
  <c r="U74" i="1"/>
  <c r="P74" i="1"/>
  <c r="O74" i="1"/>
  <c r="M74" i="1"/>
  <c r="N74" i="1"/>
  <c r="E74" i="1"/>
  <c r="V73" i="1"/>
  <c r="U73" i="1"/>
  <c r="P73" i="1"/>
  <c r="O73" i="1"/>
  <c r="M73" i="1"/>
  <c r="N73" i="1"/>
  <c r="E73" i="1"/>
  <c r="V66" i="1"/>
  <c r="U66" i="1"/>
  <c r="P66" i="1"/>
  <c r="O66" i="1"/>
  <c r="M66" i="1"/>
  <c r="N66" i="1"/>
  <c r="E66" i="1"/>
  <c r="V65" i="1"/>
  <c r="U65" i="1"/>
  <c r="P65" i="1"/>
  <c r="O65" i="1"/>
  <c r="M65" i="1"/>
  <c r="N65" i="1"/>
  <c r="E65" i="1"/>
  <c r="V58" i="1"/>
  <c r="U58" i="1"/>
  <c r="P58" i="1"/>
  <c r="O58" i="1"/>
  <c r="M58" i="1"/>
  <c r="N58" i="1"/>
  <c r="E58" i="1"/>
  <c r="V57" i="1"/>
  <c r="U57" i="1"/>
  <c r="P57" i="1"/>
  <c r="O57" i="1"/>
  <c r="M57" i="1"/>
  <c r="N57" i="1"/>
  <c r="E57" i="1"/>
  <c r="V50" i="1"/>
  <c r="U50" i="1"/>
  <c r="P50" i="1"/>
  <c r="O50" i="1"/>
  <c r="M50" i="1"/>
  <c r="N50" i="1"/>
  <c r="E50" i="1"/>
  <c r="V49" i="1"/>
  <c r="U49" i="1"/>
  <c r="P49" i="1"/>
  <c r="O49" i="1"/>
  <c r="M49" i="1"/>
  <c r="N49" i="1"/>
  <c r="E49" i="1"/>
  <c r="V42" i="1"/>
  <c r="U42" i="1"/>
  <c r="P42" i="1"/>
  <c r="O42" i="1"/>
  <c r="M42" i="1"/>
  <c r="N42" i="1"/>
  <c r="E42" i="1"/>
  <c r="V41" i="1"/>
  <c r="U41" i="1"/>
  <c r="P41" i="1"/>
  <c r="O41" i="1"/>
  <c r="M41" i="1"/>
  <c r="N41" i="1"/>
  <c r="E41" i="1"/>
  <c r="V34" i="1"/>
  <c r="U34" i="1"/>
  <c r="P34" i="1"/>
  <c r="O34" i="1"/>
  <c r="M34" i="1"/>
  <c r="N34" i="1"/>
  <c r="E34" i="1"/>
  <c r="V33" i="1"/>
  <c r="U33" i="1"/>
  <c r="P33" i="1"/>
  <c r="O33" i="1"/>
  <c r="M33" i="1"/>
  <c r="N33" i="1"/>
  <c r="E33" i="1"/>
  <c r="V26" i="1"/>
  <c r="U26" i="1"/>
  <c r="P26" i="1"/>
  <c r="O26" i="1"/>
  <c r="M26" i="1"/>
  <c r="N26" i="1"/>
  <c r="E26" i="1"/>
  <c r="V25" i="1"/>
  <c r="U25" i="1"/>
  <c r="P25" i="1"/>
  <c r="O25" i="1"/>
  <c r="M25" i="1"/>
  <c r="N25" i="1"/>
  <c r="E25" i="1"/>
  <c r="V18" i="1"/>
  <c r="V17" i="1"/>
  <c r="AJ6" i="6" l="1"/>
  <c r="LZ8" i="17"/>
  <c r="MA8" i="17"/>
  <c r="MB8" i="17"/>
  <c r="MC8" i="17"/>
  <c r="MD8" i="17"/>
  <c r="ME8" i="17"/>
  <c r="MF8" i="17"/>
  <c r="MG8" i="17"/>
  <c r="MH8" i="17"/>
  <c r="MI8" i="17"/>
  <c r="MJ8" i="17"/>
  <c r="MK8" i="17"/>
  <c r="ML8" i="17"/>
  <c r="MM8" i="17"/>
  <c r="MN8" i="17"/>
  <c r="MO8" i="17"/>
  <c r="MP8" i="17"/>
  <c r="MQ8" i="17"/>
  <c r="MR8" i="17"/>
  <c r="MS8" i="17"/>
  <c r="MT8" i="17"/>
  <c r="MU8" i="17"/>
  <c r="MV8" i="17"/>
  <c r="MW8" i="17"/>
  <c r="MX8" i="17"/>
  <c r="MY8" i="17"/>
  <c r="MZ8" i="17"/>
  <c r="NA8" i="17"/>
  <c r="NB8" i="17"/>
  <c r="NC8" i="17"/>
  <c r="ND8" i="17"/>
  <c r="NE8" i="17"/>
  <c r="NF8" i="17"/>
  <c r="NG8" i="17"/>
  <c r="NH8" i="17"/>
  <c r="NI8" i="17"/>
  <c r="NJ8" i="17"/>
  <c r="NK8" i="17"/>
  <c r="NL8" i="17"/>
  <c r="NM8" i="17"/>
  <c r="NN8" i="17"/>
  <c r="NO8" i="17"/>
  <c r="NP8" i="17"/>
  <c r="NQ8" i="17"/>
  <c r="NR8" i="17"/>
  <c r="NS8" i="17"/>
  <c r="NT8" i="17"/>
  <c r="NU8" i="17"/>
  <c r="NV8" i="17"/>
  <c r="NW8" i="17"/>
  <c r="NX8" i="17"/>
  <c r="NY8" i="17"/>
  <c r="LY8" i="17"/>
  <c r="JS8" i="17"/>
  <c r="JT8" i="17"/>
  <c r="JU8" i="17"/>
  <c r="JV8" i="17"/>
  <c r="JW8" i="17"/>
  <c r="JX8" i="17"/>
  <c r="JY8" i="17"/>
  <c r="JZ8" i="17"/>
  <c r="KA8" i="17"/>
  <c r="KB8" i="17"/>
  <c r="KC8" i="17"/>
  <c r="KD8" i="17"/>
  <c r="KE8" i="17"/>
  <c r="KF8" i="17"/>
  <c r="KG8" i="17"/>
  <c r="KH8" i="17"/>
  <c r="KI8" i="17"/>
  <c r="KJ8" i="17"/>
  <c r="KK8" i="17"/>
  <c r="KL8" i="17"/>
  <c r="KM8" i="17"/>
  <c r="KN8" i="17"/>
  <c r="KO8" i="17"/>
  <c r="KP8" i="17"/>
  <c r="KQ8" i="17"/>
  <c r="KR8" i="17"/>
  <c r="KS8" i="17"/>
  <c r="KT8" i="17"/>
  <c r="KU8" i="17"/>
  <c r="KV8" i="17"/>
  <c r="KW8" i="17"/>
  <c r="KX8" i="17"/>
  <c r="KY8" i="17"/>
  <c r="KZ8" i="17"/>
  <c r="LA8" i="17"/>
  <c r="LB8" i="17"/>
  <c r="LC8" i="17"/>
  <c r="LD8" i="17"/>
  <c r="LE8" i="17"/>
  <c r="LF8" i="17"/>
  <c r="LG8" i="17"/>
  <c r="LH8" i="17"/>
  <c r="LI8" i="17"/>
  <c r="LJ8" i="17"/>
  <c r="LK8" i="17"/>
  <c r="LL8" i="17"/>
  <c r="LM8" i="17"/>
  <c r="LN8" i="17"/>
  <c r="LO8" i="17"/>
  <c r="LP8" i="17"/>
  <c r="LQ8" i="17"/>
  <c r="LR8" i="17"/>
  <c r="JR8" i="17"/>
  <c r="HK8" i="17"/>
  <c r="HL8" i="17"/>
  <c r="HM8" i="17"/>
  <c r="HN8" i="17"/>
  <c r="HO8" i="17"/>
  <c r="HP8" i="17"/>
  <c r="HQ8" i="17"/>
  <c r="HR8" i="17"/>
  <c r="HS8" i="17"/>
  <c r="HT8" i="17"/>
  <c r="HU8" i="17"/>
  <c r="HV8" i="17"/>
  <c r="HW8" i="17"/>
  <c r="HX8" i="17"/>
  <c r="HY8" i="17"/>
  <c r="HZ8" i="17"/>
  <c r="IA8" i="17"/>
  <c r="IB8" i="17"/>
  <c r="IC8" i="17"/>
  <c r="ID8" i="17"/>
  <c r="IE8" i="17"/>
  <c r="IF8" i="17"/>
  <c r="IG8" i="17"/>
  <c r="IH8" i="17"/>
  <c r="II8" i="17"/>
  <c r="IJ8" i="17"/>
  <c r="IK8" i="17"/>
  <c r="IL8" i="17"/>
  <c r="IM8" i="17"/>
  <c r="IN8" i="17"/>
  <c r="IO8" i="17"/>
  <c r="IP8" i="17"/>
  <c r="IQ8" i="17"/>
  <c r="IR8" i="17"/>
  <c r="IS8" i="17"/>
  <c r="IT8" i="17"/>
  <c r="IU8" i="17"/>
  <c r="IV8" i="17"/>
  <c r="IW8" i="17"/>
  <c r="IX8" i="17"/>
  <c r="IY8" i="17"/>
  <c r="IZ8" i="17"/>
  <c r="JA8" i="17"/>
  <c r="JB8" i="17"/>
  <c r="JC8" i="17"/>
  <c r="JD8" i="17"/>
  <c r="JE8" i="17"/>
  <c r="JF8" i="17"/>
  <c r="JG8" i="17"/>
  <c r="JH8" i="17"/>
  <c r="JI8" i="17"/>
  <c r="JJ8" i="17"/>
  <c r="HJ8" i="17"/>
  <c r="FC8" i="17"/>
  <c r="CW8" i="17"/>
  <c r="CX8" i="17"/>
  <c r="CY8" i="17"/>
  <c r="CZ8" i="17"/>
  <c r="DA8" i="17"/>
  <c r="DB8" i="17"/>
  <c r="DC8" i="17"/>
  <c r="DD8" i="17"/>
  <c r="DE8" i="17"/>
  <c r="DF8" i="17"/>
  <c r="DG8" i="17"/>
  <c r="DH8" i="17"/>
  <c r="DI8" i="17"/>
  <c r="DJ8" i="17"/>
  <c r="AE7" i="40" s="1"/>
  <c r="DK8" i="17"/>
  <c r="AF7" i="40" s="1"/>
  <c r="DL8" i="17"/>
  <c r="DM8" i="17"/>
  <c r="DN8" i="17"/>
  <c r="DO8" i="17"/>
  <c r="DP8" i="17"/>
  <c r="DQ8" i="17"/>
  <c r="DR8" i="17"/>
  <c r="DS8" i="17"/>
  <c r="DT8" i="17"/>
  <c r="DU8" i="17"/>
  <c r="DV8" i="17"/>
  <c r="DW8" i="17"/>
  <c r="DX8" i="17"/>
  <c r="DY8" i="17"/>
  <c r="DZ8" i="17"/>
  <c r="EA8" i="17"/>
  <c r="EB8" i="17"/>
  <c r="EC8" i="17"/>
  <c r="ED8" i="17"/>
  <c r="EE8" i="17"/>
  <c r="EF8" i="17"/>
  <c r="EG8" i="17"/>
  <c r="EH8" i="17"/>
  <c r="EI8" i="17"/>
  <c r="EJ8" i="17"/>
  <c r="EK8" i="17"/>
  <c r="EL8" i="17"/>
  <c r="EM8" i="17"/>
  <c r="EN8" i="17"/>
  <c r="EO8" i="17"/>
  <c r="EP8" i="17"/>
  <c r="EQ8" i="17"/>
  <c r="ER8" i="17"/>
  <c r="ES8" i="17"/>
  <c r="ET8" i="17"/>
  <c r="EU8" i="17"/>
  <c r="CV8" i="17"/>
  <c r="AM9" i="17"/>
  <c r="E4" i="17"/>
  <c r="JR123" i="17"/>
  <c r="JR122" i="17"/>
  <c r="JR121" i="17"/>
  <c r="JR120" i="17"/>
  <c r="JR119" i="17"/>
  <c r="JR118" i="17"/>
  <c r="JR117" i="17"/>
  <c r="JR116" i="17"/>
  <c r="F3" i="7"/>
  <c r="Q26" i="7" s="1"/>
  <c r="P7" i="40" l="1"/>
  <c r="AE78" i="17"/>
  <c r="AD78" i="17"/>
  <c r="N36" i="7"/>
  <c r="R29" i="7"/>
  <c r="J29" i="7"/>
  <c r="N26" i="7"/>
  <c r="R21" i="7"/>
  <c r="J21" i="7"/>
  <c r="P18" i="7"/>
  <c r="R33" i="7"/>
  <c r="M36" i="7"/>
  <c r="Q29" i="7"/>
  <c r="I29" i="7"/>
  <c r="M26" i="7"/>
  <c r="Q21" i="7"/>
  <c r="I21" i="7"/>
  <c r="Q18" i="7"/>
  <c r="T36" i="7"/>
  <c r="L36" i="7"/>
  <c r="P29" i="7"/>
  <c r="T26" i="7"/>
  <c r="L26" i="7"/>
  <c r="P21" i="7"/>
  <c r="J18" i="7"/>
  <c r="R18" i="7"/>
  <c r="T14" i="7"/>
  <c r="R11" i="7"/>
  <c r="S36" i="7"/>
  <c r="K36" i="7"/>
  <c r="O29" i="7"/>
  <c r="S26" i="7"/>
  <c r="K26" i="7"/>
  <c r="O21" i="7"/>
  <c r="K18" i="7"/>
  <c r="S18" i="7"/>
  <c r="S14" i="7"/>
  <c r="T11" i="7"/>
  <c r="R36" i="7"/>
  <c r="J36" i="7"/>
  <c r="N29" i="7"/>
  <c r="R26" i="7"/>
  <c r="J26" i="7"/>
  <c r="N21" i="7"/>
  <c r="L18" i="7"/>
  <c r="T18" i="7"/>
  <c r="R14" i="7"/>
  <c r="Q36" i="7"/>
  <c r="I36" i="7"/>
  <c r="M29" i="7"/>
  <c r="I26" i="7"/>
  <c r="M21" i="7"/>
  <c r="M18" i="7"/>
  <c r="I18" i="7"/>
  <c r="P36" i="7"/>
  <c r="T29" i="7"/>
  <c r="L29" i="7"/>
  <c r="P26" i="7"/>
  <c r="T21" i="7"/>
  <c r="L21" i="7"/>
  <c r="N18" i="7"/>
  <c r="T33" i="7"/>
  <c r="U431" i="1" s="1"/>
  <c r="O36" i="7"/>
  <c r="S29" i="7"/>
  <c r="K29" i="7"/>
  <c r="O26" i="7"/>
  <c r="S21" i="7"/>
  <c r="K21" i="7"/>
  <c r="O18" i="7"/>
  <c r="S33" i="7"/>
  <c r="S11" i="7"/>
  <c r="AK6" i="6"/>
  <c r="AF108" i="40"/>
  <c r="AF77" i="40"/>
  <c r="AF43" i="40"/>
  <c r="AE43" i="40"/>
  <c r="AE108" i="40"/>
  <c r="AE77" i="40"/>
  <c r="P77" i="40"/>
  <c r="AG7" i="40"/>
  <c r="P108" i="40"/>
  <c r="P43" i="40"/>
  <c r="AE80" i="17"/>
  <c r="X108" i="40"/>
  <c r="X43" i="40"/>
  <c r="X77" i="40"/>
  <c r="V108" i="40"/>
  <c r="V43" i="40"/>
  <c r="V77" i="40"/>
  <c r="X7" i="40"/>
  <c r="AI7" i="40"/>
  <c r="T77" i="40"/>
  <c r="T43" i="40"/>
  <c r="T108" i="40"/>
  <c r="AD80" i="17"/>
  <c r="V7" i="40"/>
  <c r="AH7" i="40"/>
  <c r="R77" i="40"/>
  <c r="R108" i="40"/>
  <c r="R43" i="40"/>
  <c r="F4" i="17"/>
  <c r="F15" i="11"/>
  <c r="T7" i="40"/>
  <c r="R7" i="40"/>
  <c r="AE112" i="17"/>
  <c r="AE111" i="17"/>
  <c r="AE113" i="17"/>
  <c r="AD113" i="17"/>
  <c r="AD112" i="17"/>
  <c r="AD111" i="17"/>
  <c r="AD123" i="17"/>
  <c r="AD122" i="17"/>
  <c r="AD121" i="17"/>
  <c r="AE122" i="17"/>
  <c r="AE116" i="17"/>
  <c r="AE119" i="17"/>
  <c r="AE117" i="17"/>
  <c r="AE120" i="17"/>
  <c r="AE121" i="17"/>
  <c r="AE123" i="17"/>
  <c r="AE118" i="17"/>
  <c r="AD118" i="17"/>
  <c r="AD119" i="17"/>
  <c r="AD116" i="17"/>
  <c r="AD120" i="17"/>
  <c r="AD117" i="17"/>
  <c r="M4" i="7"/>
  <c r="N4" i="7"/>
  <c r="N33" i="7" s="1"/>
  <c r="O4" i="7"/>
  <c r="P4" i="7"/>
  <c r="Q4" i="7"/>
  <c r="R4" i="7"/>
  <c r="S4" i="7"/>
  <c r="T4" i="7"/>
  <c r="I4" i="7"/>
  <c r="J4" i="7"/>
  <c r="K4" i="7"/>
  <c r="K33" i="7" s="1"/>
  <c r="L4" i="7"/>
  <c r="L33" i="7" s="1"/>
  <c r="B4" i="7"/>
  <c r="C4" i="32"/>
  <c r="C5" i="32" s="1"/>
  <c r="C6" i="32" s="1"/>
  <c r="C7" i="32" s="1"/>
  <c r="C8" i="32" s="1"/>
  <c r="C9" i="32" s="1"/>
  <c r="C10" i="32" s="1"/>
  <c r="C11" i="32" s="1"/>
  <c r="C12" i="32" s="1"/>
  <c r="C13" i="32" s="1"/>
  <c r="C14" i="32" s="1"/>
  <c r="C15" i="32" s="1"/>
  <c r="C16" i="32" s="1"/>
  <c r="C17" i="32" s="1"/>
  <c r="C18" i="32" s="1"/>
  <c r="C19" i="32" s="1"/>
  <c r="C20" i="32" s="1"/>
  <c r="C21" i="32" s="1"/>
  <c r="C22" i="32" s="1"/>
  <c r="C23" i="32" s="1"/>
  <c r="C24" i="32" s="1"/>
  <c r="C25" i="32" s="1"/>
  <c r="C26" i="32" s="1"/>
  <c r="C27" i="32" s="1"/>
  <c r="C28" i="32" s="1"/>
  <c r="C29" i="32" s="1"/>
  <c r="C30" i="32" s="1"/>
  <c r="C31" i="32" s="1"/>
  <c r="C32" i="32" s="1"/>
  <c r="C33" i="32" s="1"/>
  <c r="C34" i="32" s="1"/>
  <c r="C35" i="32" s="1"/>
  <c r="C36" i="32" s="1"/>
  <c r="C37" i="32" s="1"/>
  <c r="C38" i="32" s="1"/>
  <c r="C39" i="32" s="1"/>
  <c r="C40" i="32" s="1"/>
  <c r="C41" i="32" s="1"/>
  <c r="C42" i="32" s="1"/>
  <c r="C43" i="32" s="1"/>
  <c r="C44" i="32" s="1"/>
  <c r="C45" i="32" s="1"/>
  <c r="C46" i="32" s="1"/>
  <c r="C47" i="32" s="1"/>
  <c r="C48" i="32" s="1"/>
  <c r="C49" i="32" s="1"/>
  <c r="C50" i="32" s="1"/>
  <c r="C51" i="32" s="1"/>
  <c r="C52" i="32" s="1"/>
  <c r="C53" i="32" s="1"/>
  <c r="C54" i="32" s="1"/>
  <c r="C55" i="32" s="1"/>
  <c r="B4" i="32"/>
  <c r="G122" i="17"/>
  <c r="F122" i="17"/>
  <c r="E122" i="17"/>
  <c r="EZ122" i="17" s="1"/>
  <c r="D122" i="17"/>
  <c r="JN122" i="17" s="1"/>
  <c r="C122" i="17"/>
  <c r="CP122" i="17" s="1"/>
  <c r="G121" i="17"/>
  <c r="F121" i="17"/>
  <c r="E121" i="17"/>
  <c r="HG121" i="17" s="1"/>
  <c r="D121" i="17"/>
  <c r="JN121" i="17" s="1"/>
  <c r="C121" i="17"/>
  <c r="LT121" i="17" s="1"/>
  <c r="G119" i="17"/>
  <c r="F119" i="17"/>
  <c r="E119" i="17"/>
  <c r="HG119" i="17" s="1"/>
  <c r="D119" i="17"/>
  <c r="JN119" i="17" s="1"/>
  <c r="C119" i="17"/>
  <c r="LT119" i="17" s="1"/>
  <c r="G117" i="17"/>
  <c r="F117" i="17"/>
  <c r="LW117" i="17" s="1"/>
  <c r="E117" i="17"/>
  <c r="HG117" i="17" s="1"/>
  <c r="D117" i="17"/>
  <c r="JN117" i="17" s="1"/>
  <c r="C117" i="17"/>
  <c r="LT117" i="17" s="1"/>
  <c r="HJ9" i="17"/>
  <c r="Q33" i="7" l="1"/>
  <c r="NV81" i="17"/>
  <c r="NS81" i="17"/>
  <c r="NU81" i="17"/>
  <c r="NR81" i="17"/>
  <c r="S4" i="17"/>
  <c r="NQ81" i="17"/>
  <c r="NY81" i="17"/>
  <c r="NX81" i="17"/>
  <c r="NW81" i="17"/>
  <c r="NT81" i="17"/>
  <c r="P33" i="7"/>
  <c r="O33" i="7"/>
  <c r="NT82" i="17"/>
  <c r="NS82" i="17"/>
  <c r="NR82" i="17"/>
  <c r="NY82" i="17"/>
  <c r="NQ82" i="17"/>
  <c r="NW82" i="17"/>
  <c r="NX82" i="17"/>
  <c r="NV82" i="17"/>
  <c r="NU82" i="17"/>
  <c r="Q4" i="17"/>
  <c r="P8" i="17" s="1"/>
  <c r="B5" i="32"/>
  <c r="B6" i="32" s="1"/>
  <c r="B7" i="32" s="1"/>
  <c r="B8" i="32" s="1"/>
  <c r="B9" i="32" s="1"/>
  <c r="B10" i="32" s="1"/>
  <c r="B11" i="32" s="1"/>
  <c r="B12" i="32" s="1"/>
  <c r="B13" i="32" s="1"/>
  <c r="B14" i="32" s="1"/>
  <c r="B15" i="32" s="1"/>
  <c r="B16" i="32" s="1"/>
  <c r="B17" i="32" s="1"/>
  <c r="B18" i="32" s="1"/>
  <c r="B19" i="32" s="1"/>
  <c r="B20" i="32" s="1"/>
  <c r="B21" i="32" s="1"/>
  <c r="B22" i="32" s="1"/>
  <c r="B23" i="32" s="1"/>
  <c r="B24" i="32" s="1"/>
  <c r="B25" i="32" s="1"/>
  <c r="B26" i="32" s="1"/>
  <c r="B27" i="32" s="1"/>
  <c r="B28" i="32" s="1"/>
  <c r="B29" i="32" s="1"/>
  <c r="B30" i="32" s="1"/>
  <c r="B31" i="32" s="1"/>
  <c r="B32" i="32" s="1"/>
  <c r="B33" i="32" s="1"/>
  <c r="B34" i="32" s="1"/>
  <c r="B35" i="32" s="1"/>
  <c r="B36" i="32" s="1"/>
  <c r="B37" i="32" s="1"/>
  <c r="B38" i="32" s="1"/>
  <c r="B39" i="32" s="1"/>
  <c r="B40" i="32" s="1"/>
  <c r="B41" i="32" s="1"/>
  <c r="B42" i="32" s="1"/>
  <c r="B43" i="32" s="1"/>
  <c r="B44" i="32" s="1"/>
  <c r="B45" i="32" s="1"/>
  <c r="B46" i="32" s="1"/>
  <c r="B47" i="32" s="1"/>
  <c r="B48" i="32" s="1"/>
  <c r="B49" i="32" s="1"/>
  <c r="B50" i="32" s="1"/>
  <c r="B51" i="32" s="1"/>
  <c r="B52" i="32" s="1"/>
  <c r="B53" i="32" s="1"/>
  <c r="B54" i="32" s="1"/>
  <c r="B55" i="32" s="1"/>
  <c r="U22" i="11"/>
  <c r="U19" i="11"/>
  <c r="V22" i="11"/>
  <c r="V19" i="11"/>
  <c r="W22" i="11"/>
  <c r="W19" i="11"/>
  <c r="X22" i="11"/>
  <c r="X19" i="11"/>
  <c r="Q22" i="11"/>
  <c r="Q19" i="11"/>
  <c r="R22" i="11"/>
  <c r="R19" i="11"/>
  <c r="S22" i="11"/>
  <c r="T22" i="11"/>
  <c r="S19" i="11"/>
  <c r="T19" i="11"/>
  <c r="M24" i="11"/>
  <c r="M27" i="11"/>
  <c r="X21" i="11"/>
  <c r="W21" i="11"/>
  <c r="U21" i="11"/>
  <c r="V21" i="11"/>
  <c r="I33" i="7"/>
  <c r="U23" i="1" s="1"/>
  <c r="M33" i="7"/>
  <c r="J33" i="7"/>
  <c r="U111" i="1" s="1"/>
  <c r="AL6" i="6"/>
  <c r="AA4" i="17"/>
  <c r="AA8" i="17" s="1"/>
  <c r="M4" i="17"/>
  <c r="M8" i="17" s="1"/>
  <c r="AG77" i="40"/>
  <c r="AG108" i="40"/>
  <c r="AG43" i="40"/>
  <c r="AI77" i="40"/>
  <c r="AI43" i="40"/>
  <c r="AI108" i="40"/>
  <c r="AH43" i="40"/>
  <c r="AH108" i="40"/>
  <c r="AH77" i="40"/>
  <c r="NS80" i="17"/>
  <c r="NR80" i="17"/>
  <c r="NY80" i="17"/>
  <c r="NQ80" i="17"/>
  <c r="NX80" i="17"/>
  <c r="NW80" i="17"/>
  <c r="NV80" i="17"/>
  <c r="NU80" i="17"/>
  <c r="NT80" i="17"/>
  <c r="S15" i="11"/>
  <c r="W15" i="11"/>
  <c r="T15" i="11"/>
  <c r="X15" i="11"/>
  <c r="B16" i="11"/>
  <c r="U15" i="11"/>
  <c r="V15" i="11"/>
  <c r="Q15" i="11"/>
  <c r="R15" i="11"/>
  <c r="U119" i="1"/>
  <c r="U127" i="1"/>
  <c r="AF111" i="17"/>
  <c r="AC111" i="17" s="1"/>
  <c r="AF113" i="17"/>
  <c r="AC113" i="17" s="1"/>
  <c r="AF112" i="17"/>
  <c r="AC112" i="17" s="1"/>
  <c r="HE122" i="17"/>
  <c r="CS119" i="17"/>
  <c r="CS117" i="17"/>
  <c r="AL122" i="17"/>
  <c r="CS121" i="17"/>
  <c r="JM122" i="17"/>
  <c r="LV119" i="17"/>
  <c r="LT122" i="17"/>
  <c r="EX119" i="17"/>
  <c r="AK122" i="17"/>
  <c r="HG122" i="17"/>
  <c r="HH122" i="17"/>
  <c r="JO122" i="17"/>
  <c r="LU122" i="17"/>
  <c r="EX122" i="17"/>
  <c r="JP122" i="17"/>
  <c r="LV122" i="17"/>
  <c r="CS122" i="17"/>
  <c r="EY122" i="17"/>
  <c r="LW122" i="17"/>
  <c r="HF122" i="17"/>
  <c r="AJ122" i="17"/>
  <c r="CQ122" i="17"/>
  <c r="CR122" i="17"/>
  <c r="AI122" i="17"/>
  <c r="FA122" i="17"/>
  <c r="FA119" i="17"/>
  <c r="EY121" i="17"/>
  <c r="EY117" i="17"/>
  <c r="HH119" i="17"/>
  <c r="HH121" i="17"/>
  <c r="HH117" i="17"/>
  <c r="JO119" i="17"/>
  <c r="JO121" i="17"/>
  <c r="JO117" i="17"/>
  <c r="JP119" i="17"/>
  <c r="LU121" i="17"/>
  <c r="LU117" i="17"/>
  <c r="LU119" i="17"/>
  <c r="LW121" i="17"/>
  <c r="EX121" i="17"/>
  <c r="JP121" i="17"/>
  <c r="LV121" i="17"/>
  <c r="EZ121" i="17"/>
  <c r="AI121" i="17"/>
  <c r="CP121" i="17"/>
  <c r="FA121" i="17"/>
  <c r="AJ121" i="17"/>
  <c r="CQ121" i="17"/>
  <c r="HE121" i="17"/>
  <c r="AK121" i="17"/>
  <c r="CR121" i="17"/>
  <c r="HF121" i="17"/>
  <c r="JM121" i="17"/>
  <c r="AL121" i="17"/>
  <c r="EY119" i="17"/>
  <c r="LW119" i="17"/>
  <c r="EZ119" i="17"/>
  <c r="CP119" i="17"/>
  <c r="AJ119" i="17"/>
  <c r="CQ119" i="17"/>
  <c r="HE119" i="17"/>
  <c r="AI119" i="17"/>
  <c r="AK119" i="17"/>
  <c r="CR119" i="17"/>
  <c r="HF119" i="17"/>
  <c r="JM119" i="17"/>
  <c r="AL119" i="17"/>
  <c r="EX117" i="17"/>
  <c r="JP117" i="17"/>
  <c r="LV117" i="17"/>
  <c r="EZ117" i="17"/>
  <c r="AI117" i="17"/>
  <c r="CP117" i="17"/>
  <c r="FA117" i="17"/>
  <c r="AJ117" i="17"/>
  <c r="CQ117" i="17"/>
  <c r="HE117" i="17"/>
  <c r="AK117" i="17"/>
  <c r="CR117" i="17"/>
  <c r="HF117" i="17"/>
  <c r="JM117" i="17"/>
  <c r="AL117" i="17"/>
  <c r="C69" i="17"/>
  <c r="A1" i="40" l="1"/>
  <c r="Q8" i="17"/>
  <c r="S8" i="17" s="1"/>
  <c r="U55" i="1"/>
  <c r="U47" i="1"/>
  <c r="U71" i="1"/>
  <c r="U79" i="1"/>
  <c r="U39" i="1"/>
  <c r="U31" i="1"/>
  <c r="U63" i="1"/>
  <c r="U103" i="1"/>
  <c r="U95" i="1"/>
  <c r="U87" i="1"/>
  <c r="X8" i="17"/>
  <c r="S46" i="1"/>
  <c r="S62" i="1"/>
  <c r="S30" i="1"/>
  <c r="S38" i="1"/>
  <c r="S78" i="1"/>
  <c r="S54" i="1"/>
  <c r="S22" i="1"/>
  <c r="S70" i="1"/>
  <c r="Y8" i="17"/>
  <c r="S31" i="1"/>
  <c r="S63" i="1"/>
  <c r="S39" i="1"/>
  <c r="S79" i="1"/>
  <c r="S71" i="1"/>
  <c r="S55" i="1"/>
  <c r="S47" i="1"/>
  <c r="S23" i="1"/>
  <c r="Z8" i="17"/>
  <c r="AM6" i="6"/>
  <c r="J8" i="17"/>
  <c r="K8" i="17"/>
  <c r="L8" i="17"/>
  <c r="R8" i="17"/>
  <c r="R4" i="17"/>
  <c r="LY122" i="17"/>
  <c r="LY121" i="17"/>
  <c r="LY119" i="17"/>
  <c r="T8" i="17" l="1"/>
  <c r="AN6" i="6"/>
  <c r="AO6" i="6" l="1"/>
  <c r="AP6" i="6" l="1"/>
  <c r="AQ6" i="6" l="1"/>
  <c r="AR6" i="6" l="1"/>
  <c r="AS6" i="6" l="1"/>
  <c r="AT6" i="6" l="1"/>
  <c r="AU6" i="6" l="1"/>
  <c r="AV6" i="6" l="1"/>
  <c r="AW6" i="6" l="1"/>
  <c r="AX6" i="6" l="1"/>
  <c r="AY6" i="6" l="1"/>
  <c r="AZ6" i="6" l="1"/>
  <c r="BA6" i="6" l="1"/>
  <c r="BB6" i="6" l="1"/>
  <c r="BC6" i="6" l="1"/>
  <c r="BD6" i="6" l="1"/>
  <c r="BE6" i="6" l="1"/>
  <c r="BF6" i="6" l="1"/>
  <c r="BG6" i="6" l="1"/>
  <c r="BH6" i="6" l="1"/>
  <c r="BI6" i="6" l="1"/>
  <c r="BJ6" i="6" l="1"/>
  <c r="BK6" i="6" l="1"/>
  <c r="BL6" i="6" l="1"/>
  <c r="BM6" i="6" l="1"/>
  <c r="D3" i="17" l="1"/>
  <c r="NO32" i="17" s="1"/>
  <c r="M2" i="17"/>
  <c r="V431" i="1"/>
  <c r="V430" i="1"/>
  <c r="U430" i="1"/>
  <c r="V428" i="1"/>
  <c r="U428" i="1"/>
  <c r="U427" i="1"/>
  <c r="V427" i="1"/>
  <c r="J9" i="7"/>
  <c r="J11" i="7" s="1"/>
  <c r="K9" i="7"/>
  <c r="K11" i="7" s="1"/>
  <c r="L9" i="7"/>
  <c r="L11" i="7" s="1"/>
  <c r="M9" i="7"/>
  <c r="M11" i="7" s="1"/>
  <c r="N9" i="7"/>
  <c r="N11" i="7" s="1"/>
  <c r="O9" i="7"/>
  <c r="O11" i="7" s="1"/>
  <c r="P9" i="7"/>
  <c r="P11" i="7" s="1"/>
  <c r="Q9" i="7"/>
  <c r="Q11" i="7" s="1"/>
  <c r="R9" i="7"/>
  <c r="S9" i="7"/>
  <c r="T9" i="7"/>
  <c r="I9" i="7"/>
  <c r="I11" i="7" s="1"/>
  <c r="J12" i="7"/>
  <c r="J14" i="7" s="1"/>
  <c r="K12" i="7"/>
  <c r="K14" i="7" s="1"/>
  <c r="L12" i="7"/>
  <c r="L14" i="7" s="1"/>
  <c r="M12" i="7"/>
  <c r="M14" i="7" s="1"/>
  <c r="N12" i="7"/>
  <c r="N14" i="7" s="1"/>
  <c r="O12" i="7"/>
  <c r="O14" i="7" s="1"/>
  <c r="P12" i="7"/>
  <c r="P14" i="7" s="1"/>
  <c r="Q12" i="7"/>
  <c r="Q14" i="7" s="1"/>
  <c r="R12" i="7"/>
  <c r="S12" i="7"/>
  <c r="T12" i="7"/>
  <c r="I12" i="7"/>
  <c r="I14" i="7" s="1"/>
  <c r="NP20" i="17"/>
  <c r="NP77" i="17"/>
  <c r="NS70" i="17"/>
  <c r="NU72" i="17"/>
  <c r="NW73" i="17"/>
  <c r="NU86" i="17"/>
  <c r="NV86" i="17"/>
  <c r="NY86" i="17"/>
  <c r="NW91" i="17"/>
  <c r="NY92" i="17"/>
  <c r="NS94" i="17"/>
  <c r="NX94" i="17"/>
  <c r="CC11" i="17"/>
  <c r="CG12" i="17"/>
  <c r="CH13" i="17"/>
  <c r="CI13" i="17"/>
  <c r="CH97" i="17"/>
  <c r="CI97" i="17"/>
  <c r="CM97" i="17"/>
  <c r="CG99" i="17"/>
  <c r="CJ99" i="17"/>
  <c r="CK99" i="17"/>
  <c r="CE103" i="17"/>
  <c r="CD104" i="17"/>
  <c r="CF105" i="17"/>
  <c r="CK105" i="17"/>
  <c r="CE106" i="17"/>
  <c r="CJ24" i="17"/>
  <c r="CC25" i="17"/>
  <c r="CH25" i="17"/>
  <c r="CK25" i="17"/>
  <c r="CM27" i="17"/>
  <c r="CI28" i="17"/>
  <c r="CM28" i="17"/>
  <c r="CE52" i="17"/>
  <c r="CH52" i="17"/>
  <c r="CL52" i="17"/>
  <c r="CH53" i="17"/>
  <c r="CK53" i="17"/>
  <c r="CL53" i="17"/>
  <c r="CF54" i="17"/>
  <c r="CE55" i="17"/>
  <c r="CF55" i="17"/>
  <c r="CI55" i="17"/>
  <c r="CD58" i="17"/>
  <c r="CH58" i="17"/>
  <c r="CD59" i="17"/>
  <c r="CG59" i="17"/>
  <c r="CH59" i="17"/>
  <c r="CK59" i="17"/>
  <c r="CK60" i="17"/>
  <c r="CE61" i="17"/>
  <c r="CJ61" i="17"/>
  <c r="CG64" i="17"/>
  <c r="CH64" i="17"/>
  <c r="CI64" i="17"/>
  <c r="CJ64" i="17"/>
  <c r="CL64" i="17"/>
  <c r="CD65" i="17"/>
  <c r="CE65" i="17"/>
  <c r="CF65" i="17"/>
  <c r="CG65" i="17"/>
  <c r="CK65" i="17"/>
  <c r="CE66" i="17"/>
  <c r="CF66" i="17"/>
  <c r="CG66" i="17"/>
  <c r="CI66" i="17"/>
  <c r="CC67" i="17"/>
  <c r="CD67" i="17"/>
  <c r="CE67" i="17"/>
  <c r="CI67" i="17"/>
  <c r="CL67" i="17"/>
  <c r="CM67" i="17"/>
  <c r="CC109" i="17"/>
  <c r="CD109" i="17"/>
  <c r="CF109" i="17"/>
  <c r="CK109" i="17"/>
  <c r="CL109" i="17"/>
  <c r="CM109" i="17"/>
  <c r="CC31" i="17"/>
  <c r="CE31" i="17"/>
  <c r="CJ31" i="17"/>
  <c r="CK31" i="17"/>
  <c r="CL31" i="17"/>
  <c r="CM31" i="17"/>
  <c r="CF32" i="17"/>
  <c r="CI32" i="17"/>
  <c r="CJ32" i="17"/>
  <c r="CM32" i="17"/>
  <c r="CC33" i="17"/>
  <c r="CE33" i="17"/>
  <c r="CJ33" i="17"/>
  <c r="CK33" i="17"/>
  <c r="CL33" i="17"/>
  <c r="CM33" i="17"/>
  <c r="CE34" i="17"/>
  <c r="CH34" i="17"/>
  <c r="CI34" i="17"/>
  <c r="CJ34" i="17"/>
  <c r="CM34" i="17"/>
  <c r="CC35" i="17"/>
  <c r="CH35" i="17"/>
  <c r="CI35" i="17"/>
  <c r="CJ35" i="17"/>
  <c r="CK35" i="17"/>
  <c r="CL35" i="17"/>
  <c r="CM35" i="17"/>
  <c r="CC38" i="17"/>
  <c r="CD38" i="17"/>
  <c r="CE38" i="17"/>
  <c r="CF38" i="17"/>
  <c r="CG38" i="17"/>
  <c r="CH38" i="17"/>
  <c r="CK38" i="17"/>
  <c r="CL38" i="17"/>
  <c r="CM38" i="17"/>
  <c r="CC39" i="17"/>
  <c r="CF39" i="17"/>
  <c r="CG39" i="17"/>
  <c r="CH39" i="17"/>
  <c r="CI39" i="17"/>
  <c r="CJ39" i="17"/>
  <c r="CK39" i="17"/>
  <c r="CC40" i="17"/>
  <c r="CD40" i="17"/>
  <c r="CE40" i="17"/>
  <c r="CF40" i="17"/>
  <c r="CI40" i="17"/>
  <c r="CJ40" i="17"/>
  <c r="CK40" i="17"/>
  <c r="CL40" i="17"/>
  <c r="CM40" i="17"/>
  <c r="CD41" i="17"/>
  <c r="CE41" i="17"/>
  <c r="CF41" i="17"/>
  <c r="CG41" i="17"/>
  <c r="CH41" i="17"/>
  <c r="CI41" i="17"/>
  <c r="CL41" i="17"/>
  <c r="CM41" i="17"/>
  <c r="CC42" i="17"/>
  <c r="CD42" i="17"/>
  <c r="CG42" i="17"/>
  <c r="CH42" i="17"/>
  <c r="CI42" i="17"/>
  <c r="CJ42" i="17"/>
  <c r="CK42" i="17"/>
  <c r="CL42" i="17"/>
  <c r="CC45" i="17"/>
  <c r="CD45" i="17"/>
  <c r="CE45" i="17"/>
  <c r="CF45" i="17"/>
  <c r="CG45" i="17"/>
  <c r="CJ45" i="17"/>
  <c r="CK45" i="17"/>
  <c r="CL45" i="17"/>
  <c r="CM45" i="17"/>
  <c r="CE46" i="17"/>
  <c r="CF46" i="17"/>
  <c r="CG46" i="17"/>
  <c r="CH46" i="17"/>
  <c r="CI46" i="17"/>
  <c r="CJ46" i="17"/>
  <c r="CM46" i="17"/>
  <c r="CC47" i="17"/>
  <c r="CD47" i="17"/>
  <c r="CE47" i="17"/>
  <c r="CH47" i="17"/>
  <c r="CI47" i="17"/>
  <c r="CJ47" i="17"/>
  <c r="CK47" i="17"/>
  <c r="CL47" i="17"/>
  <c r="CM47" i="17"/>
  <c r="CC48" i="17"/>
  <c r="CD48" i="17"/>
  <c r="CE48" i="17"/>
  <c r="CF48" i="17"/>
  <c r="CG48" i="17"/>
  <c r="CH48" i="17"/>
  <c r="CK48" i="17"/>
  <c r="CL48" i="17"/>
  <c r="CM48" i="17"/>
  <c r="CC49" i="17"/>
  <c r="CF49" i="17"/>
  <c r="CG49" i="17"/>
  <c r="CH49" i="17"/>
  <c r="CI49" i="17"/>
  <c r="CJ49" i="17"/>
  <c r="CK49" i="17"/>
  <c r="CC18" i="17"/>
  <c r="CD18" i="17"/>
  <c r="CE18" i="17"/>
  <c r="CF18" i="17"/>
  <c r="CG18" i="17"/>
  <c r="CH18" i="17"/>
  <c r="CK18" i="17"/>
  <c r="CL18" i="17"/>
  <c r="CM18" i="17"/>
  <c r="CC19" i="17"/>
  <c r="CD19" i="17"/>
  <c r="CE19" i="17"/>
  <c r="CH19" i="17"/>
  <c r="CI19" i="17"/>
  <c r="CJ19" i="17"/>
  <c r="CK19" i="17"/>
  <c r="CL19" i="17"/>
  <c r="CM19" i="17"/>
  <c r="CE20" i="17"/>
  <c r="CF20" i="17"/>
  <c r="CG20" i="17"/>
  <c r="CH20" i="17"/>
  <c r="CI20" i="17"/>
  <c r="CJ20" i="17"/>
  <c r="CM20" i="17"/>
  <c r="CC21" i="17"/>
  <c r="CD21" i="17"/>
  <c r="CE21" i="17"/>
  <c r="CF21" i="17"/>
  <c r="CG21" i="17"/>
  <c r="CJ21" i="17"/>
  <c r="CK21" i="17"/>
  <c r="CL21" i="17"/>
  <c r="CM21" i="17"/>
  <c r="CE70" i="17"/>
  <c r="CF70" i="17"/>
  <c r="CG70" i="17"/>
  <c r="CH70" i="17"/>
  <c r="CI70" i="17"/>
  <c r="CJ70" i="17"/>
  <c r="CM70" i="17"/>
  <c r="CC71" i="17"/>
  <c r="CD71" i="17"/>
  <c r="CE71" i="17"/>
  <c r="CF71" i="17"/>
  <c r="CG71" i="17"/>
  <c r="CH71" i="17"/>
  <c r="CI71" i="17"/>
  <c r="CJ71" i="17"/>
  <c r="CK71" i="17"/>
  <c r="CL71" i="17"/>
  <c r="CM71" i="17"/>
  <c r="CC72" i="17"/>
  <c r="CD72" i="17"/>
  <c r="CE72" i="17"/>
  <c r="CF72" i="17"/>
  <c r="CG72" i="17"/>
  <c r="CH72" i="17"/>
  <c r="CI72" i="17"/>
  <c r="CJ72" i="17"/>
  <c r="CK72" i="17"/>
  <c r="CL72" i="17"/>
  <c r="CM72" i="17"/>
  <c r="CC73" i="17"/>
  <c r="CD73" i="17"/>
  <c r="CE73" i="17"/>
  <c r="CF73" i="17"/>
  <c r="CG73" i="17"/>
  <c r="CH73" i="17"/>
  <c r="CI73" i="17"/>
  <c r="CJ73" i="17"/>
  <c r="CK73" i="17"/>
  <c r="CL73" i="17"/>
  <c r="CM73" i="17"/>
  <c r="CC85" i="17"/>
  <c r="CD85" i="17"/>
  <c r="CE85" i="17"/>
  <c r="CF85" i="17"/>
  <c r="CG85" i="17"/>
  <c r="CH85" i="17"/>
  <c r="CI85" i="17"/>
  <c r="CJ85" i="17"/>
  <c r="CK85" i="17"/>
  <c r="CL85" i="17"/>
  <c r="CM85" i="17"/>
  <c r="CC86" i="17"/>
  <c r="CD86" i="17"/>
  <c r="CE86" i="17"/>
  <c r="CF86" i="17"/>
  <c r="CG86" i="17"/>
  <c r="CH86" i="17"/>
  <c r="CI86" i="17"/>
  <c r="CJ86" i="17"/>
  <c r="CK86" i="17"/>
  <c r="CL86" i="17"/>
  <c r="CM86" i="17"/>
  <c r="CC87" i="17"/>
  <c r="CD87" i="17"/>
  <c r="CE87" i="17"/>
  <c r="CF87" i="17"/>
  <c r="CG87" i="17"/>
  <c r="CH87" i="17"/>
  <c r="CI87" i="17"/>
  <c r="CJ87" i="17"/>
  <c r="CK87" i="17"/>
  <c r="CL87" i="17"/>
  <c r="CM87" i="17"/>
  <c r="CC88" i="17"/>
  <c r="CD88" i="17"/>
  <c r="CE88" i="17"/>
  <c r="CF88" i="17"/>
  <c r="CG88" i="17"/>
  <c r="CH88" i="17"/>
  <c r="CI88" i="17"/>
  <c r="CJ88" i="17"/>
  <c r="CK88" i="17"/>
  <c r="CL88" i="17"/>
  <c r="CM88" i="17"/>
  <c r="CC91" i="17"/>
  <c r="CD91" i="17"/>
  <c r="CE91" i="17"/>
  <c r="CF91" i="17"/>
  <c r="CG91" i="17"/>
  <c r="CH91" i="17"/>
  <c r="CI91" i="17"/>
  <c r="CJ91" i="17"/>
  <c r="CK91" i="17"/>
  <c r="CL91" i="17"/>
  <c r="CM91" i="17"/>
  <c r="CC92" i="17"/>
  <c r="CD92" i="17"/>
  <c r="CE92" i="17"/>
  <c r="CF92" i="17"/>
  <c r="CG92" i="17"/>
  <c r="CH92" i="17"/>
  <c r="CI92" i="17"/>
  <c r="CJ92" i="17"/>
  <c r="CK92" i="17"/>
  <c r="CL92" i="17"/>
  <c r="CM92" i="17"/>
  <c r="CC93" i="17"/>
  <c r="CD93" i="17"/>
  <c r="CE93" i="17"/>
  <c r="CF93" i="17"/>
  <c r="CG93" i="17"/>
  <c r="CH93" i="17"/>
  <c r="CI93" i="17"/>
  <c r="CJ93" i="17"/>
  <c r="CK93" i="17"/>
  <c r="CL93" i="17"/>
  <c r="CM93" i="17"/>
  <c r="CC94" i="17"/>
  <c r="CD94" i="17"/>
  <c r="CE94" i="17"/>
  <c r="CF94" i="17"/>
  <c r="CG94" i="17"/>
  <c r="CH94" i="17"/>
  <c r="CI94" i="17"/>
  <c r="CJ94" i="17"/>
  <c r="CK94" i="17"/>
  <c r="CL94" i="17"/>
  <c r="CM94" i="17"/>
  <c r="GZ11" i="17"/>
  <c r="GZ12" i="17"/>
  <c r="GZ13" i="17"/>
  <c r="GZ97" i="17"/>
  <c r="GZ98" i="17"/>
  <c r="GZ99" i="17"/>
  <c r="GZ100" i="17"/>
  <c r="GZ103" i="17"/>
  <c r="GZ104" i="17"/>
  <c r="GZ105" i="17"/>
  <c r="GZ106" i="17"/>
  <c r="GZ24" i="17"/>
  <c r="GZ25" i="17"/>
  <c r="GZ27" i="17"/>
  <c r="GZ28" i="17"/>
  <c r="GZ52" i="17"/>
  <c r="GZ53" i="17"/>
  <c r="GZ54" i="17"/>
  <c r="GZ55" i="17"/>
  <c r="GZ58" i="17"/>
  <c r="GZ59" i="17"/>
  <c r="GZ60" i="17"/>
  <c r="GZ61" i="17"/>
  <c r="GZ64" i="17"/>
  <c r="GZ65" i="17"/>
  <c r="GZ66" i="17"/>
  <c r="GZ67" i="17"/>
  <c r="GZ109" i="17"/>
  <c r="GZ31" i="17"/>
  <c r="GZ32" i="17"/>
  <c r="GZ33" i="17"/>
  <c r="GZ34" i="17"/>
  <c r="GZ35" i="17"/>
  <c r="GZ38" i="17"/>
  <c r="GZ39" i="17"/>
  <c r="GZ40" i="17"/>
  <c r="GZ41" i="17"/>
  <c r="GZ42" i="17"/>
  <c r="GZ45" i="17"/>
  <c r="GZ46" i="17"/>
  <c r="GZ47" i="17"/>
  <c r="GZ48" i="17"/>
  <c r="GZ49" i="17"/>
  <c r="GZ18" i="17"/>
  <c r="GZ19" i="17"/>
  <c r="GZ20" i="17"/>
  <c r="GZ21" i="17"/>
  <c r="GZ70" i="17"/>
  <c r="GZ71" i="17"/>
  <c r="GZ72" i="17"/>
  <c r="GZ73" i="17"/>
  <c r="GZ85" i="17"/>
  <c r="GZ86" i="17"/>
  <c r="GZ87" i="17"/>
  <c r="GZ88" i="17"/>
  <c r="GZ91" i="17"/>
  <c r="GZ92" i="17"/>
  <c r="GZ93" i="17"/>
  <c r="GZ94" i="17"/>
  <c r="FZ127" i="17"/>
  <c r="FY127" i="17"/>
  <c r="C84" i="17"/>
  <c r="HB49" i="17"/>
  <c r="HA49" i="17"/>
  <c r="GY49" i="17"/>
  <c r="GX49" i="17"/>
  <c r="GW49" i="17"/>
  <c r="GV49" i="17"/>
  <c r="GU49" i="17"/>
  <c r="GT49" i="17"/>
  <c r="GS49" i="17"/>
  <c r="HC49" i="17"/>
  <c r="HC42" i="17"/>
  <c r="HB42" i="17"/>
  <c r="HA42" i="17"/>
  <c r="GY42" i="17"/>
  <c r="GX42" i="17"/>
  <c r="GW42" i="17"/>
  <c r="GV42" i="17"/>
  <c r="GU42" i="17"/>
  <c r="GT42" i="17"/>
  <c r="GS42" i="17"/>
  <c r="HB35" i="17"/>
  <c r="HA35" i="17"/>
  <c r="GY35" i="17"/>
  <c r="GX35" i="17"/>
  <c r="GW35" i="17"/>
  <c r="GV35" i="17"/>
  <c r="GU35" i="17"/>
  <c r="GT35" i="17"/>
  <c r="GS35" i="17"/>
  <c r="HC35" i="17"/>
  <c r="HC58" i="17"/>
  <c r="HB58" i="17"/>
  <c r="HA58" i="17"/>
  <c r="GY58" i="17"/>
  <c r="GX58" i="17"/>
  <c r="GW58" i="17"/>
  <c r="GV58" i="17"/>
  <c r="GU58" i="17"/>
  <c r="GT58" i="17"/>
  <c r="GS58" i="17"/>
  <c r="E3" i="14"/>
  <c r="E3" i="12"/>
  <c r="E3" i="13"/>
  <c r="R2" i="17"/>
  <c r="M7" i="17"/>
  <c r="NT20" i="17" l="1"/>
  <c r="NX88" i="17"/>
  <c r="NS73" i="17"/>
  <c r="NU19" i="17"/>
  <c r="NW88" i="17"/>
  <c r="NP73" i="17"/>
  <c r="NP48" i="17"/>
  <c r="NY87" i="17"/>
  <c r="NX72" i="17"/>
  <c r="NS39" i="17"/>
  <c r="CE35" i="17"/>
  <c r="CG34" i="17"/>
  <c r="CG33" i="17"/>
  <c r="CH32" i="17"/>
  <c r="CI31" i="17"/>
  <c r="CH109" i="17"/>
  <c r="CK67" i="17"/>
  <c r="CM66" i="17"/>
  <c r="CM65" i="17"/>
  <c r="CC65" i="17"/>
  <c r="CD64" i="17"/>
  <c r="CJ60" i="17"/>
  <c r="CL58" i="17"/>
  <c r="CC53" i="17"/>
  <c r="CF28" i="17"/>
  <c r="CG24" i="17"/>
  <c r="CM103" i="17"/>
  <c r="CL98" i="17"/>
  <c r="CL12" i="17"/>
  <c r="NO94" i="17"/>
  <c r="NT88" i="17"/>
  <c r="NW85" i="17"/>
  <c r="NX48" i="17"/>
  <c r="CD35" i="17"/>
  <c r="CF34" i="17"/>
  <c r="CF33" i="17"/>
  <c r="CG32" i="17"/>
  <c r="CH31" i="17"/>
  <c r="CG109" i="17"/>
  <c r="CJ67" i="17"/>
  <c r="CJ66" i="17"/>
  <c r="CL65" i="17"/>
  <c r="CC64" i="17"/>
  <c r="CG60" i="17"/>
  <c r="CI58" i="17"/>
  <c r="CK54" i="17"/>
  <c r="CM52" i="17"/>
  <c r="CE28" i="17"/>
  <c r="CF24" i="17"/>
  <c r="CL103" i="17"/>
  <c r="CG98" i="17"/>
  <c r="CH12" i="17"/>
  <c r="NY93" i="17"/>
  <c r="NO88" i="17"/>
  <c r="NV85" i="17"/>
  <c r="NW70" i="17"/>
  <c r="NT48" i="17"/>
  <c r="CD33" i="17"/>
  <c r="CE32" i="17"/>
  <c r="CD31" i="17"/>
  <c r="CE109" i="17"/>
  <c r="CH67" i="17"/>
  <c r="CH66" i="17"/>
  <c r="CJ65" i="17"/>
  <c r="CK64" i="17"/>
  <c r="CM61" i="17"/>
  <c r="CL59" i="17"/>
  <c r="CE58" i="17"/>
  <c r="CC54" i="17"/>
  <c r="CI52" i="17"/>
  <c r="CH27" i="17"/>
  <c r="CM100" i="17"/>
  <c r="CL97" i="17"/>
  <c r="CD12" i="17"/>
  <c r="NR92" i="17"/>
  <c r="NX87" i="17"/>
  <c r="NT73" i="17"/>
  <c r="NX77" i="17"/>
  <c r="NQ47" i="17"/>
  <c r="CL70" i="17"/>
  <c r="CD70" i="17"/>
  <c r="CI21" i="17"/>
  <c r="CL20" i="17"/>
  <c r="CD20" i="17"/>
  <c r="CG19" i="17"/>
  <c r="CJ18" i="17"/>
  <c r="CM49" i="17"/>
  <c r="CE49" i="17"/>
  <c r="CJ48" i="17"/>
  <c r="CG47" i="17"/>
  <c r="CL46" i="17"/>
  <c r="CD46" i="17"/>
  <c r="CI45" i="17"/>
  <c r="CF42" i="17"/>
  <c r="CK41" i="17"/>
  <c r="CC41" i="17"/>
  <c r="CH40" i="17"/>
  <c r="CM39" i="17"/>
  <c r="CE39" i="17"/>
  <c r="CJ38" i="17"/>
  <c r="CG35" i="17"/>
  <c r="CL34" i="17"/>
  <c r="CD34" i="17"/>
  <c r="CI33" i="17"/>
  <c r="CL32" i="17"/>
  <c r="CD32" i="17"/>
  <c r="CG31" i="17"/>
  <c r="CJ109" i="17"/>
  <c r="CG67" i="17"/>
  <c r="CL66" i="17"/>
  <c r="CD66" i="17"/>
  <c r="CI65" i="17"/>
  <c r="CF64" i="17"/>
  <c r="CI61" i="17"/>
  <c r="CF60" i="17"/>
  <c r="CC59" i="17"/>
  <c r="CM55" i="17"/>
  <c r="CJ54" i="17"/>
  <c r="CG53" i="17"/>
  <c r="CD52" i="17"/>
  <c r="CD27" i="17"/>
  <c r="CC24" i="17"/>
  <c r="CL104" i="17"/>
  <c r="CJ100" i="17"/>
  <c r="CK98" i="17"/>
  <c r="CM13" i="17"/>
  <c r="CC12" i="17"/>
  <c r="NT93" i="17"/>
  <c r="NV91" i="17"/>
  <c r="NU87" i="17"/>
  <c r="NS85" i="17"/>
  <c r="NT72" i="17"/>
  <c r="NV76" i="17"/>
  <c r="NV18" i="17"/>
  <c r="NU46" i="17"/>
  <c r="CK70" i="17"/>
  <c r="CC70" i="17"/>
  <c r="CH21" i="17"/>
  <c r="CK20" i="17"/>
  <c r="CC20" i="17"/>
  <c r="CF19" i="17"/>
  <c r="CI18" i="17"/>
  <c r="CL49" i="17"/>
  <c r="CD49" i="17"/>
  <c r="CI48" i="17"/>
  <c r="CF47" i="17"/>
  <c r="CK46" i="17"/>
  <c r="CC46" i="17"/>
  <c r="CH45" i="17"/>
  <c r="CM42" i="17"/>
  <c r="CE42" i="17"/>
  <c r="CJ41" i="17"/>
  <c r="CG40" i="17"/>
  <c r="CL39" i="17"/>
  <c r="CD39" i="17"/>
  <c r="CI38" i="17"/>
  <c r="CF35" i="17"/>
  <c r="CK34" i="17"/>
  <c r="CC34" i="17"/>
  <c r="CH33" i="17"/>
  <c r="CK32" i="17"/>
  <c r="CC32" i="17"/>
  <c r="CF31" i="17"/>
  <c r="CI109" i="17"/>
  <c r="CF67" i="17"/>
  <c r="CK66" i="17"/>
  <c r="CC66" i="17"/>
  <c r="CH65" i="17"/>
  <c r="CM64" i="17"/>
  <c r="CE64" i="17"/>
  <c r="CF61" i="17"/>
  <c r="CC60" i="17"/>
  <c r="CM58" i="17"/>
  <c r="CJ55" i="17"/>
  <c r="CG54" i="17"/>
  <c r="CD53" i="17"/>
  <c r="CL25" i="17"/>
  <c r="CI106" i="17"/>
  <c r="CK104" i="17"/>
  <c r="CE100" i="17"/>
  <c r="CH98" i="17"/>
  <c r="CL13" i="17"/>
  <c r="CG11" i="17"/>
  <c r="NP93" i="17"/>
  <c r="NO91" i="17"/>
  <c r="NP87" i="17"/>
  <c r="NR85" i="17"/>
  <c r="NQ72" i="17"/>
  <c r="NR76" i="17"/>
  <c r="NR18" i="17"/>
  <c r="NO45" i="17"/>
  <c r="NR71" i="17"/>
  <c r="NS21" i="17"/>
  <c r="NX20" i="17"/>
  <c r="NO49" i="17"/>
  <c r="NX41" i="17"/>
  <c r="NY40" i="17"/>
  <c r="NP40" i="17"/>
  <c r="CL27" i="17"/>
  <c r="CG25" i="17"/>
  <c r="CM106" i="17"/>
  <c r="CJ105" i="17"/>
  <c r="CH104" i="17"/>
  <c r="CI103" i="17"/>
  <c r="CI100" i="17"/>
  <c r="CF99" i="17"/>
  <c r="CD98" i="17"/>
  <c r="CE97" i="17"/>
  <c r="CE13" i="17"/>
  <c r="CK11" i="17"/>
  <c r="NW94" i="17"/>
  <c r="NX93" i="17"/>
  <c r="NV92" i="17"/>
  <c r="NS91" i="17"/>
  <c r="NS88" i="17"/>
  <c r="NT87" i="17"/>
  <c r="NR86" i="17"/>
  <c r="NO85" i="17"/>
  <c r="NO73" i="17"/>
  <c r="NP72" i="17"/>
  <c r="NO70" i="17"/>
  <c r="NW49" i="17"/>
  <c r="NY47" i="17"/>
  <c r="NV42" i="17"/>
  <c r="NQ39" i="17"/>
  <c r="CI27" i="17"/>
  <c r="CD25" i="17"/>
  <c r="CJ106" i="17"/>
  <c r="CG105" i="17"/>
  <c r="CG104" i="17"/>
  <c r="CH103" i="17"/>
  <c r="CF100" i="17"/>
  <c r="CC99" i="17"/>
  <c r="CC98" i="17"/>
  <c r="CD97" i="17"/>
  <c r="CD13" i="17"/>
  <c r="CJ11" i="17"/>
  <c r="NT94" i="17"/>
  <c r="NU93" i="17"/>
  <c r="NU92" i="17"/>
  <c r="NR91" i="17"/>
  <c r="NP88" i="17"/>
  <c r="NQ87" i="17"/>
  <c r="NQ86" i="17"/>
  <c r="NW21" i="17"/>
  <c r="NY19" i="17"/>
  <c r="NS49" i="17"/>
  <c r="NU47" i="17"/>
  <c r="NT42" i="17"/>
  <c r="NT38" i="17"/>
  <c r="CJ28" i="17"/>
  <c r="CE27" i="17"/>
  <c r="CK24" i="17"/>
  <c r="CF106" i="17"/>
  <c r="CC105" i="17"/>
  <c r="CC104" i="17"/>
  <c r="CD103" i="17"/>
  <c r="CK12" i="17"/>
  <c r="CF11" i="17"/>
  <c r="NP94" i="17"/>
  <c r="NQ93" i="17"/>
  <c r="NQ92" i="17"/>
  <c r="NX73" i="17"/>
  <c r="NY72" i="17"/>
  <c r="NV71" i="17"/>
  <c r="NT77" i="17"/>
  <c r="NO21" i="17"/>
  <c r="NQ19" i="17"/>
  <c r="NU41" i="17"/>
  <c r="JC81" i="17"/>
  <c r="HC81" i="17"/>
  <c r="CJ81" i="17"/>
  <c r="AM81" i="17"/>
  <c r="CU81" i="17" s="1"/>
  <c r="JB81" i="17"/>
  <c r="HB81" i="17"/>
  <c r="GT81" i="17"/>
  <c r="JH81" i="17"/>
  <c r="IZ81" i="17"/>
  <c r="GZ81" i="17"/>
  <c r="GR81" i="17"/>
  <c r="CG81" i="17"/>
  <c r="JA81" i="17"/>
  <c r="JG81" i="17"/>
  <c r="IY81" i="17"/>
  <c r="GY81" i="17"/>
  <c r="CF81" i="17"/>
  <c r="GW81" i="17"/>
  <c r="CD81" i="17"/>
  <c r="CI81" i="17"/>
  <c r="JI81" i="17"/>
  <c r="GS81" i="17"/>
  <c r="CH81" i="17"/>
  <c r="JF81" i="17"/>
  <c r="GX81" i="17"/>
  <c r="CM81" i="17"/>
  <c r="CE81" i="17"/>
  <c r="CL81" i="17"/>
  <c r="JE81" i="17"/>
  <c r="HA81" i="17"/>
  <c r="JD81" i="17"/>
  <c r="GV81" i="17"/>
  <c r="CK81" i="17"/>
  <c r="CC81" i="17"/>
  <c r="GU81" i="17"/>
  <c r="JJ81" i="17"/>
  <c r="ER81" i="17"/>
  <c r="EN81" i="17"/>
  <c r="ET81" i="17"/>
  <c r="ES81" i="17"/>
  <c r="EQ81" i="17"/>
  <c r="EP81" i="17"/>
  <c r="EL81" i="17"/>
  <c r="EO81" i="17"/>
  <c r="EK81" i="17"/>
  <c r="EU81" i="17"/>
  <c r="EM81" i="17"/>
  <c r="JF15" i="17"/>
  <c r="GY15" i="17"/>
  <c r="ER15" i="17"/>
  <c r="CJ15" i="17"/>
  <c r="JE15" i="17"/>
  <c r="GX15" i="17"/>
  <c r="EQ15" i="17"/>
  <c r="CI15" i="17"/>
  <c r="EK15" i="17"/>
  <c r="JD15" i="17"/>
  <c r="GW15" i="17"/>
  <c r="EP15" i="17"/>
  <c r="CH15" i="17"/>
  <c r="JC15" i="17"/>
  <c r="GV15" i="17"/>
  <c r="EO15" i="17"/>
  <c r="CG15" i="17"/>
  <c r="JJ15" i="17"/>
  <c r="JB15" i="17"/>
  <c r="HC15" i="17"/>
  <c r="GU15" i="17"/>
  <c r="EN15" i="17"/>
  <c r="CF15" i="17"/>
  <c r="GZ15" i="17"/>
  <c r="JI15" i="17"/>
  <c r="JA15" i="17"/>
  <c r="HB15" i="17"/>
  <c r="GT15" i="17"/>
  <c r="EU15" i="17"/>
  <c r="EM15" i="17"/>
  <c r="CM15" i="17"/>
  <c r="CE15" i="17"/>
  <c r="IZ15" i="17"/>
  <c r="HA15" i="17"/>
  <c r="GS15" i="17"/>
  <c r="EL15" i="17"/>
  <c r="CL15" i="17"/>
  <c r="JG15" i="17"/>
  <c r="ES15" i="17"/>
  <c r="CK15" i="17"/>
  <c r="JH15" i="17"/>
  <c r="ET15" i="17"/>
  <c r="CD15" i="17"/>
  <c r="CC15" i="17"/>
  <c r="U14" i="17"/>
  <c r="AB14" i="17"/>
  <c r="NU105" i="17"/>
  <c r="NX14" i="17"/>
  <c r="NP14" i="17"/>
  <c r="JC14" i="17"/>
  <c r="GW14" i="17"/>
  <c r="EQ14" i="17"/>
  <c r="CK14" i="17"/>
  <c r="CC14" i="17"/>
  <c r="EN14" i="17"/>
  <c r="NW14" i="17"/>
  <c r="NO14" i="17"/>
  <c r="JJ14" i="17"/>
  <c r="JB14" i="17"/>
  <c r="GV14" i="17"/>
  <c r="EP14" i="17"/>
  <c r="CJ14" i="17"/>
  <c r="NU14" i="17"/>
  <c r="JH14" i="17"/>
  <c r="IZ14" i="17"/>
  <c r="HB14" i="17"/>
  <c r="NV14" i="17"/>
  <c r="JI14" i="17"/>
  <c r="JA14" i="17"/>
  <c r="HC14" i="17"/>
  <c r="GU14" i="17"/>
  <c r="EO14" i="17"/>
  <c r="CI14" i="17"/>
  <c r="GT14" i="17"/>
  <c r="CH14" i="17"/>
  <c r="NT14" i="17"/>
  <c r="JG14" i="17"/>
  <c r="HA14" i="17"/>
  <c r="GS14" i="17"/>
  <c r="EU14" i="17"/>
  <c r="EM14" i="17"/>
  <c r="CG14" i="17"/>
  <c r="NS14" i="17"/>
  <c r="JF14" i="17"/>
  <c r="HJ14" i="17"/>
  <c r="LY14" i="17" s="1"/>
  <c r="GZ14" i="17"/>
  <c r="GR14" i="17"/>
  <c r="ET14" i="17"/>
  <c r="EL14" i="17"/>
  <c r="CF14" i="17"/>
  <c r="NR14" i="17"/>
  <c r="JE14" i="17"/>
  <c r="GY14" i="17"/>
  <c r="FC14" i="17"/>
  <c r="ES14" i="17"/>
  <c r="EK14" i="17"/>
  <c r="CM14" i="17"/>
  <c r="CE14" i="17"/>
  <c r="NY14" i="17"/>
  <c r="NQ14" i="17"/>
  <c r="JD14" i="17"/>
  <c r="GX14" i="17"/>
  <c r="ER14" i="17"/>
  <c r="CL14" i="17"/>
  <c r="CD14" i="17"/>
  <c r="BN8" i="12"/>
  <c r="CL61" i="17"/>
  <c r="CD61" i="17"/>
  <c r="CM60" i="17"/>
  <c r="CE60" i="17"/>
  <c r="CF59" i="17"/>
  <c r="CG58" i="17"/>
  <c r="CH55" i="17"/>
  <c r="CI54" i="17"/>
  <c r="CJ53" i="17"/>
  <c r="CK52" i="17"/>
  <c r="CC52" i="17"/>
  <c r="CL28" i="17"/>
  <c r="CD28" i="17"/>
  <c r="CG27" i="17"/>
  <c r="CJ25" i="17"/>
  <c r="CM24" i="17"/>
  <c r="CE24" i="17"/>
  <c r="CH106" i="17"/>
  <c r="CI105" i="17"/>
  <c r="CJ104" i="17"/>
  <c r="CK103" i="17"/>
  <c r="CC103" i="17"/>
  <c r="CL100" i="17"/>
  <c r="CD100" i="17"/>
  <c r="CM99" i="17"/>
  <c r="CE99" i="17"/>
  <c r="CF98" i="17"/>
  <c r="CG97" i="17"/>
  <c r="CK13" i="17"/>
  <c r="CC13" i="17"/>
  <c r="CF12" i="17"/>
  <c r="CI11" i="17"/>
  <c r="NV94" i="17"/>
  <c r="NW93" i="17"/>
  <c r="NO93" i="17"/>
  <c r="NX92" i="17"/>
  <c r="NP92" i="17"/>
  <c r="NY91" i="17"/>
  <c r="NQ91" i="17"/>
  <c r="NR88" i="17"/>
  <c r="NS87" i="17"/>
  <c r="NT86" i="17"/>
  <c r="NU85" i="17"/>
  <c r="NV73" i="17"/>
  <c r="NW72" i="17"/>
  <c r="NO72" i="17"/>
  <c r="NU71" i="17"/>
  <c r="NV70" i="17"/>
  <c r="NW77" i="17"/>
  <c r="NU76" i="17"/>
  <c r="NV21" i="17"/>
  <c r="NW20" i="17"/>
  <c r="NX19" i="17"/>
  <c r="NY18" i="17"/>
  <c r="NV45" i="17"/>
  <c r="NO42" i="17"/>
  <c r="NV40" i="17"/>
  <c r="NO39" i="17"/>
  <c r="CK61" i="17"/>
  <c r="CC61" i="17"/>
  <c r="CL60" i="17"/>
  <c r="CD60" i="17"/>
  <c r="CM59" i="17"/>
  <c r="CE59" i="17"/>
  <c r="CF58" i="17"/>
  <c r="CG55" i="17"/>
  <c r="CH54" i="17"/>
  <c r="CI53" i="17"/>
  <c r="CJ52" i="17"/>
  <c r="CK28" i="17"/>
  <c r="CC28" i="17"/>
  <c r="CF27" i="17"/>
  <c r="CI25" i="17"/>
  <c r="CL24" i="17"/>
  <c r="CD24" i="17"/>
  <c r="CG106" i="17"/>
  <c r="CH105" i="17"/>
  <c r="CI104" i="17"/>
  <c r="CJ103" i="17"/>
  <c r="CK100" i="17"/>
  <c r="CC100" i="17"/>
  <c r="CL99" i="17"/>
  <c r="CD99" i="17"/>
  <c r="CM98" i="17"/>
  <c r="CE98" i="17"/>
  <c r="CF97" i="17"/>
  <c r="CJ13" i="17"/>
  <c r="CM12" i="17"/>
  <c r="CE12" i="17"/>
  <c r="CH11" i="17"/>
  <c r="NU94" i="17"/>
  <c r="NV93" i="17"/>
  <c r="NW92" i="17"/>
  <c r="NO92" i="17"/>
  <c r="NX91" i="17"/>
  <c r="NP91" i="17"/>
  <c r="NY88" i="17"/>
  <c r="NQ88" i="17"/>
  <c r="NR87" i="17"/>
  <c r="NS86" i="17"/>
  <c r="NT85" i="17"/>
  <c r="NU73" i="17"/>
  <c r="NV72" i="17"/>
  <c r="NT71" i="17"/>
  <c r="NU70" i="17"/>
  <c r="NV77" i="17"/>
  <c r="NT76" i="17"/>
  <c r="NU21" i="17"/>
  <c r="NV20" i="17"/>
  <c r="NW19" i="17"/>
  <c r="NX18" i="17"/>
  <c r="NY49" i="17"/>
  <c r="NS45" i="17"/>
  <c r="NR40" i="17"/>
  <c r="NW32" i="17"/>
  <c r="CH61" i="17"/>
  <c r="CI60" i="17"/>
  <c r="CJ59" i="17"/>
  <c r="CK58" i="17"/>
  <c r="CC58" i="17"/>
  <c r="CL55" i="17"/>
  <c r="CD55" i="17"/>
  <c r="CM54" i="17"/>
  <c r="CE54" i="17"/>
  <c r="CF53" i="17"/>
  <c r="CG52" i="17"/>
  <c r="CH28" i="17"/>
  <c r="CK27" i="17"/>
  <c r="CC27" i="17"/>
  <c r="CF25" i="17"/>
  <c r="CI24" i="17"/>
  <c r="CL106" i="17"/>
  <c r="CD106" i="17"/>
  <c r="CM105" i="17"/>
  <c r="CE105" i="17"/>
  <c r="CF104" i="17"/>
  <c r="CG103" i="17"/>
  <c r="CH100" i="17"/>
  <c r="CI99" i="17"/>
  <c r="CJ98" i="17"/>
  <c r="CK97" i="17"/>
  <c r="CC97" i="17"/>
  <c r="CG13" i="17"/>
  <c r="CJ12" i="17"/>
  <c r="CM11" i="17"/>
  <c r="CE11" i="17"/>
  <c r="NR94" i="17"/>
  <c r="NS93" i="17"/>
  <c r="NT92" i="17"/>
  <c r="NU91" i="17"/>
  <c r="NV88" i="17"/>
  <c r="NW87" i="17"/>
  <c r="NO87" i="17"/>
  <c r="NX86" i="17"/>
  <c r="NP86" i="17"/>
  <c r="NY85" i="17"/>
  <c r="NQ85" i="17"/>
  <c r="NR73" i="17"/>
  <c r="NS72" i="17"/>
  <c r="NO77" i="17"/>
  <c r="NO20" i="17"/>
  <c r="NP19" i="17"/>
  <c r="NQ18" i="17"/>
  <c r="NR49" i="17"/>
  <c r="NS48" i="17"/>
  <c r="NT47" i="17"/>
  <c r="NT46" i="17"/>
  <c r="NQ41" i="17"/>
  <c r="NS38" i="17"/>
  <c r="NX109" i="17"/>
  <c r="CG61" i="17"/>
  <c r="CH60" i="17"/>
  <c r="CI59" i="17"/>
  <c r="CJ58" i="17"/>
  <c r="CK55" i="17"/>
  <c r="CC55" i="17"/>
  <c r="CL54" i="17"/>
  <c r="CD54" i="17"/>
  <c r="CM53" i="17"/>
  <c r="CE53" i="17"/>
  <c r="CF52" i="17"/>
  <c r="CG28" i="17"/>
  <c r="CJ27" i="17"/>
  <c r="CM25" i="17"/>
  <c r="CE25" i="17"/>
  <c r="CH24" i="17"/>
  <c r="CK106" i="17"/>
  <c r="CC106" i="17"/>
  <c r="CL105" i="17"/>
  <c r="CD105" i="17"/>
  <c r="CM104" i="17"/>
  <c r="CE104" i="17"/>
  <c r="CF103" i="17"/>
  <c r="CG100" i="17"/>
  <c r="CH99" i="17"/>
  <c r="CI98" i="17"/>
  <c r="CJ97" i="17"/>
  <c r="CF13" i="17"/>
  <c r="CI12" i="17"/>
  <c r="CL11" i="17"/>
  <c r="CD11" i="17"/>
  <c r="NY94" i="17"/>
  <c r="NQ94" i="17"/>
  <c r="NR93" i="17"/>
  <c r="NS92" i="17"/>
  <c r="NT91" i="17"/>
  <c r="NU88" i="17"/>
  <c r="NV87" i="17"/>
  <c r="NW86" i="17"/>
  <c r="NO86" i="17"/>
  <c r="NX85" i="17"/>
  <c r="NP85" i="17"/>
  <c r="NY73" i="17"/>
  <c r="NQ73" i="17"/>
  <c r="NR72" i="17"/>
  <c r="NO19" i="17"/>
  <c r="NP18" i="17"/>
  <c r="NQ49" i="17"/>
  <c r="NR48" i="17"/>
  <c r="NS47" i="17"/>
  <c r="NX42" i="17"/>
  <c r="NO41" i="17"/>
  <c r="NY39" i="17"/>
  <c r="NP38" i="17"/>
  <c r="NT27" i="17"/>
  <c r="NX67" i="17"/>
  <c r="NP67" i="17"/>
  <c r="NO33" i="17"/>
  <c r="NS66" i="17"/>
  <c r="NQ65" i="17"/>
  <c r="NO60" i="17"/>
  <c r="NU59" i="17"/>
  <c r="NV46" i="17"/>
  <c r="NW42" i="17"/>
  <c r="NP41" i="17"/>
  <c r="NX40" i="17"/>
  <c r="NR38" i="17"/>
  <c r="NY35" i="17"/>
  <c r="NR32" i="17"/>
  <c r="NW60" i="17"/>
  <c r="NS55" i="17"/>
  <c r="NR46" i="17"/>
  <c r="NW45" i="17"/>
  <c r="NP42" i="17"/>
  <c r="NY41" i="17"/>
  <c r="NQ40" i="17"/>
  <c r="NW39" i="17"/>
  <c r="NT34" i="17"/>
  <c r="NV66" i="17"/>
  <c r="NR59" i="17"/>
  <c r="NQ28" i="17"/>
  <c r="NU45" i="17"/>
  <c r="NW41" i="17"/>
  <c r="NR39" i="17"/>
  <c r="NX38" i="17"/>
  <c r="NW33" i="17"/>
  <c r="NW61" i="17"/>
  <c r="R3" i="17"/>
  <c r="R7" i="17" s="1"/>
  <c r="JC76" i="17"/>
  <c r="IU76" i="17"/>
  <c r="IM76" i="17"/>
  <c r="IE76" i="17"/>
  <c r="HW76" i="17"/>
  <c r="HO76" i="17"/>
  <c r="JH77" i="17"/>
  <c r="IZ77" i="17"/>
  <c r="IR77" i="17"/>
  <c r="IJ77" i="17"/>
  <c r="IB77" i="17"/>
  <c r="HT77" i="17"/>
  <c r="HL77" i="17"/>
  <c r="EO99" i="17" a="1"/>
  <c r="EO99" i="17" s="1"/>
  <c r="EO98" i="17" a="1"/>
  <c r="EO98" i="17" s="1"/>
  <c r="JJ76" i="17"/>
  <c r="JB76" i="17"/>
  <c r="IT76" i="17"/>
  <c r="IL76" i="17"/>
  <c r="ID76" i="17"/>
  <c r="HV76" i="17"/>
  <c r="HN76" i="17"/>
  <c r="JG77" i="17"/>
  <c r="IY77" i="17"/>
  <c r="IQ77" i="17"/>
  <c r="II77" i="17"/>
  <c r="IA77" i="17"/>
  <c r="HS77" i="17"/>
  <c r="HK77" i="17"/>
  <c r="EN99" i="17" a="1"/>
  <c r="EN99" i="17" s="1"/>
  <c r="EN98" i="17" a="1"/>
  <c r="EN98" i="17" s="1"/>
  <c r="IQ76" i="17"/>
  <c r="IA76" i="17"/>
  <c r="HK76" i="17"/>
  <c r="IN77" i="17"/>
  <c r="HX77" i="17"/>
  <c r="JI76" i="17"/>
  <c r="JA76" i="17"/>
  <c r="IS76" i="17"/>
  <c r="IK76" i="17"/>
  <c r="IC76" i="17"/>
  <c r="HU76" i="17"/>
  <c r="HM76" i="17"/>
  <c r="JF77" i="17"/>
  <c r="IX77" i="17"/>
  <c r="IP77" i="17"/>
  <c r="IH77" i="17"/>
  <c r="HZ77" i="17"/>
  <c r="HR77" i="17"/>
  <c r="HJ77" i="17"/>
  <c r="EU99" i="17" a="1"/>
  <c r="EU99" i="17" s="1"/>
  <c r="EM99" i="17" a="1"/>
  <c r="EM99" i="17" s="1"/>
  <c r="EU98" i="17" a="1"/>
  <c r="EU98" i="17" s="1"/>
  <c r="EM98" i="17" a="1"/>
  <c r="EM98" i="17" s="1"/>
  <c r="JH76" i="17"/>
  <c r="IZ76" i="17"/>
  <c r="IR76" i="17"/>
  <c r="IJ76" i="17"/>
  <c r="IB76" i="17"/>
  <c r="HT76" i="17"/>
  <c r="HL76" i="17"/>
  <c r="JE77" i="17"/>
  <c r="IW77" i="17"/>
  <c r="IO77" i="17"/>
  <c r="IG77" i="17"/>
  <c r="HY77" i="17"/>
  <c r="HQ77" i="17"/>
  <c r="ET99" i="17" a="1"/>
  <c r="ET99" i="17" s="1"/>
  <c r="EL99" i="17" a="1"/>
  <c r="EL99" i="17" s="1"/>
  <c r="ET98" i="17" a="1"/>
  <c r="ET98" i="17" s="1"/>
  <c r="EL98" i="17" a="1"/>
  <c r="EL98" i="17" s="1"/>
  <c r="JG76" i="17"/>
  <c r="IY76" i="17"/>
  <c r="II76" i="17"/>
  <c r="HS76" i="17"/>
  <c r="JD77" i="17"/>
  <c r="IV77" i="17"/>
  <c r="IF77" i="17"/>
  <c r="HP77" i="17"/>
  <c r="ES99" i="17" a="1"/>
  <c r="ES99" i="17" s="1"/>
  <c r="JF76" i="17"/>
  <c r="IX76" i="17"/>
  <c r="IP76" i="17"/>
  <c r="IH76" i="17"/>
  <c r="HZ76" i="17"/>
  <c r="HR76" i="17"/>
  <c r="HJ76" i="17"/>
  <c r="NN76" i="17" s="1"/>
  <c r="JC77" i="17"/>
  <c r="IU77" i="17"/>
  <c r="IM77" i="17"/>
  <c r="IE77" i="17"/>
  <c r="HW77" i="17"/>
  <c r="HO77" i="17"/>
  <c r="ER99" i="17" a="1"/>
  <c r="ER99" i="17" s="1"/>
  <c r="ER98" i="17" a="1"/>
  <c r="ER98" i="17" s="1"/>
  <c r="IN76" i="17"/>
  <c r="EP99" i="17" a="1"/>
  <c r="EP99" i="17" s="1"/>
  <c r="JE76" i="17"/>
  <c r="IW76" i="17"/>
  <c r="IO76" i="17"/>
  <c r="IG76" i="17"/>
  <c r="HY76" i="17"/>
  <c r="HQ76" i="17"/>
  <c r="JJ77" i="17"/>
  <c r="JB77" i="17"/>
  <c r="IT77" i="17"/>
  <c r="IL77" i="17"/>
  <c r="ID77" i="17"/>
  <c r="HV77" i="17"/>
  <c r="HN77" i="17"/>
  <c r="EQ99" i="17" a="1"/>
  <c r="EQ99" i="17" s="1"/>
  <c r="EQ98" i="17" a="1"/>
  <c r="EQ98" i="17" s="1"/>
  <c r="HX76" i="17"/>
  <c r="HU77" i="17"/>
  <c r="JD76" i="17"/>
  <c r="IV76" i="17"/>
  <c r="IF76" i="17"/>
  <c r="HP76" i="17"/>
  <c r="JI77" i="17"/>
  <c r="JA77" i="17"/>
  <c r="IS77" i="17"/>
  <c r="IK77" i="17"/>
  <c r="IC77" i="17"/>
  <c r="HM77" i="17"/>
  <c r="NN77" i="17" s="1"/>
  <c r="ES98" i="17" a="1"/>
  <c r="ES98" i="17" s="1"/>
  <c r="EP98" i="17" a="1"/>
  <c r="EP98" i="17" s="1"/>
  <c r="EK98" i="17" a="1"/>
  <c r="EK98" i="17" s="1"/>
  <c r="EK99" i="17" a="1"/>
  <c r="EK99" i="17" s="1"/>
  <c r="JC82" i="17"/>
  <c r="JF80" i="17"/>
  <c r="GW82" i="17"/>
  <c r="EO82" i="17"/>
  <c r="EO80" i="17"/>
  <c r="NW78" i="17"/>
  <c r="NO78" i="17"/>
  <c r="JH78" i="17"/>
  <c r="IZ78" i="17"/>
  <c r="IR78" i="17"/>
  <c r="IJ78" i="17"/>
  <c r="IB78" i="17"/>
  <c r="HT78" i="17"/>
  <c r="HL78" i="17"/>
  <c r="CI78" i="17"/>
  <c r="CA78" i="17"/>
  <c r="EI78" i="17" s="1"/>
  <c r="BS78" i="17"/>
  <c r="BK78" i="17"/>
  <c r="DS78" i="17" s="1"/>
  <c r="BC78" i="17"/>
  <c r="DK78" i="17" s="1"/>
  <c r="AU78" i="17"/>
  <c r="DC78" i="17" s="1"/>
  <c r="AM78" i="17"/>
  <c r="CK77" i="17"/>
  <c r="CC77" i="17"/>
  <c r="BU77" i="17"/>
  <c r="EC77" i="17" s="1"/>
  <c r="BM77" i="17"/>
  <c r="DU77" i="17" s="1"/>
  <c r="BE77" i="17"/>
  <c r="DM77" i="17" s="1"/>
  <c r="AW77" i="17"/>
  <c r="DE77" i="17" s="1"/>
  <c r="AO77" i="17"/>
  <c r="CW77" i="17" s="1"/>
  <c r="CM76" i="17"/>
  <c r="CE76" i="17"/>
  <c r="BW76" i="17"/>
  <c r="EE76" i="17" s="1"/>
  <c r="BO76" i="17"/>
  <c r="DW76" i="17" s="1"/>
  <c r="BG76" i="17"/>
  <c r="DO76" i="17" s="1"/>
  <c r="AY76" i="17"/>
  <c r="DG76" i="17" s="1"/>
  <c r="AQ76" i="17"/>
  <c r="CY76" i="17" s="1"/>
  <c r="GZ78" i="17"/>
  <c r="GR78" i="17"/>
  <c r="GJ78" i="17"/>
  <c r="GB78" i="17"/>
  <c r="FT78" i="17"/>
  <c r="FL78" i="17"/>
  <c r="FD78" i="17"/>
  <c r="EO78" i="17"/>
  <c r="JJ82" i="17"/>
  <c r="JB82" i="17"/>
  <c r="JE80" i="17"/>
  <c r="JG82" i="17"/>
  <c r="IY82" i="17"/>
  <c r="JJ80" i="17"/>
  <c r="JB80" i="17"/>
  <c r="HA82" i="17"/>
  <c r="GS82" i="17"/>
  <c r="ES82" i="17"/>
  <c r="EK82" i="17"/>
  <c r="ES80" i="17"/>
  <c r="EK80" i="17"/>
  <c r="NS78" i="17"/>
  <c r="JD78" i="17"/>
  <c r="IV78" i="17"/>
  <c r="IN78" i="17"/>
  <c r="IF78" i="17"/>
  <c r="HX78" i="17"/>
  <c r="HP78" i="17"/>
  <c r="CM78" i="17"/>
  <c r="CE78" i="17"/>
  <c r="BW78" i="17"/>
  <c r="BO78" i="17"/>
  <c r="DW78" i="17" s="1"/>
  <c r="BG78" i="17"/>
  <c r="DO78" i="17" s="1"/>
  <c r="AY78" i="17"/>
  <c r="DG78" i="17" s="1"/>
  <c r="AQ78" i="17"/>
  <c r="CY78" i="17" s="1"/>
  <c r="CG77" i="17"/>
  <c r="BY77" i="17"/>
  <c r="EG77" i="17" s="1"/>
  <c r="BQ77" i="17"/>
  <c r="BI77" i="17"/>
  <c r="DQ77" i="17" s="1"/>
  <c r="BA77" i="17"/>
  <c r="DI77" i="17" s="1"/>
  <c r="AS77" i="17"/>
  <c r="DA77" i="17" s="1"/>
  <c r="CI76" i="17"/>
  <c r="CA76" i="17"/>
  <c r="BS76" i="17"/>
  <c r="BK76" i="17"/>
  <c r="DS76" i="17" s="1"/>
  <c r="BC76" i="17"/>
  <c r="DK76" i="17" s="1"/>
  <c r="AU76" i="17"/>
  <c r="DC76" i="17" s="1"/>
  <c r="AM76" i="17"/>
  <c r="GV78" i="17"/>
  <c r="GN78" i="17"/>
  <c r="GF78" i="17"/>
  <c r="FX78" i="17"/>
  <c r="FP78" i="17"/>
  <c r="FH78" i="17"/>
  <c r="ES78" i="17"/>
  <c r="EK78" i="17"/>
  <c r="JD82" i="17"/>
  <c r="JC80" i="17"/>
  <c r="GZ82" i="17"/>
  <c r="EL82" i="17"/>
  <c r="EN80" i="17"/>
  <c r="NQ78" i="17"/>
  <c r="JE78" i="17"/>
  <c r="IT78" i="17"/>
  <c r="II78" i="17"/>
  <c r="HY78" i="17"/>
  <c r="HN78" i="17"/>
  <c r="CH78" i="17"/>
  <c r="BX78" i="17"/>
  <c r="EF78" i="17" s="1"/>
  <c r="BM78" i="17"/>
  <c r="DU78" i="17" s="1"/>
  <c r="BB78" i="17"/>
  <c r="DJ78" i="17" s="1"/>
  <c r="AR78" i="17"/>
  <c r="CZ78" i="17" s="1"/>
  <c r="CH77" i="17"/>
  <c r="BW77" i="17"/>
  <c r="EE77" i="17" s="1"/>
  <c r="BL77" i="17"/>
  <c r="DT77" i="17" s="1"/>
  <c r="BB77" i="17"/>
  <c r="DJ77" i="17" s="1"/>
  <c r="AQ77" i="17"/>
  <c r="CY77" i="17" s="1"/>
  <c r="CG76" i="17"/>
  <c r="BV76" i="17"/>
  <c r="BL76" i="17"/>
  <c r="DT76" i="17" s="1"/>
  <c r="BA76" i="17"/>
  <c r="DI76" i="17" s="1"/>
  <c r="AP76" i="17"/>
  <c r="CX76" i="17" s="1"/>
  <c r="GW78" i="17"/>
  <c r="GL78" i="17"/>
  <c r="GA78" i="17"/>
  <c r="FQ78" i="17"/>
  <c r="FF78" i="17"/>
  <c r="EN78" i="17"/>
  <c r="GZ77" i="17"/>
  <c r="GR77" i="17"/>
  <c r="EO77" i="17"/>
  <c r="HC76" i="17"/>
  <c r="GU76" i="17"/>
  <c r="JA82" i="17"/>
  <c r="JA80" i="17"/>
  <c r="GY82" i="17"/>
  <c r="EU82" i="17"/>
  <c r="EM80" i="17"/>
  <c r="NP78" i="17"/>
  <c r="JC78" i="17"/>
  <c r="IS78" i="17"/>
  <c r="IH78" i="17"/>
  <c r="HW78" i="17"/>
  <c r="HM78" i="17"/>
  <c r="CG78" i="17"/>
  <c r="BV78" i="17"/>
  <c r="BL78" i="17"/>
  <c r="DT78" i="17" s="1"/>
  <c r="BA78" i="17"/>
  <c r="DI78" i="17" s="1"/>
  <c r="AP78" i="17"/>
  <c r="CX78" i="17" s="1"/>
  <c r="CF77" i="17"/>
  <c r="BV77" i="17"/>
  <c r="BK77" i="17"/>
  <c r="DS77" i="17" s="1"/>
  <c r="AZ77" i="17"/>
  <c r="DH77" i="17" s="1"/>
  <c r="AP77" i="17"/>
  <c r="CX77" i="17" s="1"/>
  <c r="CF76" i="17"/>
  <c r="BU76" i="17"/>
  <c r="EC76" i="17" s="1"/>
  <c r="BJ76" i="17"/>
  <c r="DR76" i="17" s="1"/>
  <c r="AZ76" i="17"/>
  <c r="DH76" i="17" s="1"/>
  <c r="AO76" i="17"/>
  <c r="CW76" i="17" s="1"/>
  <c r="GU78" i="17"/>
  <c r="GK78" i="17"/>
  <c r="FZ78" i="17"/>
  <c r="FO78" i="17"/>
  <c r="FE78" i="17"/>
  <c r="EM78" i="17"/>
  <c r="GY77" i="17"/>
  <c r="EN77" i="17"/>
  <c r="HB76" i="17"/>
  <c r="GT76" i="17"/>
  <c r="EQ76" i="17"/>
  <c r="IZ82" i="17"/>
  <c r="IZ80" i="17"/>
  <c r="GX82" i="17"/>
  <c r="ET82" i="17"/>
  <c r="EL80" i="17"/>
  <c r="NY78" i="17"/>
  <c r="JB78" i="17"/>
  <c r="IQ78" i="17"/>
  <c r="IG78" i="17"/>
  <c r="HV78" i="17"/>
  <c r="HK78" i="17"/>
  <c r="CF78" i="17"/>
  <c r="BU78" i="17"/>
  <c r="EC78" i="17" s="1"/>
  <c r="BJ78" i="17"/>
  <c r="DR78" i="17" s="1"/>
  <c r="AZ78" i="17"/>
  <c r="DH78" i="17" s="1"/>
  <c r="AO78" i="17"/>
  <c r="CW78" i="17" s="1"/>
  <c r="CE77" i="17"/>
  <c r="BT77" i="17"/>
  <c r="EB77" i="17" s="1"/>
  <c r="BJ77" i="17"/>
  <c r="DR77" i="17" s="1"/>
  <c r="AY77" i="17"/>
  <c r="DG77" i="17" s="1"/>
  <c r="AN77" i="17"/>
  <c r="CV77" i="17" s="1"/>
  <c r="CD76" i="17"/>
  <c r="BT76" i="17"/>
  <c r="EB76" i="17" s="1"/>
  <c r="BI76" i="17"/>
  <c r="DQ76" i="17" s="1"/>
  <c r="AX76" i="17"/>
  <c r="DF76" i="17" s="1"/>
  <c r="AN76" i="17"/>
  <c r="CV76" i="17" s="1"/>
  <c r="GT78" i="17"/>
  <c r="GI78" i="17"/>
  <c r="FY78" i="17"/>
  <c r="FN78" i="17"/>
  <c r="FC78" i="17"/>
  <c r="EL78" i="17"/>
  <c r="GX77" i="17"/>
  <c r="EU77" i="17"/>
  <c r="EM77" i="17"/>
  <c r="HA76" i="17"/>
  <c r="GS76" i="17"/>
  <c r="IY80" i="17"/>
  <c r="GV82" i="17"/>
  <c r="ER82" i="17"/>
  <c r="EU80" i="17"/>
  <c r="NX78" i="17"/>
  <c r="JA78" i="17"/>
  <c r="IP78" i="17"/>
  <c r="IE78" i="17"/>
  <c r="HU78" i="17"/>
  <c r="HJ78" i="17"/>
  <c r="NN78" i="17" s="1"/>
  <c r="CD78" i="17"/>
  <c r="BT78" i="17"/>
  <c r="EB78" i="17" s="1"/>
  <c r="BI78" i="17"/>
  <c r="DQ78" i="17" s="1"/>
  <c r="AX78" i="17"/>
  <c r="DF78" i="17" s="1"/>
  <c r="AN78" i="17"/>
  <c r="CV78" i="17" s="1"/>
  <c r="CD77" i="17"/>
  <c r="BS77" i="17"/>
  <c r="BH77" i="17"/>
  <c r="DP77" i="17" s="1"/>
  <c r="AX77" i="17"/>
  <c r="DF77" i="17" s="1"/>
  <c r="AM77" i="17"/>
  <c r="CU77" i="17" s="1"/>
  <c r="CC76" i="17"/>
  <c r="BR76" i="17"/>
  <c r="BH76" i="17"/>
  <c r="DP76" i="17" s="1"/>
  <c r="AW76" i="17"/>
  <c r="DE76" i="17" s="1"/>
  <c r="HC78" i="17"/>
  <c r="GS78" i="17"/>
  <c r="GH78" i="17"/>
  <c r="FW78" i="17"/>
  <c r="FM78" i="17"/>
  <c r="EU78" i="17"/>
  <c r="EJ78" i="17"/>
  <c r="GW77" i="17"/>
  <c r="ET77" i="17"/>
  <c r="EL77" i="17"/>
  <c r="GZ76" i="17"/>
  <c r="GR76" i="17"/>
  <c r="EO76" i="17"/>
  <c r="JI82" i="17"/>
  <c r="JI80" i="17"/>
  <c r="GU82" i="17"/>
  <c r="EQ82" i="17"/>
  <c r="ET80" i="17"/>
  <c r="NV78" i="17"/>
  <c r="JJ78" i="17"/>
  <c r="IY78" i="17"/>
  <c r="IO78" i="17"/>
  <c r="ID78" i="17"/>
  <c r="HS78" i="17"/>
  <c r="CU78" i="17"/>
  <c r="CC78" i="17"/>
  <c r="BR78" i="17"/>
  <c r="BH78" i="17"/>
  <c r="DP78" i="17" s="1"/>
  <c r="AW78" i="17"/>
  <c r="DE78" i="17" s="1"/>
  <c r="CM77" i="17"/>
  <c r="CB77" i="17"/>
  <c r="BR77" i="17"/>
  <c r="BG77" i="17"/>
  <c r="DO77" i="17" s="1"/>
  <c r="AV77" i="17"/>
  <c r="DD77" i="17" s="1"/>
  <c r="CL76" i="17"/>
  <c r="CB76" i="17"/>
  <c r="BQ76" i="17"/>
  <c r="BF76" i="17"/>
  <c r="DN76" i="17" s="1"/>
  <c r="AV76" i="17"/>
  <c r="DD76" i="17" s="1"/>
  <c r="HB78" i="17"/>
  <c r="GQ78" i="17"/>
  <c r="Y92" i="40" s="1"/>
  <c r="GG78" i="17"/>
  <c r="FV78" i="17"/>
  <c r="FK78" i="17"/>
  <c r="ET78" i="17"/>
  <c r="GV77" i="17"/>
  <c r="ES77" i="17"/>
  <c r="EK77" i="17"/>
  <c r="GY76" i="17"/>
  <c r="JH82" i="17"/>
  <c r="JH80" i="17"/>
  <c r="HJ82" i="17"/>
  <c r="GT82" i="17"/>
  <c r="FC82" i="17"/>
  <c r="EP82" i="17"/>
  <c r="ER80" i="17"/>
  <c r="NU78" i="17"/>
  <c r="JI78" i="17"/>
  <c r="IX78" i="17"/>
  <c r="IM78" i="17"/>
  <c r="IC78" i="17"/>
  <c r="HR78" i="17"/>
  <c r="CL78" i="17"/>
  <c r="CB78" i="17"/>
  <c r="BQ78" i="17"/>
  <c r="DY78" i="17" s="1"/>
  <c r="BF78" i="17"/>
  <c r="DN78" i="17" s="1"/>
  <c r="AV78" i="17"/>
  <c r="DD78" i="17" s="1"/>
  <c r="CL77" i="17"/>
  <c r="CA77" i="17"/>
  <c r="EI77" i="17" s="1"/>
  <c r="BP77" i="17"/>
  <c r="DX77" i="17" s="1"/>
  <c r="BF77" i="17"/>
  <c r="DN77" i="17" s="1"/>
  <c r="AU77" i="17"/>
  <c r="DC77" i="17" s="1"/>
  <c r="CK76" i="17"/>
  <c r="BZ76" i="17"/>
  <c r="EH76" i="17" s="1"/>
  <c r="BP76" i="17"/>
  <c r="DX76" i="17" s="1"/>
  <c r="BE76" i="17"/>
  <c r="DM76" i="17" s="1"/>
  <c r="AT76" i="17"/>
  <c r="DB76" i="17" s="1"/>
  <c r="HA78" i="17"/>
  <c r="GP78" i="17"/>
  <c r="GE78" i="17"/>
  <c r="FU78" i="17"/>
  <c r="FJ78" i="17"/>
  <c r="ER78" i="17"/>
  <c r="HC77" i="17"/>
  <c r="GU77" i="17"/>
  <c r="ER77" i="17"/>
  <c r="EJ77" i="17"/>
  <c r="GX76" i="17"/>
  <c r="JE82" i="17"/>
  <c r="JD80" i="17"/>
  <c r="HB82" i="17"/>
  <c r="EM82" i="17"/>
  <c r="EP80" i="17"/>
  <c r="NR78" i="17"/>
  <c r="JF78" i="17"/>
  <c r="IU78" i="17"/>
  <c r="IK78" i="17"/>
  <c r="HZ78" i="17"/>
  <c r="HO78" i="17"/>
  <c r="CJ78" i="17"/>
  <c r="BY78" i="17"/>
  <c r="EG78" i="17" s="1"/>
  <c r="BN78" i="17"/>
  <c r="DV78" i="17" s="1"/>
  <c r="BD78" i="17"/>
  <c r="DL78" i="17" s="1"/>
  <c r="AS78" i="17"/>
  <c r="DA78" i="17" s="1"/>
  <c r="CI77" i="17"/>
  <c r="BX77" i="17"/>
  <c r="EF77" i="17" s="1"/>
  <c r="BN77" i="17"/>
  <c r="DV77" i="17" s="1"/>
  <c r="BC77" i="17"/>
  <c r="DK77" i="17" s="1"/>
  <c r="AR77" i="17"/>
  <c r="CZ77" i="17" s="1"/>
  <c r="CH76" i="17"/>
  <c r="BX76" i="17"/>
  <c r="EF76" i="17" s="1"/>
  <c r="BM76" i="17"/>
  <c r="DU76" i="17" s="1"/>
  <c r="BB76" i="17"/>
  <c r="DJ76" i="17" s="1"/>
  <c r="AR76" i="17"/>
  <c r="CZ76" i="17" s="1"/>
  <c r="GX78" i="17"/>
  <c r="GM78" i="17"/>
  <c r="GC78" i="17"/>
  <c r="FR78" i="17"/>
  <c r="FG78" i="17"/>
  <c r="EP78" i="17"/>
  <c r="JF82" i="17"/>
  <c r="HC82" i="17"/>
  <c r="EN82" i="17"/>
  <c r="BP78" i="17"/>
  <c r="DX78" i="17" s="1"/>
  <c r="CJ77" i="17"/>
  <c r="GO78" i="17"/>
  <c r="EQ77" i="17"/>
  <c r="ET76" i="17"/>
  <c r="EJ76" i="17"/>
  <c r="GR82" i="17"/>
  <c r="JG78" i="17"/>
  <c r="BE78" i="17"/>
  <c r="DM78" i="17" s="1"/>
  <c r="BZ77" i="17"/>
  <c r="EH77" i="17" s="1"/>
  <c r="GD78" i="17"/>
  <c r="EP77" i="17"/>
  <c r="ES76" i="17"/>
  <c r="EI76" i="17"/>
  <c r="CK78" i="17"/>
  <c r="EQ80" i="17"/>
  <c r="IW78" i="17"/>
  <c r="AT78" i="17"/>
  <c r="DB78" i="17" s="1"/>
  <c r="BO77" i="17"/>
  <c r="DW77" i="17" s="1"/>
  <c r="CJ76" i="17"/>
  <c r="FS78" i="17"/>
  <c r="HB77" i="17"/>
  <c r="ER76" i="17"/>
  <c r="EL76" i="17"/>
  <c r="IL78" i="17"/>
  <c r="BD77" i="17"/>
  <c r="DL77" i="17" s="1"/>
  <c r="BY76" i="17"/>
  <c r="EG76" i="17" s="1"/>
  <c r="FI78" i="17"/>
  <c r="HA77" i="17"/>
  <c r="EP76" i="17"/>
  <c r="JG80" i="17"/>
  <c r="IA78" i="17"/>
  <c r="AT77" i="17"/>
  <c r="DB77" i="17" s="1"/>
  <c r="BN76" i="17"/>
  <c r="DV76" i="17" s="1"/>
  <c r="EQ78" i="17"/>
  <c r="GT77" i="17"/>
  <c r="GW76" i="17"/>
  <c r="EN76" i="17"/>
  <c r="AS76" i="17"/>
  <c r="DA76" i="17" s="1"/>
  <c r="HQ78" i="17"/>
  <c r="BD76" i="17"/>
  <c r="DL76" i="17" s="1"/>
  <c r="GS77" i="17"/>
  <c r="GV76" i="17"/>
  <c r="EM76" i="17"/>
  <c r="NT78" i="17"/>
  <c r="BZ78" i="17"/>
  <c r="EH78" i="17" s="1"/>
  <c r="GY78" i="17"/>
  <c r="EU76" i="17"/>
  <c r="EK76" i="17"/>
  <c r="CI82" i="17"/>
  <c r="AM82" i="17"/>
  <c r="CU82" i="17" s="1"/>
  <c r="CH82" i="17"/>
  <c r="CG82" i="17"/>
  <c r="CF82" i="17"/>
  <c r="CD82" i="17"/>
  <c r="CM82" i="17"/>
  <c r="CE82" i="17"/>
  <c r="CL82" i="17"/>
  <c r="CK82" i="17"/>
  <c r="CC82" i="17"/>
  <c r="CJ82" i="17"/>
  <c r="NS71" i="17"/>
  <c r="NT70" i="17"/>
  <c r="NU77" i="17"/>
  <c r="NS76" i="17"/>
  <c r="NT21" i="17"/>
  <c r="NU20" i="17"/>
  <c r="NV19" i="17"/>
  <c r="NW18" i="17"/>
  <c r="NO18" i="17"/>
  <c r="NX49" i="17"/>
  <c r="NP49" i="17"/>
  <c r="NY48" i="17"/>
  <c r="NQ48" i="17"/>
  <c r="NR47" i="17"/>
  <c r="NS46" i="17"/>
  <c r="NT45" i="17"/>
  <c r="NU42" i="17"/>
  <c r="NV41" i="17"/>
  <c r="NW40" i="17"/>
  <c r="NO40" i="17"/>
  <c r="NX39" i="17"/>
  <c r="NP39" i="17"/>
  <c r="NY38" i="17"/>
  <c r="NQ38" i="17"/>
  <c r="NY34" i="17"/>
  <c r="NT33" i="17"/>
  <c r="NS67" i="17"/>
  <c r="NR60" i="17"/>
  <c r="NX55" i="17"/>
  <c r="NY71" i="17"/>
  <c r="NQ71" i="17"/>
  <c r="NR70" i="17"/>
  <c r="NS77" i="17"/>
  <c r="NY76" i="17"/>
  <c r="NQ76" i="17"/>
  <c r="NR21" i="17"/>
  <c r="NS20" i="17"/>
  <c r="NT19" i="17"/>
  <c r="NU18" i="17"/>
  <c r="NV49" i="17"/>
  <c r="NW48" i="17"/>
  <c r="NO48" i="17"/>
  <c r="NX47" i="17"/>
  <c r="NP47" i="17"/>
  <c r="NY46" i="17"/>
  <c r="NQ46" i="17"/>
  <c r="NR45" i="17"/>
  <c r="NS42" i="17"/>
  <c r="NT41" i="17"/>
  <c r="NU40" i="17"/>
  <c r="NV39" i="17"/>
  <c r="NW38" i="17"/>
  <c r="NO38" i="17"/>
  <c r="NV35" i="17"/>
  <c r="NQ34" i="17"/>
  <c r="NU109" i="17"/>
  <c r="NY64" i="17"/>
  <c r="NT61" i="17"/>
  <c r="NX58" i="17"/>
  <c r="NP55" i="17"/>
  <c r="NX71" i="17"/>
  <c r="NP71" i="17"/>
  <c r="NY70" i="17"/>
  <c r="NQ70" i="17"/>
  <c r="NR77" i="17"/>
  <c r="NX76" i="17"/>
  <c r="NP76" i="17"/>
  <c r="NY21" i="17"/>
  <c r="NQ21" i="17"/>
  <c r="NR20" i="17"/>
  <c r="NS19" i="17"/>
  <c r="NT18" i="17"/>
  <c r="NU49" i="17"/>
  <c r="NV48" i="17"/>
  <c r="NW47" i="17"/>
  <c r="NO47" i="17"/>
  <c r="NX46" i="17"/>
  <c r="NP46" i="17"/>
  <c r="NY45" i="17"/>
  <c r="NQ45" i="17"/>
  <c r="NR42" i="17"/>
  <c r="NS41" i="17"/>
  <c r="NT40" i="17"/>
  <c r="NU39" i="17"/>
  <c r="NV38" i="17"/>
  <c r="NQ35" i="17"/>
  <c r="NU31" i="17"/>
  <c r="NP109" i="17"/>
  <c r="NY65" i="17"/>
  <c r="NT64" i="17"/>
  <c r="NO61" i="17"/>
  <c r="NU58" i="17"/>
  <c r="NW25" i="17"/>
  <c r="NW71" i="17"/>
  <c r="NO71" i="17"/>
  <c r="NX70" i="17"/>
  <c r="NP70" i="17"/>
  <c r="NY77" i="17"/>
  <c r="NQ77" i="17"/>
  <c r="NW76" i="17"/>
  <c r="NO76" i="17"/>
  <c r="NX21" i="17"/>
  <c r="NP21" i="17"/>
  <c r="NY20" i="17"/>
  <c r="NQ20" i="17"/>
  <c r="NR19" i="17"/>
  <c r="NS18" i="17"/>
  <c r="NT49" i="17"/>
  <c r="NU48" i="17"/>
  <c r="NV47" i="17"/>
  <c r="NW46" i="17"/>
  <c r="NO46" i="17"/>
  <c r="NX45" i="17"/>
  <c r="NP45" i="17"/>
  <c r="NY42" i="17"/>
  <c r="NQ42" i="17"/>
  <c r="NR41" i="17"/>
  <c r="NS40" i="17"/>
  <c r="NT39" i="17"/>
  <c r="NU38" i="17"/>
  <c r="NR31" i="17"/>
  <c r="NV65" i="17"/>
  <c r="NQ64" i="17"/>
  <c r="NP58" i="17"/>
  <c r="NR106" i="17"/>
  <c r="NX104" i="17"/>
  <c r="NO98" i="17"/>
  <c r="NO24" i="17"/>
  <c r="E3" i="6"/>
  <c r="N4" i="6" s="1"/>
  <c r="N13" i="6" s="1"/>
  <c r="GZ80" i="17"/>
  <c r="GR80" i="17"/>
  <c r="FC80" i="17"/>
  <c r="CH80" i="17"/>
  <c r="CI80" i="17"/>
  <c r="GY80" i="17"/>
  <c r="CG80" i="17"/>
  <c r="GX80" i="17"/>
  <c r="CF80" i="17"/>
  <c r="CC80" i="17"/>
  <c r="HJ80" i="17"/>
  <c r="GW80" i="17"/>
  <c r="CM80" i="17"/>
  <c r="CE80" i="17"/>
  <c r="HC80" i="17"/>
  <c r="GU80" i="17"/>
  <c r="AM80" i="17"/>
  <c r="CU80" i="17" s="1"/>
  <c r="GV80" i="17"/>
  <c r="CL80" i="17"/>
  <c r="CD80" i="17"/>
  <c r="CK80" i="17"/>
  <c r="HB80" i="17"/>
  <c r="GT80" i="17"/>
  <c r="CJ80" i="17"/>
  <c r="HA80" i="17"/>
  <c r="GS80" i="17"/>
  <c r="NR97" i="17"/>
  <c r="BN11" i="13"/>
  <c r="BN20" i="13"/>
  <c r="BN17" i="13"/>
  <c r="M22" i="13"/>
  <c r="M13" i="13"/>
  <c r="M16" i="13"/>
  <c r="M19" i="13"/>
  <c r="M10" i="13"/>
  <c r="BN20" i="12"/>
  <c r="BN21" i="12"/>
  <c r="M16" i="12"/>
  <c r="AM33" i="17" s="1"/>
  <c r="M22" i="12"/>
  <c r="M19" i="12"/>
  <c r="M13" i="12"/>
  <c r="AM32" i="17" s="1"/>
  <c r="M10" i="12"/>
  <c r="AM31" i="17" s="1"/>
  <c r="M13" i="14"/>
  <c r="M22" i="14"/>
  <c r="M19" i="14"/>
  <c r="M16" i="14"/>
  <c r="M10" i="14"/>
  <c r="EO55" i="17" a="1"/>
  <c r="EO55" i="17" s="1"/>
  <c r="EU55" i="17" a="1"/>
  <c r="EU55" i="17" s="1"/>
  <c r="ET55" i="17" a="1"/>
  <c r="ET55" i="17" s="1"/>
  <c r="EN55" i="17" a="1"/>
  <c r="EN55" i="17" s="1"/>
  <c r="ES55" i="17" a="1"/>
  <c r="ES55" i="17" s="1"/>
  <c r="EM55" i="17" a="1"/>
  <c r="EM55" i="17" s="1"/>
  <c r="EL55" i="17" a="1"/>
  <c r="EL55" i="17" s="1"/>
  <c r="EQ55" i="17" a="1"/>
  <c r="EQ55" i="17" s="1"/>
  <c r="ER55" i="17" a="1"/>
  <c r="ER55" i="17" s="1"/>
  <c r="EP55" i="17" a="1"/>
  <c r="EP55" i="17" s="1"/>
  <c r="EK55" i="17" a="1"/>
  <c r="EK55" i="17" s="1"/>
  <c r="Q115" i="26"/>
  <c r="Q116" i="26"/>
  <c r="Q122" i="26"/>
  <c r="Q121" i="26"/>
  <c r="Q120" i="26"/>
  <c r="Q119" i="26"/>
  <c r="Q117" i="26"/>
  <c r="Q118" i="26"/>
  <c r="EK26" i="17" a="1"/>
  <c r="EK26" i="17" s="1"/>
  <c r="EO25" i="17" a="1"/>
  <c r="EO25" i="17" s="1"/>
  <c r="HA26" i="17"/>
  <c r="GS26" i="17"/>
  <c r="JE26" i="17"/>
  <c r="CM26" i="17"/>
  <c r="EQ26" i="17" a="1"/>
  <c r="EQ26" i="17" s="1"/>
  <c r="EN25" i="17" a="1"/>
  <c r="EN25" i="17" s="1"/>
  <c r="GZ26" i="17"/>
  <c r="GR26" i="17"/>
  <c r="JD26" i="17"/>
  <c r="CL26" i="17"/>
  <c r="EP26" i="17" a="1"/>
  <c r="EP26" i="17" s="1"/>
  <c r="EU25" i="17" a="1"/>
  <c r="EU25" i="17" s="1"/>
  <c r="EM25" i="17" a="1"/>
  <c r="EM25" i="17" s="1"/>
  <c r="GY26" i="17"/>
  <c r="JC26" i="17"/>
  <c r="CK26" i="17"/>
  <c r="EO26" i="17" a="1"/>
  <c r="EO26" i="17" s="1"/>
  <c r="ET25" i="17" a="1"/>
  <c r="ET25" i="17" s="1"/>
  <c r="EL25" i="17" a="1"/>
  <c r="EL25" i="17" s="1"/>
  <c r="GX26" i="17"/>
  <c r="JJ26" i="17"/>
  <c r="JB26" i="17"/>
  <c r="CJ26" i="17"/>
  <c r="ET26" i="17" a="1"/>
  <c r="ET26" i="17" s="1"/>
  <c r="ER25" i="17" a="1"/>
  <c r="ER25" i="17" s="1"/>
  <c r="GV26" i="17"/>
  <c r="JH26" i="17"/>
  <c r="IZ26" i="17"/>
  <c r="EN26" i="17" a="1"/>
  <c r="EN26" i="17" s="1"/>
  <c r="EK25" i="17" a="1"/>
  <c r="EK25" i="17" s="1"/>
  <c r="HC26" i="17"/>
  <c r="CD26" i="17"/>
  <c r="EM26" i="17" a="1"/>
  <c r="EM26" i="17" s="1"/>
  <c r="HB26" i="17"/>
  <c r="CC26" i="17"/>
  <c r="EL26" i="17" a="1"/>
  <c r="EL26" i="17" s="1"/>
  <c r="GW26" i="17"/>
  <c r="EU26" i="17" a="1"/>
  <c r="EU26" i="17" s="1"/>
  <c r="JG26" i="17"/>
  <c r="CG26" i="17"/>
  <c r="GU26" i="17"/>
  <c r="CI26" i="17"/>
  <c r="ES25" i="17" a="1"/>
  <c r="ES25" i="17" s="1"/>
  <c r="CE26" i="17"/>
  <c r="GT26" i="17"/>
  <c r="JI26" i="17"/>
  <c r="CH26" i="17"/>
  <c r="ES26" i="17" a="1"/>
  <c r="ES26" i="17" s="1"/>
  <c r="EQ25" i="17" a="1"/>
  <c r="EQ25" i="17" s="1"/>
  <c r="JF26" i="17"/>
  <c r="CF26" i="17"/>
  <c r="ER26" i="17" a="1"/>
  <c r="ER26" i="17" s="1"/>
  <c r="EP25" i="17" a="1"/>
  <c r="EP25" i="17" s="1"/>
  <c r="JA26" i="17"/>
  <c r="NU15" i="17"/>
  <c r="NV26" i="17"/>
  <c r="NT26" i="17"/>
  <c r="NQ26" i="17"/>
  <c r="NU26" i="17"/>
  <c r="NS26" i="17"/>
  <c r="NR26" i="17"/>
  <c r="NY26" i="17"/>
  <c r="NP26" i="17"/>
  <c r="NO26" i="17"/>
  <c r="NX26" i="17"/>
  <c r="NW26" i="17"/>
  <c r="ES123" i="17"/>
  <c r="EK123" i="17"/>
  <c r="EN122" i="17"/>
  <c r="EQ121" i="17"/>
  <c r="ET120" i="17"/>
  <c r="EL120" i="17"/>
  <c r="EO119" i="17"/>
  <c r="ER118" i="17"/>
  <c r="EU117" i="17"/>
  <c r="EM117" i="17"/>
  <c r="EP116" i="17"/>
  <c r="EN113" i="17"/>
  <c r="EQ112" i="17"/>
  <c r="ET111" i="17"/>
  <c r="EL111" i="17"/>
  <c r="ER109" i="17"/>
  <c r="EU106" i="17"/>
  <c r="EM106" i="17"/>
  <c r="EU105" i="17"/>
  <c r="EM105" i="17"/>
  <c r="EU104" i="17"/>
  <c r="EM104" i="17"/>
  <c r="EQ123" i="17"/>
  <c r="ET122" i="17"/>
  <c r="EL122" i="17"/>
  <c r="EO121" i="17"/>
  <c r="ER120" i="17"/>
  <c r="EU119" i="17"/>
  <c r="EM119" i="17"/>
  <c r="EP118" i="17"/>
  <c r="ES117" i="17"/>
  <c r="EK117" i="17"/>
  <c r="EN116" i="17"/>
  <c r="ET113" i="17"/>
  <c r="EL113" i="17"/>
  <c r="EO112" i="17"/>
  <c r="ER111" i="17"/>
  <c r="EP109" i="17"/>
  <c r="EU123" i="17"/>
  <c r="ER122" i="17"/>
  <c r="EP121" i="17"/>
  <c r="EN120" i="17"/>
  <c r="EK119" i="17"/>
  <c r="ET118" i="17"/>
  <c r="EQ117" i="17"/>
  <c r="EO116" i="17"/>
  <c r="EQ113" i="17"/>
  <c r="EN112" i="17"/>
  <c r="EM111" i="17"/>
  <c r="EN109" i="17"/>
  <c r="ET106" i="17"/>
  <c r="EK106" i="17"/>
  <c r="EP105" i="17"/>
  <c r="ET104" i="17"/>
  <c r="EK104" i="17"/>
  <c r="ER103" i="17"/>
  <c r="EU100" i="17"/>
  <c r="EM100" i="17"/>
  <c r="EU97" i="17"/>
  <c r="EM97" i="17"/>
  <c r="ER123" i="17"/>
  <c r="EP122" i="17"/>
  <c r="EM121" i="17"/>
  <c r="EK120" i="17"/>
  <c r="ES119" i="17"/>
  <c r="EQ118" i="17"/>
  <c r="EO117" i="17"/>
  <c r="EL116" i="17"/>
  <c r="EO113" i="17"/>
  <c r="EL112" i="17"/>
  <c r="EU111" i="17"/>
  <c r="EL109" i="17"/>
  <c r="ER106" i="17"/>
  <c r="EN105" i="17"/>
  <c r="ER104" i="17"/>
  <c r="EP103" i="17"/>
  <c r="ES100" i="17"/>
  <c r="EK100" i="17"/>
  <c r="EO123" i="17"/>
  <c r="EM122" i="17"/>
  <c r="EU121" i="17"/>
  <c r="EK121" i="17"/>
  <c r="ES120" i="17"/>
  <c r="EQ119" i="17"/>
  <c r="EN118" i="17"/>
  <c r="EL117" i="17"/>
  <c r="ET116" i="17"/>
  <c r="EK113" i="17"/>
  <c r="ET112" i="17"/>
  <c r="EQ111" i="17"/>
  <c r="ET109" i="17"/>
  <c r="EP106" i="17"/>
  <c r="ET105" i="17"/>
  <c r="EK105" i="17"/>
  <c r="EP104" i="17"/>
  <c r="EN103" i="17"/>
  <c r="EQ100" i="17"/>
  <c r="EQ97" i="17"/>
  <c r="ET123" i="17"/>
  <c r="ES122" i="17"/>
  <c r="ES121" i="17"/>
  <c r="EQ120" i="17"/>
  <c r="ER119" i="17"/>
  <c r="ES118" i="17"/>
  <c r="ER117" i="17"/>
  <c r="ER116" i="17"/>
  <c r="EQ109" i="17"/>
  <c r="EL104" i="17"/>
  <c r="EQ103" i="17"/>
  <c r="EN100" i="17"/>
  <c r="ET97" i="17"/>
  <c r="EP123" i="17"/>
  <c r="EQ122" i="17"/>
  <c r="ER121" i="17"/>
  <c r="EP120" i="17"/>
  <c r="EP119" i="17"/>
  <c r="EO118" i="17"/>
  <c r="EP117" i="17"/>
  <c r="EQ116" i="17"/>
  <c r="EO109" i="17"/>
  <c r="ES106" i="17"/>
  <c r="EO103" i="17"/>
  <c r="EL100" i="17"/>
  <c r="ES97" i="17"/>
  <c r="EN123" i="17"/>
  <c r="EO122" i="17"/>
  <c r="EN121" i="17"/>
  <c r="EO120" i="17"/>
  <c r="EN119" i="17"/>
  <c r="EM118" i="17"/>
  <c r="EN117" i="17"/>
  <c r="EM116" i="17"/>
  <c r="EU113" i="17"/>
  <c r="EU112" i="17"/>
  <c r="EM109" i="17"/>
  <c r="EQ106" i="17"/>
  <c r="ES105" i="17"/>
  <c r="EM103" i="17"/>
  <c r="ER97" i="17"/>
  <c r="ER94" i="17"/>
  <c r="ER93" i="17"/>
  <c r="ER92" i="17"/>
  <c r="ER91" i="17"/>
  <c r="EU88" i="17"/>
  <c r="EM88" i="17"/>
  <c r="EU87" i="17"/>
  <c r="EM87" i="17"/>
  <c r="EU86" i="17"/>
  <c r="EM86" i="17"/>
  <c r="EU85" i="17"/>
  <c r="EM85" i="17"/>
  <c r="ER73" i="17"/>
  <c r="ER72" i="17"/>
  <c r="ER71" i="17"/>
  <c r="ER70" i="17"/>
  <c r="EU67" i="17"/>
  <c r="EM67" i="17"/>
  <c r="EU66" i="17"/>
  <c r="EM66" i="17"/>
  <c r="EU65" i="17"/>
  <c r="EM65" i="17"/>
  <c r="EU64" i="17"/>
  <c r="EM64" i="17"/>
  <c r="EP61" i="17"/>
  <c r="EP60" i="17"/>
  <c r="EP59" i="17"/>
  <c r="EP58" i="17"/>
  <c r="EM123" i="17"/>
  <c r="EK122" i="17"/>
  <c r="EL121" i="17"/>
  <c r="EM120" i="17"/>
  <c r="EL119" i="17"/>
  <c r="EL118" i="17"/>
  <c r="EK116" i="17"/>
  <c r="ES113" i="17"/>
  <c r="ES112" i="17"/>
  <c r="ES111" i="17"/>
  <c r="EK109" i="17"/>
  <c r="EO106" i="17"/>
  <c r="ER105" i="17"/>
  <c r="EL103" i="17"/>
  <c r="EP97" i="17"/>
  <c r="EQ94" i="17"/>
  <c r="EQ93" i="17"/>
  <c r="EQ92" i="17"/>
  <c r="EQ91" i="17"/>
  <c r="ET88" i="17"/>
  <c r="EL88" i="17"/>
  <c r="ET87" i="17"/>
  <c r="EL87" i="17"/>
  <c r="ET86" i="17"/>
  <c r="EL86" i="17"/>
  <c r="ET85" i="17"/>
  <c r="EL85" i="17"/>
  <c r="EL123" i="17"/>
  <c r="EK118" i="17"/>
  <c r="ER113" i="17"/>
  <c r="ER112" i="17"/>
  <c r="EP111" i="17"/>
  <c r="EN106" i="17"/>
  <c r="EQ105" i="17"/>
  <c r="ES104" i="17"/>
  <c r="EK103" i="17"/>
  <c r="ET100" i="17"/>
  <c r="EO97" i="17"/>
  <c r="EP94" i="17"/>
  <c r="EP93" i="17"/>
  <c r="EP92" i="17"/>
  <c r="EP91" i="17"/>
  <c r="ES88" i="17"/>
  <c r="EK88" i="17"/>
  <c r="ES87" i="17"/>
  <c r="EK87" i="17"/>
  <c r="ES86" i="17"/>
  <c r="EK86" i="17"/>
  <c r="ES85" i="17"/>
  <c r="EK85" i="17"/>
  <c r="EP73" i="17"/>
  <c r="EP72" i="17"/>
  <c r="EP71" i="17"/>
  <c r="EP70" i="17"/>
  <c r="ES67" i="17"/>
  <c r="EK67" i="17"/>
  <c r="ES66" i="17"/>
  <c r="EK66" i="17"/>
  <c r="ES65" i="17"/>
  <c r="EK65" i="17"/>
  <c r="ES64" i="17"/>
  <c r="EK64" i="17"/>
  <c r="EN61" i="17"/>
  <c r="EN60" i="17"/>
  <c r="EN59" i="17"/>
  <c r="EN58" i="17"/>
  <c r="ET121" i="17"/>
  <c r="ES109" i="17"/>
  <c r="EL106" i="17"/>
  <c r="EO100" i="17"/>
  <c r="EK97" i="17"/>
  <c r="EN94" i="17"/>
  <c r="EU93" i="17"/>
  <c r="EN92" i="17"/>
  <c r="EU91" i="17"/>
  <c r="EQ88" i="17"/>
  <c r="EQ86" i="17"/>
  <c r="EO73" i="17"/>
  <c r="EO72" i="17"/>
  <c r="EO71" i="17"/>
  <c r="EO70" i="17"/>
  <c r="ER67" i="17"/>
  <c r="ER66" i="17"/>
  <c r="ER65" i="17"/>
  <c r="ER64" i="17"/>
  <c r="EU120" i="17"/>
  <c r="EP113" i="17"/>
  <c r="EM94" i="17"/>
  <c r="ET93" i="17"/>
  <c r="EM92" i="17"/>
  <c r="ET91" i="17"/>
  <c r="EP88" i="17"/>
  <c r="EP86" i="17"/>
  <c r="EN73" i="17"/>
  <c r="EN72" i="17"/>
  <c r="EN71" i="17"/>
  <c r="EN70" i="17"/>
  <c r="EQ67" i="17"/>
  <c r="EQ66" i="17"/>
  <c r="EQ65" i="17"/>
  <c r="EQ64" i="17"/>
  <c r="EL61" i="17"/>
  <c r="EL60" i="17"/>
  <c r="ET119" i="17"/>
  <c r="EM113" i="17"/>
  <c r="EP112" i="17"/>
  <c r="EU103" i="17"/>
  <c r="EL94" i="17"/>
  <c r="ES93" i="17"/>
  <c r="EL92" i="17"/>
  <c r="ES91" i="17"/>
  <c r="EO88" i="17"/>
  <c r="EO86" i="17"/>
  <c r="EM73" i="17"/>
  <c r="EM72" i="17"/>
  <c r="EM71" i="17"/>
  <c r="ET117" i="17"/>
  <c r="EN104" i="17"/>
  <c r="EK92" i="17"/>
  <c r="ER88" i="17"/>
  <c r="EN85" i="17"/>
  <c r="ES73" i="17"/>
  <c r="EQ72" i="17"/>
  <c r="EL71" i="17"/>
  <c r="EL70" i="17"/>
  <c r="ET67" i="17"/>
  <c r="EL65" i="17"/>
  <c r="EO64" i="17"/>
  <c r="ER61" i="17"/>
  <c r="EM60" i="17"/>
  <c r="ET59" i="17"/>
  <c r="ET58" i="17"/>
  <c r="ES54" i="17"/>
  <c r="EK54" i="17"/>
  <c r="ES53" i="17" a="1"/>
  <c r="ES53" i="17" s="1"/>
  <c r="EK53" i="17" a="1"/>
  <c r="EK53" i="17" s="1"/>
  <c r="ES52" i="17" a="1"/>
  <c r="ES52" i="17" s="1"/>
  <c r="EK52" i="17" a="1"/>
  <c r="EK52" i="17" s="1"/>
  <c r="EN49" i="17"/>
  <c r="EQ48" i="17"/>
  <c r="ET47" i="17"/>
  <c r="EL47" i="17"/>
  <c r="EO46" i="17"/>
  <c r="ER45" i="17"/>
  <c r="EP42" i="17"/>
  <c r="ES41" i="17"/>
  <c r="EK41" i="17"/>
  <c r="EO111" i="17"/>
  <c r="EN97" i="17"/>
  <c r="EO93" i="17"/>
  <c r="EN88" i="17"/>
  <c r="ER86" i="17"/>
  <c r="EQ73" i="17"/>
  <c r="EL72" i="17"/>
  <c r="EK71" i="17"/>
  <c r="EK70" i="17"/>
  <c r="EP67" i="17"/>
  <c r="EN64" i="17"/>
  <c r="EQ61" i="17"/>
  <c r="EK60" i="17"/>
  <c r="ES59" i="17"/>
  <c r="ES58" i="17"/>
  <c r="ER54" i="17"/>
  <c r="ER53" i="17" a="1"/>
  <c r="ER53" i="17" s="1"/>
  <c r="ER52" i="17" a="1"/>
  <c r="ER52" i="17" s="1"/>
  <c r="EU49" i="17"/>
  <c r="EM49" i="17"/>
  <c r="EP48" i="17"/>
  <c r="ES47" i="17"/>
  <c r="EK47" i="17"/>
  <c r="EU118" i="17"/>
  <c r="EN111" i="17"/>
  <c r="EU109" i="17"/>
  <c r="ET103" i="17"/>
  <c r="ER100" i="17"/>
  <c r="EL97" i="17"/>
  <c r="EN93" i="17"/>
  <c r="EO91" i="17"/>
  <c r="EN86" i="17"/>
  <c r="EL73" i="17"/>
  <c r="EK72" i="17"/>
  <c r="EO67" i="17"/>
  <c r="ET66" i="17"/>
  <c r="EL64" i="17"/>
  <c r="EO61" i="17"/>
  <c r="EU60" i="17"/>
  <c r="ER59" i="17"/>
  <c r="ER58" i="17"/>
  <c r="EQ54" i="17"/>
  <c r="EQ53" i="17" a="1"/>
  <c r="EQ53" i="17" s="1"/>
  <c r="EQ52" i="17" a="1"/>
  <c r="EQ52" i="17" s="1"/>
  <c r="ET49" i="17"/>
  <c r="EL49" i="17"/>
  <c r="EO48" i="17"/>
  <c r="ER47" i="17"/>
  <c r="EU46" i="17"/>
  <c r="EM46" i="17"/>
  <c r="EP45" i="17"/>
  <c r="EN42" i="17"/>
  <c r="EQ41" i="17"/>
  <c r="ET40" i="17"/>
  <c r="EL40" i="17"/>
  <c r="EO39" i="17"/>
  <c r="ER38" i="17"/>
  <c r="EK111" i="17"/>
  <c r="EO105" i="17"/>
  <c r="ES103" i="17"/>
  <c r="EP100" i="17"/>
  <c r="EU94" i="17"/>
  <c r="EM93" i="17"/>
  <c r="EN91" i="17"/>
  <c r="ER87" i="17"/>
  <c r="EK73" i="17"/>
  <c r="EU70" i="17"/>
  <c r="EN67" i="17"/>
  <c r="EP66" i="17"/>
  <c r="EM61" i="17"/>
  <c r="ET60" i="17"/>
  <c r="EQ59" i="17"/>
  <c r="EQ58" i="17"/>
  <c r="EP54" i="17"/>
  <c r="EP53" i="17" a="1"/>
  <c r="EP53" i="17" s="1"/>
  <c r="EP52" i="17" a="1"/>
  <c r="EP52" i="17" s="1"/>
  <c r="ES49" i="17"/>
  <c r="EK49" i="17"/>
  <c r="EN48" i="17"/>
  <c r="EQ47" i="17"/>
  <c r="ET46" i="17"/>
  <c r="EL46" i="17"/>
  <c r="EO45" i="17"/>
  <c r="EU42" i="17"/>
  <c r="EM42" i="17"/>
  <c r="EP41" i="17"/>
  <c r="ES40" i="17"/>
  <c r="EK40" i="17"/>
  <c r="EN39" i="17"/>
  <c r="EQ38" i="17"/>
  <c r="EU122" i="17"/>
  <c r="EU116" i="17"/>
  <c r="EK112" i="17"/>
  <c r="ES94" i="17"/>
  <c r="EK93" i="17"/>
  <c r="ET92" i="17"/>
  <c r="EL91" i="17"/>
  <c r="EP87" i="17"/>
  <c r="EQ85" i="17"/>
  <c r="EU72" i="17"/>
  <c r="ET71" i="17"/>
  <c r="ES70" i="17"/>
  <c r="EN66" i="17"/>
  <c r="EP65" i="17"/>
  <c r="EU61" i="17"/>
  <c r="ER60" i="17"/>
  <c r="EM59" i="17"/>
  <c r="EM58" i="17"/>
  <c r="EN54" i="17"/>
  <c r="EN53" i="17" a="1"/>
  <c r="EN53" i="17" s="1"/>
  <c r="EN52" i="17" a="1"/>
  <c r="EN52" i="17" s="1"/>
  <c r="EQ49" i="17"/>
  <c r="EQ104" i="17"/>
  <c r="ES72" i="17"/>
  <c r="ET65" i="17"/>
  <c r="EP64" i="17"/>
  <c r="EL54" i="17"/>
  <c r="EU53" i="17" a="1"/>
  <c r="EU53" i="17" s="1"/>
  <c r="EL52" i="17" a="1"/>
  <c r="EL52" i="17" s="1"/>
  <c r="ES48" i="17"/>
  <c r="EQ46" i="17"/>
  <c r="EQ45" i="17"/>
  <c r="EQ40" i="17"/>
  <c r="EP39" i="17"/>
  <c r="EM38" i="17"/>
  <c r="EQ35" i="17"/>
  <c r="ET34" i="17"/>
  <c r="EL34" i="17"/>
  <c r="EO33" i="17"/>
  <c r="ER32" i="17"/>
  <c r="EU31" i="17"/>
  <c r="EM31" i="17"/>
  <c r="ES28" i="17" a="1"/>
  <c r="ES28" i="17" s="1"/>
  <c r="EK28" i="17" a="1"/>
  <c r="EK28" i="17" s="1"/>
  <c r="ES27" i="17"/>
  <c r="EK27" i="17"/>
  <c r="ES24" i="17" a="1"/>
  <c r="ES24" i="17" s="1"/>
  <c r="EK24" i="17" a="1"/>
  <c r="EK24" i="17" s="1"/>
  <c r="EN21" i="17"/>
  <c r="EN20" i="17"/>
  <c r="EN19" i="17"/>
  <c r="EN18" i="17"/>
  <c r="EQ13" i="17"/>
  <c r="EQ12" i="17"/>
  <c r="EQ11" i="17"/>
  <c r="ES20" i="17"/>
  <c r="EN11" i="17"/>
  <c r="EO104" i="17"/>
  <c r="EL93" i="17"/>
  <c r="EU73" i="17"/>
  <c r="EO65" i="17"/>
  <c r="ET53" i="17" a="1"/>
  <c r="ET53" i="17" s="1"/>
  <c r="ER48" i="17"/>
  <c r="EU47" i="17"/>
  <c r="EP46" i="17"/>
  <c r="EN45" i="17"/>
  <c r="ET42" i="17"/>
  <c r="EU41" i="17"/>
  <c r="EP40" i="17"/>
  <c r="EM39" i="17"/>
  <c r="EL38" i="17"/>
  <c r="EP35" i="17"/>
  <c r="ES34" i="17"/>
  <c r="EK34" i="17"/>
  <c r="EN33" i="17"/>
  <c r="EQ32" i="17"/>
  <c r="ET31" i="17"/>
  <c r="EL31" i="17"/>
  <c r="ER28" i="17" a="1"/>
  <c r="ER28" i="17" s="1"/>
  <c r="ER27" i="17"/>
  <c r="ER24" i="17" a="1"/>
  <c r="ER24" i="17" s="1"/>
  <c r="EU21" i="17"/>
  <c r="EM21" i="17"/>
  <c r="EU20" i="17"/>
  <c r="EM20" i="17"/>
  <c r="EU19" i="17"/>
  <c r="EM19" i="17"/>
  <c r="EU18" i="17"/>
  <c r="EM18" i="17"/>
  <c r="EP13" i="17"/>
  <c r="EP12" i="17"/>
  <c r="EP11" i="17"/>
  <c r="EK19" i="17"/>
  <c r="EN13" i="17"/>
  <c r="EN12" i="17"/>
  <c r="EK94" i="17"/>
  <c r="EL58" i="17"/>
  <c r="EM91" i="17"/>
  <c r="ET73" i="17"/>
  <c r="ET70" i="17"/>
  <c r="EO66" i="17"/>
  <c r="EN65" i="17"/>
  <c r="ET61" i="17"/>
  <c r="ES60" i="17"/>
  <c r="EU59" i="17"/>
  <c r="EO53" i="17" a="1"/>
  <c r="EO53" i="17" s="1"/>
  <c r="EM48" i="17"/>
  <c r="EP47" i="17"/>
  <c r="EN46" i="17"/>
  <c r="EM45" i="17"/>
  <c r="ES42" i="17"/>
  <c r="ET41" i="17"/>
  <c r="EO40" i="17"/>
  <c r="EL39" i="17"/>
  <c r="EU38" i="17"/>
  <c r="EK38" i="17"/>
  <c r="EO35" i="17"/>
  <c r="ER34" i="17"/>
  <c r="EU33" i="17"/>
  <c r="EM33" i="17"/>
  <c r="EP32" i="17"/>
  <c r="ES31" i="17"/>
  <c r="EK31" i="17"/>
  <c r="EQ28" i="17" a="1"/>
  <c r="EQ28" i="17" s="1"/>
  <c r="EQ27" i="17"/>
  <c r="EQ24" i="17" a="1"/>
  <c r="EQ24" i="17" s="1"/>
  <c r="ET21" i="17"/>
  <c r="EL21" i="17"/>
  <c r="ET20" i="17"/>
  <c r="EL20" i="17"/>
  <c r="ET19" i="17"/>
  <c r="EL19" i="17"/>
  <c r="ET18" i="17"/>
  <c r="EL18" i="17"/>
  <c r="EO13" i="17"/>
  <c r="EO12" i="17"/>
  <c r="EO11" i="17"/>
  <c r="EK21" i="17"/>
  <c r="ES19" i="17"/>
  <c r="ES18" i="17"/>
  <c r="ES92" i="17"/>
  <c r="ER85" i="17"/>
  <c r="ES71" i="17"/>
  <c r="EM112" i="17"/>
  <c r="ET94" i="17"/>
  <c r="EK91" i="17"/>
  <c r="EQ70" i="17"/>
  <c r="EL66" i="17"/>
  <c r="ES61" i="17"/>
  <c r="EQ60" i="17"/>
  <c r="EO59" i="17"/>
  <c r="EU58" i="17"/>
  <c r="EM53" i="17" a="1"/>
  <c r="EM53" i="17" s="1"/>
  <c r="ER49" i="17"/>
  <c r="EL48" i="17"/>
  <c r="EO47" i="17"/>
  <c r="EK46" i="17"/>
  <c r="EL45" i="17"/>
  <c r="ER42" i="17"/>
  <c r="ER41" i="17"/>
  <c r="EN40" i="17"/>
  <c r="EU39" i="17"/>
  <c r="EK39" i="17"/>
  <c r="ET38" i="17"/>
  <c r="EN35" i="17"/>
  <c r="EQ34" i="17"/>
  <c r="ET33" i="17"/>
  <c r="EL33" i="17"/>
  <c r="EO32" i="17"/>
  <c r="ER31" i="17"/>
  <c r="EP28" i="17" a="1"/>
  <c r="EP28" i="17" s="1"/>
  <c r="EP27" i="17"/>
  <c r="EP24" i="17" a="1"/>
  <c r="EP24" i="17" s="1"/>
  <c r="ES21" i="17"/>
  <c r="EK20" i="17"/>
  <c r="EK18" i="17"/>
  <c r="ES116" i="17"/>
  <c r="EO87" i="17"/>
  <c r="EK59" i="17"/>
  <c r="EO94" i="17"/>
  <c r="EU92" i="17"/>
  <c r="EQ87" i="17"/>
  <c r="EU71" i="17"/>
  <c r="EM70" i="17"/>
  <c r="EL67" i="17"/>
  <c r="EK61" i="17"/>
  <c r="EO60" i="17"/>
  <c r="EL59" i="17"/>
  <c r="EO58" i="17"/>
  <c r="EU54" i="17"/>
  <c r="EL53" i="17" a="1"/>
  <c r="EL53" i="17" s="1"/>
  <c r="EU52" i="17" a="1"/>
  <c r="EU52" i="17" s="1"/>
  <c r="EP49" i="17"/>
  <c r="EK48" i="17"/>
  <c r="EN47" i="17"/>
  <c r="EK45" i="17"/>
  <c r="EQ42" i="17"/>
  <c r="EO41" i="17"/>
  <c r="EM40" i="17"/>
  <c r="ET39" i="17"/>
  <c r="ES38" i="17"/>
  <c r="EU35" i="17"/>
  <c r="EM35" i="17"/>
  <c r="EP34" i="17"/>
  <c r="ES33" i="17"/>
  <c r="EK33" i="17"/>
  <c r="EN32" i="17"/>
  <c r="EQ31" i="17"/>
  <c r="EO28" i="17" a="1"/>
  <c r="EO28" i="17" s="1"/>
  <c r="EO27" i="17"/>
  <c r="EO24" i="17" a="1"/>
  <c r="EO24" i="17" s="1"/>
  <c r="ER21" i="17"/>
  <c r="ER20" i="17"/>
  <c r="ER19" i="17"/>
  <c r="ER18" i="17"/>
  <c r="EU13" i="17"/>
  <c r="EM13" i="17"/>
  <c r="EU12" i="17"/>
  <c r="EM12" i="17"/>
  <c r="EU11" i="17"/>
  <c r="EM11" i="17"/>
  <c r="EQ71" i="17"/>
  <c r="EO54" i="17"/>
  <c r="ET52" i="17" a="1"/>
  <c r="ET52" i="17" s="1"/>
  <c r="EU48" i="17"/>
  <c r="EU45" i="17"/>
  <c r="EO42" i="17"/>
  <c r="ER39" i="17"/>
  <c r="EN38" i="17"/>
  <c r="ET35" i="17"/>
  <c r="EQ33" i="17"/>
  <c r="EN31" i="17"/>
  <c r="ET27" i="17"/>
  <c r="ET24" i="17" a="1"/>
  <c r="ET24" i="17" s="1"/>
  <c r="EO21" i="17"/>
  <c r="EO19" i="17"/>
  <c r="EL13" i="17"/>
  <c r="EL11" i="17"/>
  <c r="ER33" i="17"/>
  <c r="EU27" i="17"/>
  <c r="ER13" i="17"/>
  <c r="EP85" i="17"/>
  <c r="EM54" i="17"/>
  <c r="EO52" i="17" a="1"/>
  <c r="EO52" i="17" s="1"/>
  <c r="EO49" i="17"/>
  <c r="ET48" i="17"/>
  <c r="ET45" i="17"/>
  <c r="EL42" i="17"/>
  <c r="EU40" i="17"/>
  <c r="EQ39" i="17"/>
  <c r="ES35" i="17"/>
  <c r="EP33" i="17"/>
  <c r="EU32" i="17"/>
  <c r="EN27" i="17"/>
  <c r="EN24" i="17" a="1"/>
  <c r="EN24" i="17" s="1"/>
  <c r="EK13" i="17"/>
  <c r="ET12" i="17"/>
  <c r="EK11" i="17"/>
  <c r="EK58" i="17"/>
  <c r="EM34" i="17"/>
  <c r="EO92" i="17"/>
  <c r="EO85" i="17"/>
  <c r="EM52" i="17" a="1"/>
  <c r="EM52" i="17" s="1"/>
  <c r="ES45" i="17"/>
  <c r="EK42" i="17"/>
  <c r="ER40" i="17"/>
  <c r="ER35" i="17"/>
  <c r="ET32" i="17"/>
  <c r="EM27" i="17"/>
  <c r="EM24" i="17" a="1"/>
  <c r="EM24" i="17" s="1"/>
  <c r="EQ20" i="17"/>
  <c r="EQ18" i="17"/>
  <c r="ES12" i="17"/>
  <c r="ET13" i="17"/>
  <c r="EP38" i="17"/>
  <c r="EK32" i="17"/>
  <c r="ES11" i="17"/>
  <c r="EO31" i="17"/>
  <c r="EP19" i="17"/>
  <c r="EM47" i="17"/>
  <c r="EL35" i="17"/>
  <c r="ES32" i="17"/>
  <c r="EU28" i="17" a="1"/>
  <c r="EU28" i="17" s="1"/>
  <c r="EL27" i="17"/>
  <c r="EL24" i="17" a="1"/>
  <c r="EL24" i="17" s="1"/>
  <c r="EP20" i="17"/>
  <c r="EP18" i="17"/>
  <c r="ER12" i="17"/>
  <c r="EU34" i="17"/>
  <c r="EM32" i="17"/>
  <c r="ET28" i="17" a="1"/>
  <c r="ET28" i="17" s="1"/>
  <c r="EO20" i="17"/>
  <c r="EO18" i="17"/>
  <c r="ES46" i="17"/>
  <c r="EO34" i="17"/>
  <c r="EN28" i="17" a="1"/>
  <c r="EN28" i="17" s="1"/>
  <c r="EK12" i="17"/>
  <c r="ET11" i="17"/>
  <c r="EL105" i="17"/>
  <c r="ER46" i="17"/>
  <c r="EP31" i="17"/>
  <c r="ES13" i="17"/>
  <c r="EN87" i="17"/>
  <c r="ET72" i="17"/>
  <c r="ET54" i="17"/>
  <c r="ES39" i="17"/>
  <c r="EL28" i="17" a="1"/>
  <c r="EL28" i="17" s="1"/>
  <c r="EP21" i="17"/>
  <c r="ET64" i="17"/>
  <c r="EN41" i="17"/>
  <c r="EK35" i="17"/>
  <c r="EL12" i="17"/>
  <c r="EM41" i="17"/>
  <c r="EL32" i="17"/>
  <c r="EL41" i="17"/>
  <c r="EN34" i="17"/>
  <c r="EM28" i="17" a="1"/>
  <c r="EM28" i="17" s="1"/>
  <c r="EQ21" i="17"/>
  <c r="EQ19" i="17"/>
  <c r="EO38" i="17"/>
  <c r="EU24" i="17" a="1"/>
  <c r="EU24" i="17" s="1"/>
  <c r="ER11" i="17"/>
  <c r="AM116" i="17"/>
  <c r="AM117" i="17"/>
  <c r="AM118" i="17"/>
  <c r="AM119" i="17"/>
  <c r="AM120" i="17"/>
  <c r="AM121" i="17"/>
  <c r="AM123" i="17"/>
  <c r="AM122" i="17"/>
  <c r="NX13" i="17"/>
  <c r="NS11" i="17"/>
  <c r="NP12" i="17"/>
  <c r="NW97" i="17"/>
  <c r="NT98" i="17"/>
  <c r="NQ99" i="17"/>
  <c r="NY27" i="17"/>
  <c r="NV28" i="17"/>
  <c r="NS52" i="17"/>
  <c r="NP53" i="17"/>
  <c r="NT55" i="17"/>
  <c r="NQ58" i="17"/>
  <c r="NY58" i="17"/>
  <c r="NV59" i="17"/>
  <c r="NS60" i="17"/>
  <c r="NP61" i="17"/>
  <c r="NX61" i="17"/>
  <c r="NU64" i="17"/>
  <c r="NR65" i="17"/>
  <c r="NO66" i="17"/>
  <c r="NW66" i="17"/>
  <c r="NT67" i="17"/>
  <c r="NQ109" i="17"/>
  <c r="NY109" i="17"/>
  <c r="NV31" i="17"/>
  <c r="NS32" i="17"/>
  <c r="NP33" i="17"/>
  <c r="NX33" i="17"/>
  <c r="NU34" i="17"/>
  <c r="NR35" i="17"/>
  <c r="NW98" i="17"/>
  <c r="NT99" i="17"/>
  <c r="NQ100" i="17"/>
  <c r="NY28" i="17"/>
  <c r="NV52" i="17"/>
  <c r="NS53" i="17"/>
  <c r="NP54" i="17"/>
  <c r="NU55" i="17"/>
  <c r="NR58" i="17"/>
  <c r="NO59" i="17"/>
  <c r="NW59" i="17"/>
  <c r="NT60" i="17"/>
  <c r="NQ61" i="17"/>
  <c r="NY61" i="17"/>
  <c r="NV64" i="17"/>
  <c r="NS65" i="17"/>
  <c r="NP66" i="17"/>
  <c r="NX66" i="17"/>
  <c r="NU67" i="17"/>
  <c r="NR109" i="17"/>
  <c r="NO31" i="17"/>
  <c r="NW31" i="17"/>
  <c r="NT32" i="17"/>
  <c r="NQ33" i="17"/>
  <c r="NY33" i="17"/>
  <c r="NV34" i="17"/>
  <c r="NS35" i="17"/>
  <c r="NY99" i="17"/>
  <c r="NV100" i="17"/>
  <c r="NS103" i="17"/>
  <c r="NP104" i="17"/>
  <c r="NX53" i="17"/>
  <c r="NU54" i="17"/>
  <c r="NV55" i="17"/>
  <c r="NS58" i="17"/>
  <c r="NP59" i="17"/>
  <c r="NX59" i="17"/>
  <c r="NU60" i="17"/>
  <c r="NR61" i="17"/>
  <c r="NO64" i="17"/>
  <c r="NW64" i="17"/>
  <c r="NT65" i="17"/>
  <c r="NQ66" i="17"/>
  <c r="NY66" i="17"/>
  <c r="NV67" i="17"/>
  <c r="NS109" i="17"/>
  <c r="NP31" i="17"/>
  <c r="NX31" i="17"/>
  <c r="NU32" i="17"/>
  <c r="NR33" i="17"/>
  <c r="NO34" i="17"/>
  <c r="NW34" i="17"/>
  <c r="NT35" i="17"/>
  <c r="NY100" i="17"/>
  <c r="NV103" i="17"/>
  <c r="NS104" i="17"/>
  <c r="NP105" i="17"/>
  <c r="NX54" i="17"/>
  <c r="NO55" i="17"/>
  <c r="NW55" i="17"/>
  <c r="NT58" i="17"/>
  <c r="NQ59" i="17"/>
  <c r="NY59" i="17"/>
  <c r="NV60" i="17"/>
  <c r="NS61" i="17"/>
  <c r="NP64" i="17"/>
  <c r="NX64" i="17"/>
  <c r="NU65" i="17"/>
  <c r="NR66" i="17"/>
  <c r="NO67" i="17"/>
  <c r="NW67" i="17"/>
  <c r="NT109" i="17"/>
  <c r="NQ31" i="17"/>
  <c r="NY31" i="17"/>
  <c r="NV32" i="17"/>
  <c r="NS33" i="17"/>
  <c r="NP34" i="17"/>
  <c r="NX34" i="17"/>
  <c r="NU35" i="17"/>
  <c r="NV11" i="17"/>
  <c r="NS12" i="17"/>
  <c r="NP13" i="17"/>
  <c r="NX105" i="17"/>
  <c r="NU106" i="17"/>
  <c r="NR24" i="17"/>
  <c r="NO25" i="17"/>
  <c r="NQ55" i="17"/>
  <c r="NY55" i="17"/>
  <c r="NV58" i="17"/>
  <c r="NS59" i="17"/>
  <c r="NP60" i="17"/>
  <c r="NX60" i="17"/>
  <c r="NU61" i="17"/>
  <c r="NR64" i="17"/>
  <c r="NO65" i="17"/>
  <c r="NW65" i="17"/>
  <c r="NT66" i="17"/>
  <c r="NQ67" i="17"/>
  <c r="NY67" i="17"/>
  <c r="NV109" i="17"/>
  <c r="NS31" i="17"/>
  <c r="NP32" i="17"/>
  <c r="NX32" i="17"/>
  <c r="NU33" i="17"/>
  <c r="NR34" i="17"/>
  <c r="NO35" i="17"/>
  <c r="NW35" i="17"/>
  <c r="NX12" i="17"/>
  <c r="NU13" i="17"/>
  <c r="NR15" i="17"/>
  <c r="NO97" i="17"/>
  <c r="NW24" i="17"/>
  <c r="NT25" i="17"/>
  <c r="NQ27" i="17"/>
  <c r="NR55" i="17"/>
  <c r="NO58" i="17"/>
  <c r="NW58" i="17"/>
  <c r="NT59" i="17"/>
  <c r="NQ60" i="17"/>
  <c r="NY60" i="17"/>
  <c r="NV61" i="17"/>
  <c r="NS64" i="17"/>
  <c r="NP65" i="17"/>
  <c r="NX65" i="17"/>
  <c r="NU66" i="17"/>
  <c r="NR67" i="17"/>
  <c r="NO109" i="17"/>
  <c r="NW109" i="17"/>
  <c r="NT31" i="17"/>
  <c r="NQ32" i="17"/>
  <c r="NY32" i="17"/>
  <c r="NV33" i="17"/>
  <c r="NS34" i="17"/>
  <c r="NP35" i="17"/>
  <c r="NX35" i="17"/>
  <c r="NW54" i="17"/>
  <c r="NO54" i="17"/>
  <c r="NR53" i="17"/>
  <c r="NU52" i="17"/>
  <c r="NX28" i="17"/>
  <c r="NP28" i="17"/>
  <c r="NS27" i="17"/>
  <c r="NV25" i="17"/>
  <c r="NY24" i="17"/>
  <c r="NQ24" i="17"/>
  <c r="NT106" i="17"/>
  <c r="NW105" i="17"/>
  <c r="NO105" i="17"/>
  <c r="NR104" i="17"/>
  <c r="NU103" i="17"/>
  <c r="NX100" i="17"/>
  <c r="NP100" i="17"/>
  <c r="NS99" i="17"/>
  <c r="NV98" i="17"/>
  <c r="NY97" i="17"/>
  <c r="NQ97" i="17"/>
  <c r="NT15" i="17"/>
  <c r="NW13" i="17"/>
  <c r="NO13" i="17"/>
  <c r="NR12" i="17"/>
  <c r="NU11" i="17"/>
  <c r="NV54" i="17"/>
  <c r="NY53" i="17"/>
  <c r="NQ53" i="17"/>
  <c r="NT52" i="17"/>
  <c r="NW28" i="17"/>
  <c r="NO28" i="17"/>
  <c r="NR27" i="17"/>
  <c r="NU25" i="17"/>
  <c r="NX24" i="17"/>
  <c r="NP24" i="17"/>
  <c r="NS106" i="17"/>
  <c r="NV105" i="17"/>
  <c r="NY104" i="17"/>
  <c r="NQ104" i="17"/>
  <c r="NT103" i="17"/>
  <c r="NW100" i="17"/>
  <c r="NO100" i="17"/>
  <c r="NR99" i="17"/>
  <c r="NU98" i="17"/>
  <c r="NX97" i="17"/>
  <c r="NP97" i="17"/>
  <c r="NS15" i="17"/>
  <c r="NV13" i="17"/>
  <c r="NY12" i="17"/>
  <c r="NQ12" i="17"/>
  <c r="NT11" i="17"/>
  <c r="NT54" i="17"/>
  <c r="NW53" i="17"/>
  <c r="NO53" i="17"/>
  <c r="NR52" i="17"/>
  <c r="NU28" i="17"/>
  <c r="NX27" i="17"/>
  <c r="NP27" i="17"/>
  <c r="NS25" i="17"/>
  <c r="NV24" i="17"/>
  <c r="NY106" i="17"/>
  <c r="NQ106" i="17"/>
  <c r="NT105" i="17"/>
  <c r="NW104" i="17"/>
  <c r="NO104" i="17"/>
  <c r="NR103" i="17"/>
  <c r="NU100" i="17"/>
  <c r="NX99" i="17"/>
  <c r="NP99" i="17"/>
  <c r="NS98" i="17"/>
  <c r="NV97" i="17"/>
  <c r="NY15" i="17"/>
  <c r="NQ15" i="17"/>
  <c r="NT13" i="17"/>
  <c r="NW12" i="17"/>
  <c r="NO12" i="17"/>
  <c r="NR11" i="17"/>
  <c r="NS54" i="17"/>
  <c r="NV53" i="17"/>
  <c r="NY52" i="17"/>
  <c r="NQ52" i="17"/>
  <c r="NT28" i="17"/>
  <c r="NW27" i="17"/>
  <c r="NO27" i="17"/>
  <c r="NR25" i="17"/>
  <c r="NU24" i="17"/>
  <c r="NX106" i="17"/>
  <c r="NP106" i="17"/>
  <c r="NS105" i="17"/>
  <c r="NV104" i="17"/>
  <c r="NY103" i="17"/>
  <c r="NQ103" i="17"/>
  <c r="NT100" i="17"/>
  <c r="NW99" i="17"/>
  <c r="NO99" i="17"/>
  <c r="NR98" i="17"/>
  <c r="NU97" i="17"/>
  <c r="NX15" i="17"/>
  <c r="NP15" i="17"/>
  <c r="NS13" i="17"/>
  <c r="NV12" i="17"/>
  <c r="NY11" i="17"/>
  <c r="NQ11" i="17"/>
  <c r="NR54" i="17"/>
  <c r="NU53" i="17"/>
  <c r="NX52" i="17"/>
  <c r="NP52" i="17"/>
  <c r="NS28" i="17"/>
  <c r="NV27" i="17"/>
  <c r="NY25" i="17"/>
  <c r="NQ25" i="17"/>
  <c r="NT24" i="17"/>
  <c r="NW106" i="17"/>
  <c r="NO106" i="17"/>
  <c r="NR105" i="17"/>
  <c r="NU104" i="17"/>
  <c r="NX103" i="17"/>
  <c r="NP103" i="17"/>
  <c r="NS100" i="17"/>
  <c r="NV99" i="17"/>
  <c r="NY98" i="17"/>
  <c r="NQ98" i="17"/>
  <c r="NT97" i="17"/>
  <c r="NW15" i="17"/>
  <c r="NO15" i="17"/>
  <c r="NR13" i="17"/>
  <c r="NU12" i="17"/>
  <c r="NX11" i="17"/>
  <c r="NP11" i="17"/>
  <c r="NY54" i="17"/>
  <c r="NQ54" i="17"/>
  <c r="NT53" i="17"/>
  <c r="NW52" i="17"/>
  <c r="NO52" i="17"/>
  <c r="NR28" i="17"/>
  <c r="NU27" i="17"/>
  <c r="NX25" i="17"/>
  <c r="NP25" i="17"/>
  <c r="NS24" i="17"/>
  <c r="NV106" i="17"/>
  <c r="NY105" i="17"/>
  <c r="NQ105" i="17"/>
  <c r="NT104" i="17"/>
  <c r="NW103" i="17"/>
  <c r="NO103" i="17"/>
  <c r="NR100" i="17"/>
  <c r="NU99" i="17"/>
  <c r="NX98" i="17"/>
  <c r="NP98" i="17"/>
  <c r="NS97" i="17"/>
  <c r="NV15" i="17"/>
  <c r="NY13" i="17"/>
  <c r="NQ13" i="17"/>
  <c r="NT12" i="17"/>
  <c r="NW11" i="17"/>
  <c r="NO11" i="17"/>
  <c r="V124" i="1"/>
  <c r="V116" i="1"/>
  <c r="V118" i="1"/>
  <c r="V126" i="1"/>
  <c r="V115" i="1"/>
  <c r="V123" i="1"/>
  <c r="U60" i="1"/>
  <c r="U28" i="1"/>
  <c r="U68" i="1"/>
  <c r="U36" i="1"/>
  <c r="U76" i="1"/>
  <c r="U44" i="1"/>
  <c r="U52" i="1"/>
  <c r="U20" i="1"/>
  <c r="U70" i="1"/>
  <c r="U38" i="1"/>
  <c r="U78" i="1"/>
  <c r="U46" i="1"/>
  <c r="U54" i="1"/>
  <c r="U22" i="1"/>
  <c r="U62" i="1"/>
  <c r="U30" i="1"/>
  <c r="V79" i="1"/>
  <c r="V47" i="1"/>
  <c r="V55" i="1"/>
  <c r="V23" i="1"/>
  <c r="V63" i="1"/>
  <c r="V31" i="1"/>
  <c r="V71" i="1"/>
  <c r="V39" i="1"/>
  <c r="U102" i="1"/>
  <c r="U110" i="1"/>
  <c r="U86" i="1"/>
  <c r="U94" i="1"/>
  <c r="U124" i="1"/>
  <c r="U116" i="1"/>
  <c r="U118" i="1"/>
  <c r="U126" i="1"/>
  <c r="V119" i="1"/>
  <c r="V127" i="1"/>
  <c r="U92" i="1"/>
  <c r="U100" i="1"/>
  <c r="U108" i="1"/>
  <c r="U84" i="1"/>
  <c r="V111" i="1"/>
  <c r="V87" i="1"/>
  <c r="V95" i="1"/>
  <c r="V103" i="1"/>
  <c r="U115" i="1"/>
  <c r="U123" i="1"/>
  <c r="V60" i="1"/>
  <c r="V28" i="1"/>
  <c r="V68" i="1"/>
  <c r="V36" i="1"/>
  <c r="V76" i="1"/>
  <c r="V44" i="1"/>
  <c r="V52" i="1"/>
  <c r="V20" i="1"/>
  <c r="V70" i="1"/>
  <c r="V38" i="1"/>
  <c r="V78" i="1"/>
  <c r="V46" i="1"/>
  <c r="V54" i="1"/>
  <c r="V22" i="1"/>
  <c r="V62" i="1"/>
  <c r="V30" i="1"/>
  <c r="V92" i="1"/>
  <c r="V100" i="1"/>
  <c r="V108" i="1"/>
  <c r="V84" i="1"/>
  <c r="V102" i="1"/>
  <c r="V110" i="1"/>
  <c r="V86" i="1"/>
  <c r="V94" i="1"/>
  <c r="IH111" i="17"/>
  <c r="MW111" i="17" s="1"/>
  <c r="IP111" i="17"/>
  <c r="NE111" i="17" s="1"/>
  <c r="IX111" i="17"/>
  <c r="NM111" i="17" s="1"/>
  <c r="JF111" i="17"/>
  <c r="NU111" i="17" s="1"/>
  <c r="HO112" i="17"/>
  <c r="MD112" i="17" s="1"/>
  <c r="HW112" i="17"/>
  <c r="ML112" i="17" s="1"/>
  <c r="IE112" i="17"/>
  <c r="MT112" i="17" s="1"/>
  <c r="IM112" i="17"/>
  <c r="NB112" i="17" s="1"/>
  <c r="IU112" i="17"/>
  <c r="NJ112" i="17" s="1"/>
  <c r="JC112" i="17"/>
  <c r="NR112" i="17" s="1"/>
  <c r="HL113" i="17"/>
  <c r="MA113" i="17" s="1"/>
  <c r="HT113" i="17"/>
  <c r="MI113" i="17" s="1"/>
  <c r="IB113" i="17"/>
  <c r="MQ113" i="17" s="1"/>
  <c r="IJ113" i="17"/>
  <c r="MY113" i="17" s="1"/>
  <c r="IR113" i="17"/>
  <c r="NG113" i="17" s="1"/>
  <c r="IZ113" i="17"/>
  <c r="NO113" i="17" s="1"/>
  <c r="JH113" i="17"/>
  <c r="NW113" i="17" s="1"/>
  <c r="HA113" i="17"/>
  <c r="LP113" i="17" s="1"/>
  <c r="GS113" i="17"/>
  <c r="LH113" i="17" s="1"/>
  <c r="GK113" i="17"/>
  <c r="KZ113" i="17" s="1"/>
  <c r="GC113" i="17"/>
  <c r="KR113" i="17" s="1"/>
  <c r="FU113" i="17"/>
  <c r="KJ113" i="17" s="1"/>
  <c r="FL113" i="17"/>
  <c r="KA113" i="17" s="1"/>
  <c r="IA111" i="17"/>
  <c r="MP111" i="17" s="1"/>
  <c r="II111" i="17"/>
  <c r="MX111" i="17" s="1"/>
  <c r="IQ111" i="17"/>
  <c r="NF111" i="17" s="1"/>
  <c r="IY111" i="17"/>
  <c r="NN111" i="17" s="1"/>
  <c r="JG111" i="17"/>
  <c r="NV111" i="17" s="1"/>
  <c r="IB111" i="17"/>
  <c r="MQ111" i="17" s="1"/>
  <c r="IJ111" i="17"/>
  <c r="MY111" i="17" s="1"/>
  <c r="IR111" i="17"/>
  <c r="NG111" i="17" s="1"/>
  <c r="IZ111" i="17"/>
  <c r="NO111" i="17" s="1"/>
  <c r="JH111" i="17"/>
  <c r="NW111" i="17" s="1"/>
  <c r="HQ112" i="17"/>
  <c r="MF112" i="17" s="1"/>
  <c r="HY112" i="17"/>
  <c r="MN112" i="17" s="1"/>
  <c r="IG112" i="17"/>
  <c r="MV112" i="17" s="1"/>
  <c r="IO112" i="17"/>
  <c r="ND112" i="17" s="1"/>
  <c r="IW112" i="17"/>
  <c r="NL112" i="17" s="1"/>
  <c r="JE112" i="17"/>
  <c r="NT112" i="17" s="1"/>
  <c r="HN113" i="17"/>
  <c r="MC113" i="17" s="1"/>
  <c r="HV113" i="17"/>
  <c r="MK113" i="17" s="1"/>
  <c r="ID113" i="17"/>
  <c r="MS113" i="17" s="1"/>
  <c r="IL113" i="17"/>
  <c r="NA113" i="17" s="1"/>
  <c r="IT113" i="17"/>
  <c r="NI113" i="17" s="1"/>
  <c r="JB113" i="17"/>
  <c r="NQ113" i="17" s="1"/>
  <c r="JJ113" i="17"/>
  <c r="NY113" i="17" s="1"/>
  <c r="GY113" i="17"/>
  <c r="LN113" i="17" s="1"/>
  <c r="GQ113" i="17"/>
  <c r="LF113" i="17" s="1"/>
  <c r="GI113" i="17"/>
  <c r="KX113" i="17" s="1"/>
  <c r="GA113" i="17"/>
  <c r="KP113" i="17" s="1"/>
  <c r="FR113" i="17"/>
  <c r="FJ113" i="17"/>
  <c r="JY113" i="17" s="1"/>
  <c r="HB112" i="17"/>
  <c r="LQ112" i="17" s="1"/>
  <c r="GT112" i="17"/>
  <c r="LI112" i="17" s="1"/>
  <c r="GL112" i="17"/>
  <c r="LA112" i="17" s="1"/>
  <c r="GD112" i="17"/>
  <c r="KS112" i="17" s="1"/>
  <c r="FV112" i="17"/>
  <c r="KK112" i="17" s="1"/>
  <c r="FM112" i="17"/>
  <c r="KB112" i="17" s="1"/>
  <c r="FE112" i="17"/>
  <c r="JT112" i="17" s="1"/>
  <c r="GW111" i="17"/>
  <c r="LL111" i="17" s="1"/>
  <c r="IC111" i="17"/>
  <c r="MR111" i="17" s="1"/>
  <c r="IK111" i="17"/>
  <c r="MZ111" i="17" s="1"/>
  <c r="ID111" i="17"/>
  <c r="MS111" i="17" s="1"/>
  <c r="IL111" i="17"/>
  <c r="NA111" i="17" s="1"/>
  <c r="IT111" i="17"/>
  <c r="NI111" i="17" s="1"/>
  <c r="JB111" i="17"/>
  <c r="NQ111" i="17" s="1"/>
  <c r="JJ111" i="17"/>
  <c r="NY111" i="17" s="1"/>
  <c r="HS112" i="17"/>
  <c r="MH112" i="17" s="1"/>
  <c r="IA112" i="17"/>
  <c r="MP112" i="17" s="1"/>
  <c r="II112" i="17"/>
  <c r="MX112" i="17" s="1"/>
  <c r="IQ112" i="17"/>
  <c r="NF112" i="17" s="1"/>
  <c r="IY112" i="17"/>
  <c r="NN112" i="17" s="1"/>
  <c r="JG112" i="17"/>
  <c r="NV112" i="17" s="1"/>
  <c r="HP113" i="17"/>
  <c r="ME113" i="17" s="1"/>
  <c r="HX113" i="17"/>
  <c r="MM113" i="17" s="1"/>
  <c r="IF113" i="17"/>
  <c r="MU113" i="17" s="1"/>
  <c r="IN113" i="17"/>
  <c r="NC113" i="17" s="1"/>
  <c r="IV113" i="17"/>
  <c r="NK113" i="17" s="1"/>
  <c r="JD113" i="17"/>
  <c r="NS113" i="17" s="1"/>
  <c r="HK112" i="17"/>
  <c r="LZ112" i="17" s="1"/>
  <c r="GW113" i="17"/>
  <c r="LL113" i="17" s="1"/>
  <c r="GO113" i="17"/>
  <c r="LD113" i="17" s="1"/>
  <c r="GG113" i="17"/>
  <c r="KV113" i="17" s="1"/>
  <c r="FY113" i="17"/>
  <c r="FP113" i="17"/>
  <c r="KE113" i="17" s="1"/>
  <c r="FH113" i="17"/>
  <c r="JW113" i="17" s="1"/>
  <c r="GZ112" i="17"/>
  <c r="LO112" i="17" s="1"/>
  <c r="GR112" i="17"/>
  <c r="LG112" i="17" s="1"/>
  <c r="GJ112" i="17"/>
  <c r="KY112" i="17" s="1"/>
  <c r="GB112" i="17"/>
  <c r="KQ112" i="17" s="1"/>
  <c r="FT112" i="17"/>
  <c r="FK112" i="17"/>
  <c r="JZ112" i="17" s="1"/>
  <c r="HC111" i="17"/>
  <c r="LR111" i="17" s="1"/>
  <c r="GU111" i="17"/>
  <c r="LJ111" i="17" s="1"/>
  <c r="GM111" i="17"/>
  <c r="LB111" i="17" s="1"/>
  <c r="GE111" i="17"/>
  <c r="KT111" i="17" s="1"/>
  <c r="FW111" i="17"/>
  <c r="KL111" i="17" s="1"/>
  <c r="FN111" i="17"/>
  <c r="KC111" i="17" s="1"/>
  <c r="FF111" i="17"/>
  <c r="JU111" i="17" s="1"/>
  <c r="IE111" i="17"/>
  <c r="MT111" i="17" s="1"/>
  <c r="IM111" i="17"/>
  <c r="NB111" i="17" s="1"/>
  <c r="IU111" i="17"/>
  <c r="NJ111" i="17" s="1"/>
  <c r="JC111" i="17"/>
  <c r="NR111" i="17" s="1"/>
  <c r="HL112" i="17"/>
  <c r="MA112" i="17" s="1"/>
  <c r="HT112" i="17"/>
  <c r="MI112" i="17" s="1"/>
  <c r="IB112" i="17"/>
  <c r="MQ112" i="17" s="1"/>
  <c r="IJ112" i="17"/>
  <c r="MY112" i="17" s="1"/>
  <c r="IR112" i="17"/>
  <c r="NG112" i="17" s="1"/>
  <c r="IZ112" i="17"/>
  <c r="NO112" i="17" s="1"/>
  <c r="JH112" i="17"/>
  <c r="NW112" i="17" s="1"/>
  <c r="HQ113" i="17"/>
  <c r="MF113" i="17" s="1"/>
  <c r="HY113" i="17"/>
  <c r="MN113" i="17" s="1"/>
  <c r="IG113" i="17"/>
  <c r="MV113" i="17" s="1"/>
  <c r="IO113" i="17"/>
  <c r="ND113" i="17" s="1"/>
  <c r="IW113" i="17"/>
  <c r="NL113" i="17" s="1"/>
  <c r="JE113" i="17"/>
  <c r="NT113" i="17" s="1"/>
  <c r="GV113" i="17"/>
  <c r="LK113" i="17" s="1"/>
  <c r="GN113" i="17"/>
  <c r="LC113" i="17" s="1"/>
  <c r="GF113" i="17"/>
  <c r="KU113" i="17" s="1"/>
  <c r="FX113" i="17"/>
  <c r="KM113" i="17" s="1"/>
  <c r="FO113" i="17"/>
  <c r="KD113" i="17" s="1"/>
  <c r="FG113" i="17"/>
  <c r="JV113" i="17" s="1"/>
  <c r="GY112" i="17"/>
  <c r="LN112" i="17" s="1"/>
  <c r="GQ112" i="17"/>
  <c r="LF112" i="17" s="1"/>
  <c r="GI112" i="17"/>
  <c r="KX112" i="17" s="1"/>
  <c r="GA112" i="17"/>
  <c r="KP112" i="17" s="1"/>
  <c r="FR112" i="17"/>
  <c r="FJ112" i="17"/>
  <c r="JY112" i="17" s="1"/>
  <c r="HB111" i="17"/>
  <c r="LQ111" i="17" s="1"/>
  <c r="GT111" i="17"/>
  <c r="LI111" i="17" s="1"/>
  <c r="GL111" i="17"/>
  <c r="LA111" i="17" s="1"/>
  <c r="GD111" i="17"/>
  <c r="KS111" i="17" s="1"/>
  <c r="FV111" i="17"/>
  <c r="KK111" i="17" s="1"/>
  <c r="FM111" i="17"/>
  <c r="KB111" i="17" s="1"/>
  <c r="FE111" i="17"/>
  <c r="JT111" i="17" s="1"/>
  <c r="IF111" i="17"/>
  <c r="MU111" i="17" s="1"/>
  <c r="IN111" i="17"/>
  <c r="NC111" i="17" s="1"/>
  <c r="IV111" i="17"/>
  <c r="NK111" i="17" s="1"/>
  <c r="JD111" i="17"/>
  <c r="NS111" i="17" s="1"/>
  <c r="HM112" i="17"/>
  <c r="MB112" i="17" s="1"/>
  <c r="HU112" i="17"/>
  <c r="MJ112" i="17" s="1"/>
  <c r="IC112" i="17"/>
  <c r="MR112" i="17" s="1"/>
  <c r="IK112" i="17"/>
  <c r="MZ112" i="17" s="1"/>
  <c r="IS112" i="17"/>
  <c r="NH112" i="17" s="1"/>
  <c r="JA112" i="17"/>
  <c r="NP112" i="17" s="1"/>
  <c r="JI112" i="17"/>
  <c r="NX112" i="17" s="1"/>
  <c r="HR113" i="17"/>
  <c r="MG113" i="17" s="1"/>
  <c r="HZ113" i="17"/>
  <c r="MO113" i="17" s="1"/>
  <c r="IH113" i="17"/>
  <c r="MW113" i="17" s="1"/>
  <c r="IP113" i="17"/>
  <c r="NE113" i="17" s="1"/>
  <c r="IX113" i="17"/>
  <c r="NM113" i="17" s="1"/>
  <c r="JF113" i="17"/>
  <c r="NU113" i="17" s="1"/>
  <c r="HC113" i="17"/>
  <c r="LR113" i="17" s="1"/>
  <c r="GU113" i="17"/>
  <c r="LJ113" i="17" s="1"/>
  <c r="GM113" i="17"/>
  <c r="LB113" i="17" s="1"/>
  <c r="GE113" i="17"/>
  <c r="KT113" i="17" s="1"/>
  <c r="FW113" i="17"/>
  <c r="KL113" i="17" s="1"/>
  <c r="FN113" i="17"/>
  <c r="KC113" i="17" s="1"/>
  <c r="FF113" i="17"/>
  <c r="JU113" i="17" s="1"/>
  <c r="GX112" i="17"/>
  <c r="LM112" i="17" s="1"/>
  <c r="GP112" i="17"/>
  <c r="LE112" i="17" s="1"/>
  <c r="GH112" i="17"/>
  <c r="KW112" i="17" s="1"/>
  <c r="FZ112" i="17"/>
  <c r="KO112" i="17" s="1"/>
  <c r="FQ112" i="17"/>
  <c r="KF112" i="17" s="1"/>
  <c r="FI112" i="17"/>
  <c r="JX112" i="17" s="1"/>
  <c r="HA111" i="17"/>
  <c r="LP111" i="17" s="1"/>
  <c r="GS111" i="17"/>
  <c r="LH111" i="17" s="1"/>
  <c r="IG111" i="17"/>
  <c r="MV111" i="17" s="1"/>
  <c r="IO111" i="17"/>
  <c r="ND111" i="17" s="1"/>
  <c r="IW111" i="17"/>
  <c r="NL111" i="17" s="1"/>
  <c r="JE111" i="17"/>
  <c r="NT111" i="17" s="1"/>
  <c r="HN112" i="17"/>
  <c r="MC112" i="17" s="1"/>
  <c r="HV112" i="17"/>
  <c r="MK112" i="17" s="1"/>
  <c r="ID112" i="17"/>
  <c r="MS112" i="17" s="1"/>
  <c r="IL112" i="17"/>
  <c r="NA112" i="17" s="1"/>
  <c r="IT112" i="17"/>
  <c r="NI112" i="17" s="1"/>
  <c r="JB112" i="17"/>
  <c r="NQ112" i="17" s="1"/>
  <c r="JJ112" i="17"/>
  <c r="NY112" i="17" s="1"/>
  <c r="HS113" i="17"/>
  <c r="MH113" i="17" s="1"/>
  <c r="IA113" i="17"/>
  <c r="MP113" i="17" s="1"/>
  <c r="II113" i="17"/>
  <c r="MX113" i="17" s="1"/>
  <c r="IQ113" i="17"/>
  <c r="NF113" i="17" s="1"/>
  <c r="IY113" i="17"/>
  <c r="NN113" i="17" s="1"/>
  <c r="JG113" i="17"/>
  <c r="NV113" i="17" s="1"/>
  <c r="HB113" i="17"/>
  <c r="LQ113" i="17" s="1"/>
  <c r="GT113" i="17"/>
  <c r="LI113" i="17" s="1"/>
  <c r="GL113" i="17"/>
  <c r="LA113" i="17" s="1"/>
  <c r="GD113" i="17"/>
  <c r="KS113" i="17" s="1"/>
  <c r="FV113" i="17"/>
  <c r="KK113" i="17" s="1"/>
  <c r="FM113" i="17"/>
  <c r="KB113" i="17" s="1"/>
  <c r="FE113" i="17"/>
  <c r="JT113" i="17" s="1"/>
  <c r="GW112" i="17"/>
  <c r="LL112" i="17" s="1"/>
  <c r="GO112" i="17"/>
  <c r="LD112" i="17" s="1"/>
  <c r="GG112" i="17"/>
  <c r="KV112" i="17" s="1"/>
  <c r="FY112" i="17"/>
  <c r="KN112" i="17" s="1"/>
  <c r="FP112" i="17"/>
  <c r="KE112" i="17" s="1"/>
  <c r="FH112" i="17"/>
  <c r="JW112" i="17" s="1"/>
  <c r="GZ111" i="17"/>
  <c r="LO111" i="17" s="1"/>
  <c r="GR111" i="17"/>
  <c r="LG111" i="17" s="1"/>
  <c r="GJ111" i="17"/>
  <c r="KY111" i="17" s="1"/>
  <c r="GB111" i="17"/>
  <c r="KQ111" i="17" s="1"/>
  <c r="FT111" i="17"/>
  <c r="FK111" i="17"/>
  <c r="JZ111" i="17" s="1"/>
  <c r="FS113" i="17"/>
  <c r="KH113" i="17" s="1"/>
  <c r="HR112" i="17"/>
  <c r="MG112" i="17" s="1"/>
  <c r="IX112" i="17"/>
  <c r="NM112" i="17" s="1"/>
  <c r="IE113" i="17"/>
  <c r="MT113" i="17" s="1"/>
  <c r="HK113" i="17"/>
  <c r="LZ113" i="17" s="1"/>
  <c r="FZ113" i="17"/>
  <c r="KO113" i="17" s="1"/>
  <c r="GV112" i="17"/>
  <c r="LK112" i="17" s="1"/>
  <c r="GC112" i="17"/>
  <c r="KR112" i="17" s="1"/>
  <c r="FF112" i="17"/>
  <c r="JU112" i="17" s="1"/>
  <c r="GN111" i="17"/>
  <c r="LC111" i="17" s="1"/>
  <c r="FZ111" i="17"/>
  <c r="KO111" i="17" s="1"/>
  <c r="FL111" i="17"/>
  <c r="CK113" i="17"/>
  <c r="CC113" i="17"/>
  <c r="CG112" i="17"/>
  <c r="CK111" i="17"/>
  <c r="CC111" i="17"/>
  <c r="HX112" i="17"/>
  <c r="MM112" i="17" s="1"/>
  <c r="JD112" i="17"/>
  <c r="NS112" i="17" s="1"/>
  <c r="IK113" i="17"/>
  <c r="MZ113" i="17" s="1"/>
  <c r="GZ113" i="17"/>
  <c r="LO113" i="17" s="1"/>
  <c r="FT113" i="17"/>
  <c r="GU112" i="17"/>
  <c r="LJ112" i="17" s="1"/>
  <c r="FX112" i="17"/>
  <c r="KM112" i="17" s="1"/>
  <c r="FD112" i="17"/>
  <c r="JS112" i="17" s="1"/>
  <c r="GK111" i="17"/>
  <c r="KZ111" i="17" s="1"/>
  <c r="FY111" i="17"/>
  <c r="KN111" i="17" s="1"/>
  <c r="FJ111" i="17"/>
  <c r="JY111" i="17" s="1"/>
  <c r="CJ113" i="17"/>
  <c r="CB113" i="17"/>
  <c r="EJ113" i="17" s="1"/>
  <c r="CF112" i="17"/>
  <c r="CJ111" i="17"/>
  <c r="CB111" i="17"/>
  <c r="EJ111" i="17" s="1"/>
  <c r="HZ112" i="17"/>
  <c r="MO112" i="17" s="1"/>
  <c r="JF112" i="17"/>
  <c r="NU112" i="17" s="1"/>
  <c r="IM113" i="17"/>
  <c r="NB113" i="17" s="1"/>
  <c r="GX113" i="17"/>
  <c r="LM113" i="17" s="1"/>
  <c r="FQ113" i="17"/>
  <c r="KF113" i="17" s="1"/>
  <c r="GS112" i="17"/>
  <c r="LH112" i="17" s="1"/>
  <c r="FW112" i="17"/>
  <c r="KL112" i="17" s="1"/>
  <c r="GY111" i="17"/>
  <c r="LN111" i="17" s="1"/>
  <c r="GI111" i="17"/>
  <c r="KX111" i="17" s="1"/>
  <c r="FX111" i="17"/>
  <c r="KM111" i="17" s="1"/>
  <c r="FI111" i="17"/>
  <c r="JX111" i="17" s="1"/>
  <c r="CI113" i="17"/>
  <c r="CM112" i="17"/>
  <c r="CE112" i="17"/>
  <c r="CI111" i="17"/>
  <c r="CA111" i="17"/>
  <c r="EI111" i="17" s="1"/>
  <c r="IF112" i="17"/>
  <c r="MU112" i="17" s="1"/>
  <c r="HM113" i="17"/>
  <c r="MB113" i="17" s="1"/>
  <c r="IS113" i="17"/>
  <c r="NH113" i="17" s="1"/>
  <c r="GR113" i="17"/>
  <c r="LG113" i="17" s="1"/>
  <c r="FK113" i="17"/>
  <c r="JZ113" i="17" s="1"/>
  <c r="GN112" i="17"/>
  <c r="LC112" i="17" s="1"/>
  <c r="FU112" i="17"/>
  <c r="KJ112" i="17" s="1"/>
  <c r="GX111" i="17"/>
  <c r="LM111" i="17" s="1"/>
  <c r="GH111" i="17"/>
  <c r="KW111" i="17" s="1"/>
  <c r="FU111" i="17"/>
  <c r="KJ111" i="17" s="1"/>
  <c r="FH111" i="17"/>
  <c r="CH113" i="17"/>
  <c r="CL112" i="17"/>
  <c r="CD112" i="17"/>
  <c r="CH111" i="17"/>
  <c r="BZ111" i="17"/>
  <c r="EH111" i="17" s="1"/>
  <c r="IS111" i="17"/>
  <c r="NH111" i="17" s="1"/>
  <c r="IH112" i="17"/>
  <c r="MW112" i="17" s="1"/>
  <c r="HO113" i="17"/>
  <c r="MD113" i="17" s="1"/>
  <c r="IU113" i="17"/>
  <c r="NJ113" i="17" s="1"/>
  <c r="GP113" i="17"/>
  <c r="LE113" i="17" s="1"/>
  <c r="FI113" i="17"/>
  <c r="JX113" i="17" s="1"/>
  <c r="GM112" i="17"/>
  <c r="LB112" i="17" s="1"/>
  <c r="FO112" i="17"/>
  <c r="KD112" i="17" s="1"/>
  <c r="GV111" i="17"/>
  <c r="LK111" i="17" s="1"/>
  <c r="GG111" i="17"/>
  <c r="KV111" i="17" s="1"/>
  <c r="FR111" i="17"/>
  <c r="FG111" i="17"/>
  <c r="JV111" i="17" s="1"/>
  <c r="CG113" i="17"/>
  <c r="CK112" i="17"/>
  <c r="CC112" i="17"/>
  <c r="CG111" i="17"/>
  <c r="JA111" i="17"/>
  <c r="NP111" i="17" s="1"/>
  <c r="IN112" i="17"/>
  <c r="NC112" i="17" s="1"/>
  <c r="HU113" i="17"/>
  <c r="MJ113" i="17" s="1"/>
  <c r="JA113" i="17"/>
  <c r="NP113" i="17" s="1"/>
  <c r="GJ113" i="17"/>
  <c r="KY113" i="17" s="1"/>
  <c r="FD113" i="17"/>
  <c r="JS113" i="17" s="1"/>
  <c r="GK112" i="17"/>
  <c r="KZ112" i="17" s="1"/>
  <c r="FN112" i="17"/>
  <c r="KC112" i="17" s="1"/>
  <c r="GQ111" i="17"/>
  <c r="LF111" i="17" s="1"/>
  <c r="GF111" i="17"/>
  <c r="KU111" i="17" s="1"/>
  <c r="FQ111" i="17"/>
  <c r="KF111" i="17" s="1"/>
  <c r="FD111" i="17"/>
  <c r="JS111" i="17" s="1"/>
  <c r="CF113" i="17"/>
  <c r="CJ112" i="17"/>
  <c r="CB112" i="17"/>
  <c r="EJ112" i="17" s="1"/>
  <c r="CF111" i="17"/>
  <c r="JI111" i="17"/>
  <c r="NX111" i="17" s="1"/>
  <c r="IP112" i="17"/>
  <c r="NE112" i="17" s="1"/>
  <c r="HW113" i="17"/>
  <c r="ML113" i="17" s="1"/>
  <c r="JC113" i="17"/>
  <c r="NR113" i="17" s="1"/>
  <c r="GH113" i="17"/>
  <c r="KW113" i="17" s="1"/>
  <c r="HC112" i="17"/>
  <c r="LR112" i="17" s="1"/>
  <c r="GF112" i="17"/>
  <c r="KU112" i="17" s="1"/>
  <c r="FL112" i="17"/>
  <c r="KA112" i="17" s="1"/>
  <c r="GP111" i="17"/>
  <c r="LE111" i="17" s="1"/>
  <c r="GC111" i="17"/>
  <c r="KR111" i="17" s="1"/>
  <c r="FP111" i="17"/>
  <c r="KE111" i="17" s="1"/>
  <c r="FS112" i="17"/>
  <c r="KH112" i="17" s="1"/>
  <c r="CM113" i="17"/>
  <c r="CE113" i="17"/>
  <c r="CI112" i="17"/>
  <c r="CM111" i="17"/>
  <c r="CE111" i="17"/>
  <c r="HP112" i="17"/>
  <c r="ME112" i="17" s="1"/>
  <c r="IV112" i="17"/>
  <c r="NK112" i="17" s="1"/>
  <c r="IC113" i="17"/>
  <c r="MR113" i="17" s="1"/>
  <c r="JI113" i="17"/>
  <c r="NX113" i="17" s="1"/>
  <c r="GB113" i="17"/>
  <c r="KQ113" i="17" s="1"/>
  <c r="HA112" i="17"/>
  <c r="LP112" i="17" s="1"/>
  <c r="GE112" i="17"/>
  <c r="KT112" i="17" s="1"/>
  <c r="FG112" i="17"/>
  <c r="JV112" i="17" s="1"/>
  <c r="GO111" i="17"/>
  <c r="LD111" i="17" s="1"/>
  <c r="GA111" i="17"/>
  <c r="KP111" i="17" s="1"/>
  <c r="FO111" i="17"/>
  <c r="KD111" i="17" s="1"/>
  <c r="FS111" i="17"/>
  <c r="KH111" i="17" s="1"/>
  <c r="CL113" i="17"/>
  <c r="CD113" i="17"/>
  <c r="CH112" i="17"/>
  <c r="CL111" i="17"/>
  <c r="CD111" i="17"/>
  <c r="AN112" i="17"/>
  <c r="CV112" i="17" s="1"/>
  <c r="AQ112" i="17"/>
  <c r="CY112" i="17" s="1"/>
  <c r="AP112" i="17"/>
  <c r="CX112" i="17" s="1"/>
  <c r="AO112" i="17"/>
  <c r="CW112" i="17" s="1"/>
  <c r="AP113" i="17"/>
  <c r="CX113" i="17" s="1"/>
  <c r="AO113" i="17"/>
  <c r="CW113" i="17" s="1"/>
  <c r="AN113" i="17"/>
  <c r="CV113" i="17" s="1"/>
  <c r="AQ113" i="17"/>
  <c r="CY113" i="17" s="1"/>
  <c r="M4" i="13"/>
  <c r="M4" i="14"/>
  <c r="M4" i="12"/>
  <c r="HO116" i="17"/>
  <c r="MD116" i="17" s="1"/>
  <c r="HW116" i="17"/>
  <c r="ML116" i="17" s="1"/>
  <c r="IE116" i="17"/>
  <c r="MT116" i="17" s="1"/>
  <c r="IM116" i="17"/>
  <c r="NB116" i="17" s="1"/>
  <c r="IU116" i="17"/>
  <c r="NJ116" i="17" s="1"/>
  <c r="JC116" i="17"/>
  <c r="NR116" i="17" s="1"/>
  <c r="HL117" i="17"/>
  <c r="HT117" i="17"/>
  <c r="IB117" i="17"/>
  <c r="IJ117" i="17"/>
  <c r="IR117" i="17"/>
  <c r="IZ117" i="17"/>
  <c r="JH117" i="17"/>
  <c r="HQ118" i="17"/>
  <c r="HY118" i="17"/>
  <c r="IG118" i="17"/>
  <c r="IO118" i="17"/>
  <c r="IW118" i="17"/>
  <c r="JE118" i="17"/>
  <c r="HN119" i="17"/>
  <c r="HV119" i="17"/>
  <c r="ID119" i="17"/>
  <c r="IL119" i="17"/>
  <c r="IT119" i="17"/>
  <c r="JB119" i="17"/>
  <c r="JJ119" i="17"/>
  <c r="HS120" i="17"/>
  <c r="IA120" i="17"/>
  <c r="II120" i="17"/>
  <c r="IQ120" i="17"/>
  <c r="IY120" i="17"/>
  <c r="JG120" i="17"/>
  <c r="HP121" i="17"/>
  <c r="HX121" i="17"/>
  <c r="IF121" i="17"/>
  <c r="IN121" i="17"/>
  <c r="IV121" i="17"/>
  <c r="JD121" i="17"/>
  <c r="HM122" i="17"/>
  <c r="HU122" i="17"/>
  <c r="IC122" i="17"/>
  <c r="IK122" i="17"/>
  <c r="IS122" i="17"/>
  <c r="JA122" i="17"/>
  <c r="JI122" i="17"/>
  <c r="HR123" i="17"/>
  <c r="HZ123" i="17"/>
  <c r="IH123" i="17"/>
  <c r="IP123" i="17"/>
  <c r="IX123" i="17"/>
  <c r="JF123" i="17"/>
  <c r="HK120" i="17"/>
  <c r="FH116" i="17"/>
  <c r="JW116" i="17" s="1"/>
  <c r="HQ116" i="17"/>
  <c r="MF116" i="17" s="1"/>
  <c r="HY116" i="17"/>
  <c r="MN116" i="17" s="1"/>
  <c r="IG116" i="17"/>
  <c r="MV116" i="17" s="1"/>
  <c r="IO116" i="17"/>
  <c r="ND116" i="17" s="1"/>
  <c r="IW116" i="17"/>
  <c r="NL116" i="17" s="1"/>
  <c r="JE116" i="17"/>
  <c r="NT116" i="17" s="1"/>
  <c r="HN117" i="17"/>
  <c r="HV117" i="17"/>
  <c r="ID117" i="17"/>
  <c r="IL117" i="17"/>
  <c r="IT117" i="17"/>
  <c r="JB117" i="17"/>
  <c r="JJ117" i="17"/>
  <c r="HS118" i="17"/>
  <c r="IA118" i="17"/>
  <c r="II118" i="17"/>
  <c r="IQ118" i="17"/>
  <c r="IY118" i="17"/>
  <c r="JG118" i="17"/>
  <c r="HP119" i="17"/>
  <c r="HX119" i="17"/>
  <c r="IF119" i="17"/>
  <c r="IN119" i="17"/>
  <c r="IV119" i="17"/>
  <c r="JD119" i="17"/>
  <c r="HM120" i="17"/>
  <c r="HU120" i="17"/>
  <c r="IC120" i="17"/>
  <c r="IK120" i="17"/>
  <c r="IS120" i="17"/>
  <c r="JA120" i="17"/>
  <c r="JI120" i="17"/>
  <c r="HR121" i="17"/>
  <c r="HZ121" i="17"/>
  <c r="IH121" i="17"/>
  <c r="IP121" i="17"/>
  <c r="IX121" i="17"/>
  <c r="JF121" i="17"/>
  <c r="HO122" i="17"/>
  <c r="HW122" i="17"/>
  <c r="IE122" i="17"/>
  <c r="IM122" i="17"/>
  <c r="IU122" i="17"/>
  <c r="JC122" i="17"/>
  <c r="HL123" i="17"/>
  <c r="HT123" i="17"/>
  <c r="IB123" i="17"/>
  <c r="IJ123" i="17"/>
  <c r="IR123" i="17"/>
  <c r="HS116" i="17"/>
  <c r="MH116" i="17" s="1"/>
  <c r="IA116" i="17"/>
  <c r="MP116" i="17" s="1"/>
  <c r="II116" i="17"/>
  <c r="MX116" i="17" s="1"/>
  <c r="IQ116" i="17"/>
  <c r="NF116" i="17" s="1"/>
  <c r="IY116" i="17"/>
  <c r="NN116" i="17" s="1"/>
  <c r="JG116" i="17"/>
  <c r="NV116" i="17" s="1"/>
  <c r="HP117" i="17"/>
  <c r="HX117" i="17"/>
  <c r="IF117" i="17"/>
  <c r="IN117" i="17"/>
  <c r="IV117" i="17"/>
  <c r="JD117" i="17"/>
  <c r="HM118" i="17"/>
  <c r="HU118" i="17"/>
  <c r="IC118" i="17"/>
  <c r="IK118" i="17"/>
  <c r="IS118" i="17"/>
  <c r="JA118" i="17"/>
  <c r="JI118" i="17"/>
  <c r="HR119" i="17"/>
  <c r="HZ119" i="17"/>
  <c r="IH119" i="17"/>
  <c r="IP119" i="17"/>
  <c r="IX119" i="17"/>
  <c r="JF119" i="17"/>
  <c r="HO120" i="17"/>
  <c r="HW120" i="17"/>
  <c r="IE120" i="17"/>
  <c r="IM120" i="17"/>
  <c r="IU120" i="17"/>
  <c r="JC120" i="17"/>
  <c r="HL121" i="17"/>
  <c r="HT121" i="17"/>
  <c r="IB121" i="17"/>
  <c r="IJ121" i="17"/>
  <c r="IR121" i="17"/>
  <c r="IZ121" i="17"/>
  <c r="JH121" i="17"/>
  <c r="HQ122" i="17"/>
  <c r="HY122" i="17"/>
  <c r="IG122" i="17"/>
  <c r="IO122" i="17"/>
  <c r="IW122" i="17"/>
  <c r="JE122" i="17"/>
  <c r="HN123" i="17"/>
  <c r="HV123" i="17"/>
  <c r="ID123" i="17"/>
  <c r="IL123" i="17"/>
  <c r="IT123" i="17"/>
  <c r="JB123" i="17"/>
  <c r="HT116" i="17"/>
  <c r="MI116" i="17" s="1"/>
  <c r="IF116" i="17"/>
  <c r="MU116" i="17" s="1"/>
  <c r="IS116" i="17"/>
  <c r="NH116" i="17" s="1"/>
  <c r="JF116" i="17"/>
  <c r="NU116" i="17" s="1"/>
  <c r="HS117" i="17"/>
  <c r="IG117" i="17"/>
  <c r="IS117" i="17"/>
  <c r="JF117" i="17"/>
  <c r="HT118" i="17"/>
  <c r="IF118" i="17"/>
  <c r="IT118" i="17"/>
  <c r="JF118" i="17"/>
  <c r="HT119" i="17"/>
  <c r="IG119" i="17"/>
  <c r="IS119" i="17"/>
  <c r="JG119" i="17"/>
  <c r="HT120" i="17"/>
  <c r="IG120" i="17"/>
  <c r="IT120" i="17"/>
  <c r="JF120" i="17"/>
  <c r="HU121" i="17"/>
  <c r="IG121" i="17"/>
  <c r="IT121" i="17"/>
  <c r="JG121" i="17"/>
  <c r="HT122" i="17"/>
  <c r="IH122" i="17"/>
  <c r="IT122" i="17"/>
  <c r="JG122" i="17"/>
  <c r="HU123" i="17"/>
  <c r="IG123" i="17"/>
  <c r="IU123" i="17"/>
  <c r="JE123" i="17"/>
  <c r="HK119" i="17"/>
  <c r="FJ116" i="17"/>
  <c r="JY116" i="17" s="1"/>
  <c r="FR116" i="17"/>
  <c r="FZ116" i="17"/>
  <c r="KO116" i="17" s="1"/>
  <c r="GH116" i="17"/>
  <c r="KW116" i="17" s="1"/>
  <c r="GP116" i="17"/>
  <c r="LE116" i="17" s="1"/>
  <c r="GX116" i="17"/>
  <c r="LM116" i="17" s="1"/>
  <c r="FG117" i="17"/>
  <c r="FO117" i="17"/>
  <c r="FW117" i="17"/>
  <c r="GE117" i="17"/>
  <c r="GM117" i="17"/>
  <c r="GU117" i="17"/>
  <c r="HC117" i="17"/>
  <c r="FL118" i="17"/>
  <c r="FT118" i="17"/>
  <c r="GB118" i="17"/>
  <c r="GJ118" i="17"/>
  <c r="GR118" i="17"/>
  <c r="GZ118" i="17"/>
  <c r="FI119" i="17"/>
  <c r="FQ119" i="17"/>
  <c r="FY119" i="17"/>
  <c r="GG119" i="17"/>
  <c r="GO119" i="17"/>
  <c r="GW119" i="17"/>
  <c r="FF120" i="17"/>
  <c r="FN120" i="17"/>
  <c r="FV120" i="17"/>
  <c r="GD120" i="17"/>
  <c r="GL120" i="17"/>
  <c r="GT120" i="17"/>
  <c r="HB120" i="17"/>
  <c r="FK121" i="17"/>
  <c r="FS121" i="17"/>
  <c r="GA121" i="17"/>
  <c r="GI121" i="17"/>
  <c r="GQ121" i="17"/>
  <c r="GY121" i="17"/>
  <c r="FH122" i="17"/>
  <c r="FP122" i="17"/>
  <c r="FX122" i="17"/>
  <c r="GF122" i="17"/>
  <c r="GN122" i="17"/>
  <c r="GV122" i="17"/>
  <c r="FE123" i="17"/>
  <c r="FM123" i="17"/>
  <c r="FU123" i="17"/>
  <c r="GC123" i="17"/>
  <c r="GK123" i="17"/>
  <c r="GS123" i="17"/>
  <c r="HA123" i="17"/>
  <c r="FD118" i="17"/>
  <c r="HU116" i="17"/>
  <c r="MJ116" i="17" s="1"/>
  <c r="IH116" i="17"/>
  <c r="MW116" i="17" s="1"/>
  <c r="IT116" i="17"/>
  <c r="NI116" i="17" s="1"/>
  <c r="JH116" i="17"/>
  <c r="NW116" i="17" s="1"/>
  <c r="HU117" i="17"/>
  <c r="IH117" i="17"/>
  <c r="IU117" i="17"/>
  <c r="JG117" i="17"/>
  <c r="HV118" i="17"/>
  <c r="IH118" i="17"/>
  <c r="IU118" i="17"/>
  <c r="JH118" i="17"/>
  <c r="HU119" i="17"/>
  <c r="II119" i="17"/>
  <c r="IU119" i="17"/>
  <c r="JH119" i="17"/>
  <c r="HV120" i="17"/>
  <c r="IH120" i="17"/>
  <c r="IV120" i="17"/>
  <c r="JH120" i="17"/>
  <c r="HV121" i="17"/>
  <c r="II121" i="17"/>
  <c r="IU121" i="17"/>
  <c r="JI121" i="17"/>
  <c r="HV122" i="17"/>
  <c r="II122" i="17"/>
  <c r="IV122" i="17"/>
  <c r="JH122" i="17"/>
  <c r="HW123" i="17"/>
  <c r="II123" i="17"/>
  <c r="IV123" i="17"/>
  <c r="JG123" i="17"/>
  <c r="HK118" i="17"/>
  <c r="FK116" i="17"/>
  <c r="JZ116" i="17" s="1"/>
  <c r="FS116" i="17"/>
  <c r="KH116" i="17" s="1"/>
  <c r="GA116" i="17"/>
  <c r="GI116" i="17"/>
  <c r="KX116" i="17" s="1"/>
  <c r="GQ116" i="17"/>
  <c r="LF116" i="17" s="1"/>
  <c r="GY116" i="17"/>
  <c r="LN116" i="17" s="1"/>
  <c r="FH117" i="17"/>
  <c r="FP117" i="17"/>
  <c r="FX117" i="17"/>
  <c r="GF117" i="17"/>
  <c r="GN117" i="17"/>
  <c r="GV117" i="17"/>
  <c r="FE118" i="17"/>
  <c r="FM118" i="17"/>
  <c r="FU118" i="17"/>
  <c r="GC118" i="17"/>
  <c r="GK118" i="17"/>
  <c r="GS118" i="17"/>
  <c r="HA118" i="17"/>
  <c r="FJ119" i="17"/>
  <c r="FR119" i="17"/>
  <c r="FZ119" i="17"/>
  <c r="GH119" i="17"/>
  <c r="GP119" i="17"/>
  <c r="GX119" i="17"/>
  <c r="FG120" i="17"/>
  <c r="FO120" i="17"/>
  <c r="FW120" i="17"/>
  <c r="GE120" i="17"/>
  <c r="GM120" i="17"/>
  <c r="GU120" i="17"/>
  <c r="HC120" i="17"/>
  <c r="FL121" i="17"/>
  <c r="FT121" i="17"/>
  <c r="GB121" i="17"/>
  <c r="GJ121" i="17"/>
  <c r="GR121" i="17"/>
  <c r="GZ121" i="17"/>
  <c r="FI122" i="17"/>
  <c r="FQ122" i="17"/>
  <c r="FY122" i="17"/>
  <c r="GG122" i="17"/>
  <c r="GO122" i="17"/>
  <c r="GW122" i="17"/>
  <c r="FF123" i="17"/>
  <c r="FN123" i="17"/>
  <c r="FV123" i="17"/>
  <c r="GD123" i="17"/>
  <c r="GL123" i="17"/>
  <c r="GT123" i="17"/>
  <c r="HB123" i="17"/>
  <c r="FD116" i="17"/>
  <c r="JS116" i="17" s="1"/>
  <c r="HV116" i="17"/>
  <c r="MK116" i="17" s="1"/>
  <c r="IJ116" i="17"/>
  <c r="MY116" i="17" s="1"/>
  <c r="IV116" i="17"/>
  <c r="NK116" i="17" s="1"/>
  <c r="JI116" i="17"/>
  <c r="NX116" i="17" s="1"/>
  <c r="HW117" i="17"/>
  <c r="II117" i="17"/>
  <c r="IW117" i="17"/>
  <c r="JI117" i="17"/>
  <c r="HW118" i="17"/>
  <c r="IJ118" i="17"/>
  <c r="IV118" i="17"/>
  <c r="JJ118" i="17"/>
  <c r="HW119" i="17"/>
  <c r="IJ119" i="17"/>
  <c r="IW119" i="17"/>
  <c r="JI119" i="17"/>
  <c r="HX120" i="17"/>
  <c r="IJ120" i="17"/>
  <c r="IW120" i="17"/>
  <c r="JJ120" i="17"/>
  <c r="HW121" i="17"/>
  <c r="IK121" i="17"/>
  <c r="IW121" i="17"/>
  <c r="JJ121" i="17"/>
  <c r="HX122" i="17"/>
  <c r="IJ122" i="17"/>
  <c r="IX122" i="17"/>
  <c r="JJ122" i="17"/>
  <c r="HX123" i="17"/>
  <c r="IK123" i="17"/>
  <c r="IW123" i="17"/>
  <c r="JH123" i="17"/>
  <c r="HK117" i="17"/>
  <c r="FL116" i="17"/>
  <c r="KA116" i="17" s="1"/>
  <c r="FT116" i="17"/>
  <c r="GB116" i="17"/>
  <c r="GJ116" i="17"/>
  <c r="KY116" i="17" s="1"/>
  <c r="GR116" i="17"/>
  <c r="LG116" i="17" s="1"/>
  <c r="GZ116" i="17"/>
  <c r="LO116" i="17" s="1"/>
  <c r="FI117" i="17"/>
  <c r="FQ117" i="17"/>
  <c r="FY117" i="17"/>
  <c r="GG117" i="17"/>
  <c r="GO117" i="17"/>
  <c r="GW117" i="17"/>
  <c r="FF118" i="17"/>
  <c r="FN118" i="17"/>
  <c r="FV118" i="17"/>
  <c r="GD118" i="17"/>
  <c r="GL118" i="17"/>
  <c r="GT118" i="17"/>
  <c r="HB118" i="17"/>
  <c r="FK119" i="17"/>
  <c r="FS119" i="17"/>
  <c r="GA119" i="17"/>
  <c r="GI119" i="17"/>
  <c r="GQ119" i="17"/>
  <c r="GY119" i="17"/>
  <c r="FH120" i="17"/>
  <c r="FP120" i="17"/>
  <c r="FX120" i="17"/>
  <c r="GF120" i="17"/>
  <c r="GN120" i="17"/>
  <c r="GV120" i="17"/>
  <c r="FE121" i="17"/>
  <c r="FM121" i="17"/>
  <c r="FU121" i="17"/>
  <c r="GC121" i="17"/>
  <c r="GK121" i="17"/>
  <c r="GS121" i="17"/>
  <c r="HA121" i="17"/>
  <c r="FJ122" i="17"/>
  <c r="FR122" i="17"/>
  <c r="FZ122" i="17"/>
  <c r="GH122" i="17"/>
  <c r="GP122" i="17"/>
  <c r="GX122" i="17"/>
  <c r="FG123" i="17"/>
  <c r="FO123" i="17"/>
  <c r="FW123" i="17"/>
  <c r="GE123" i="17"/>
  <c r="GM123" i="17"/>
  <c r="GU123" i="17"/>
  <c r="HC123" i="17"/>
  <c r="FD117" i="17"/>
  <c r="HN116" i="17"/>
  <c r="MC116" i="17" s="1"/>
  <c r="IK116" i="17"/>
  <c r="MZ116" i="17" s="1"/>
  <c r="JB116" i="17"/>
  <c r="NQ116" i="17" s="1"/>
  <c r="HZ117" i="17"/>
  <c r="IQ117" i="17"/>
  <c r="HO118" i="17"/>
  <c r="IL118" i="17"/>
  <c r="JC118" i="17"/>
  <c r="IA119" i="17"/>
  <c r="IR119" i="17"/>
  <c r="HP120" i="17"/>
  <c r="IL120" i="17"/>
  <c r="JD120" i="17"/>
  <c r="IA121" i="17"/>
  <c r="IS121" i="17"/>
  <c r="HP122" i="17"/>
  <c r="IL122" i="17"/>
  <c r="JD122" i="17"/>
  <c r="IA123" i="17"/>
  <c r="IS123" i="17"/>
  <c r="HK123" i="17"/>
  <c r="FM116" i="17"/>
  <c r="KB116" i="17" s="1"/>
  <c r="FX116" i="17"/>
  <c r="KM116" i="17" s="1"/>
  <c r="GL116" i="17"/>
  <c r="LA116" i="17" s="1"/>
  <c r="GW116" i="17"/>
  <c r="LL116" i="17" s="1"/>
  <c r="FL117" i="17"/>
  <c r="FZ117" i="17"/>
  <c r="GK117" i="17"/>
  <c r="GY117" i="17"/>
  <c r="FK118" i="17"/>
  <c r="FY118" i="17"/>
  <c r="GM118" i="17"/>
  <c r="GX118" i="17"/>
  <c r="FM119" i="17"/>
  <c r="FX119" i="17"/>
  <c r="GL119" i="17"/>
  <c r="GZ119" i="17"/>
  <c r="FL120" i="17"/>
  <c r="FZ120" i="17"/>
  <c r="GK120" i="17"/>
  <c r="GY120" i="17"/>
  <c r="FN121" i="17"/>
  <c r="FY121" i="17"/>
  <c r="GM121" i="17"/>
  <c r="GX121" i="17"/>
  <c r="FM122" i="17"/>
  <c r="GA122" i="17"/>
  <c r="GL122" i="17"/>
  <c r="GZ122" i="17"/>
  <c r="FL123" i="17"/>
  <c r="FZ123" i="17"/>
  <c r="GN123" i="17"/>
  <c r="GY123" i="17"/>
  <c r="AW116" i="17"/>
  <c r="DE116" i="17" s="1"/>
  <c r="BE116" i="17"/>
  <c r="BM116" i="17"/>
  <c r="DU116" i="17" s="1"/>
  <c r="BU116" i="17"/>
  <c r="EC116" i="17" s="1"/>
  <c r="CC116" i="17"/>
  <c r="CK116" i="17"/>
  <c r="BB117" i="17"/>
  <c r="BJ117" i="17"/>
  <c r="DR117" i="17" s="1"/>
  <c r="BR117" i="17"/>
  <c r="BZ117" i="17"/>
  <c r="EH117" i="17" s="1"/>
  <c r="CH117" i="17"/>
  <c r="AQ118" i="17"/>
  <c r="CY118" i="17" s="1"/>
  <c r="AY118" i="17"/>
  <c r="DG118" i="17" s="1"/>
  <c r="BG118" i="17"/>
  <c r="DO118" i="17" s="1"/>
  <c r="BO118" i="17"/>
  <c r="DW118" i="17" s="1"/>
  <c r="BW118" i="17"/>
  <c r="CE118" i="17"/>
  <c r="CM118" i="17"/>
  <c r="AV119" i="17"/>
  <c r="DD119" i="17" s="1"/>
  <c r="BD119" i="17"/>
  <c r="DL119" i="17" s="1"/>
  <c r="BL119" i="17"/>
  <c r="DT119" i="17" s="1"/>
  <c r="BT119" i="17"/>
  <c r="EB119" i="17" s="1"/>
  <c r="CB119" i="17"/>
  <c r="EJ119" i="17" s="1"/>
  <c r="CJ119" i="17"/>
  <c r="AS120" i="17"/>
  <c r="DA120" i="17" s="1"/>
  <c r="BA120" i="17"/>
  <c r="DI120" i="17" s="1"/>
  <c r="BI120" i="17"/>
  <c r="DQ120" i="17" s="1"/>
  <c r="BQ120" i="17"/>
  <c r="DY120" i="17" s="1"/>
  <c r="BY120" i="17"/>
  <c r="EG120" i="17" s="1"/>
  <c r="CG120" i="17"/>
  <c r="AP121" i="17"/>
  <c r="CX121" i="17" s="1"/>
  <c r="AX121" i="17"/>
  <c r="DF121" i="17" s="1"/>
  <c r="BF121" i="17"/>
  <c r="DN121" i="17" s="1"/>
  <c r="BN121" i="17"/>
  <c r="DV121" i="17" s="1"/>
  <c r="BV121" i="17"/>
  <c r="ED121" i="17" s="1"/>
  <c r="CD121" i="17"/>
  <c r="CL121" i="17"/>
  <c r="AU122" i="17"/>
  <c r="DC122" i="17" s="1"/>
  <c r="BC122" i="17"/>
  <c r="DK122" i="17" s="1"/>
  <c r="BK122" i="17"/>
  <c r="BS122" i="17"/>
  <c r="CA122" i="17"/>
  <c r="EI122" i="17" s="1"/>
  <c r="CI122" i="17"/>
  <c r="AR123" i="17"/>
  <c r="CZ123" i="17" s="1"/>
  <c r="AZ123" i="17"/>
  <c r="DH123" i="17" s="1"/>
  <c r="BH123" i="17"/>
  <c r="DP123" i="17" s="1"/>
  <c r="BP123" i="17"/>
  <c r="DX123" i="17" s="1"/>
  <c r="BX123" i="17"/>
  <c r="EF123" i="17" s="1"/>
  <c r="CF123" i="17"/>
  <c r="AN123" i="17"/>
  <c r="CV123" i="17" s="1"/>
  <c r="HP116" i="17"/>
  <c r="ME116" i="17" s="1"/>
  <c r="IL116" i="17"/>
  <c r="NA116" i="17" s="1"/>
  <c r="JD116" i="17"/>
  <c r="NS116" i="17" s="1"/>
  <c r="IA117" i="17"/>
  <c r="IX117" i="17"/>
  <c r="HP118" i="17"/>
  <c r="IM118" i="17"/>
  <c r="JD118" i="17"/>
  <c r="IB119" i="17"/>
  <c r="IY119" i="17"/>
  <c r="HQ120" i="17"/>
  <c r="IN120" i="17"/>
  <c r="JE120" i="17"/>
  <c r="IC121" i="17"/>
  <c r="IY121" i="17"/>
  <c r="HR122" i="17"/>
  <c r="IN122" i="17"/>
  <c r="JF122" i="17"/>
  <c r="IC123" i="17"/>
  <c r="IY123" i="17"/>
  <c r="HK122" i="17"/>
  <c r="FN116" i="17"/>
  <c r="KC116" i="17" s="1"/>
  <c r="FY116" i="17"/>
  <c r="KN116" i="17" s="1"/>
  <c r="GM116" i="17"/>
  <c r="HA116" i="17"/>
  <c r="LP116" i="17" s="1"/>
  <c r="FM117" i="17"/>
  <c r="GA117" i="17"/>
  <c r="GL117" i="17"/>
  <c r="GZ117" i="17"/>
  <c r="FO118" i="17"/>
  <c r="FZ118" i="17"/>
  <c r="GN118" i="17"/>
  <c r="GY118" i="17"/>
  <c r="FN119" i="17"/>
  <c r="GB119" i="17"/>
  <c r="GM119" i="17"/>
  <c r="HA119" i="17"/>
  <c r="FM120" i="17"/>
  <c r="GA120" i="17"/>
  <c r="GO120" i="17"/>
  <c r="GZ120" i="17"/>
  <c r="FO121" i="17"/>
  <c r="FZ121" i="17"/>
  <c r="GN121" i="17"/>
  <c r="HB121" i="17"/>
  <c r="FN122" i="17"/>
  <c r="GB122" i="17"/>
  <c r="GM122" i="17"/>
  <c r="HA122" i="17"/>
  <c r="FP123" i="17"/>
  <c r="GA123" i="17"/>
  <c r="GO123" i="17"/>
  <c r="GZ123" i="17"/>
  <c r="AX116" i="17"/>
  <c r="DF116" i="17" s="1"/>
  <c r="BF116" i="17"/>
  <c r="DN116" i="17" s="1"/>
  <c r="BN116" i="17"/>
  <c r="DV116" i="17" s="1"/>
  <c r="BV116" i="17"/>
  <c r="ED116" i="17" s="1"/>
  <c r="CD116" i="17"/>
  <c r="CL116" i="17"/>
  <c r="BC117" i="17"/>
  <c r="DK117" i="17" s="1"/>
  <c r="BK117" i="17"/>
  <c r="BS117" i="17"/>
  <c r="CA117" i="17"/>
  <c r="EI117" i="17" s="1"/>
  <c r="CI117" i="17"/>
  <c r="AR118" i="17"/>
  <c r="CZ118" i="17" s="1"/>
  <c r="AZ118" i="17"/>
  <c r="DH118" i="17" s="1"/>
  <c r="BH118" i="17"/>
  <c r="DP118" i="17" s="1"/>
  <c r="BP118" i="17"/>
  <c r="DX118" i="17" s="1"/>
  <c r="BX118" i="17"/>
  <c r="EF118" i="17" s="1"/>
  <c r="CF118" i="17"/>
  <c r="AO119" i="17"/>
  <c r="CW119" i="17" s="1"/>
  <c r="AW119" i="17"/>
  <c r="DE119" i="17" s="1"/>
  <c r="BE119" i="17"/>
  <c r="BM119" i="17"/>
  <c r="DU119" i="17" s="1"/>
  <c r="BU119" i="17"/>
  <c r="EC119" i="17" s="1"/>
  <c r="CC119" i="17"/>
  <c r="CK119" i="17"/>
  <c r="AT120" i="17"/>
  <c r="DB120" i="17" s="1"/>
  <c r="BB120" i="17"/>
  <c r="BJ120" i="17"/>
  <c r="DR120" i="17" s="1"/>
  <c r="BR120" i="17"/>
  <c r="DZ120" i="17" s="1"/>
  <c r="BZ120" i="17"/>
  <c r="EH120" i="17" s="1"/>
  <c r="CH120" i="17"/>
  <c r="AQ121" i="17"/>
  <c r="CY121" i="17" s="1"/>
  <c r="AY121" i="17"/>
  <c r="DG121" i="17" s="1"/>
  <c r="BG121" i="17"/>
  <c r="DO121" i="17" s="1"/>
  <c r="BO121" i="17"/>
  <c r="DW121" i="17" s="1"/>
  <c r="BW121" i="17"/>
  <c r="EE121" i="17" s="1"/>
  <c r="CE121" i="17"/>
  <c r="CM121" i="17"/>
  <c r="AV122" i="17"/>
  <c r="DD122" i="17" s="1"/>
  <c r="BD122" i="17"/>
  <c r="DL122" i="17" s="1"/>
  <c r="BL122" i="17"/>
  <c r="DT122" i="17" s="1"/>
  <c r="BT122" i="17"/>
  <c r="EB122" i="17" s="1"/>
  <c r="CB122" i="17"/>
  <c r="EJ122" i="17" s="1"/>
  <c r="CJ122" i="17"/>
  <c r="AS123" i="17"/>
  <c r="DA123" i="17" s="1"/>
  <c r="BA123" i="17"/>
  <c r="DI123" i="17" s="1"/>
  <c r="BI123" i="17"/>
  <c r="DQ123" i="17" s="1"/>
  <c r="BQ123" i="17"/>
  <c r="DY123" i="17" s="1"/>
  <c r="BY123" i="17"/>
  <c r="EG123" i="17" s="1"/>
  <c r="CG123" i="17"/>
  <c r="AN122" i="17"/>
  <c r="CV122" i="17" s="1"/>
  <c r="HR116" i="17"/>
  <c r="MG116" i="17" s="1"/>
  <c r="IN116" i="17"/>
  <c r="NC116" i="17" s="1"/>
  <c r="JJ116" i="17"/>
  <c r="NY116" i="17" s="1"/>
  <c r="IC117" i="17"/>
  <c r="IY117" i="17"/>
  <c r="HR118" i="17"/>
  <c r="IN118" i="17"/>
  <c r="HL119" i="17"/>
  <c r="IC119" i="17"/>
  <c r="IZ119" i="17"/>
  <c r="HR120" i="17"/>
  <c r="IO120" i="17"/>
  <c r="HM121" i="17"/>
  <c r="ID121" i="17"/>
  <c r="JA121" i="17"/>
  <c r="HS122" i="17"/>
  <c r="IP122" i="17"/>
  <c r="HM123" i="17"/>
  <c r="IE123" i="17"/>
  <c r="IZ123" i="17"/>
  <c r="HK121" i="17"/>
  <c r="FO116" i="17"/>
  <c r="KD116" i="17" s="1"/>
  <c r="GC116" i="17"/>
  <c r="KR116" i="17" s="1"/>
  <c r="GN116" i="17"/>
  <c r="LC116" i="17" s="1"/>
  <c r="HB116" i="17"/>
  <c r="LQ116" i="17" s="1"/>
  <c r="FN117" i="17"/>
  <c r="GB117" i="17"/>
  <c r="GP117" i="17"/>
  <c r="HA117" i="17"/>
  <c r="FP118" i="17"/>
  <c r="GA118" i="17"/>
  <c r="GO118" i="17"/>
  <c r="HC118" i="17"/>
  <c r="FO119" i="17"/>
  <c r="GC119" i="17"/>
  <c r="GN119" i="17"/>
  <c r="HB119" i="17"/>
  <c r="FQ120" i="17"/>
  <c r="GB120" i="17"/>
  <c r="GP120" i="17"/>
  <c r="HA120" i="17"/>
  <c r="FP121" i="17"/>
  <c r="GD121" i="17"/>
  <c r="GO121" i="17"/>
  <c r="HC121" i="17"/>
  <c r="FO122" i="17"/>
  <c r="GC122" i="17"/>
  <c r="GQ122" i="17"/>
  <c r="HB122" i="17"/>
  <c r="FQ123" i="17"/>
  <c r="GB123" i="17"/>
  <c r="GP123" i="17"/>
  <c r="FD123" i="17"/>
  <c r="AY116" i="17"/>
  <c r="DG116" i="17" s="1"/>
  <c r="BG116" i="17"/>
  <c r="DO116" i="17" s="1"/>
  <c r="BO116" i="17"/>
  <c r="DW116" i="17" s="1"/>
  <c r="BW116" i="17"/>
  <c r="CE116" i="17"/>
  <c r="CM116" i="17"/>
  <c r="AV117" i="17"/>
  <c r="DD117" i="17" s="1"/>
  <c r="BD117" i="17"/>
  <c r="DL117" i="17" s="1"/>
  <c r="BL117" i="17"/>
  <c r="DT117" i="17" s="1"/>
  <c r="BT117" i="17"/>
  <c r="EB117" i="17" s="1"/>
  <c r="CB117" i="17"/>
  <c r="EJ117" i="17" s="1"/>
  <c r="CJ117" i="17"/>
  <c r="AS118" i="17"/>
  <c r="DA118" i="17" s="1"/>
  <c r="BA118" i="17"/>
  <c r="DI118" i="17" s="1"/>
  <c r="BI118" i="17"/>
  <c r="DQ118" i="17" s="1"/>
  <c r="BQ118" i="17"/>
  <c r="DY118" i="17" s="1"/>
  <c r="BY118" i="17"/>
  <c r="EG118" i="17" s="1"/>
  <c r="CG118" i="17"/>
  <c r="AP119" i="17"/>
  <c r="CX119" i="17" s="1"/>
  <c r="AX119" i="17"/>
  <c r="DF119" i="17" s="1"/>
  <c r="BF119" i="17"/>
  <c r="DN119" i="17" s="1"/>
  <c r="BN119" i="17"/>
  <c r="DV119" i="17" s="1"/>
  <c r="BV119" i="17"/>
  <c r="ED119" i="17" s="1"/>
  <c r="CD119" i="17"/>
  <c r="CL119" i="17"/>
  <c r="AU120" i="17"/>
  <c r="DC120" i="17" s="1"/>
  <c r="BC120" i="17"/>
  <c r="DK120" i="17" s="1"/>
  <c r="BK120" i="17"/>
  <c r="BS120" i="17"/>
  <c r="EA120" i="17" s="1"/>
  <c r="CA120" i="17"/>
  <c r="EI120" i="17" s="1"/>
  <c r="CI120" i="17"/>
  <c r="AR121" i="17"/>
  <c r="CZ121" i="17" s="1"/>
  <c r="AZ121" i="17"/>
  <c r="DH121" i="17" s="1"/>
  <c r="BH121" i="17"/>
  <c r="DP121" i="17" s="1"/>
  <c r="BP121" i="17"/>
  <c r="DX121" i="17" s="1"/>
  <c r="BX121" i="17"/>
  <c r="EF121" i="17" s="1"/>
  <c r="CF121" i="17"/>
  <c r="AO122" i="17"/>
  <c r="CW122" i="17" s="1"/>
  <c r="AW122" i="17"/>
  <c r="DE122" i="17" s="1"/>
  <c r="BE122" i="17"/>
  <c r="BM122" i="17"/>
  <c r="DU122" i="17" s="1"/>
  <c r="BU122" i="17"/>
  <c r="EC122" i="17" s="1"/>
  <c r="CC122" i="17"/>
  <c r="CK122" i="17"/>
  <c r="AT123" i="17"/>
  <c r="DB123" i="17" s="1"/>
  <c r="BB123" i="17"/>
  <c r="DJ123" i="17" s="1"/>
  <c r="BJ123" i="17"/>
  <c r="DR123" i="17" s="1"/>
  <c r="BR123" i="17"/>
  <c r="DZ123" i="17" s="1"/>
  <c r="BZ123" i="17"/>
  <c r="EH123" i="17" s="1"/>
  <c r="CH123" i="17"/>
  <c r="AN121" i="17"/>
  <c r="CV121" i="17" s="1"/>
  <c r="HX116" i="17"/>
  <c r="MM116" i="17" s="1"/>
  <c r="IP116" i="17"/>
  <c r="NE116" i="17" s="1"/>
  <c r="HM117" i="17"/>
  <c r="IE117" i="17"/>
  <c r="JA117" i="17"/>
  <c r="HX118" i="17"/>
  <c r="IP118" i="17"/>
  <c r="HM119" i="17"/>
  <c r="IE119" i="17"/>
  <c r="JA119" i="17"/>
  <c r="HY120" i="17"/>
  <c r="IP120" i="17"/>
  <c r="HN121" i="17"/>
  <c r="IE121" i="17"/>
  <c r="JB121" i="17"/>
  <c r="HZ122" i="17"/>
  <c r="IQ122" i="17"/>
  <c r="HO123" i="17"/>
  <c r="IF123" i="17"/>
  <c r="JA123" i="17"/>
  <c r="HK116" i="17"/>
  <c r="LZ116" i="17" s="1"/>
  <c r="FP116" i="17"/>
  <c r="KE116" i="17" s="1"/>
  <c r="GD116" i="17"/>
  <c r="KS116" i="17" s="1"/>
  <c r="GO116" i="17"/>
  <c r="LD116" i="17" s="1"/>
  <c r="HC116" i="17"/>
  <c r="LR116" i="17" s="1"/>
  <c r="FR117" i="17"/>
  <c r="GC117" i="17"/>
  <c r="GQ117" i="17"/>
  <c r="HB117" i="17"/>
  <c r="FQ118" i="17"/>
  <c r="GE118" i="17"/>
  <c r="GP118" i="17"/>
  <c r="FE119" i="17"/>
  <c r="FP119" i="17"/>
  <c r="GD119" i="17"/>
  <c r="GR119" i="17"/>
  <c r="HC119" i="17"/>
  <c r="FR120" i="17"/>
  <c r="GC120" i="17"/>
  <c r="GQ120" i="17"/>
  <c r="FF121" i="17"/>
  <c r="FQ121" i="17"/>
  <c r="GE121" i="17"/>
  <c r="GP121" i="17"/>
  <c r="FE122" i="17"/>
  <c r="FS122" i="17"/>
  <c r="GD122" i="17"/>
  <c r="GR122" i="17"/>
  <c r="HC122" i="17"/>
  <c r="FR123" i="17"/>
  <c r="GF123" i="17"/>
  <c r="GQ123" i="17"/>
  <c r="FD122" i="17"/>
  <c r="AZ116" i="17"/>
  <c r="DH116" i="17" s="1"/>
  <c r="BH116" i="17"/>
  <c r="DP116" i="17" s="1"/>
  <c r="BP116" i="17"/>
  <c r="DX116" i="17" s="1"/>
  <c r="BX116" i="17"/>
  <c r="EF116" i="17" s="1"/>
  <c r="CF116" i="17"/>
  <c r="AW117" i="17"/>
  <c r="DE117" i="17" s="1"/>
  <c r="BE117" i="17"/>
  <c r="BM117" i="17"/>
  <c r="DU117" i="17" s="1"/>
  <c r="BU117" i="17"/>
  <c r="EC117" i="17" s="1"/>
  <c r="CC117" i="17"/>
  <c r="CK117" i="17"/>
  <c r="AT118" i="17"/>
  <c r="DB118" i="17" s="1"/>
  <c r="BB118" i="17"/>
  <c r="BJ118" i="17"/>
  <c r="DR118" i="17" s="1"/>
  <c r="BR118" i="17"/>
  <c r="DZ118" i="17" s="1"/>
  <c r="BZ118" i="17"/>
  <c r="EH118" i="17" s="1"/>
  <c r="CH118" i="17"/>
  <c r="AQ119" i="17"/>
  <c r="CY119" i="17" s="1"/>
  <c r="AY119" i="17"/>
  <c r="DG119" i="17" s="1"/>
  <c r="BG119" i="17"/>
  <c r="DO119" i="17" s="1"/>
  <c r="BO119" i="17"/>
  <c r="DW119" i="17" s="1"/>
  <c r="BW119" i="17"/>
  <c r="CE119" i="17"/>
  <c r="CM119" i="17"/>
  <c r="AV120" i="17"/>
  <c r="DD120" i="17" s="1"/>
  <c r="BD120" i="17"/>
  <c r="DL120" i="17" s="1"/>
  <c r="BL120" i="17"/>
  <c r="DT120" i="17" s="1"/>
  <c r="BT120" i="17"/>
  <c r="EB120" i="17" s="1"/>
  <c r="CB120" i="17"/>
  <c r="EJ120" i="17" s="1"/>
  <c r="CJ120" i="17"/>
  <c r="AS121" i="17"/>
  <c r="DA121" i="17" s="1"/>
  <c r="BA121" i="17"/>
  <c r="DI121" i="17" s="1"/>
  <c r="BI121" i="17"/>
  <c r="DQ121" i="17" s="1"/>
  <c r="BQ121" i="17"/>
  <c r="DY121" i="17" s="1"/>
  <c r="BY121" i="17"/>
  <c r="EG121" i="17" s="1"/>
  <c r="CG121" i="17"/>
  <c r="AP122" i="17"/>
  <c r="CX122" i="17" s="1"/>
  <c r="AX122" i="17"/>
  <c r="DF122" i="17" s="1"/>
  <c r="BF122" i="17"/>
  <c r="DN122" i="17" s="1"/>
  <c r="BN122" i="17"/>
  <c r="DV122" i="17" s="1"/>
  <c r="BV122" i="17"/>
  <c r="ED122" i="17" s="1"/>
  <c r="CD122" i="17"/>
  <c r="CL122" i="17"/>
  <c r="AU123" i="17"/>
  <c r="DC123" i="17" s="1"/>
  <c r="BC123" i="17"/>
  <c r="DK123" i="17" s="1"/>
  <c r="BK123" i="17"/>
  <c r="BS123" i="17"/>
  <c r="CA123" i="17"/>
  <c r="EI123" i="17" s="1"/>
  <c r="CI123" i="17"/>
  <c r="AN120" i="17"/>
  <c r="CV120" i="17" s="1"/>
  <c r="IZ116" i="17"/>
  <c r="NO116" i="17" s="1"/>
  <c r="HL120" i="17"/>
  <c r="HL122" i="17"/>
  <c r="FV116" i="17"/>
  <c r="KK116" i="17" s="1"/>
  <c r="HZ116" i="17"/>
  <c r="MO116" i="17" s="1"/>
  <c r="IR116" i="17"/>
  <c r="NG116" i="17" s="1"/>
  <c r="HO117" i="17"/>
  <c r="IK117" i="17"/>
  <c r="JC117" i="17"/>
  <c r="HZ118" i="17"/>
  <c r="IR118" i="17"/>
  <c r="HO119" i="17"/>
  <c r="IK119" i="17"/>
  <c r="JC119" i="17"/>
  <c r="HZ120" i="17"/>
  <c r="IR120" i="17"/>
  <c r="HO121" i="17"/>
  <c r="IL121" i="17"/>
  <c r="JC121" i="17"/>
  <c r="IA122" i="17"/>
  <c r="IR122" i="17"/>
  <c r="HP123" i="17"/>
  <c r="IM123" i="17"/>
  <c r="JC123" i="17"/>
  <c r="FE116" i="17"/>
  <c r="JT116" i="17" s="1"/>
  <c r="FQ116" i="17"/>
  <c r="KF116" i="17" s="1"/>
  <c r="GE116" i="17"/>
  <c r="KT116" i="17" s="1"/>
  <c r="GS116" i="17"/>
  <c r="LH116" i="17" s="1"/>
  <c r="FE117" i="17"/>
  <c r="FS117" i="17"/>
  <c r="GD117" i="17"/>
  <c r="GR117" i="17"/>
  <c r="FG118" i="17"/>
  <c r="FR118" i="17"/>
  <c r="GF118" i="17"/>
  <c r="GQ118" i="17"/>
  <c r="FF119" i="17"/>
  <c r="FT119" i="17"/>
  <c r="GE119" i="17"/>
  <c r="GS119" i="17"/>
  <c r="FE120" i="17"/>
  <c r="FS120" i="17"/>
  <c r="GG120" i="17"/>
  <c r="GR120" i="17"/>
  <c r="FG121" i="17"/>
  <c r="FR121" i="17"/>
  <c r="GF121" i="17"/>
  <c r="GT121" i="17"/>
  <c r="FF122" i="17"/>
  <c r="FT122" i="17"/>
  <c r="GE122" i="17"/>
  <c r="GS122" i="17"/>
  <c r="FH123" i="17"/>
  <c r="FS123" i="17"/>
  <c r="GG123" i="17"/>
  <c r="GR123" i="17"/>
  <c r="FD121" i="17"/>
  <c r="BA116" i="17"/>
  <c r="DI116" i="17" s="1"/>
  <c r="BI116" i="17"/>
  <c r="DQ116" i="17" s="1"/>
  <c r="BQ116" i="17"/>
  <c r="DY116" i="17" s="1"/>
  <c r="BY116" i="17"/>
  <c r="EG116" i="17" s="1"/>
  <c r="CG116" i="17"/>
  <c r="AX117" i="17"/>
  <c r="DF117" i="17" s="1"/>
  <c r="BF117" i="17"/>
  <c r="DN117" i="17" s="1"/>
  <c r="BN117" i="17"/>
  <c r="DV117" i="17" s="1"/>
  <c r="BV117" i="17"/>
  <c r="ED117" i="17" s="1"/>
  <c r="CD117" i="17"/>
  <c r="CL117" i="17"/>
  <c r="AU118" i="17"/>
  <c r="DC118" i="17" s="1"/>
  <c r="BC118" i="17"/>
  <c r="DK118" i="17" s="1"/>
  <c r="BK118" i="17"/>
  <c r="BS118" i="17"/>
  <c r="CA118" i="17"/>
  <c r="EI118" i="17" s="1"/>
  <c r="CI118" i="17"/>
  <c r="AR119" i="17"/>
  <c r="CZ119" i="17" s="1"/>
  <c r="AZ119" i="17"/>
  <c r="DH119" i="17" s="1"/>
  <c r="BH119" i="17"/>
  <c r="DP119" i="17" s="1"/>
  <c r="BP119" i="17"/>
  <c r="DX119" i="17" s="1"/>
  <c r="BX119" i="17"/>
  <c r="EF119" i="17" s="1"/>
  <c r="CF119" i="17"/>
  <c r="AO120" i="17"/>
  <c r="CW120" i="17" s="1"/>
  <c r="AW120" i="17"/>
  <c r="DE120" i="17" s="1"/>
  <c r="BE120" i="17"/>
  <c r="BM120" i="17"/>
  <c r="DU120" i="17" s="1"/>
  <c r="BU120" i="17"/>
  <c r="EC120" i="17" s="1"/>
  <c r="CC120" i="17"/>
  <c r="CK120" i="17"/>
  <c r="AT121" i="17"/>
  <c r="DB121" i="17" s="1"/>
  <c r="BB121" i="17"/>
  <c r="BJ121" i="17"/>
  <c r="DR121" i="17" s="1"/>
  <c r="BR121" i="17"/>
  <c r="DZ121" i="17" s="1"/>
  <c r="BZ121" i="17"/>
  <c r="EH121" i="17" s="1"/>
  <c r="CH121" i="17"/>
  <c r="AQ122" i="17"/>
  <c r="CY122" i="17" s="1"/>
  <c r="AY122" i="17"/>
  <c r="DG122" i="17" s="1"/>
  <c r="BG122" i="17"/>
  <c r="DO122" i="17" s="1"/>
  <c r="BO122" i="17"/>
  <c r="DW122" i="17" s="1"/>
  <c r="BW122" i="17"/>
  <c r="CE122" i="17"/>
  <c r="CM122" i="17"/>
  <c r="AV123" i="17"/>
  <c r="DD123" i="17" s="1"/>
  <c r="BD123" i="17"/>
  <c r="DL123" i="17" s="1"/>
  <c r="BL123" i="17"/>
  <c r="DT123" i="17" s="1"/>
  <c r="BT123" i="17"/>
  <c r="EB123" i="17" s="1"/>
  <c r="CB123" i="17"/>
  <c r="EJ123" i="17" s="1"/>
  <c r="CJ123" i="17"/>
  <c r="AN119" i="17"/>
  <c r="CV119" i="17" s="1"/>
  <c r="IC116" i="17"/>
  <c r="MR116" i="17" s="1"/>
  <c r="IZ118" i="17"/>
  <c r="HS119" i="17"/>
  <c r="ID120" i="17"/>
  <c r="HS121" i="17"/>
  <c r="ID122" i="17"/>
  <c r="HS123" i="17"/>
  <c r="JI123" i="17"/>
  <c r="GU116" i="17"/>
  <c r="LJ116" i="17" s="1"/>
  <c r="FU117" i="17"/>
  <c r="FI118" i="17"/>
  <c r="IB116" i="17"/>
  <c r="MQ116" i="17" s="1"/>
  <c r="IX116" i="17"/>
  <c r="NM116" i="17" s="1"/>
  <c r="HQ117" i="17"/>
  <c r="IM117" i="17"/>
  <c r="JE117" i="17"/>
  <c r="IB118" i="17"/>
  <c r="IX118" i="17"/>
  <c r="HQ119" i="17"/>
  <c r="IM119" i="17"/>
  <c r="JE119" i="17"/>
  <c r="IB120" i="17"/>
  <c r="IX120" i="17"/>
  <c r="HQ121" i="17"/>
  <c r="IM121" i="17"/>
  <c r="JE121" i="17"/>
  <c r="IB122" i="17"/>
  <c r="IY122" i="17"/>
  <c r="HQ123" i="17"/>
  <c r="IN123" i="17"/>
  <c r="JD123" i="17"/>
  <c r="FF116" i="17"/>
  <c r="JU116" i="17" s="1"/>
  <c r="FU116" i="17"/>
  <c r="KJ116" i="17" s="1"/>
  <c r="GF116" i="17"/>
  <c r="KU116" i="17" s="1"/>
  <c r="GT116" i="17"/>
  <c r="LI116" i="17" s="1"/>
  <c r="FF117" i="17"/>
  <c r="FT117" i="17"/>
  <c r="GH117" i="17"/>
  <c r="GS117" i="17"/>
  <c r="FH118" i="17"/>
  <c r="FS118" i="17"/>
  <c r="GG118" i="17"/>
  <c r="GU118" i="17"/>
  <c r="FG119" i="17"/>
  <c r="FU119" i="17"/>
  <c r="GF119" i="17"/>
  <c r="GT119" i="17"/>
  <c r="FI120" i="17"/>
  <c r="FT120" i="17"/>
  <c r="GH120" i="17"/>
  <c r="GS120" i="17"/>
  <c r="FH121" i="17"/>
  <c r="FV121" i="17"/>
  <c r="GG121" i="17"/>
  <c r="GU121" i="17"/>
  <c r="FG122" i="17"/>
  <c r="FU122" i="17"/>
  <c r="GI122" i="17"/>
  <c r="GT122" i="17"/>
  <c r="FI123" i="17"/>
  <c r="FT123" i="17"/>
  <c r="GH123" i="17"/>
  <c r="GV123" i="17"/>
  <c r="FD120" i="17"/>
  <c r="BB116" i="17"/>
  <c r="BJ116" i="17"/>
  <c r="DR116" i="17" s="1"/>
  <c r="BR116" i="17"/>
  <c r="BZ116" i="17"/>
  <c r="EH116" i="17" s="1"/>
  <c r="CH116" i="17"/>
  <c r="AY117" i="17"/>
  <c r="DG117" i="17" s="1"/>
  <c r="BG117" i="17"/>
  <c r="DO117" i="17" s="1"/>
  <c r="BO117" i="17"/>
  <c r="DW117" i="17" s="1"/>
  <c r="BW117" i="17"/>
  <c r="CE117" i="17"/>
  <c r="CM117" i="17"/>
  <c r="AV118" i="17"/>
  <c r="DD118" i="17" s="1"/>
  <c r="BD118" i="17"/>
  <c r="DL118" i="17" s="1"/>
  <c r="BL118" i="17"/>
  <c r="DT118" i="17" s="1"/>
  <c r="BT118" i="17"/>
  <c r="EB118" i="17" s="1"/>
  <c r="CB118" i="17"/>
  <c r="EJ118" i="17" s="1"/>
  <c r="CJ118" i="17"/>
  <c r="AS119" i="17"/>
  <c r="DA119" i="17" s="1"/>
  <c r="BA119" i="17"/>
  <c r="DI119" i="17" s="1"/>
  <c r="BI119" i="17"/>
  <c r="DQ119" i="17" s="1"/>
  <c r="BQ119" i="17"/>
  <c r="DY119" i="17" s="1"/>
  <c r="BY119" i="17"/>
  <c r="EG119" i="17" s="1"/>
  <c r="CG119" i="17"/>
  <c r="AP120" i="17"/>
  <c r="CX120" i="17" s="1"/>
  <c r="AX120" i="17"/>
  <c r="DF120" i="17" s="1"/>
  <c r="BF120" i="17"/>
  <c r="DN120" i="17" s="1"/>
  <c r="BN120" i="17"/>
  <c r="DV120" i="17" s="1"/>
  <c r="BV120" i="17"/>
  <c r="ED120" i="17" s="1"/>
  <c r="CD120" i="17"/>
  <c r="CL120" i="17"/>
  <c r="AU121" i="17"/>
  <c r="DC121" i="17" s="1"/>
  <c r="BC121" i="17"/>
  <c r="DK121" i="17" s="1"/>
  <c r="BK121" i="17"/>
  <c r="BS121" i="17"/>
  <c r="EA121" i="17" s="1"/>
  <c r="CA121" i="17"/>
  <c r="EI121" i="17" s="1"/>
  <c r="CI121" i="17"/>
  <c r="AR122" i="17"/>
  <c r="CZ122" i="17" s="1"/>
  <c r="AZ122" i="17"/>
  <c r="DH122" i="17" s="1"/>
  <c r="BH122" i="17"/>
  <c r="DP122" i="17" s="1"/>
  <c r="BP122" i="17"/>
  <c r="DX122" i="17" s="1"/>
  <c r="BX122" i="17"/>
  <c r="EF122" i="17" s="1"/>
  <c r="CF122" i="17"/>
  <c r="AO123" i="17"/>
  <c r="CW123" i="17" s="1"/>
  <c r="AW123" i="17"/>
  <c r="DE123" i="17" s="1"/>
  <c r="BE123" i="17"/>
  <c r="BM123" i="17"/>
  <c r="DU123" i="17" s="1"/>
  <c r="BU123" i="17"/>
  <c r="EC123" i="17" s="1"/>
  <c r="CC123" i="17"/>
  <c r="CK123" i="17"/>
  <c r="AN118" i="17"/>
  <c r="CV118" i="17" s="1"/>
  <c r="HL116" i="17"/>
  <c r="MA116" i="17" s="1"/>
  <c r="HR117" i="17"/>
  <c r="ID118" i="17"/>
  <c r="IO119" i="17"/>
  <c r="IZ120" i="17"/>
  <c r="IO121" i="17"/>
  <c r="IZ122" i="17"/>
  <c r="IO123" i="17"/>
  <c r="FG116" i="17"/>
  <c r="JV116" i="17" s="1"/>
  <c r="FJ117" i="17"/>
  <c r="GI117" i="17"/>
  <c r="FW118" i="17"/>
  <c r="HM116" i="17"/>
  <c r="MB116" i="17" s="1"/>
  <c r="FK123" i="17"/>
  <c r="BV118" i="17"/>
  <c r="ED118" i="17" s="1"/>
  <c r="ID116" i="17"/>
  <c r="MS116" i="17" s="1"/>
  <c r="JB118" i="17"/>
  <c r="HN122" i="17"/>
  <c r="GG116" i="17"/>
  <c r="KV116" i="17" s="1"/>
  <c r="FJ118" i="17"/>
  <c r="FV119" i="17"/>
  <c r="FU120" i="17"/>
  <c r="FW121" i="17"/>
  <c r="FV122" i="17"/>
  <c r="FX123" i="17"/>
  <c r="AW118" i="17"/>
  <c r="DE118" i="17" s="1"/>
  <c r="BQ122" i="17"/>
  <c r="DY122" i="17" s="1"/>
  <c r="JA116" i="17"/>
  <c r="NP116" i="17" s="1"/>
  <c r="HY119" i="17"/>
  <c r="IF122" i="17"/>
  <c r="GK116" i="17"/>
  <c r="KZ116" i="17" s="1"/>
  <c r="FX118" i="17"/>
  <c r="FW119" i="17"/>
  <c r="FY120" i="17"/>
  <c r="FX121" i="17"/>
  <c r="FW122" i="17"/>
  <c r="FY123" i="17"/>
  <c r="BD116" i="17"/>
  <c r="DL116" i="17" s="1"/>
  <c r="CJ116" i="17"/>
  <c r="BQ117" i="17"/>
  <c r="DY117" i="17" s="1"/>
  <c r="AX118" i="17"/>
  <c r="DF118" i="17" s="1"/>
  <c r="CD118" i="17"/>
  <c r="BK119" i="17"/>
  <c r="AR120" i="17"/>
  <c r="CZ120" i="17" s="1"/>
  <c r="BX120" i="17"/>
  <c r="EF120" i="17" s="1"/>
  <c r="BE121" i="17"/>
  <c r="CK121" i="17"/>
  <c r="BR122" i="17"/>
  <c r="AY123" i="17"/>
  <c r="DG123" i="17" s="1"/>
  <c r="CE123" i="17"/>
  <c r="BX117" i="17"/>
  <c r="EF117" i="17" s="1"/>
  <c r="CK118" i="17"/>
  <c r="AY120" i="17"/>
  <c r="DG120" i="17" s="1"/>
  <c r="BL121" i="17"/>
  <c r="DT121" i="17" s="1"/>
  <c r="AS122" i="17"/>
  <c r="DA122" i="17" s="1"/>
  <c r="BF123" i="17"/>
  <c r="CL123" i="17"/>
  <c r="CM123" i="17"/>
  <c r="FV117" i="17"/>
  <c r="AZ117" i="17"/>
  <c r="DH117" i="17" s="1"/>
  <c r="AT119" i="17"/>
  <c r="DB119" i="17" s="1"/>
  <c r="CM120" i="17"/>
  <c r="CG122" i="17"/>
  <c r="FI121" i="17"/>
  <c r="BH117" i="17"/>
  <c r="DP117" i="17" s="1"/>
  <c r="BU118" i="17"/>
  <c r="EC118" i="17" s="1"/>
  <c r="CB121" i="17"/>
  <c r="EJ121" i="17" s="1"/>
  <c r="GX117" i="17"/>
  <c r="CB116" i="17"/>
  <c r="EJ116" i="17" s="1"/>
  <c r="BP120" i="17"/>
  <c r="DX120" i="17" s="1"/>
  <c r="BJ119" i="17"/>
  <c r="DR119" i="17" s="1"/>
  <c r="CD123" i="17"/>
  <c r="HY117" i="17"/>
  <c r="IQ119" i="17"/>
  <c r="JB122" i="17"/>
  <c r="GV116" i="17"/>
  <c r="LK116" i="17" s="1"/>
  <c r="GH118" i="17"/>
  <c r="GJ119" i="17"/>
  <c r="GI120" i="17"/>
  <c r="GH121" i="17"/>
  <c r="GJ122" i="17"/>
  <c r="GI123" i="17"/>
  <c r="BK116" i="17"/>
  <c r="BE118" i="17"/>
  <c r="BR119" i="17"/>
  <c r="DZ119" i="17" s="1"/>
  <c r="CE120" i="17"/>
  <c r="BY122" i="17"/>
  <c r="EG122" i="17" s="1"/>
  <c r="IP117" i="17"/>
  <c r="GU119" i="17"/>
  <c r="GW123" i="17"/>
  <c r="CF117" i="17"/>
  <c r="BZ119" i="17"/>
  <c r="EH119" i="17" s="1"/>
  <c r="BA122" i="17"/>
  <c r="DI122" i="17" s="1"/>
  <c r="FJ120" i="17"/>
  <c r="CA116" i="17"/>
  <c r="EI116" i="17" s="1"/>
  <c r="CH119" i="17"/>
  <c r="AP123" i="17"/>
  <c r="CX123" i="17" s="1"/>
  <c r="IQ121" i="17"/>
  <c r="FK120" i="17"/>
  <c r="AV116" i="17"/>
  <c r="DD116" i="17" s="1"/>
  <c r="CI119" i="17"/>
  <c r="AQ123" i="17"/>
  <c r="CY123" i="17" s="1"/>
  <c r="CC118" i="17"/>
  <c r="CJ121" i="17"/>
  <c r="IO117" i="17"/>
  <c r="HN120" i="17"/>
  <c r="HY123" i="17"/>
  <c r="FK117" i="17"/>
  <c r="GI118" i="17"/>
  <c r="GK119" i="17"/>
  <c r="GJ120" i="17"/>
  <c r="GL121" i="17"/>
  <c r="GK122" i="17"/>
  <c r="GJ123" i="17"/>
  <c r="BL116" i="17"/>
  <c r="DT116" i="17" s="1"/>
  <c r="BY117" i="17"/>
  <c r="EG117" i="17" s="1"/>
  <c r="BF118" i="17"/>
  <c r="DN118" i="17" s="1"/>
  <c r="CL118" i="17"/>
  <c r="BS119" i="17"/>
  <c r="AZ120" i="17"/>
  <c r="DH120" i="17" s="1"/>
  <c r="CF120" i="17"/>
  <c r="BM121" i="17"/>
  <c r="DU121" i="17" s="1"/>
  <c r="AT122" i="17"/>
  <c r="DB122" i="17" s="1"/>
  <c r="BZ122" i="17"/>
  <c r="EH122" i="17" s="1"/>
  <c r="BG123" i="17"/>
  <c r="DO123" i="17" s="1"/>
  <c r="IF120" i="17"/>
  <c r="GV118" i="17"/>
  <c r="GW120" i="17"/>
  <c r="GU122" i="17"/>
  <c r="BG120" i="17"/>
  <c r="DO120" i="17" s="1"/>
  <c r="BN123" i="17"/>
  <c r="DV123" i="17" s="1"/>
  <c r="FJ123" i="17"/>
  <c r="BB119" i="17"/>
  <c r="BI122" i="17"/>
  <c r="FW116" i="17"/>
  <c r="KL116" i="17" s="1"/>
  <c r="FJ121" i="17"/>
  <c r="BI117" i="17"/>
  <c r="DQ117" i="17" s="1"/>
  <c r="AW121" i="17"/>
  <c r="DE121" i="17" s="1"/>
  <c r="BW123" i="17"/>
  <c r="CI116" i="17"/>
  <c r="AQ120" i="17"/>
  <c r="CY120" i="17" s="1"/>
  <c r="IQ123" i="17"/>
  <c r="GV121" i="17"/>
  <c r="BS116" i="17"/>
  <c r="BM118" i="17"/>
  <c r="DU118" i="17" s="1"/>
  <c r="BT121" i="17"/>
  <c r="EB121" i="17" s="1"/>
  <c r="FI116" i="17"/>
  <c r="JX116" i="17" s="1"/>
  <c r="BO120" i="17"/>
  <c r="DW120" i="17" s="1"/>
  <c r="BV123" i="17"/>
  <c r="ED123" i="17" s="1"/>
  <c r="IE118" i="17"/>
  <c r="FL122" i="17"/>
  <c r="AP118" i="17"/>
  <c r="CX118" i="17" s="1"/>
  <c r="CC121" i="17"/>
  <c r="BP117" i="17"/>
  <c r="DX117" i="17" s="1"/>
  <c r="BD121" i="17"/>
  <c r="DL121" i="17" s="1"/>
  <c r="HL118" i="17"/>
  <c r="JB120" i="17"/>
  <c r="JJ123" i="17"/>
  <c r="GJ117" i="17"/>
  <c r="GW118" i="17"/>
  <c r="GV119" i="17"/>
  <c r="GX120" i="17"/>
  <c r="GW121" i="17"/>
  <c r="GY122" i="17"/>
  <c r="GX123" i="17"/>
  <c r="BT116" i="17"/>
  <c r="EB116" i="17" s="1"/>
  <c r="BA117" i="17"/>
  <c r="DI117" i="17" s="1"/>
  <c r="CG117" i="17"/>
  <c r="BN118" i="17"/>
  <c r="DV118" i="17" s="1"/>
  <c r="AU119" i="17"/>
  <c r="DC119" i="17" s="1"/>
  <c r="CA119" i="17"/>
  <c r="EI119" i="17" s="1"/>
  <c r="BH120" i="17"/>
  <c r="DP120" i="17" s="1"/>
  <c r="AO121" i="17"/>
  <c r="CW121" i="17" s="1"/>
  <c r="BU121" i="17"/>
  <c r="EC121" i="17" s="1"/>
  <c r="BB122" i="17"/>
  <c r="CH122" i="17"/>
  <c r="BO123" i="17"/>
  <c r="DW123" i="17" s="1"/>
  <c r="HN118" i="17"/>
  <c r="HY121" i="17"/>
  <c r="GT117" i="17"/>
  <c r="FH119" i="17"/>
  <c r="FK122" i="17"/>
  <c r="FD119" i="17"/>
  <c r="AO118" i="17"/>
  <c r="CW118" i="17" s="1"/>
  <c r="AV121" i="17"/>
  <c r="DD121" i="17" s="1"/>
  <c r="FL119" i="17"/>
  <c r="BC119" i="17"/>
  <c r="DK119" i="17" s="1"/>
  <c r="BJ122" i="17"/>
  <c r="DR122" i="17" s="1"/>
  <c r="BC116" i="17"/>
  <c r="DK116" i="17" s="1"/>
  <c r="BW120" i="17"/>
  <c r="EE120" i="17" s="1"/>
  <c r="AX123" i="17"/>
  <c r="DF123" i="17" s="1"/>
  <c r="E3" i="20"/>
  <c r="E3" i="10"/>
  <c r="E3" i="5"/>
  <c r="JD91" i="17"/>
  <c r="JE92" i="17"/>
  <c r="JF93" i="17"/>
  <c r="JG94" i="17"/>
  <c r="JC85" i="17"/>
  <c r="JG86" i="17"/>
  <c r="JC87" i="17"/>
  <c r="JG88" i="17"/>
  <c r="JD70" i="17"/>
  <c r="JE71" i="17"/>
  <c r="JF72" i="17"/>
  <c r="JG73" i="17"/>
  <c r="JE91" i="17"/>
  <c r="JF92" i="17"/>
  <c r="JG93" i="17"/>
  <c r="IZ94" i="17"/>
  <c r="JH94" i="17"/>
  <c r="JD85" i="17"/>
  <c r="IZ86" i="17"/>
  <c r="JH86" i="17"/>
  <c r="JD87" i="17"/>
  <c r="IZ88" i="17"/>
  <c r="JH88" i="17"/>
  <c r="JE70" i="17"/>
  <c r="JF71" i="17"/>
  <c r="JG72" i="17"/>
  <c r="IZ73" i="17"/>
  <c r="JH73" i="17"/>
  <c r="JF91" i="17"/>
  <c r="JG92" i="17"/>
  <c r="IZ93" i="17"/>
  <c r="JH93" i="17"/>
  <c r="JA94" i="17"/>
  <c r="JI94" i="17"/>
  <c r="JE85" i="17"/>
  <c r="JA86" i="17"/>
  <c r="JI86" i="17"/>
  <c r="JE87" i="17"/>
  <c r="JA88" i="17"/>
  <c r="JI88" i="17"/>
  <c r="JF70" i="17"/>
  <c r="JG71" i="17"/>
  <c r="IZ72" i="17"/>
  <c r="JH72" i="17"/>
  <c r="JA73" i="17"/>
  <c r="JI73" i="17"/>
  <c r="JA18" i="17"/>
  <c r="JI18" i="17"/>
  <c r="JE19" i="17"/>
  <c r="JA20" i="17"/>
  <c r="JI20" i="17"/>
  <c r="JG91" i="17"/>
  <c r="IZ92" i="17"/>
  <c r="JH92" i="17"/>
  <c r="JA93" i="17"/>
  <c r="JI93" i="17"/>
  <c r="JB94" i="17"/>
  <c r="JJ94" i="17"/>
  <c r="JF85" i="17"/>
  <c r="JB86" i="17"/>
  <c r="JJ86" i="17"/>
  <c r="JF87" i="17"/>
  <c r="JB88" i="17"/>
  <c r="JJ88" i="17"/>
  <c r="JG70" i="17"/>
  <c r="IZ71" i="17"/>
  <c r="JH71" i="17"/>
  <c r="JA72" i="17"/>
  <c r="JI72" i="17"/>
  <c r="JB73" i="17"/>
  <c r="JJ73" i="17"/>
  <c r="JB18" i="17"/>
  <c r="JJ18" i="17"/>
  <c r="JF19" i="17"/>
  <c r="JB20" i="17"/>
  <c r="JJ20" i="17"/>
  <c r="IZ91" i="17"/>
  <c r="JH91" i="17"/>
  <c r="JA92" i="17"/>
  <c r="JI92" i="17"/>
  <c r="JB93" i="17"/>
  <c r="JJ93" i="17"/>
  <c r="JC94" i="17"/>
  <c r="JG85" i="17"/>
  <c r="JC86" i="17"/>
  <c r="JG87" i="17"/>
  <c r="JC88" i="17"/>
  <c r="IZ70" i="17"/>
  <c r="JH70" i="17"/>
  <c r="JA71" i="17"/>
  <c r="JI71" i="17"/>
  <c r="JB72" i="17"/>
  <c r="JJ72" i="17"/>
  <c r="JC73" i="17"/>
  <c r="JC18" i="17"/>
  <c r="JG19" i="17"/>
  <c r="JC20" i="17"/>
  <c r="JA91" i="17"/>
  <c r="JI91" i="17"/>
  <c r="JB92" i="17"/>
  <c r="JJ92" i="17"/>
  <c r="JC93" i="17"/>
  <c r="JD94" i="17"/>
  <c r="IZ85" i="17"/>
  <c r="JH85" i="17"/>
  <c r="JD86" i="17"/>
  <c r="IZ87" i="17"/>
  <c r="JH87" i="17"/>
  <c r="JD88" i="17"/>
  <c r="JA70" i="17"/>
  <c r="JI70" i="17"/>
  <c r="JB71" i="17"/>
  <c r="JJ71" i="17"/>
  <c r="JC72" i="17"/>
  <c r="JD73" i="17"/>
  <c r="JD18" i="17"/>
  <c r="IZ19" i="17"/>
  <c r="JH19" i="17"/>
  <c r="JD20" i="17"/>
  <c r="JC91" i="17"/>
  <c r="JD92" i="17"/>
  <c r="JE93" i="17"/>
  <c r="JF94" i="17"/>
  <c r="JB85" i="17"/>
  <c r="JJ85" i="17"/>
  <c r="JF86" i="17"/>
  <c r="JB87" i="17"/>
  <c r="JJ87" i="17"/>
  <c r="JF88" i="17"/>
  <c r="JC70" i="17"/>
  <c r="JD71" i="17"/>
  <c r="JE72" i="17"/>
  <c r="JF73" i="17"/>
  <c r="JF18" i="17"/>
  <c r="JB19" i="17"/>
  <c r="JJ19" i="17"/>
  <c r="JF20" i="17"/>
  <c r="JI85" i="17"/>
  <c r="JB70" i="17"/>
  <c r="IZ18" i="17"/>
  <c r="JE20" i="17"/>
  <c r="JB21" i="17"/>
  <c r="JJ21" i="17"/>
  <c r="JG45" i="17"/>
  <c r="IZ46" i="17"/>
  <c r="JH46" i="17"/>
  <c r="JA47" i="17"/>
  <c r="JI47" i="17"/>
  <c r="JB48" i="17"/>
  <c r="JJ48" i="17"/>
  <c r="JC49" i="17"/>
  <c r="JD38" i="17"/>
  <c r="JE39" i="17"/>
  <c r="JF40" i="17"/>
  <c r="JG41" i="17"/>
  <c r="IZ42" i="17"/>
  <c r="JH42" i="17"/>
  <c r="JA31" i="17"/>
  <c r="JI31" i="17"/>
  <c r="JB32" i="17"/>
  <c r="JJ32" i="17"/>
  <c r="JC33" i="17"/>
  <c r="JD34" i="17"/>
  <c r="JE35" i="17"/>
  <c r="JA109" i="17"/>
  <c r="JI109" i="17"/>
  <c r="JB64" i="17"/>
  <c r="JJ64" i="17"/>
  <c r="JC65" i="17"/>
  <c r="JD66" i="17"/>
  <c r="JE67" i="17"/>
  <c r="JF58" i="17"/>
  <c r="JG59" i="17"/>
  <c r="IZ60" i="17"/>
  <c r="JH60" i="17"/>
  <c r="JE94" i="17"/>
  <c r="JJ70" i="17"/>
  <c r="JE18" i="17"/>
  <c r="JG20" i="17"/>
  <c r="JC21" i="17"/>
  <c r="IZ45" i="17"/>
  <c r="JH45" i="17"/>
  <c r="JA46" i="17"/>
  <c r="JI46" i="17"/>
  <c r="JB47" i="17"/>
  <c r="JJ47" i="17"/>
  <c r="JC48" i="17"/>
  <c r="JD49" i="17"/>
  <c r="JE38" i="17"/>
  <c r="JF39" i="17"/>
  <c r="JG40" i="17"/>
  <c r="IZ41" i="17"/>
  <c r="JH41" i="17"/>
  <c r="JA42" i="17"/>
  <c r="JI42" i="17"/>
  <c r="JB31" i="17"/>
  <c r="JJ31" i="17"/>
  <c r="JC32" i="17"/>
  <c r="JD33" i="17"/>
  <c r="JE34" i="17"/>
  <c r="JF35" i="17"/>
  <c r="JB109" i="17"/>
  <c r="JJ109" i="17"/>
  <c r="JC64" i="17"/>
  <c r="JD65" i="17"/>
  <c r="JE66" i="17"/>
  <c r="JF67" i="17"/>
  <c r="JG58" i="17"/>
  <c r="JB91" i="17"/>
  <c r="JD72" i="17"/>
  <c r="JG18" i="17"/>
  <c r="JH20" i="17"/>
  <c r="JD21" i="17"/>
  <c r="JA45" i="17"/>
  <c r="JI45" i="17"/>
  <c r="JB46" i="17"/>
  <c r="JJ46" i="17"/>
  <c r="JC47" i="17"/>
  <c r="JD48" i="17"/>
  <c r="JE49" i="17"/>
  <c r="JF38" i="17"/>
  <c r="JG39" i="17"/>
  <c r="IZ40" i="17"/>
  <c r="JH40" i="17"/>
  <c r="JA41" i="17"/>
  <c r="JI41" i="17"/>
  <c r="JB42" i="17"/>
  <c r="JJ42" i="17"/>
  <c r="JC31" i="17"/>
  <c r="JD32" i="17"/>
  <c r="JE33" i="17"/>
  <c r="JF34" i="17"/>
  <c r="JG35" i="17"/>
  <c r="JC109" i="17"/>
  <c r="JD64" i="17"/>
  <c r="JE65" i="17"/>
  <c r="JF66" i="17"/>
  <c r="JG67" i="17"/>
  <c r="IZ58" i="17"/>
  <c r="JH58" i="17"/>
  <c r="JA59" i="17"/>
  <c r="JI59" i="17"/>
  <c r="JB60" i="17"/>
  <c r="JJ60" i="17"/>
  <c r="JJ91" i="17"/>
  <c r="JE88" i="17"/>
  <c r="JH18" i="17"/>
  <c r="JA19" i="17"/>
  <c r="JE21" i="17"/>
  <c r="JB45" i="17"/>
  <c r="JJ45" i="17"/>
  <c r="JC46" i="17"/>
  <c r="JD47" i="17"/>
  <c r="JE48" i="17"/>
  <c r="JF49" i="17"/>
  <c r="JG38" i="17"/>
  <c r="IZ39" i="17"/>
  <c r="JH39" i="17"/>
  <c r="JA40" i="17"/>
  <c r="JI40" i="17"/>
  <c r="JB41" i="17"/>
  <c r="JJ41" i="17"/>
  <c r="JC42" i="17"/>
  <c r="JD31" i="17"/>
  <c r="JE32" i="17"/>
  <c r="JF33" i="17"/>
  <c r="JG34" i="17"/>
  <c r="IZ35" i="17"/>
  <c r="JH35" i="17"/>
  <c r="JD109" i="17"/>
  <c r="JE64" i="17"/>
  <c r="JF65" i="17"/>
  <c r="JG66" i="17"/>
  <c r="IZ67" i="17"/>
  <c r="JH67" i="17"/>
  <c r="JA58" i="17"/>
  <c r="JI58" i="17"/>
  <c r="JB59" i="17"/>
  <c r="JJ59" i="17"/>
  <c r="JC60" i="17"/>
  <c r="JD93" i="17"/>
  <c r="JA87" i="17"/>
  <c r="JC19" i="17"/>
  <c r="JF21" i="17"/>
  <c r="JC45" i="17"/>
  <c r="JD46" i="17"/>
  <c r="JE47" i="17"/>
  <c r="JF48" i="17"/>
  <c r="JG49" i="17"/>
  <c r="IZ38" i="17"/>
  <c r="JH38" i="17"/>
  <c r="JA39" i="17"/>
  <c r="JI39" i="17"/>
  <c r="JB40" i="17"/>
  <c r="JJ40" i="17"/>
  <c r="JC41" i="17"/>
  <c r="JD42" i="17"/>
  <c r="JE31" i="17"/>
  <c r="JF32" i="17"/>
  <c r="JG33" i="17"/>
  <c r="IZ34" i="17"/>
  <c r="JH34" i="17"/>
  <c r="JA35" i="17"/>
  <c r="JI35" i="17"/>
  <c r="JE109" i="17"/>
  <c r="JF64" i="17"/>
  <c r="JG65" i="17"/>
  <c r="IZ66" i="17"/>
  <c r="JH66" i="17"/>
  <c r="JA67" i="17"/>
  <c r="JI67" i="17"/>
  <c r="JB58" i="17"/>
  <c r="JJ58" i="17"/>
  <c r="JC59" i="17"/>
  <c r="JD60" i="17"/>
  <c r="JC92" i="17"/>
  <c r="JA85" i="17"/>
  <c r="JE73" i="17"/>
  <c r="IZ20" i="17"/>
  <c r="JA21" i="17"/>
  <c r="JI21" i="17"/>
  <c r="JF45" i="17"/>
  <c r="JG46" i="17"/>
  <c r="IZ47" i="17"/>
  <c r="JH47" i="17"/>
  <c r="JA48" i="17"/>
  <c r="JI48" i="17"/>
  <c r="JB49" i="17"/>
  <c r="JJ49" i="17"/>
  <c r="JC38" i="17"/>
  <c r="JD39" i="17"/>
  <c r="JE40" i="17"/>
  <c r="JF41" i="17"/>
  <c r="JG42" i="17"/>
  <c r="IZ31" i="17"/>
  <c r="JH31" i="17"/>
  <c r="JA32" i="17"/>
  <c r="JI32" i="17"/>
  <c r="JB33" i="17"/>
  <c r="JJ33" i="17"/>
  <c r="JC34" i="17"/>
  <c r="JD35" i="17"/>
  <c r="IZ109" i="17"/>
  <c r="JH109" i="17"/>
  <c r="JA64" i="17"/>
  <c r="JI64" i="17"/>
  <c r="JB65" i="17"/>
  <c r="JJ65" i="17"/>
  <c r="JC66" i="17"/>
  <c r="JD67" i="17"/>
  <c r="JE58" i="17"/>
  <c r="JF59" i="17"/>
  <c r="JG60" i="17"/>
  <c r="JI19" i="17"/>
  <c r="JH21" i="17"/>
  <c r="JH48" i="17"/>
  <c r="JA49" i="17"/>
  <c r="JE41" i="17"/>
  <c r="JI33" i="17"/>
  <c r="JB34" i="17"/>
  <c r="JG109" i="17"/>
  <c r="IZ64" i="17"/>
  <c r="JD58" i="17"/>
  <c r="JE61" i="17"/>
  <c r="IZ52" i="17"/>
  <c r="JH52" i="17"/>
  <c r="JD53" i="17"/>
  <c r="IZ54" i="17"/>
  <c r="JH54" i="17"/>
  <c r="JD55" i="17"/>
  <c r="JE28" i="17"/>
  <c r="JD27" i="17"/>
  <c r="JC25" i="17"/>
  <c r="JJ24" i="17"/>
  <c r="JB24" i="17"/>
  <c r="JI106" i="17"/>
  <c r="JA106" i="17"/>
  <c r="JH105" i="17"/>
  <c r="IZ105" i="17"/>
  <c r="JG104" i="17"/>
  <c r="JF103" i="17"/>
  <c r="JE100" i="17"/>
  <c r="JI99" i="17"/>
  <c r="JA99" i="17"/>
  <c r="JE98" i="17"/>
  <c r="JI97" i="17"/>
  <c r="JA97" i="17"/>
  <c r="JC71" i="17"/>
  <c r="JD45" i="17"/>
  <c r="JH49" i="17"/>
  <c r="JA38" i="17"/>
  <c r="JE42" i="17"/>
  <c r="JI34" i="17"/>
  <c r="JB35" i="17"/>
  <c r="JG64" i="17"/>
  <c r="IZ65" i="17"/>
  <c r="JF61" i="17"/>
  <c r="JA52" i="17"/>
  <c r="JI52" i="17"/>
  <c r="JE53" i="17"/>
  <c r="JA54" i="17"/>
  <c r="JI54" i="17"/>
  <c r="JE55" i="17"/>
  <c r="JD28" i="17"/>
  <c r="JC27" i="17"/>
  <c r="JJ25" i="17"/>
  <c r="JB25" i="17"/>
  <c r="JI24" i="17"/>
  <c r="JA24" i="17"/>
  <c r="JH106" i="17"/>
  <c r="IZ106" i="17"/>
  <c r="JG105" i="17"/>
  <c r="JF104" i="17"/>
  <c r="JE103" i="17"/>
  <c r="JD100" i="17"/>
  <c r="JH99" i="17"/>
  <c r="IZ99" i="17"/>
  <c r="JD98" i="17"/>
  <c r="JH97" i="17"/>
  <c r="IZ97" i="17"/>
  <c r="JD13" i="17"/>
  <c r="JH12" i="17"/>
  <c r="IZ12" i="17"/>
  <c r="JD11" i="17"/>
  <c r="JE45" i="17"/>
  <c r="JI49" i="17"/>
  <c r="JB38" i="17"/>
  <c r="JF42" i="17"/>
  <c r="JJ34" i="17"/>
  <c r="JC35" i="17"/>
  <c r="JH64" i="17"/>
  <c r="JA65" i="17"/>
  <c r="IY61" i="17"/>
  <c r="JG61" i="17"/>
  <c r="JB52" i="17"/>
  <c r="JJ52" i="17"/>
  <c r="JF53" i="17"/>
  <c r="JB54" i="17"/>
  <c r="JJ54" i="17"/>
  <c r="JF55" i="17"/>
  <c r="JC28" i="17"/>
  <c r="JJ27" i="17"/>
  <c r="JB27" i="17"/>
  <c r="JI25" i="17"/>
  <c r="JA25" i="17"/>
  <c r="JH24" i="17"/>
  <c r="IZ24" i="17"/>
  <c r="JG106" i="17"/>
  <c r="JF105" i="17"/>
  <c r="JE104" i="17"/>
  <c r="JD103" i="17"/>
  <c r="JC100" i="17"/>
  <c r="JG99" i="17"/>
  <c r="JC98" i="17"/>
  <c r="JG97" i="17"/>
  <c r="JC13" i="17"/>
  <c r="JG12" i="17"/>
  <c r="JC11" i="17"/>
  <c r="JE46" i="17"/>
  <c r="JI38" i="17"/>
  <c r="JB39" i="17"/>
  <c r="JF31" i="17"/>
  <c r="JJ35" i="17"/>
  <c r="JH65" i="17"/>
  <c r="JA66" i="17"/>
  <c r="JA60" i="17"/>
  <c r="IZ61" i="17"/>
  <c r="JH61" i="17"/>
  <c r="JC52" i="17"/>
  <c r="JG53" i="17"/>
  <c r="JC54" i="17"/>
  <c r="JG55" i="17"/>
  <c r="JJ28" i="17"/>
  <c r="JB28" i="17"/>
  <c r="JI27" i="17"/>
  <c r="JA27" i="17"/>
  <c r="JH25" i="17"/>
  <c r="IZ25" i="17"/>
  <c r="JG24" i="17"/>
  <c r="JF106" i="17"/>
  <c r="JE105" i="17"/>
  <c r="JD104" i="17"/>
  <c r="JC103" i="17"/>
  <c r="JJ100" i="17"/>
  <c r="JB100" i="17"/>
  <c r="JF99" i="17"/>
  <c r="JJ98" i="17"/>
  <c r="JB98" i="17"/>
  <c r="JF97" i="17"/>
  <c r="JE86" i="17"/>
  <c r="JF46" i="17"/>
  <c r="JJ38" i="17"/>
  <c r="JC39" i="17"/>
  <c r="JG31" i="17"/>
  <c r="IZ32" i="17"/>
  <c r="JI65" i="17"/>
  <c r="JB66" i="17"/>
  <c r="IZ59" i="17"/>
  <c r="JE60" i="17"/>
  <c r="JA61" i="17"/>
  <c r="JI61" i="17"/>
  <c r="JD52" i="17"/>
  <c r="IZ53" i="17"/>
  <c r="JH53" i="17"/>
  <c r="JD54" i="17"/>
  <c r="IZ55" i="17"/>
  <c r="JH55" i="17"/>
  <c r="JI28" i="17"/>
  <c r="JA28" i="17"/>
  <c r="JH27" i="17"/>
  <c r="IZ27" i="17"/>
  <c r="JG25" i="17"/>
  <c r="JF24" i="17"/>
  <c r="JE106" i="17"/>
  <c r="JD105" i="17"/>
  <c r="JC104" i="17"/>
  <c r="JJ103" i="17"/>
  <c r="JB103" i="17"/>
  <c r="JI100" i="17"/>
  <c r="JA100" i="17"/>
  <c r="JE99" i="17"/>
  <c r="JI98" i="17"/>
  <c r="JA98" i="17"/>
  <c r="JE97" i="17"/>
  <c r="JI13" i="17"/>
  <c r="JA13" i="17"/>
  <c r="JE12" i="17"/>
  <c r="JI11" i="17"/>
  <c r="JA11" i="17"/>
  <c r="JD19" i="17"/>
  <c r="JG21" i="17"/>
  <c r="JG48" i="17"/>
  <c r="IZ49" i="17"/>
  <c r="JD41" i="17"/>
  <c r="JH33" i="17"/>
  <c r="JA34" i="17"/>
  <c r="JF109" i="17"/>
  <c r="JJ67" i="17"/>
  <c r="JC58" i="17"/>
  <c r="JH59" i="17"/>
  <c r="JD61" i="17"/>
  <c r="JG52" i="17"/>
  <c r="JC53" i="17"/>
  <c r="IZ48" i="17"/>
  <c r="JJ66" i="17"/>
  <c r="JE59" i="17"/>
  <c r="JJ53" i="17"/>
  <c r="JC55" i="17"/>
  <c r="JD106" i="17"/>
  <c r="JB105" i="17"/>
  <c r="IZ104" i="17"/>
  <c r="JB99" i="17"/>
  <c r="JH98" i="17"/>
  <c r="JH13" i="17"/>
  <c r="JJ12" i="17"/>
  <c r="JJ11" i="17"/>
  <c r="JC40" i="17"/>
  <c r="JB67" i="17"/>
  <c r="JE52" i="17"/>
  <c r="JI55" i="17"/>
  <c r="JE24" i="17"/>
  <c r="JC106" i="17"/>
  <c r="JA105" i="17"/>
  <c r="JH100" i="17"/>
  <c r="JG98" i="17"/>
  <c r="JI12" i="17"/>
  <c r="JH11" i="17"/>
  <c r="JF12" i="17"/>
  <c r="JG11" i="17"/>
  <c r="JG13" i="17"/>
  <c r="JF13" i="17"/>
  <c r="JD40" i="17"/>
  <c r="JC67" i="17"/>
  <c r="JF52" i="17"/>
  <c r="JJ55" i="17"/>
  <c r="JF25" i="17"/>
  <c r="JD24" i="17"/>
  <c r="JB106" i="17"/>
  <c r="JI103" i="17"/>
  <c r="JG100" i="17"/>
  <c r="JF98" i="17"/>
  <c r="JD59" i="17"/>
  <c r="IZ28" i="17"/>
  <c r="JI87" i="17"/>
  <c r="JG32" i="17"/>
  <c r="JF60" i="17"/>
  <c r="JB61" i="17"/>
  <c r="JG27" i="17"/>
  <c r="JE25" i="17"/>
  <c r="JC24" i="17"/>
  <c r="JJ104" i="17"/>
  <c r="JH103" i="17"/>
  <c r="JF100" i="17"/>
  <c r="IZ98" i="17"/>
  <c r="JE13" i="17"/>
  <c r="JD12" i="17"/>
  <c r="JF11" i="17"/>
  <c r="JJ97" i="17"/>
  <c r="JG47" i="17"/>
  <c r="JG54" i="17"/>
  <c r="JF28" i="17"/>
  <c r="IZ103" i="17"/>
  <c r="JC97" i="17"/>
  <c r="JA12" i="17"/>
  <c r="JJ39" i="17"/>
  <c r="JJ106" i="17"/>
  <c r="JA104" i="17"/>
  <c r="JC99" i="17"/>
  <c r="JB97" i="17"/>
  <c r="JJ13" i="17"/>
  <c r="JH32" i="17"/>
  <c r="JI60" i="17"/>
  <c r="JC61" i="17"/>
  <c r="JE54" i="17"/>
  <c r="JH28" i="17"/>
  <c r="JF27" i="17"/>
  <c r="JD25" i="17"/>
  <c r="JI104" i="17"/>
  <c r="JG103" i="17"/>
  <c r="IZ100" i="17"/>
  <c r="JB13" i="17"/>
  <c r="JC12" i="17"/>
  <c r="JE11" i="17"/>
  <c r="JA33" i="17"/>
  <c r="JA55" i="17"/>
  <c r="JI105" i="17"/>
  <c r="JD99" i="17"/>
  <c r="JI66" i="17"/>
  <c r="JB55" i="17"/>
  <c r="JF47" i="17"/>
  <c r="IZ33" i="17"/>
  <c r="JJ61" i="17"/>
  <c r="JA53" i="17"/>
  <c r="JF54" i="17"/>
  <c r="JG28" i="17"/>
  <c r="JE27" i="17"/>
  <c r="JJ105" i="17"/>
  <c r="JH104" i="17"/>
  <c r="JA103" i="17"/>
  <c r="JJ99" i="17"/>
  <c r="JD97" i="17"/>
  <c r="IZ13" i="17"/>
  <c r="JB12" i="17"/>
  <c r="JB11" i="17"/>
  <c r="IZ21" i="17"/>
  <c r="JB53" i="17"/>
  <c r="JB104" i="17"/>
  <c r="IZ11" i="17"/>
  <c r="JI53" i="17"/>
  <c r="JC105" i="17"/>
  <c r="B4" i="13"/>
  <c r="B4" i="12"/>
  <c r="B4" i="14"/>
  <c r="AR117" i="17"/>
  <c r="CZ117" i="17" s="1"/>
  <c r="AO116" i="17"/>
  <c r="CW116" i="17" s="1"/>
  <c r="AN117" i="17"/>
  <c r="CV117" i="17" s="1"/>
  <c r="AT116" i="17"/>
  <c r="DB116" i="17" s="1"/>
  <c r="E3" i="22"/>
  <c r="AA2" i="17"/>
  <c r="AF2" i="17" s="1"/>
  <c r="AF7" i="17" s="1"/>
  <c r="L7" i="17"/>
  <c r="E84" i="17"/>
  <c r="JO84" i="17" s="1"/>
  <c r="LY9" i="17"/>
  <c r="JR9" i="17"/>
  <c r="GS85" i="17"/>
  <c r="GT85" i="17"/>
  <c r="GU85" i="17"/>
  <c r="GV85" i="17"/>
  <c r="GW85" i="17"/>
  <c r="GX85" i="17"/>
  <c r="GY85" i="17"/>
  <c r="HA85" i="17"/>
  <c r="HB85" i="17"/>
  <c r="HC85" i="17"/>
  <c r="GS86" i="17"/>
  <c r="GT86" i="17"/>
  <c r="GU86" i="17"/>
  <c r="GV86" i="17"/>
  <c r="GW86" i="17"/>
  <c r="GX86" i="17"/>
  <c r="GY86" i="17"/>
  <c r="HA86" i="17"/>
  <c r="HB86" i="17"/>
  <c r="HC86" i="17"/>
  <c r="GS87" i="17"/>
  <c r="GT87" i="17"/>
  <c r="GU87" i="17"/>
  <c r="GV87" i="17"/>
  <c r="GW87" i="17"/>
  <c r="GX87" i="17"/>
  <c r="GY87" i="17"/>
  <c r="HA87" i="17"/>
  <c r="HB87" i="17"/>
  <c r="HC87" i="17"/>
  <c r="GS88" i="17"/>
  <c r="GT88" i="17"/>
  <c r="GU88" i="17"/>
  <c r="GV88" i="17"/>
  <c r="GW88" i="17"/>
  <c r="GX88" i="17"/>
  <c r="GY88" i="17"/>
  <c r="HA88" i="17"/>
  <c r="HB88" i="17"/>
  <c r="HC88" i="17"/>
  <c r="GS18" i="17"/>
  <c r="GT18" i="17"/>
  <c r="GU18" i="17"/>
  <c r="GV18" i="17"/>
  <c r="GW18" i="17"/>
  <c r="GX18" i="17"/>
  <c r="GY18" i="17"/>
  <c r="HA18" i="17"/>
  <c r="HB18" i="17"/>
  <c r="HC18" i="17"/>
  <c r="GS19" i="17"/>
  <c r="GT19" i="17"/>
  <c r="GU19" i="17"/>
  <c r="GV19" i="17"/>
  <c r="GW19" i="17"/>
  <c r="GX19" i="17"/>
  <c r="GY19" i="17"/>
  <c r="HA19" i="17"/>
  <c r="HB19" i="17"/>
  <c r="HC19" i="17"/>
  <c r="GS20" i="17"/>
  <c r="GT20" i="17"/>
  <c r="GU20" i="17"/>
  <c r="GV20" i="17"/>
  <c r="GW20" i="17"/>
  <c r="GX20" i="17"/>
  <c r="GY20" i="17"/>
  <c r="HA20" i="17"/>
  <c r="HB20" i="17"/>
  <c r="HC20" i="17"/>
  <c r="GS21" i="17"/>
  <c r="GT21" i="17"/>
  <c r="GU21" i="17"/>
  <c r="GV21" i="17"/>
  <c r="GW21" i="17"/>
  <c r="GX21" i="17"/>
  <c r="GY21" i="17"/>
  <c r="HA21" i="17"/>
  <c r="HB21" i="17"/>
  <c r="HC21" i="17"/>
  <c r="GS70" i="17"/>
  <c r="GT70" i="17"/>
  <c r="GU70" i="17"/>
  <c r="GV70" i="17"/>
  <c r="GW70" i="17"/>
  <c r="GX70" i="17"/>
  <c r="GY70" i="17"/>
  <c r="HA70" i="17"/>
  <c r="HB70" i="17"/>
  <c r="HC70" i="17"/>
  <c r="GS71" i="17"/>
  <c r="GT71" i="17"/>
  <c r="GU71" i="17"/>
  <c r="GV71" i="17"/>
  <c r="GW71" i="17"/>
  <c r="GX71" i="17"/>
  <c r="GY71" i="17"/>
  <c r="HA71" i="17"/>
  <c r="HB71" i="17"/>
  <c r="HC71" i="17"/>
  <c r="GS72" i="17"/>
  <c r="GT72" i="17"/>
  <c r="GU72" i="17"/>
  <c r="GV72" i="17"/>
  <c r="GW72" i="17"/>
  <c r="GX72" i="17"/>
  <c r="GY72" i="17"/>
  <c r="HA72" i="17"/>
  <c r="HB72" i="17"/>
  <c r="HC72" i="17"/>
  <c r="GS73" i="17"/>
  <c r="GT73" i="17"/>
  <c r="GU73" i="17"/>
  <c r="GV73" i="17"/>
  <c r="GW73" i="17"/>
  <c r="GX73" i="17"/>
  <c r="GY73" i="17"/>
  <c r="HA73" i="17"/>
  <c r="HB73" i="17"/>
  <c r="HC73" i="17"/>
  <c r="GS91" i="17"/>
  <c r="GT91" i="17"/>
  <c r="GU91" i="17"/>
  <c r="GV91" i="17"/>
  <c r="GW91" i="17"/>
  <c r="GX91" i="17"/>
  <c r="GY91" i="17"/>
  <c r="HA91" i="17"/>
  <c r="HB91" i="17"/>
  <c r="HC91" i="17"/>
  <c r="GS92" i="17"/>
  <c r="GT92" i="17"/>
  <c r="GU92" i="17"/>
  <c r="GV92" i="17"/>
  <c r="GW92" i="17"/>
  <c r="GX92" i="17"/>
  <c r="GY92" i="17"/>
  <c r="HA92" i="17"/>
  <c r="HB92" i="17"/>
  <c r="HC92" i="17"/>
  <c r="GS93" i="17"/>
  <c r="GT93" i="17"/>
  <c r="GU93" i="17"/>
  <c r="GV93" i="17"/>
  <c r="GW93" i="17"/>
  <c r="GX93" i="17"/>
  <c r="GY93" i="17"/>
  <c r="HA93" i="17"/>
  <c r="HB93" i="17"/>
  <c r="HC93" i="17"/>
  <c r="GS94" i="17"/>
  <c r="GT94" i="17"/>
  <c r="GU94" i="17"/>
  <c r="GV94" i="17"/>
  <c r="GW94" i="17"/>
  <c r="GX94" i="17"/>
  <c r="GY94" i="17"/>
  <c r="HA94" i="17"/>
  <c r="HB94" i="17"/>
  <c r="HC94" i="17"/>
  <c r="HC48" i="17"/>
  <c r="HB48" i="17"/>
  <c r="HA48" i="17"/>
  <c r="GY48" i="17"/>
  <c r="GX48" i="17"/>
  <c r="GW48" i="17"/>
  <c r="GV48" i="17"/>
  <c r="GU48" i="17"/>
  <c r="GT48" i="17"/>
  <c r="GS48" i="17"/>
  <c r="HC47" i="17"/>
  <c r="HB47" i="17"/>
  <c r="HA47" i="17"/>
  <c r="GY47" i="17"/>
  <c r="GX47" i="17"/>
  <c r="GW47" i="17"/>
  <c r="GV47" i="17"/>
  <c r="GU47" i="17"/>
  <c r="GT47" i="17"/>
  <c r="GS47" i="17"/>
  <c r="HC46" i="17"/>
  <c r="HB46" i="17"/>
  <c r="HA46" i="17"/>
  <c r="GY46" i="17"/>
  <c r="GX46" i="17"/>
  <c r="GW46" i="17"/>
  <c r="GV46" i="17"/>
  <c r="GU46" i="17"/>
  <c r="GT46" i="17"/>
  <c r="GS46" i="17"/>
  <c r="HC45" i="17"/>
  <c r="HB45" i="17"/>
  <c r="HA45" i="17"/>
  <c r="GY45" i="17"/>
  <c r="GX45" i="17"/>
  <c r="GW45" i="17"/>
  <c r="GV45" i="17"/>
  <c r="GU45" i="17"/>
  <c r="GT45" i="17"/>
  <c r="GS45" i="17"/>
  <c r="GS38" i="17"/>
  <c r="GT38" i="17"/>
  <c r="GU38" i="17"/>
  <c r="GV38" i="17"/>
  <c r="GW38" i="17"/>
  <c r="GX38" i="17"/>
  <c r="GY38" i="17"/>
  <c r="HA38" i="17"/>
  <c r="HB38" i="17"/>
  <c r="HC38" i="17"/>
  <c r="GS39" i="17"/>
  <c r="GT39" i="17"/>
  <c r="GU39" i="17"/>
  <c r="GV39" i="17"/>
  <c r="GW39" i="17"/>
  <c r="GX39" i="17"/>
  <c r="GY39" i="17"/>
  <c r="HA39" i="17"/>
  <c r="HB39" i="17"/>
  <c r="HC39" i="17"/>
  <c r="GS40" i="17"/>
  <c r="GT40" i="17"/>
  <c r="GU40" i="17"/>
  <c r="GV40" i="17"/>
  <c r="GW40" i="17"/>
  <c r="GX40" i="17"/>
  <c r="GY40" i="17"/>
  <c r="HA40" i="17"/>
  <c r="HB40" i="17"/>
  <c r="HC40" i="17"/>
  <c r="GS41" i="17"/>
  <c r="GT41" i="17"/>
  <c r="GU41" i="17"/>
  <c r="GV41" i="17"/>
  <c r="GW41" i="17"/>
  <c r="GX41" i="17"/>
  <c r="GY41" i="17"/>
  <c r="HA41" i="17"/>
  <c r="HB41" i="17"/>
  <c r="HC41" i="17"/>
  <c r="GS31" i="17"/>
  <c r="GT31" i="17"/>
  <c r="GU31" i="17"/>
  <c r="GV31" i="17"/>
  <c r="GW31" i="17"/>
  <c r="GX31" i="17"/>
  <c r="GY31" i="17"/>
  <c r="HA31" i="17"/>
  <c r="HB31" i="17"/>
  <c r="HC31" i="17"/>
  <c r="GS32" i="17"/>
  <c r="GT32" i="17"/>
  <c r="GU32" i="17"/>
  <c r="GV32" i="17"/>
  <c r="GW32" i="17"/>
  <c r="GX32" i="17"/>
  <c r="GY32" i="17"/>
  <c r="HA32" i="17"/>
  <c r="HB32" i="17"/>
  <c r="HC32" i="17"/>
  <c r="GS33" i="17"/>
  <c r="GT33" i="17"/>
  <c r="GU33" i="17"/>
  <c r="GV33" i="17"/>
  <c r="GW33" i="17"/>
  <c r="GX33" i="17"/>
  <c r="GY33" i="17"/>
  <c r="HA33" i="17"/>
  <c r="HB33" i="17"/>
  <c r="HC33" i="17"/>
  <c r="GS34" i="17"/>
  <c r="GT34" i="17"/>
  <c r="GU34" i="17"/>
  <c r="GV34" i="17"/>
  <c r="GW34" i="17"/>
  <c r="GX34" i="17"/>
  <c r="GY34" i="17"/>
  <c r="HA34" i="17"/>
  <c r="HB34" i="17"/>
  <c r="HC34" i="17"/>
  <c r="GS109" i="17"/>
  <c r="GT109" i="17"/>
  <c r="GU109" i="17"/>
  <c r="GV109" i="17"/>
  <c r="GW109" i="17"/>
  <c r="GX109" i="17"/>
  <c r="GY109" i="17"/>
  <c r="HA109" i="17"/>
  <c r="HB109" i="17"/>
  <c r="HC109" i="17"/>
  <c r="GS64" i="17"/>
  <c r="GT64" i="17"/>
  <c r="GU64" i="17"/>
  <c r="GV64" i="17"/>
  <c r="GW64" i="17"/>
  <c r="GX64" i="17"/>
  <c r="GY64" i="17"/>
  <c r="HA64" i="17"/>
  <c r="HB64" i="17"/>
  <c r="HC64" i="17"/>
  <c r="GS65" i="17"/>
  <c r="GT65" i="17"/>
  <c r="GU65" i="17"/>
  <c r="GV65" i="17"/>
  <c r="GW65" i="17"/>
  <c r="GX65" i="17"/>
  <c r="GY65" i="17"/>
  <c r="HA65" i="17"/>
  <c r="HB65" i="17"/>
  <c r="HC65" i="17"/>
  <c r="GS66" i="17"/>
  <c r="GT66" i="17"/>
  <c r="GU66" i="17"/>
  <c r="GV66" i="17"/>
  <c r="GW66" i="17"/>
  <c r="GX66" i="17"/>
  <c r="GY66" i="17"/>
  <c r="HA66" i="17"/>
  <c r="HB66" i="17"/>
  <c r="HC66" i="17"/>
  <c r="GS67" i="17"/>
  <c r="GT67" i="17"/>
  <c r="GU67" i="17"/>
  <c r="GV67" i="17"/>
  <c r="GW67" i="17"/>
  <c r="GX67" i="17"/>
  <c r="GY67" i="17"/>
  <c r="HA67" i="17"/>
  <c r="HB67" i="17"/>
  <c r="HC67" i="17"/>
  <c r="GS59" i="17"/>
  <c r="GT59" i="17"/>
  <c r="GU59" i="17"/>
  <c r="GV59" i="17"/>
  <c r="GW59" i="17"/>
  <c r="GX59" i="17"/>
  <c r="GY59" i="17"/>
  <c r="HA59" i="17"/>
  <c r="HB59" i="17"/>
  <c r="HC59" i="17"/>
  <c r="GS60" i="17"/>
  <c r="GT60" i="17"/>
  <c r="GU60" i="17"/>
  <c r="GV60" i="17"/>
  <c r="GW60" i="17"/>
  <c r="GX60" i="17"/>
  <c r="GY60" i="17"/>
  <c r="HA60" i="17"/>
  <c r="HB60" i="17"/>
  <c r="HC60" i="17"/>
  <c r="GR61" i="17"/>
  <c r="GS61" i="17"/>
  <c r="GT61" i="17"/>
  <c r="GU61" i="17"/>
  <c r="GV61" i="17"/>
  <c r="GW61" i="17"/>
  <c r="GX61" i="17"/>
  <c r="GY61" i="17"/>
  <c r="HA61" i="17"/>
  <c r="HB61" i="17"/>
  <c r="HC61" i="17"/>
  <c r="GS52" i="17"/>
  <c r="GT52" i="17"/>
  <c r="GU52" i="17"/>
  <c r="GV52" i="17"/>
  <c r="GW52" i="17"/>
  <c r="GX52" i="17"/>
  <c r="GY52" i="17"/>
  <c r="HA52" i="17"/>
  <c r="HB52" i="17"/>
  <c r="HC52" i="17"/>
  <c r="GS53" i="17"/>
  <c r="GT53" i="17"/>
  <c r="GU53" i="17"/>
  <c r="GV53" i="17"/>
  <c r="GW53" i="17"/>
  <c r="GX53" i="17"/>
  <c r="GY53" i="17"/>
  <c r="HA53" i="17"/>
  <c r="HB53" i="17"/>
  <c r="HC53" i="17"/>
  <c r="GS54" i="17"/>
  <c r="GT54" i="17"/>
  <c r="GU54" i="17"/>
  <c r="GV54" i="17"/>
  <c r="GW54" i="17"/>
  <c r="GX54" i="17"/>
  <c r="GY54" i="17"/>
  <c r="HA54" i="17"/>
  <c r="HB54" i="17"/>
  <c r="HC54" i="17"/>
  <c r="GS55" i="17"/>
  <c r="GT55" i="17"/>
  <c r="GU55" i="17"/>
  <c r="GV55" i="17"/>
  <c r="GW55" i="17"/>
  <c r="GX55" i="17"/>
  <c r="GY55" i="17"/>
  <c r="HA55" i="17"/>
  <c r="HB55" i="17"/>
  <c r="HC55" i="17"/>
  <c r="GS97" i="17"/>
  <c r="GT97" i="17"/>
  <c r="GU97" i="17"/>
  <c r="GV97" i="17"/>
  <c r="GW97" i="17"/>
  <c r="GX97" i="17"/>
  <c r="GY97" i="17"/>
  <c r="HA97" i="17"/>
  <c r="HB97" i="17"/>
  <c r="HC97" i="17"/>
  <c r="GS98" i="17"/>
  <c r="GT98" i="17"/>
  <c r="GU98" i="17"/>
  <c r="GV98" i="17"/>
  <c r="GW98" i="17"/>
  <c r="GX98" i="17"/>
  <c r="GY98" i="17"/>
  <c r="HA98" i="17"/>
  <c r="HB98" i="17"/>
  <c r="HC98" i="17"/>
  <c r="GS99" i="17"/>
  <c r="GT99" i="17"/>
  <c r="GU99" i="17"/>
  <c r="GV99" i="17"/>
  <c r="GW99" i="17"/>
  <c r="GX99" i="17"/>
  <c r="GY99" i="17"/>
  <c r="HA99" i="17"/>
  <c r="HB99" i="17"/>
  <c r="HC99" i="17"/>
  <c r="GS100" i="17"/>
  <c r="GT100" i="17"/>
  <c r="GU100" i="17"/>
  <c r="GV100" i="17"/>
  <c r="GW100" i="17"/>
  <c r="GX100" i="17"/>
  <c r="GY100" i="17"/>
  <c r="HA100" i="17"/>
  <c r="HB100" i="17"/>
  <c r="HC100" i="17"/>
  <c r="GS103" i="17"/>
  <c r="GT103" i="17"/>
  <c r="GU103" i="17"/>
  <c r="GV103" i="17"/>
  <c r="GW103" i="17"/>
  <c r="GX103" i="17"/>
  <c r="GY103" i="17"/>
  <c r="HA103" i="17"/>
  <c r="HB103" i="17"/>
  <c r="HC103" i="17"/>
  <c r="GS104" i="17"/>
  <c r="GT104" i="17"/>
  <c r="GU104" i="17"/>
  <c r="GV104" i="17"/>
  <c r="GW104" i="17"/>
  <c r="GX104" i="17"/>
  <c r="GY104" i="17"/>
  <c r="HA104" i="17"/>
  <c r="HB104" i="17"/>
  <c r="HC104" i="17"/>
  <c r="GS105" i="17"/>
  <c r="GT105" i="17"/>
  <c r="GU105" i="17"/>
  <c r="GV105" i="17"/>
  <c r="GW105" i="17"/>
  <c r="GX105" i="17"/>
  <c r="GY105" i="17"/>
  <c r="HA105" i="17"/>
  <c r="HB105" i="17"/>
  <c r="HC105" i="17"/>
  <c r="GS106" i="17"/>
  <c r="GT106" i="17"/>
  <c r="GU106" i="17"/>
  <c r="GV106" i="17"/>
  <c r="GW106" i="17"/>
  <c r="GX106" i="17"/>
  <c r="GY106" i="17"/>
  <c r="HA106" i="17"/>
  <c r="HB106" i="17"/>
  <c r="HC106" i="17"/>
  <c r="GS24" i="17"/>
  <c r="GT24" i="17"/>
  <c r="GU24" i="17"/>
  <c r="GV24" i="17"/>
  <c r="GW24" i="17"/>
  <c r="GX24" i="17"/>
  <c r="GY24" i="17"/>
  <c r="HA24" i="17"/>
  <c r="HB24" i="17"/>
  <c r="HC24" i="17"/>
  <c r="GS25" i="17"/>
  <c r="GT25" i="17"/>
  <c r="GU25" i="17"/>
  <c r="GV25" i="17"/>
  <c r="GW25" i="17"/>
  <c r="GX25" i="17"/>
  <c r="GY25" i="17"/>
  <c r="HA25" i="17"/>
  <c r="HB25" i="17"/>
  <c r="HC25" i="17"/>
  <c r="GS27" i="17"/>
  <c r="GT27" i="17"/>
  <c r="GU27" i="17"/>
  <c r="GV27" i="17"/>
  <c r="GW27" i="17"/>
  <c r="GX27" i="17"/>
  <c r="GY27" i="17"/>
  <c r="HA27" i="17"/>
  <c r="HB27" i="17"/>
  <c r="HC27" i="17"/>
  <c r="GS28" i="17"/>
  <c r="GT28" i="17"/>
  <c r="GU28" i="17"/>
  <c r="GV28" i="17"/>
  <c r="GW28" i="17"/>
  <c r="GX28" i="17"/>
  <c r="GY28" i="17"/>
  <c r="HA28" i="17"/>
  <c r="HB28" i="17"/>
  <c r="HC28" i="17"/>
  <c r="HC13" i="17"/>
  <c r="HB13" i="17"/>
  <c r="HA13" i="17"/>
  <c r="GY13" i="17"/>
  <c r="GX13" i="17"/>
  <c r="GW13" i="17"/>
  <c r="GV13" i="17"/>
  <c r="GU13" i="17"/>
  <c r="GT13" i="17"/>
  <c r="GS13" i="17"/>
  <c r="HC12" i="17"/>
  <c r="HB12" i="17"/>
  <c r="HA12" i="17"/>
  <c r="GY12" i="17"/>
  <c r="GX12" i="17"/>
  <c r="GW12" i="17"/>
  <c r="GV12" i="17"/>
  <c r="GU12" i="17"/>
  <c r="GT12" i="17"/>
  <c r="GS12" i="17"/>
  <c r="HC11" i="17"/>
  <c r="HB11" i="17"/>
  <c r="HA11" i="17"/>
  <c r="GY11" i="17"/>
  <c r="GX11" i="17"/>
  <c r="GW11" i="17"/>
  <c r="GV11" i="17"/>
  <c r="GU11" i="17"/>
  <c r="GT11" i="17"/>
  <c r="GS11" i="17"/>
  <c r="B84" i="17"/>
  <c r="NM78" i="17" l="1"/>
  <c r="NM76" i="17"/>
  <c r="NM77" i="17"/>
  <c r="NL78" i="17"/>
  <c r="NL76" i="17"/>
  <c r="NK77" i="17"/>
  <c r="NK78" i="17"/>
  <c r="NL77" i="17"/>
  <c r="NK76" i="17"/>
  <c r="NJ77" i="17"/>
  <c r="EE78" i="17"/>
  <c r="NJ78" i="17"/>
  <c r="NJ76" i="17"/>
  <c r="M30" i="20"/>
  <c r="JR14" i="17"/>
  <c r="ED76" i="17"/>
  <c r="NI78" i="17"/>
  <c r="NI77" i="17"/>
  <c r="NI76" i="17"/>
  <c r="EA122" i="17"/>
  <c r="EE119" i="17"/>
  <c r="EA118" i="17"/>
  <c r="EE116" i="17"/>
  <c r="EA117" i="17"/>
  <c r="EA116" i="17"/>
  <c r="EA123" i="17"/>
  <c r="EA119" i="17"/>
  <c r="EE118" i="17"/>
  <c r="EE117" i="17"/>
  <c r="LB116" i="17"/>
  <c r="EE123" i="17"/>
  <c r="EE122" i="17"/>
  <c r="NH76" i="17"/>
  <c r="NH78" i="17"/>
  <c r="ED77" i="17"/>
  <c r="ED78" i="17"/>
  <c r="NH77" i="17"/>
  <c r="NG78" i="17"/>
  <c r="NG76" i="17"/>
  <c r="NG77" i="17"/>
  <c r="NF78" i="17"/>
  <c r="NF76" i="17"/>
  <c r="NF77" i="17"/>
  <c r="DZ77" i="17"/>
  <c r="NE77" i="17"/>
  <c r="EA76" i="17"/>
  <c r="EA78" i="17"/>
  <c r="BG16" i="6"/>
  <c r="NE78" i="17"/>
  <c r="NE76" i="17"/>
  <c r="EA77" i="17"/>
  <c r="DZ78" i="17"/>
  <c r="DY77" i="17"/>
  <c r="DY76" i="17"/>
  <c r="DZ76" i="17"/>
  <c r="DZ116" i="17"/>
  <c r="DZ122" i="17"/>
  <c r="DZ117" i="17"/>
  <c r="ND78" i="17"/>
  <c r="ND76" i="17"/>
  <c r="MA78" i="17"/>
  <c r="ND77" i="17"/>
  <c r="KQ116" i="17"/>
  <c r="NC78" i="17"/>
  <c r="NC77" i="17"/>
  <c r="L78" i="17"/>
  <c r="NC76" i="17"/>
  <c r="LZ78" i="17"/>
  <c r="MB78" i="17"/>
  <c r="MG78" i="17"/>
  <c r="MF78" i="17"/>
  <c r="MU78" i="17"/>
  <c r="NA77" i="17"/>
  <c r="ML78" i="17"/>
  <c r="ME78" i="17"/>
  <c r="BK19" i="6"/>
  <c r="MI78" i="17"/>
  <c r="NB77" i="17"/>
  <c r="BC19" i="6"/>
  <c r="MD78" i="17"/>
  <c r="AY11" i="6"/>
  <c r="MH78" i="17"/>
  <c r="MC78" i="17"/>
  <c r="NB78" i="17"/>
  <c r="AQ17" i="6"/>
  <c r="R78" i="17"/>
  <c r="AM14" i="6"/>
  <c r="MO78" i="17"/>
  <c r="S4" i="6"/>
  <c r="S10" i="6" s="1"/>
  <c r="MK78" i="17"/>
  <c r="MJ78" i="17"/>
  <c r="NB76" i="17"/>
  <c r="MX78" i="17"/>
  <c r="Q78" i="17"/>
  <c r="K78" i="17"/>
  <c r="MY78" i="17"/>
  <c r="MP78" i="17"/>
  <c r="MW78" i="17"/>
  <c r="MX77" i="17"/>
  <c r="MY77" i="17"/>
  <c r="MV77" i="17"/>
  <c r="MZ77" i="17"/>
  <c r="MN78" i="17"/>
  <c r="MT78" i="17"/>
  <c r="MW77" i="17"/>
  <c r="MZ78" i="17"/>
  <c r="MS78" i="17"/>
  <c r="NA78" i="17"/>
  <c r="MV78" i="17"/>
  <c r="MQ78" i="17"/>
  <c r="P78" i="17"/>
  <c r="J78" i="17"/>
  <c r="MR78" i="17"/>
  <c r="MM78" i="17"/>
  <c r="JR82" i="17"/>
  <c r="LY82" i="17"/>
  <c r="BJ4" i="6"/>
  <c r="BB17" i="6"/>
  <c r="AL8" i="6"/>
  <c r="BH20" i="6"/>
  <c r="AS14" i="6"/>
  <c r="AH4" i="6"/>
  <c r="AH13" i="6" s="1"/>
  <c r="BH22" i="6"/>
  <c r="AZ14" i="6"/>
  <c r="AS8" i="6"/>
  <c r="Z4" i="6"/>
  <c r="Z16" i="6" s="1"/>
  <c r="BF11" i="6"/>
  <c r="AP14" i="6"/>
  <c r="N10" i="6"/>
  <c r="BM10" i="6"/>
  <c r="BE4" i="6"/>
  <c r="AP8" i="6"/>
  <c r="BK10" i="6"/>
  <c r="BD10" i="6"/>
  <c r="AV8" i="6"/>
  <c r="AN17" i="6"/>
  <c r="BK8" i="6"/>
  <c r="BH16" i="6"/>
  <c r="BE11" i="6"/>
  <c r="BB4" i="6"/>
  <c r="AY8" i="6"/>
  <c r="AS11" i="6"/>
  <c r="AM11" i="6"/>
  <c r="AA4" i="6"/>
  <c r="AA10" i="6" s="1"/>
  <c r="BM20" i="6"/>
  <c r="BJ19" i="6"/>
  <c r="BG17" i="6"/>
  <c r="BD19" i="6"/>
  <c r="BA20" i="6"/>
  <c r="AX4" i="6"/>
  <c r="AR4" i="6"/>
  <c r="AP11" i="6"/>
  <c r="AL4" i="6"/>
  <c r="R4" i="6"/>
  <c r="R16" i="6" s="1"/>
  <c r="BL22" i="6"/>
  <c r="BI4" i="6"/>
  <c r="BF16" i="6"/>
  <c r="BC4" i="6"/>
  <c r="BA8" i="6"/>
  <c r="BA10" i="6" s="1"/>
  <c r="CA24" i="17" s="1"/>
  <c r="EI24" i="17" s="1" a="1"/>
  <c r="EI24" i="17" s="1"/>
  <c r="AX17" i="6"/>
  <c r="AU20" i="6"/>
  <c r="AO14" i="6"/>
  <c r="AK17" i="6"/>
  <c r="O10" i="6"/>
  <c r="BL8" i="6"/>
  <c r="BI10" i="6"/>
  <c r="BF20" i="6"/>
  <c r="BC8" i="6"/>
  <c r="AZ11" i="6"/>
  <c r="AX11" i="6"/>
  <c r="AU14" i="6"/>
  <c r="AR14" i="6"/>
  <c r="AK4" i="6"/>
  <c r="O22" i="6"/>
  <c r="BK16" i="6"/>
  <c r="BI8" i="6"/>
  <c r="BF4" i="6"/>
  <c r="BC22" i="6"/>
  <c r="AW4" i="6"/>
  <c r="AT14" i="6"/>
  <c r="AQ8" i="6"/>
  <c r="AN4" i="6"/>
  <c r="AI4" i="6"/>
  <c r="AI16" i="6" s="1"/>
  <c r="M4" i="6"/>
  <c r="BM17" i="6"/>
  <c r="BL20" i="6"/>
  <c r="BL4" i="6"/>
  <c r="BK4" i="6"/>
  <c r="BJ16" i="6"/>
  <c r="BI17" i="6"/>
  <c r="BI22" i="6"/>
  <c r="BH11" i="6"/>
  <c r="BG11" i="6"/>
  <c r="BG22" i="6"/>
  <c r="BF22" i="6"/>
  <c r="BE20" i="6"/>
  <c r="BD22" i="6"/>
  <c r="BD4" i="6"/>
  <c r="BC14" i="6"/>
  <c r="BB14" i="6"/>
  <c r="IY26" i="17" s="1"/>
  <c r="BA4" i="6"/>
  <c r="BA14" i="6"/>
  <c r="AV4" i="6"/>
  <c r="AV11" i="6"/>
  <c r="AU11" i="6"/>
  <c r="AT8" i="6"/>
  <c r="AQ20" i="6"/>
  <c r="AO20" i="6"/>
  <c r="AN20" i="6"/>
  <c r="AL20" i="6"/>
  <c r="AK20" i="6"/>
  <c r="AJ17" i="6"/>
  <c r="AC4" i="6"/>
  <c r="AC19" i="6" s="1"/>
  <c r="U4" i="6"/>
  <c r="U10" i="6" s="1"/>
  <c r="P10" i="6"/>
  <c r="N19" i="6"/>
  <c r="BM13" i="6"/>
  <c r="BL19" i="6"/>
  <c r="BL13" i="6"/>
  <c r="BK20" i="6"/>
  <c r="BJ14" i="6"/>
  <c r="BI13" i="6"/>
  <c r="BI11" i="6"/>
  <c r="BH8" i="6"/>
  <c r="BG4" i="6"/>
  <c r="BF13" i="6"/>
  <c r="BF17" i="6"/>
  <c r="BE8" i="6"/>
  <c r="BD8" i="6"/>
  <c r="BD13" i="6"/>
  <c r="BC20" i="6"/>
  <c r="BB20" i="6"/>
  <c r="AZ8" i="6"/>
  <c r="AX8" i="6"/>
  <c r="AW20" i="6"/>
  <c r="AV17" i="6"/>
  <c r="AU8" i="6"/>
  <c r="AS4" i="6"/>
  <c r="AR8" i="6"/>
  <c r="AP17" i="6"/>
  <c r="AO8" i="6"/>
  <c r="AL17" i="6"/>
  <c r="AK11" i="6"/>
  <c r="AJ20" i="6"/>
  <c r="AB4" i="6"/>
  <c r="AB16" i="6" s="1"/>
  <c r="T4" i="6"/>
  <c r="T13" i="6" s="1"/>
  <c r="O4" i="6"/>
  <c r="O16" i="6" s="1"/>
  <c r="B4" i="6"/>
  <c r="BM19" i="6"/>
  <c r="BM4" i="6"/>
  <c r="BL11" i="6"/>
  <c r="BK11" i="6"/>
  <c r="BK13" i="6"/>
  <c r="BJ22" i="6"/>
  <c r="BI20" i="6"/>
  <c r="BH17" i="6"/>
  <c r="BH4" i="6"/>
  <c r="BG14" i="6"/>
  <c r="BF10" i="6"/>
  <c r="BE19" i="6"/>
  <c r="BE13" i="6"/>
  <c r="BD11" i="6"/>
  <c r="BC17" i="6"/>
  <c r="BC13" i="6"/>
  <c r="BB19" i="6"/>
  <c r="CB27" i="17" s="1"/>
  <c r="EJ27" i="17" s="1"/>
  <c r="BA11" i="6"/>
  <c r="AZ4" i="6"/>
  <c r="AY17" i="6"/>
  <c r="AW14" i="6"/>
  <c r="AU4" i="6"/>
  <c r="AT4" i="6"/>
  <c r="AR20" i="6"/>
  <c r="AQ4" i="6"/>
  <c r="AP4" i="6"/>
  <c r="AO17" i="6"/>
  <c r="AO4" i="6"/>
  <c r="AN14" i="6"/>
  <c r="AM17" i="6"/>
  <c r="AL14" i="6"/>
  <c r="AJ8" i="6"/>
  <c r="AG4" i="6"/>
  <c r="AG10" i="6" s="1"/>
  <c r="Y4" i="6"/>
  <c r="Y22" i="6" s="1"/>
  <c r="Q4" i="6"/>
  <c r="Q13" i="6" s="1"/>
  <c r="O19" i="6"/>
  <c r="M16" i="6"/>
  <c r="AM26" i="17" s="1"/>
  <c r="CU26" i="17" s="1"/>
  <c r="BM22" i="6"/>
  <c r="BM14" i="6"/>
  <c r="BL17" i="6"/>
  <c r="BK17" i="6"/>
  <c r="BJ17" i="6"/>
  <c r="BJ8" i="6"/>
  <c r="BI16" i="6"/>
  <c r="BH13" i="6"/>
  <c r="BH19" i="6"/>
  <c r="BG20" i="6"/>
  <c r="BF8" i="6"/>
  <c r="BE22" i="6"/>
  <c r="BE17" i="6"/>
  <c r="BD20" i="6"/>
  <c r="BC11" i="6"/>
  <c r="BB22" i="6"/>
  <c r="CB28" i="17" s="1"/>
  <c r="EJ28" i="17" s="1" a="1"/>
  <c r="EJ28" i="17" s="1"/>
  <c r="BB13" i="6"/>
  <c r="CB25" i="17" s="1"/>
  <c r="EJ25" i="17" s="1" a="1"/>
  <c r="EJ25" i="17" s="1"/>
  <c r="AZ20" i="6"/>
  <c r="AY20" i="6"/>
  <c r="AX20" i="6"/>
  <c r="AW11" i="6"/>
  <c r="AW8" i="6"/>
  <c r="AU17" i="6"/>
  <c r="AT11" i="6"/>
  <c r="AT20" i="6"/>
  <c r="AS17" i="6"/>
  <c r="AR17" i="6"/>
  <c r="AP20" i="6"/>
  <c r="AM20" i="6"/>
  <c r="AL11" i="6"/>
  <c r="AJ4" i="6"/>
  <c r="AF4" i="6"/>
  <c r="AF19" i="6" s="1"/>
  <c r="X4" i="6"/>
  <c r="X10" i="6" s="1"/>
  <c r="P4" i="6"/>
  <c r="P16" i="6" s="1"/>
  <c r="M13" i="6"/>
  <c r="AM25" i="17" s="1"/>
  <c r="CU25" i="17" s="1"/>
  <c r="M22" i="6"/>
  <c r="AM28" i="17" s="1"/>
  <c r="BM16" i="6"/>
  <c r="BM11" i="6"/>
  <c r="BL14" i="6"/>
  <c r="BK14" i="6"/>
  <c r="BJ20" i="6"/>
  <c r="BJ11" i="6"/>
  <c r="BI14" i="6"/>
  <c r="BH10" i="6"/>
  <c r="BG10" i="6"/>
  <c r="BG19" i="6"/>
  <c r="BF14" i="6"/>
  <c r="BE14" i="6"/>
  <c r="BE16" i="6"/>
  <c r="BD17" i="6"/>
  <c r="BC10" i="6"/>
  <c r="BB11" i="6"/>
  <c r="BB8" i="6"/>
  <c r="BA17" i="6"/>
  <c r="AZ17" i="6"/>
  <c r="AY14" i="6"/>
  <c r="AX14" i="6"/>
  <c r="AW17" i="6"/>
  <c r="AT17" i="6"/>
  <c r="AS20" i="6"/>
  <c r="AR11" i="6"/>
  <c r="AQ14" i="6"/>
  <c r="AQ11" i="6"/>
  <c r="AN11" i="6"/>
  <c r="AM4" i="6"/>
  <c r="AK8" i="6"/>
  <c r="AJ11" i="6"/>
  <c r="AE4" i="6"/>
  <c r="AE10" i="6" s="1"/>
  <c r="W4" i="6"/>
  <c r="W10" i="6" s="1"/>
  <c r="P19" i="6"/>
  <c r="M10" i="6"/>
  <c r="AM24" i="17" s="1"/>
  <c r="M19" i="6"/>
  <c r="AM27" i="17" s="1"/>
  <c r="CU27" i="17" s="1"/>
  <c r="BM8" i="6"/>
  <c r="BL16" i="6"/>
  <c r="BL10" i="6"/>
  <c r="BK22" i="6"/>
  <c r="BJ13" i="6"/>
  <c r="BJ10" i="6"/>
  <c r="BI19" i="6"/>
  <c r="BH14" i="6"/>
  <c r="BG8" i="6"/>
  <c r="BG13" i="6"/>
  <c r="BF19" i="6"/>
  <c r="BE10" i="6"/>
  <c r="BD16" i="6"/>
  <c r="BD14" i="6"/>
  <c r="BC16" i="6"/>
  <c r="BB16" i="6"/>
  <c r="CB26" i="17" s="1"/>
  <c r="EJ26" i="17" s="1" a="1"/>
  <c r="EJ26" i="17" s="1"/>
  <c r="BB10" i="6"/>
  <c r="CB24" i="17" s="1"/>
  <c r="EJ24" i="17" s="1" a="1"/>
  <c r="EJ24" i="17" s="1"/>
  <c r="AY4" i="6"/>
  <c r="AV20" i="6"/>
  <c r="AV14" i="6"/>
  <c r="AO11" i="6"/>
  <c r="AN8" i="6"/>
  <c r="AM8" i="6"/>
  <c r="AK14" i="6"/>
  <c r="AJ14" i="6"/>
  <c r="AD4" i="6"/>
  <c r="AD19" i="6" s="1"/>
  <c r="V4" i="6"/>
  <c r="V10" i="6" s="1"/>
  <c r="P22" i="6"/>
  <c r="N22" i="6"/>
  <c r="DS120" i="17"/>
  <c r="DS123" i="17"/>
  <c r="DS121" i="17"/>
  <c r="DS119" i="17"/>
  <c r="DS118" i="17"/>
  <c r="KP116" i="17"/>
  <c r="DS116" i="17"/>
  <c r="DS122" i="17"/>
  <c r="DS117" i="17"/>
  <c r="N16" i="6"/>
  <c r="M19" i="5"/>
  <c r="M16" i="5"/>
  <c r="M10" i="5"/>
  <c r="M13" i="5"/>
  <c r="M23" i="10"/>
  <c r="M16" i="10"/>
  <c r="M19" i="10"/>
  <c r="M13" i="10"/>
  <c r="BN11" i="22"/>
  <c r="BN8" i="22"/>
  <c r="M16" i="22"/>
  <c r="M10" i="22"/>
  <c r="M19" i="22"/>
  <c r="M13" i="22"/>
  <c r="M19" i="20"/>
  <c r="M13" i="20"/>
  <c r="M16" i="20"/>
  <c r="M10" i="20"/>
  <c r="DQ122" i="17"/>
  <c r="KN113" i="17"/>
  <c r="Y113" i="17" s="1"/>
  <c r="EO84" i="17"/>
  <c r="EG84" i="17"/>
  <c r="DY84" i="17"/>
  <c r="DQ84" i="17"/>
  <c r="DH84" i="17"/>
  <c r="CZ84" i="17"/>
  <c r="EN84" i="17"/>
  <c r="EF84" i="17"/>
  <c r="DX84" i="17"/>
  <c r="DP84" i="17"/>
  <c r="DG84" i="17"/>
  <c r="CY84" i="17"/>
  <c r="EU84" i="17"/>
  <c r="EM84" i="17"/>
  <c r="EE84" i="17"/>
  <c r="DW84" i="17"/>
  <c r="DN84" i="17"/>
  <c r="DF84" i="17"/>
  <c r="CX84" i="17"/>
  <c r="ET84" i="17"/>
  <c r="EL84" i="17"/>
  <c r="ED84" i="17"/>
  <c r="DV84" i="17"/>
  <c r="DM84" i="17"/>
  <c r="DE84" i="17"/>
  <c r="CW84" i="17"/>
  <c r="ES84" i="17"/>
  <c r="EK84" i="17"/>
  <c r="EC84" i="17"/>
  <c r="DU84" i="17"/>
  <c r="DL84" i="17"/>
  <c r="DD84" i="17"/>
  <c r="CV84" i="17"/>
  <c r="ER84" i="17"/>
  <c r="EJ84" i="17"/>
  <c r="EB84" i="17"/>
  <c r="DT84" i="17"/>
  <c r="DK84" i="17"/>
  <c r="DC84" i="17"/>
  <c r="EQ84" i="17"/>
  <c r="EI84" i="17"/>
  <c r="EA84" i="17"/>
  <c r="DS84" i="17"/>
  <c r="DJ84" i="17"/>
  <c r="DB84" i="17"/>
  <c r="EP84" i="17"/>
  <c r="EH84" i="17"/>
  <c r="DZ84" i="17"/>
  <c r="DR84" i="17"/>
  <c r="DI84" i="17"/>
  <c r="DA84" i="17"/>
  <c r="DJ122" i="17"/>
  <c r="DJ118" i="17"/>
  <c r="DJ121" i="17"/>
  <c r="DJ117" i="17"/>
  <c r="DM118" i="17"/>
  <c r="DM123" i="17"/>
  <c r="DM122" i="17"/>
  <c r="DJ120" i="17"/>
  <c r="DN123" i="17"/>
  <c r="DM120" i="17"/>
  <c r="DM119" i="17"/>
  <c r="DJ116" i="17"/>
  <c r="DM116" i="17"/>
  <c r="DJ119" i="17"/>
  <c r="DM121" i="17"/>
  <c r="DM117" i="17"/>
  <c r="KG116" i="17"/>
  <c r="KG113" i="17"/>
  <c r="KI113" i="17"/>
  <c r="KI116" i="17"/>
  <c r="KI111" i="17"/>
  <c r="KG111" i="17"/>
  <c r="KI112" i="17"/>
  <c r="KG112" i="17"/>
  <c r="R112" i="17"/>
  <c r="L113" i="17"/>
  <c r="MA121" i="17"/>
  <c r="R119" i="26"/>
  <c r="K116" i="26"/>
  <c r="L118" i="26"/>
  <c r="K118" i="26"/>
  <c r="S118" i="26"/>
  <c r="L112" i="17"/>
  <c r="M121" i="26"/>
  <c r="J115" i="26"/>
  <c r="L122" i="26"/>
  <c r="N119" i="26"/>
  <c r="J121" i="26"/>
  <c r="L116" i="26"/>
  <c r="K120" i="26"/>
  <c r="K115" i="26"/>
  <c r="N117" i="26"/>
  <c r="M118" i="26"/>
  <c r="K117" i="26"/>
  <c r="J117" i="26"/>
  <c r="M122" i="26"/>
  <c r="K121" i="26"/>
  <c r="S119" i="26"/>
  <c r="N118" i="26"/>
  <c r="L117" i="26"/>
  <c r="J116" i="26"/>
  <c r="N122" i="26"/>
  <c r="L121" i="26"/>
  <c r="J120" i="26"/>
  <c r="R118" i="26"/>
  <c r="M117" i="26"/>
  <c r="L115" i="26"/>
  <c r="R122" i="26"/>
  <c r="L120" i="26"/>
  <c r="J119" i="26"/>
  <c r="R117" i="26"/>
  <c r="M116" i="26"/>
  <c r="M115" i="26"/>
  <c r="R121" i="26"/>
  <c r="N121" i="26"/>
  <c r="K119" i="26"/>
  <c r="S117" i="26"/>
  <c r="N116" i="26"/>
  <c r="N115" i="26"/>
  <c r="N120" i="26"/>
  <c r="M120" i="26"/>
  <c r="J118" i="26"/>
  <c r="R116" i="26"/>
  <c r="R115" i="26"/>
  <c r="J122" i="26"/>
  <c r="R120" i="26"/>
  <c r="M119" i="26"/>
  <c r="L119" i="26"/>
  <c r="S116" i="26"/>
  <c r="S115" i="26"/>
  <c r="K122" i="26"/>
  <c r="S120" i="26"/>
  <c r="S122" i="26"/>
  <c r="S121" i="26"/>
  <c r="R113" i="17"/>
  <c r="AP116" i="17"/>
  <c r="CX116" i="17" s="1"/>
  <c r="AR116" i="17"/>
  <c r="CZ116" i="17" s="1"/>
  <c r="AS116" i="17"/>
  <c r="DA116" i="17" s="1"/>
  <c r="AU117" i="17"/>
  <c r="DC117" i="17" s="1"/>
  <c r="AN116" i="17"/>
  <c r="CV116" i="17" s="1"/>
  <c r="AP117" i="17"/>
  <c r="CX117" i="17" s="1"/>
  <c r="AO117" i="17"/>
  <c r="CW117" i="17" s="1"/>
  <c r="V83" i="1"/>
  <c r="V91" i="1"/>
  <c r="V99" i="1"/>
  <c r="V107" i="1"/>
  <c r="AQ117" i="17"/>
  <c r="CY117" i="17" s="1"/>
  <c r="AQ116" i="17"/>
  <c r="CY116" i="17" s="1"/>
  <c r="U83" i="1"/>
  <c r="U91" i="1"/>
  <c r="U99" i="1"/>
  <c r="U107" i="1"/>
  <c r="AS117" i="17"/>
  <c r="DA117" i="17" s="1"/>
  <c r="AT117" i="17"/>
  <c r="DB117" i="17" s="1"/>
  <c r="V51" i="1"/>
  <c r="V19" i="1"/>
  <c r="V59" i="1"/>
  <c r="V27" i="1"/>
  <c r="V67" i="1"/>
  <c r="V35" i="1"/>
  <c r="V75" i="1"/>
  <c r="V43" i="1"/>
  <c r="T115" i="26"/>
  <c r="O115" i="26"/>
  <c r="P122" i="26"/>
  <c r="T121" i="26"/>
  <c r="O121" i="26"/>
  <c r="P121" i="26"/>
  <c r="T120" i="26"/>
  <c r="T119" i="26"/>
  <c r="O119" i="26"/>
  <c r="P119" i="26"/>
  <c r="O122" i="26"/>
  <c r="O120" i="26"/>
  <c r="T118" i="26"/>
  <c r="O118" i="26"/>
  <c r="P118" i="26"/>
  <c r="T117" i="26"/>
  <c r="O117" i="26"/>
  <c r="P117" i="26"/>
  <c r="T116" i="26"/>
  <c r="O116" i="26"/>
  <c r="P116" i="26"/>
  <c r="P115" i="26"/>
  <c r="T122" i="26"/>
  <c r="P120" i="26"/>
  <c r="U51" i="1"/>
  <c r="U59" i="1"/>
  <c r="U27" i="1"/>
  <c r="U19" i="1"/>
  <c r="U67" i="1"/>
  <c r="U35" i="1"/>
  <c r="U75" i="1"/>
  <c r="U43" i="1"/>
  <c r="AU116" i="17"/>
  <c r="DC116" i="17" s="1"/>
  <c r="MA120" i="17"/>
  <c r="KA111" i="17"/>
  <c r="Y111" i="17" s="1"/>
  <c r="Q111" i="17"/>
  <c r="K111" i="17"/>
  <c r="Z113" i="17"/>
  <c r="Q113" i="17"/>
  <c r="K113" i="17"/>
  <c r="K112" i="17"/>
  <c r="Q112" i="17"/>
  <c r="Y112" i="17"/>
  <c r="Z112" i="17"/>
  <c r="JW111" i="17"/>
  <c r="R111" i="17"/>
  <c r="ME123" i="17"/>
  <c r="ME118" i="17"/>
  <c r="MB123" i="17"/>
  <c r="MD123" i="17"/>
  <c r="MA123" i="17"/>
  <c r="MA118" i="17"/>
  <c r="MF123" i="17"/>
  <c r="MR117" i="17"/>
  <c r="MB122" i="17"/>
  <c r="MJ120" i="17"/>
  <c r="MB117" i="17"/>
  <c r="MD118" i="17"/>
  <c r="MH123" i="17"/>
  <c r="MI118" i="17"/>
  <c r="MC123" i="17"/>
  <c r="MF118" i="17"/>
  <c r="MV119" i="17"/>
  <c r="MW121" i="17"/>
  <c r="MB120" i="17"/>
  <c r="NV118" i="17"/>
  <c r="MB118" i="17"/>
  <c r="MK122" i="17"/>
  <c r="MO117" i="17"/>
  <c r="NA119" i="17"/>
  <c r="MO122" i="17"/>
  <c r="MI117" i="17"/>
  <c r="MX122" i="17"/>
  <c r="MC118" i="17"/>
  <c r="ML123" i="17"/>
  <c r="NU119" i="17"/>
  <c r="MN123" i="17"/>
  <c r="MK121" i="17"/>
  <c r="MJ123" i="17"/>
  <c r="NW123" i="17"/>
  <c r="MH118" i="17"/>
  <c r="ND122" i="17"/>
  <c r="MG122" i="17"/>
  <c r="MW122" i="17"/>
  <c r="NO122" i="17"/>
  <c r="NJ121" i="17"/>
  <c r="MC121" i="17"/>
  <c r="MI123" i="17"/>
  <c r="NI117" i="17"/>
  <c r="NJ119" i="17"/>
  <c r="MV122" i="17"/>
  <c r="MA117" i="17"/>
  <c r="MG117" i="17"/>
  <c r="MF117" i="17"/>
  <c r="MW123" i="17"/>
  <c r="MO120" i="17"/>
  <c r="MU117" i="17"/>
  <c r="MD121" i="17"/>
  <c r="NW119" i="17"/>
  <c r="NV121" i="17"/>
  <c r="MK117" i="17"/>
  <c r="MW118" i="17"/>
  <c r="MD117" i="17"/>
  <c r="MM117" i="17"/>
  <c r="NM122" i="17"/>
  <c r="MG123" i="17"/>
  <c r="ME117" i="17"/>
  <c r="MJ119" i="17"/>
  <c r="NJ118" i="17"/>
  <c r="NI120" i="17"/>
  <c r="NJ122" i="17"/>
  <c r="MC117" i="17"/>
  <c r="MG118" i="17"/>
  <c r="MN117" i="17"/>
  <c r="MB121" i="17"/>
  <c r="NV120" i="17"/>
  <c r="NN117" i="17"/>
  <c r="MO123" i="17"/>
  <c r="NK123" i="17"/>
  <c r="MX123" i="17"/>
  <c r="MJ117" i="17"/>
  <c r="MR120" i="17"/>
  <c r="MS122" i="17"/>
  <c r="NF123" i="17"/>
  <c r="NR119" i="17"/>
  <c r="NE118" i="17"/>
  <c r="MF121" i="17"/>
  <c r="NE117" i="17"/>
  <c r="NW120" i="17"/>
  <c r="MK123" i="17"/>
  <c r="NE122" i="17"/>
  <c r="MV118" i="17"/>
  <c r="MH117" i="17"/>
  <c r="MM123" i="17"/>
  <c r="MW117" i="17"/>
  <c r="NM118" i="17"/>
  <c r="NJ123" i="17"/>
  <c r="NJ120" i="17"/>
  <c r="MT120" i="17"/>
  <c r="MQ121" i="17"/>
  <c r="NW121" i="17"/>
  <c r="NP121" i="17"/>
  <c r="NH121" i="17"/>
  <c r="NG121" i="17"/>
  <c r="NF120" i="17"/>
  <c r="MY122" i="17"/>
  <c r="NX119" i="17"/>
  <c r="MX117" i="17"/>
  <c r="MF122" i="17"/>
  <c r="NE119" i="17"/>
  <c r="NK121" i="17"/>
  <c r="MK119" i="17"/>
  <c r="NT123" i="17"/>
  <c r="MT121" i="17"/>
  <c r="NS118" i="17"/>
  <c r="NC123" i="17"/>
  <c r="MP122" i="17"/>
  <c r="NO119" i="17"/>
  <c r="NB118" i="17"/>
  <c r="NN121" i="17"/>
  <c r="NA120" i="17"/>
  <c r="MN119" i="17"/>
  <c r="NO123" i="17"/>
  <c r="NB122" i="17"/>
  <c r="MO121" i="17"/>
  <c r="NN118" i="17"/>
  <c r="NA117" i="17"/>
  <c r="MP123" i="17"/>
  <c r="MC122" i="17"/>
  <c r="NO120" i="17"/>
  <c r="NB119" i="17"/>
  <c r="MO118" i="17"/>
  <c r="MR121" i="17"/>
  <c r="NI118" i="17"/>
  <c r="MU120" i="17"/>
  <c r="NS120" i="17"/>
  <c r="NK120" i="17"/>
  <c r="NP122" i="17"/>
  <c r="MP120" i="17"/>
  <c r="NO117" i="17"/>
  <c r="MI122" i="17"/>
  <c r="NH119" i="17"/>
  <c r="NO121" i="17"/>
  <c r="MO119" i="17"/>
  <c r="NU123" i="17"/>
  <c r="MU121" i="17"/>
  <c r="NT118" i="17"/>
  <c r="ND123" i="17"/>
  <c r="NC118" i="17"/>
  <c r="MU123" i="17"/>
  <c r="MH122" i="17"/>
  <c r="NT120" i="17"/>
  <c r="NG119" i="17"/>
  <c r="MT118" i="17"/>
  <c r="NS122" i="17"/>
  <c r="NF121" i="17"/>
  <c r="MS120" i="17"/>
  <c r="MF119" i="17"/>
  <c r="NR117" i="17"/>
  <c r="NG123" i="17"/>
  <c r="MT122" i="17"/>
  <c r="MG121" i="17"/>
  <c r="NS119" i="17"/>
  <c r="NF118" i="17"/>
  <c r="MS117" i="17"/>
  <c r="NT121" i="17"/>
  <c r="NG120" i="17"/>
  <c r="MT119" i="17"/>
  <c r="M4" i="5"/>
  <c r="NY118" i="17"/>
  <c r="NM119" i="17"/>
  <c r="MN122" i="17"/>
  <c r="NF119" i="17"/>
  <c r="MM120" i="17"/>
  <c r="ME120" i="17"/>
  <c r="MD120" i="17"/>
  <c r="NV119" i="17"/>
  <c r="MZ122" i="17"/>
  <c r="NY119" i="17"/>
  <c r="MY117" i="17"/>
  <c r="NR121" i="17"/>
  <c r="MR119" i="17"/>
  <c r="NY123" i="17"/>
  <c r="MY121" i="17"/>
  <c r="NX118" i="17"/>
  <c r="NE123" i="17"/>
  <c r="ME121" i="17"/>
  <c r="ND118" i="17"/>
  <c r="NM120" i="17"/>
  <c r="MM118" i="17"/>
  <c r="NY121" i="17"/>
  <c r="NL120" i="17"/>
  <c r="MY119" i="17"/>
  <c r="ML118" i="17"/>
  <c r="NX123" i="17"/>
  <c r="NK122" i="17"/>
  <c r="MX121" i="17"/>
  <c r="MK120" i="17"/>
  <c r="NW118" i="17"/>
  <c r="NJ117" i="17"/>
  <c r="MY123" i="17"/>
  <c r="ML122" i="17"/>
  <c r="NX120" i="17"/>
  <c r="NK119" i="17"/>
  <c r="MX118" i="17"/>
  <c r="NY122" i="17"/>
  <c r="NL121" i="17"/>
  <c r="MY120" i="17"/>
  <c r="ML119" i="17"/>
  <c r="NX117" i="17"/>
  <c r="M4" i="10"/>
  <c r="NX121" i="17"/>
  <c r="NQ118" i="17"/>
  <c r="NN119" i="17"/>
  <c r="NP118" i="17"/>
  <c r="MW119" i="17"/>
  <c r="MP119" i="17"/>
  <c r="MH119" i="17"/>
  <c r="MG119" i="17"/>
  <c r="MJ122" i="17"/>
  <c r="NI119" i="17"/>
  <c r="NB121" i="17"/>
  <c r="MB119" i="17"/>
  <c r="NI123" i="17"/>
  <c r="MI121" i="17"/>
  <c r="NH118" i="17"/>
  <c r="NN120" i="17"/>
  <c r="MN118" i="17"/>
  <c r="NW122" i="17"/>
  <c r="MW120" i="17"/>
  <c r="NV117" i="17"/>
  <c r="NQ121" i="17"/>
  <c r="ND120" i="17"/>
  <c r="MQ119" i="17"/>
  <c r="NP123" i="17"/>
  <c r="NC122" i="17"/>
  <c r="MP121" i="17"/>
  <c r="MC120" i="17"/>
  <c r="NO118" i="17"/>
  <c r="NB117" i="17"/>
  <c r="MQ123" i="17"/>
  <c r="MD122" i="17"/>
  <c r="NP120" i="17"/>
  <c r="NC119" i="17"/>
  <c r="MP118" i="17"/>
  <c r="NQ122" i="17"/>
  <c r="ND121" i="17"/>
  <c r="MQ120" i="17"/>
  <c r="MD119" i="17"/>
  <c r="NP117" i="17"/>
  <c r="M4" i="20"/>
  <c r="M4" i="22"/>
  <c r="NR123" i="17"/>
  <c r="NT122" i="17"/>
  <c r="NS117" i="17"/>
  <c r="NT117" i="17"/>
  <c r="NA118" i="17"/>
  <c r="MZ118" i="17"/>
  <c r="MS118" i="17"/>
  <c r="MK118" i="17"/>
  <c r="NS121" i="17"/>
  <c r="MS119" i="17"/>
  <c r="NL123" i="17"/>
  <c r="ML121" i="17"/>
  <c r="NK118" i="17"/>
  <c r="MS123" i="17"/>
  <c r="NR120" i="17"/>
  <c r="MR118" i="17"/>
  <c r="NX122" i="17"/>
  <c r="MX120" i="17"/>
  <c r="NW117" i="17"/>
  <c r="NG122" i="17"/>
  <c r="MG120" i="17"/>
  <c r="NF117" i="17"/>
  <c r="NV122" i="17"/>
  <c r="NI121" i="17"/>
  <c r="MV120" i="17"/>
  <c r="MI119" i="17"/>
  <c r="NU117" i="17"/>
  <c r="NH123" i="17"/>
  <c r="MU122" i="17"/>
  <c r="MH121" i="17"/>
  <c r="NT119" i="17"/>
  <c r="NG118" i="17"/>
  <c r="MT117" i="17"/>
  <c r="NU121" i="17"/>
  <c r="NH120" i="17"/>
  <c r="MU119" i="17"/>
  <c r="NV123" i="17"/>
  <c r="NI122" i="17"/>
  <c r="MV121" i="17"/>
  <c r="MI120" i="17"/>
  <c r="NU118" i="17"/>
  <c r="NH117" i="17"/>
  <c r="MZ121" i="17"/>
  <c r="NC120" i="17"/>
  <c r="NQ123" i="17"/>
  <c r="NL117" i="17"/>
  <c r="ND117" i="17"/>
  <c r="NC117" i="17"/>
  <c r="MV117" i="17"/>
  <c r="NC121" i="17"/>
  <c r="MC119" i="17"/>
  <c r="MV123" i="17"/>
  <c r="NU120" i="17"/>
  <c r="MU118" i="17"/>
  <c r="NB120" i="17"/>
  <c r="NH122" i="17"/>
  <c r="MH120" i="17"/>
  <c r="NG117" i="17"/>
  <c r="MQ122" i="17"/>
  <c r="NP119" i="17"/>
  <c r="MP117" i="17"/>
  <c r="NN122" i="17"/>
  <c r="NA121" i="17"/>
  <c r="MN120" i="17"/>
  <c r="MA119" i="17"/>
  <c r="NM117" i="17"/>
  <c r="MZ123" i="17"/>
  <c r="MM122" i="17"/>
  <c r="NY120" i="17"/>
  <c r="NL119" i="17"/>
  <c r="MY118" i="17"/>
  <c r="ML117" i="17"/>
  <c r="NM121" i="17"/>
  <c r="MZ120" i="17"/>
  <c r="MM119" i="17"/>
  <c r="NY117" i="17"/>
  <c r="NN123" i="17"/>
  <c r="NA122" i="17"/>
  <c r="MN121" i="17"/>
  <c r="MZ117" i="17"/>
  <c r="MX119" i="17"/>
  <c r="MJ121" i="17"/>
  <c r="MJ118" i="17"/>
  <c r="NU122" i="17"/>
  <c r="NB123" i="17"/>
  <c r="NA123" i="17"/>
  <c r="MT123" i="17"/>
  <c r="NM123" i="17"/>
  <c r="MM121" i="17"/>
  <c r="NL118" i="17"/>
  <c r="NE120" i="17"/>
  <c r="NL122" i="17"/>
  <c r="ML120" i="17"/>
  <c r="NK117" i="17"/>
  <c r="MR122" i="17"/>
  <c r="NQ119" i="17"/>
  <c r="MQ117" i="17"/>
  <c r="MA122" i="17"/>
  <c r="MZ119" i="17"/>
  <c r="NS123" i="17"/>
  <c r="NF122" i="17"/>
  <c r="MS121" i="17"/>
  <c r="MF120" i="17"/>
  <c r="NR118" i="17"/>
  <c r="MR123" i="17"/>
  <c r="ME122" i="17"/>
  <c r="NQ120" i="17"/>
  <c r="ND119" i="17"/>
  <c r="MQ118" i="17"/>
  <c r="NR122" i="17"/>
  <c r="NE121" i="17"/>
  <c r="ME119" i="17"/>
  <c r="NQ117" i="17"/>
  <c r="HE84" i="17"/>
  <c r="JW84" i="17"/>
  <c r="KE84" i="17"/>
  <c r="KM84" i="17"/>
  <c r="KU84" i="17"/>
  <c r="LC84" i="17"/>
  <c r="LK84" i="17"/>
  <c r="JX84" i="17"/>
  <c r="KF84" i="17"/>
  <c r="KN84" i="17"/>
  <c r="KV84" i="17"/>
  <c r="LD84" i="17"/>
  <c r="LL84" i="17"/>
  <c r="JY84" i="17"/>
  <c r="KG84" i="17"/>
  <c r="KO84" i="17"/>
  <c r="KW84" i="17"/>
  <c r="LE84" i="17"/>
  <c r="LM84" i="17"/>
  <c r="JZ84" i="17"/>
  <c r="KH84" i="17"/>
  <c r="KP84" i="17"/>
  <c r="KX84" i="17"/>
  <c r="LF84" i="17"/>
  <c r="LN84" i="17"/>
  <c r="JS84" i="17"/>
  <c r="KA84" i="17"/>
  <c r="KI84" i="17"/>
  <c r="KQ84" i="17"/>
  <c r="KY84" i="17"/>
  <c r="LX84" i="17" s="1"/>
  <c r="LG84" i="17"/>
  <c r="LO84" i="17"/>
  <c r="JT84" i="17"/>
  <c r="KB84" i="17"/>
  <c r="KJ84" i="17"/>
  <c r="KR84" i="17"/>
  <c r="KZ84" i="17"/>
  <c r="LH84" i="17"/>
  <c r="LP84" i="17"/>
  <c r="JV84" i="17"/>
  <c r="KD84" i="17"/>
  <c r="KL84" i="17"/>
  <c r="KT84" i="17"/>
  <c r="LB84" i="17"/>
  <c r="LJ84" i="17"/>
  <c r="LR84" i="17"/>
  <c r="KC84" i="17"/>
  <c r="KK84" i="17"/>
  <c r="KS84" i="17"/>
  <c r="LA84" i="17"/>
  <c r="LI84" i="17"/>
  <c r="JU84" i="17"/>
  <c r="LQ84" i="17"/>
  <c r="HK84" i="17"/>
  <c r="HJ84" i="17"/>
  <c r="B4" i="22"/>
  <c r="B4" i="5"/>
  <c r="LY117" i="17"/>
  <c r="HS84" i="17"/>
  <c r="IA84" i="17"/>
  <c r="II84" i="17"/>
  <c r="IQ84" i="17"/>
  <c r="IY84" i="17"/>
  <c r="JG84" i="17"/>
  <c r="HT84" i="17"/>
  <c r="IB84" i="17"/>
  <c r="IJ84" i="17"/>
  <c r="IR84" i="17"/>
  <c r="IZ84" i="17"/>
  <c r="JH84" i="17"/>
  <c r="HU84" i="17"/>
  <c r="IC84" i="17"/>
  <c r="IK84" i="17"/>
  <c r="IS84" i="17"/>
  <c r="JA84" i="17"/>
  <c r="JI84" i="17"/>
  <c r="HV84" i="17"/>
  <c r="ID84" i="17"/>
  <c r="IL84" i="17"/>
  <c r="IT84" i="17"/>
  <c r="JB84" i="17"/>
  <c r="JJ84" i="17"/>
  <c r="HW84" i="17"/>
  <c r="IE84" i="17"/>
  <c r="IM84" i="17"/>
  <c r="IU84" i="17"/>
  <c r="JC84" i="17"/>
  <c r="HY84" i="17"/>
  <c r="IG84" i="17"/>
  <c r="IO84" i="17"/>
  <c r="IW84" i="17"/>
  <c r="JE84" i="17"/>
  <c r="HR84" i="17"/>
  <c r="IX84" i="17"/>
  <c r="HX84" i="17"/>
  <c r="JD84" i="17"/>
  <c r="HZ84" i="17"/>
  <c r="JF84" i="17"/>
  <c r="IF84" i="17"/>
  <c r="IH84" i="17"/>
  <c r="IN84" i="17"/>
  <c r="IP84" i="17"/>
  <c r="IV84" i="17"/>
  <c r="AE7" i="17"/>
  <c r="AD7" i="17"/>
  <c r="AC7" i="17"/>
  <c r="HM84" i="17"/>
  <c r="HL84" i="17"/>
  <c r="HQ84" i="17"/>
  <c r="HP84" i="17"/>
  <c r="HN84" i="17"/>
  <c r="P84" i="17"/>
  <c r="MR84" i="17"/>
  <c r="MZ84" i="17"/>
  <c r="NH84" i="17"/>
  <c r="NP84" i="17"/>
  <c r="NX84" i="17"/>
  <c r="BA84" i="17"/>
  <c r="BI84" i="17"/>
  <c r="BQ84" i="17"/>
  <c r="BY84" i="17"/>
  <c r="CG84" i="17"/>
  <c r="MU84" i="17"/>
  <c r="NC84" i="17"/>
  <c r="NK84" i="17"/>
  <c r="NS84" i="17"/>
  <c r="BD84" i="17"/>
  <c r="BL84" i="17"/>
  <c r="BT84" i="17"/>
  <c r="CB84" i="17"/>
  <c r="CJ84" i="17"/>
  <c r="MW84" i="17"/>
  <c r="NG84" i="17"/>
  <c r="NR84" i="17"/>
  <c r="BC84" i="17"/>
  <c r="BN84" i="17"/>
  <c r="BX84" i="17"/>
  <c r="CI84" i="17"/>
  <c r="CE84" i="17"/>
  <c r="NO84" i="17"/>
  <c r="MX84" i="17"/>
  <c r="NI84" i="17"/>
  <c r="NT84" i="17"/>
  <c r="BE84" i="17"/>
  <c r="BO84" i="17"/>
  <c r="BZ84" i="17"/>
  <c r="CK84" i="17"/>
  <c r="NN84" i="17"/>
  <c r="FZ84" i="17"/>
  <c r="AZ84" i="17"/>
  <c r="MO84" i="17"/>
  <c r="MY84" i="17"/>
  <c r="NJ84" i="17"/>
  <c r="NU84" i="17"/>
  <c r="BF84" i="17"/>
  <c r="BP84" i="17"/>
  <c r="CA84" i="17"/>
  <c r="CL84" i="17"/>
  <c r="GZ84" i="17"/>
  <c r="HO84" i="17"/>
  <c r="MP84" i="17"/>
  <c r="NA84" i="17"/>
  <c r="NL84" i="17"/>
  <c r="NV84" i="17"/>
  <c r="BG84" i="17"/>
  <c r="BR84" i="17"/>
  <c r="CC84" i="17"/>
  <c r="CM84" i="17"/>
  <c r="MS84" i="17"/>
  <c r="BJ84" i="17"/>
  <c r="CF84" i="17"/>
  <c r="MQ84" i="17"/>
  <c r="NB84" i="17"/>
  <c r="NM84" i="17"/>
  <c r="NW84" i="17"/>
  <c r="BH84" i="17"/>
  <c r="BS84" i="17"/>
  <c r="CD84" i="17"/>
  <c r="NY84" i="17"/>
  <c r="BU84" i="17"/>
  <c r="NE84" i="17"/>
  <c r="BV84" i="17"/>
  <c r="ND84" i="17"/>
  <c r="MT84" i="17"/>
  <c r="BK84" i="17"/>
  <c r="MV84" i="17"/>
  <c r="NF84" i="17"/>
  <c r="NQ84" i="17"/>
  <c r="BB84" i="17"/>
  <c r="BM84" i="17"/>
  <c r="BW84" i="17"/>
  <c r="CH84" i="17"/>
  <c r="FJ84" i="17"/>
  <c r="AC84" i="17"/>
  <c r="LV84" i="17"/>
  <c r="AA7" i="17"/>
  <c r="Z7" i="17"/>
  <c r="GP84" i="17"/>
  <c r="GH84" i="17"/>
  <c r="FR84" i="17"/>
  <c r="JR84" i="17"/>
  <c r="MN84" i="17"/>
  <c r="MF84" i="17"/>
  <c r="MM84" i="17"/>
  <c r="ME84" i="17"/>
  <c r="ML84" i="17"/>
  <c r="MD84" i="17"/>
  <c r="MK84" i="17"/>
  <c r="MC84" i="17"/>
  <c r="LT84" i="17"/>
  <c r="MJ84" i="17"/>
  <c r="MB84" i="17"/>
  <c r="MI84" i="17"/>
  <c r="MA84" i="17"/>
  <c r="MH84" i="17"/>
  <c r="LZ84" i="17"/>
  <c r="JM84" i="17"/>
  <c r="MG84" i="17"/>
  <c r="LY84" i="17"/>
  <c r="FK84" i="17"/>
  <c r="FS84" i="17"/>
  <c r="GA84" i="17"/>
  <c r="GI84" i="17"/>
  <c r="GQ84" i="17"/>
  <c r="GY84" i="17"/>
  <c r="FD84" i="17"/>
  <c r="FL84" i="17"/>
  <c r="FT84" i="17"/>
  <c r="GB84" i="17"/>
  <c r="GJ84" i="17"/>
  <c r="GR84" i="17"/>
  <c r="FE84" i="17"/>
  <c r="FM84" i="17"/>
  <c r="FU84" i="17"/>
  <c r="GC84" i="17"/>
  <c r="GK84" i="17"/>
  <c r="GS84" i="17"/>
  <c r="HA84" i="17"/>
  <c r="FF84" i="17"/>
  <c r="FN84" i="17"/>
  <c r="FV84" i="17"/>
  <c r="GD84" i="17"/>
  <c r="GL84" i="17"/>
  <c r="GT84" i="17"/>
  <c r="HB84" i="17"/>
  <c r="FG84" i="17"/>
  <c r="FO84" i="17"/>
  <c r="FW84" i="17"/>
  <c r="GE84" i="17"/>
  <c r="GM84" i="17"/>
  <c r="GU84" i="17"/>
  <c r="HC84" i="17"/>
  <c r="FH84" i="17"/>
  <c r="FP84" i="17"/>
  <c r="FX84" i="17"/>
  <c r="GF84" i="17"/>
  <c r="GN84" i="17"/>
  <c r="GV84" i="17"/>
  <c r="FI84" i="17"/>
  <c r="FQ84" i="17"/>
  <c r="FY84" i="17"/>
  <c r="GG84" i="17"/>
  <c r="GO84" i="17"/>
  <c r="GW84" i="17"/>
  <c r="FC84" i="17"/>
  <c r="GX84" i="17"/>
  <c r="EX84" i="17"/>
  <c r="X84" i="17"/>
  <c r="Y7" i="17"/>
  <c r="G94" i="17"/>
  <c r="F94" i="17"/>
  <c r="E94" i="17"/>
  <c r="D94" i="17"/>
  <c r="C94" i="17"/>
  <c r="F93" i="17"/>
  <c r="E93" i="17"/>
  <c r="D93" i="17"/>
  <c r="C93" i="17"/>
  <c r="B93" i="17"/>
  <c r="G92" i="17"/>
  <c r="F92" i="17"/>
  <c r="E92" i="17"/>
  <c r="D92" i="17"/>
  <c r="C92" i="17"/>
  <c r="B92" i="17"/>
  <c r="G91" i="17"/>
  <c r="F91" i="17"/>
  <c r="E91" i="17"/>
  <c r="D91" i="17"/>
  <c r="C91" i="17"/>
  <c r="B91" i="17"/>
  <c r="G90" i="17"/>
  <c r="E90" i="17"/>
  <c r="C90" i="17"/>
  <c r="B90" i="17"/>
  <c r="G88" i="17"/>
  <c r="F88" i="17"/>
  <c r="E88" i="17"/>
  <c r="D88" i="17"/>
  <c r="C88" i="17"/>
  <c r="A88" i="17" s="1"/>
  <c r="G87" i="17"/>
  <c r="F87" i="17"/>
  <c r="E87" i="17"/>
  <c r="D87" i="17"/>
  <c r="C87" i="17"/>
  <c r="A87" i="17" s="1"/>
  <c r="B87" i="17"/>
  <c r="G86" i="17"/>
  <c r="F86" i="17"/>
  <c r="E86" i="17"/>
  <c r="D86" i="17"/>
  <c r="C86" i="17"/>
  <c r="A86" i="17" s="1"/>
  <c r="B86" i="17"/>
  <c r="G85" i="17"/>
  <c r="F85" i="17"/>
  <c r="E85" i="17"/>
  <c r="D85" i="17"/>
  <c r="C85" i="17"/>
  <c r="A85" i="17" s="1"/>
  <c r="B85" i="17"/>
  <c r="F73" i="17"/>
  <c r="E73" i="17"/>
  <c r="D73" i="17"/>
  <c r="C73" i="17"/>
  <c r="G72" i="17"/>
  <c r="F72" i="17"/>
  <c r="E72" i="17"/>
  <c r="D72" i="17"/>
  <c r="C72" i="17"/>
  <c r="B72" i="17"/>
  <c r="G71" i="17"/>
  <c r="F71" i="17"/>
  <c r="E71" i="17"/>
  <c r="D71" i="17"/>
  <c r="C71" i="17"/>
  <c r="B71" i="17"/>
  <c r="G70" i="17"/>
  <c r="F70" i="17"/>
  <c r="E70" i="17"/>
  <c r="D70" i="17"/>
  <c r="C70" i="17"/>
  <c r="B70" i="17"/>
  <c r="E69" i="17"/>
  <c r="B69" i="17"/>
  <c r="G78" i="17"/>
  <c r="F78" i="17"/>
  <c r="E78" i="17"/>
  <c r="D78" i="17"/>
  <c r="C78" i="17"/>
  <c r="F80" i="17"/>
  <c r="D80" i="17"/>
  <c r="C80" i="17"/>
  <c r="G77" i="17"/>
  <c r="F77" i="17"/>
  <c r="E77" i="17"/>
  <c r="D77" i="17"/>
  <c r="C77" i="17"/>
  <c r="G76" i="17"/>
  <c r="F76" i="17"/>
  <c r="E76" i="17"/>
  <c r="D76" i="17"/>
  <c r="C76" i="17"/>
  <c r="B76" i="17"/>
  <c r="C75" i="17"/>
  <c r="B75" i="17"/>
  <c r="A81" i="17" s="1"/>
  <c r="G21" i="17"/>
  <c r="F21" i="17"/>
  <c r="AL21" i="17" s="1"/>
  <c r="E21" i="17"/>
  <c r="AK21" i="17" s="1"/>
  <c r="D21" i="17"/>
  <c r="AJ21" i="17" s="1"/>
  <c r="C21" i="17"/>
  <c r="AI21" i="17" s="1"/>
  <c r="G20" i="17"/>
  <c r="F20" i="17"/>
  <c r="AL20" i="17" s="1"/>
  <c r="E20" i="17"/>
  <c r="AK20" i="17" s="1"/>
  <c r="D20" i="17"/>
  <c r="AJ20" i="17" s="1"/>
  <c r="C20" i="17"/>
  <c r="AI20" i="17" s="1"/>
  <c r="B20" i="17"/>
  <c r="G19" i="17"/>
  <c r="F19" i="17"/>
  <c r="AL19" i="17" s="1"/>
  <c r="E19" i="17"/>
  <c r="AK19" i="17" s="1"/>
  <c r="D19" i="17"/>
  <c r="AJ19" i="17" s="1"/>
  <c r="C19" i="17"/>
  <c r="AI19" i="17" s="1"/>
  <c r="B19" i="17"/>
  <c r="G18" i="17"/>
  <c r="F18" i="17"/>
  <c r="AL18" i="17" s="1"/>
  <c r="E18" i="17"/>
  <c r="AK18" i="17" s="1"/>
  <c r="D18" i="17"/>
  <c r="AJ18" i="17" s="1"/>
  <c r="C18" i="17"/>
  <c r="AI18" i="17" s="1"/>
  <c r="B18" i="17"/>
  <c r="AI17" i="17" s="1"/>
  <c r="E17" i="17"/>
  <c r="AK17" i="17" s="1"/>
  <c r="C17" i="17"/>
  <c r="B17" i="17"/>
  <c r="G49" i="17"/>
  <c r="F49" i="17"/>
  <c r="E49" i="17"/>
  <c r="D49" i="17"/>
  <c r="C49" i="17"/>
  <c r="G48" i="17"/>
  <c r="F48" i="17"/>
  <c r="E48" i="17"/>
  <c r="D48" i="17"/>
  <c r="C48" i="17"/>
  <c r="B48" i="17"/>
  <c r="G47" i="17"/>
  <c r="F47" i="17"/>
  <c r="E47" i="17"/>
  <c r="D47" i="17"/>
  <c r="C47" i="17"/>
  <c r="B47" i="17"/>
  <c r="G46" i="17"/>
  <c r="F46" i="17"/>
  <c r="E46" i="17"/>
  <c r="D46" i="17"/>
  <c r="C46" i="17"/>
  <c r="B46" i="17"/>
  <c r="F45" i="17"/>
  <c r="E45" i="17"/>
  <c r="D45" i="17"/>
  <c r="C45" i="17"/>
  <c r="B45" i="17"/>
  <c r="E44" i="17"/>
  <c r="C44" i="17"/>
  <c r="B44" i="17"/>
  <c r="G42" i="17"/>
  <c r="F42" i="17"/>
  <c r="E42" i="17"/>
  <c r="D42" i="17"/>
  <c r="C42" i="17"/>
  <c r="G41" i="17"/>
  <c r="F41" i="17"/>
  <c r="E41" i="17"/>
  <c r="D41" i="17"/>
  <c r="C41" i="17"/>
  <c r="B41" i="17"/>
  <c r="G40" i="17"/>
  <c r="F40" i="17"/>
  <c r="E40" i="17"/>
  <c r="D40" i="17"/>
  <c r="C40" i="17"/>
  <c r="B40" i="17"/>
  <c r="G39" i="17"/>
  <c r="F39" i="17"/>
  <c r="E39" i="17"/>
  <c r="D39" i="17"/>
  <c r="C39" i="17"/>
  <c r="B39" i="17"/>
  <c r="G38" i="17"/>
  <c r="F38" i="17"/>
  <c r="E38" i="17"/>
  <c r="D38" i="17"/>
  <c r="C38" i="17"/>
  <c r="B38" i="17"/>
  <c r="E37" i="17"/>
  <c r="C37" i="17"/>
  <c r="B37" i="17"/>
  <c r="G35" i="17"/>
  <c r="AA35" i="17" s="1"/>
  <c r="F35" i="17"/>
  <c r="E35" i="17"/>
  <c r="D35" i="17"/>
  <c r="C35" i="17"/>
  <c r="G34" i="17"/>
  <c r="F34" i="17"/>
  <c r="E34" i="17"/>
  <c r="D34" i="17"/>
  <c r="C34" i="17"/>
  <c r="B34" i="17"/>
  <c r="G33" i="17"/>
  <c r="F33" i="17"/>
  <c r="AL33" i="17" s="1"/>
  <c r="E33" i="17"/>
  <c r="AK33" i="17" s="1"/>
  <c r="D33" i="17"/>
  <c r="AJ33" i="17" s="1"/>
  <c r="C33" i="17"/>
  <c r="AI33" i="17" s="1"/>
  <c r="B33" i="17"/>
  <c r="G32" i="17"/>
  <c r="F32" i="17"/>
  <c r="AL32" i="17" s="1"/>
  <c r="E32" i="17"/>
  <c r="AK32" i="17" s="1"/>
  <c r="D32" i="17"/>
  <c r="AJ32" i="17" s="1"/>
  <c r="C32" i="17"/>
  <c r="AI32" i="17" s="1"/>
  <c r="B32" i="17"/>
  <c r="G31" i="17"/>
  <c r="F31" i="17"/>
  <c r="AL31" i="17" s="1"/>
  <c r="E31" i="17"/>
  <c r="AK31" i="17" s="1"/>
  <c r="D31" i="17"/>
  <c r="AJ31" i="17" s="1"/>
  <c r="C31" i="17"/>
  <c r="AI31" i="17" s="1"/>
  <c r="B31" i="17"/>
  <c r="AI30" i="17" s="1"/>
  <c r="E30" i="17"/>
  <c r="AK30" i="17" s="1"/>
  <c r="C30" i="17"/>
  <c r="B30" i="17"/>
  <c r="F109" i="17"/>
  <c r="E109" i="17"/>
  <c r="D109" i="17"/>
  <c r="C109" i="17"/>
  <c r="B109" i="17"/>
  <c r="E108" i="17"/>
  <c r="C108" i="17"/>
  <c r="B108" i="17"/>
  <c r="G67" i="17"/>
  <c r="F67" i="17"/>
  <c r="E67" i="17"/>
  <c r="D67" i="17"/>
  <c r="C67" i="17"/>
  <c r="G66" i="17"/>
  <c r="F66" i="17"/>
  <c r="E66" i="17"/>
  <c r="D66" i="17"/>
  <c r="C66" i="17"/>
  <c r="B66" i="17"/>
  <c r="G65" i="17"/>
  <c r="F65" i="17"/>
  <c r="E65" i="17"/>
  <c r="D65" i="17"/>
  <c r="C65" i="17"/>
  <c r="B65" i="17"/>
  <c r="G64" i="17"/>
  <c r="F64" i="17"/>
  <c r="E64" i="17"/>
  <c r="D64" i="17"/>
  <c r="C64" i="17"/>
  <c r="B64" i="17"/>
  <c r="E63" i="17"/>
  <c r="C63" i="17"/>
  <c r="B63" i="17"/>
  <c r="G61" i="17"/>
  <c r="F61" i="17"/>
  <c r="E61" i="17"/>
  <c r="D61" i="17"/>
  <c r="C61" i="17"/>
  <c r="G60" i="17"/>
  <c r="F60" i="17"/>
  <c r="E60" i="17"/>
  <c r="D60" i="17"/>
  <c r="C60" i="17"/>
  <c r="B60" i="17"/>
  <c r="G59" i="17"/>
  <c r="F59" i="17"/>
  <c r="E59" i="17"/>
  <c r="D59" i="17"/>
  <c r="C59" i="17"/>
  <c r="B59" i="17"/>
  <c r="G58" i="17"/>
  <c r="F58" i="17"/>
  <c r="E58" i="17"/>
  <c r="D58" i="17"/>
  <c r="C58" i="17"/>
  <c r="B58" i="17"/>
  <c r="E57" i="17"/>
  <c r="C57" i="17"/>
  <c r="B57" i="17"/>
  <c r="G55" i="17"/>
  <c r="F55" i="17"/>
  <c r="E55" i="17"/>
  <c r="D55" i="17"/>
  <c r="C55" i="17"/>
  <c r="G54" i="17"/>
  <c r="F54" i="17"/>
  <c r="E54" i="17"/>
  <c r="D54" i="17"/>
  <c r="C54" i="17"/>
  <c r="B54" i="17"/>
  <c r="G53" i="17"/>
  <c r="F53" i="17"/>
  <c r="E53" i="17"/>
  <c r="D53" i="17"/>
  <c r="C53" i="17"/>
  <c r="B53" i="17"/>
  <c r="G52" i="17"/>
  <c r="F52" i="17"/>
  <c r="E52" i="17"/>
  <c r="D52" i="17"/>
  <c r="C52" i="17"/>
  <c r="B52" i="17"/>
  <c r="E51" i="17"/>
  <c r="C51" i="17"/>
  <c r="B51" i="17"/>
  <c r="G123" i="17"/>
  <c r="F123" i="17"/>
  <c r="E123" i="17"/>
  <c r="D123" i="17"/>
  <c r="C123" i="17"/>
  <c r="G120" i="17"/>
  <c r="F120" i="17"/>
  <c r="E120" i="17"/>
  <c r="D120" i="17"/>
  <c r="C120" i="17"/>
  <c r="B120" i="17"/>
  <c r="G118" i="17"/>
  <c r="F118" i="17"/>
  <c r="E118" i="17"/>
  <c r="D118" i="17"/>
  <c r="C118" i="17"/>
  <c r="B118" i="17"/>
  <c r="G116" i="17"/>
  <c r="F116" i="17"/>
  <c r="E116" i="17"/>
  <c r="D116" i="17"/>
  <c r="C116" i="17"/>
  <c r="B116" i="17"/>
  <c r="E115" i="17"/>
  <c r="C115" i="17"/>
  <c r="B115" i="17"/>
  <c r="G28" i="17"/>
  <c r="F28" i="17"/>
  <c r="AL28" i="17" s="1"/>
  <c r="E28" i="17"/>
  <c r="AK28" i="17" s="1"/>
  <c r="D28" i="17"/>
  <c r="AJ28" i="17" s="1"/>
  <c r="C28" i="17"/>
  <c r="AI28" i="17" s="1"/>
  <c r="G27" i="17"/>
  <c r="F27" i="17"/>
  <c r="AL27" i="17" s="1"/>
  <c r="E27" i="17"/>
  <c r="AK27" i="17" s="1"/>
  <c r="D27" i="17"/>
  <c r="AJ27" i="17" s="1"/>
  <c r="C27" i="17"/>
  <c r="AI27" i="17" s="1"/>
  <c r="B27" i="17"/>
  <c r="G25" i="17"/>
  <c r="F25" i="17"/>
  <c r="AL25" i="17" s="1"/>
  <c r="E25" i="17"/>
  <c r="AK25" i="17" s="1"/>
  <c r="D25" i="17"/>
  <c r="AJ25" i="17" s="1"/>
  <c r="C25" i="17"/>
  <c r="AI25" i="17" s="1"/>
  <c r="B25" i="17"/>
  <c r="G24" i="17"/>
  <c r="F24" i="17"/>
  <c r="E24" i="17"/>
  <c r="AK24" i="17" s="1"/>
  <c r="D24" i="17"/>
  <c r="AJ24" i="17" s="1"/>
  <c r="C24" i="17"/>
  <c r="AI24" i="17" s="1"/>
  <c r="B24" i="17"/>
  <c r="AI23" i="17" s="1"/>
  <c r="E23" i="17"/>
  <c r="AK23" i="17" s="1"/>
  <c r="C23" i="17"/>
  <c r="B23" i="17"/>
  <c r="A26" i="17" s="1"/>
  <c r="G106" i="17"/>
  <c r="F106" i="17"/>
  <c r="E106" i="17"/>
  <c r="D106" i="17"/>
  <c r="C106" i="17"/>
  <c r="B106" i="17"/>
  <c r="G105" i="17"/>
  <c r="F105" i="17"/>
  <c r="E105" i="17"/>
  <c r="D105" i="17"/>
  <c r="C105" i="17"/>
  <c r="B105" i="17"/>
  <c r="G104" i="17"/>
  <c r="F104" i="17"/>
  <c r="E104" i="17"/>
  <c r="D104" i="17"/>
  <c r="C104" i="17"/>
  <c r="B104" i="17"/>
  <c r="G103" i="17"/>
  <c r="F103" i="17"/>
  <c r="E103" i="17"/>
  <c r="D103" i="17"/>
  <c r="C103" i="17"/>
  <c r="B103" i="17"/>
  <c r="E102" i="17"/>
  <c r="C102" i="17"/>
  <c r="B102" i="17"/>
  <c r="G100" i="17"/>
  <c r="AA100" i="17" s="1"/>
  <c r="F100" i="17"/>
  <c r="E100" i="17"/>
  <c r="D100" i="17"/>
  <c r="C100" i="17"/>
  <c r="G99" i="17"/>
  <c r="F99" i="17"/>
  <c r="E99" i="17"/>
  <c r="D99" i="17"/>
  <c r="C99" i="17"/>
  <c r="B99" i="17"/>
  <c r="G98" i="17"/>
  <c r="F98" i="17"/>
  <c r="E98" i="17"/>
  <c r="D98" i="17"/>
  <c r="C98" i="17"/>
  <c r="B98" i="17"/>
  <c r="G97" i="17"/>
  <c r="F97" i="17"/>
  <c r="E97" i="17"/>
  <c r="D97" i="17"/>
  <c r="C97" i="17"/>
  <c r="B97" i="17"/>
  <c r="E96" i="17"/>
  <c r="C96" i="17"/>
  <c r="B96" i="17"/>
  <c r="G15" i="17"/>
  <c r="F15" i="17"/>
  <c r="AL15" i="17" s="1"/>
  <c r="E15" i="17"/>
  <c r="AK15" i="17" s="1"/>
  <c r="D15" i="17"/>
  <c r="AJ15" i="17" s="1"/>
  <c r="C15" i="17"/>
  <c r="AI15" i="17" s="1"/>
  <c r="G13" i="17"/>
  <c r="F13" i="17"/>
  <c r="AL13" i="17" s="1"/>
  <c r="E13" i="17"/>
  <c r="AK13" i="17" s="1"/>
  <c r="D13" i="17"/>
  <c r="AJ13" i="17" s="1"/>
  <c r="C13" i="17"/>
  <c r="AI13" i="17" s="1"/>
  <c r="B13" i="17"/>
  <c r="G12" i="17"/>
  <c r="F12" i="17"/>
  <c r="AL12" i="17" s="1"/>
  <c r="E12" i="17"/>
  <c r="AK12" i="17" s="1"/>
  <c r="D12" i="17"/>
  <c r="AJ12" i="17" s="1"/>
  <c r="C12" i="17"/>
  <c r="AI12" i="17" s="1"/>
  <c r="B12" i="17"/>
  <c r="G11" i="17"/>
  <c r="F11" i="17"/>
  <c r="E11" i="17"/>
  <c r="D11" i="17"/>
  <c r="C11" i="17"/>
  <c r="B11" i="17"/>
  <c r="E10" i="17"/>
  <c r="C10" i="17"/>
  <c r="B10" i="17"/>
  <c r="A14" i="17" s="1"/>
  <c r="F89" i="26"/>
  <c r="F83" i="26"/>
  <c r="F84" i="17" s="1"/>
  <c r="F68" i="26"/>
  <c r="F16" i="26"/>
  <c r="BA19" i="6" l="1"/>
  <c r="CA27" i="17" s="1"/>
  <c r="EI27" i="17" s="1"/>
  <c r="BA16" i="6"/>
  <c r="CA26" i="17" s="1"/>
  <c r="EI26" i="17" s="1" a="1"/>
  <c r="EI26" i="17" s="1"/>
  <c r="BA22" i="6"/>
  <c r="CA28" i="17" s="1"/>
  <c r="EI28" i="17" s="1" a="1"/>
  <c r="EI28" i="17" s="1"/>
  <c r="BA13" i="6"/>
  <c r="CA25" i="17" s="1"/>
  <c r="EI25" i="17" s="1" a="1"/>
  <c r="EI25" i="17" s="1"/>
  <c r="AX22" i="6"/>
  <c r="BX28" i="17" s="1"/>
  <c r="EF28" i="17" s="1" a="1"/>
  <c r="EF28" i="17" s="1"/>
  <c r="AZ22" i="6"/>
  <c r="BZ28" i="17" s="1"/>
  <c r="EH28" i="17" s="1" a="1"/>
  <c r="EH28" i="17" s="1"/>
  <c r="AZ13" i="6"/>
  <c r="BZ25" i="17" s="1"/>
  <c r="EH25" i="17" s="1" a="1"/>
  <c r="EH25" i="17" s="1"/>
  <c r="AX19" i="6"/>
  <c r="BX27" i="17" s="1"/>
  <c r="EF27" i="17" s="1"/>
  <c r="AZ19" i="6"/>
  <c r="BZ27" i="17" s="1"/>
  <c r="EH27" i="17" s="1"/>
  <c r="AZ16" i="6"/>
  <c r="BZ26" i="17" s="1"/>
  <c r="EH26" i="17" s="1" a="1"/>
  <c r="EH26" i="17" s="1"/>
  <c r="AX10" i="6"/>
  <c r="BX24" i="17" s="1"/>
  <c r="EF24" i="17" s="1" a="1"/>
  <c r="EF24" i="17" s="1"/>
  <c r="AY16" i="6"/>
  <c r="BY26" i="17" s="1"/>
  <c r="EG26" i="17" s="1" a="1"/>
  <c r="EG26" i="17" s="1"/>
  <c r="AZ10" i="6"/>
  <c r="BZ24" i="17" s="1"/>
  <c r="EH24" i="17" s="1" a="1"/>
  <c r="EH24" i="17" s="1"/>
  <c r="AY22" i="6"/>
  <c r="BY28" i="17" s="1"/>
  <c r="EG28" i="17" s="1" a="1"/>
  <c r="EG28" i="17" s="1"/>
  <c r="AY10" i="6"/>
  <c r="BY24" i="17" s="1"/>
  <c r="EG24" i="17" s="1" a="1"/>
  <c r="EG24" i="17" s="1"/>
  <c r="AY19" i="6"/>
  <c r="BY27" i="17" s="1"/>
  <c r="EG27" i="17" s="1"/>
  <c r="AY13" i="6"/>
  <c r="BY25" i="17" s="1"/>
  <c r="EG25" i="17" s="1" a="1"/>
  <c r="EG25" i="17" s="1"/>
  <c r="AX16" i="6"/>
  <c r="BX26" i="17" s="1"/>
  <c r="EF26" i="17" s="1" a="1"/>
  <c r="EF26" i="17" s="1"/>
  <c r="AW13" i="6"/>
  <c r="BW25" i="17" s="1"/>
  <c r="EE25" i="17" s="1" a="1"/>
  <c r="EE25" i="17" s="1"/>
  <c r="AX13" i="6"/>
  <c r="BX25" i="17" s="1"/>
  <c r="EF25" i="17" s="1" a="1"/>
  <c r="EF25" i="17" s="1"/>
  <c r="T78" i="17"/>
  <c r="AH81" i="17"/>
  <c r="CO81" i="17"/>
  <c r="EW81" i="17"/>
  <c r="AW19" i="6"/>
  <c r="BW27" i="17" s="1"/>
  <c r="EE27" i="17" s="1"/>
  <c r="AW22" i="6"/>
  <c r="BW28" i="17" s="1"/>
  <c r="EE28" i="17" s="1" a="1"/>
  <c r="EE28" i="17" s="1"/>
  <c r="AW16" i="6"/>
  <c r="BW26" i="17" s="1"/>
  <c r="EE26" i="17" s="1" a="1"/>
  <c r="EE26" i="17" s="1"/>
  <c r="AW10" i="6"/>
  <c r="BW24" i="17" s="1"/>
  <c r="EE24" i="17" s="1" a="1"/>
  <c r="EE24" i="17" s="1"/>
  <c r="EW14" i="17"/>
  <c r="CO14" i="17"/>
  <c r="AH14" i="17"/>
  <c r="AV16" i="6"/>
  <c r="BV26" i="17" s="1"/>
  <c r="ED26" i="17" s="1" a="1"/>
  <c r="ED26" i="17" s="1"/>
  <c r="U78" i="17"/>
  <c r="AV13" i="6"/>
  <c r="BV25" i="17" s="1"/>
  <c r="ED25" i="17" s="1" a="1"/>
  <c r="ED25" i="17" s="1"/>
  <c r="AV10" i="6"/>
  <c r="BV24" i="17" s="1"/>
  <c r="ED24" i="17" s="1" a="1"/>
  <c r="ED24" i="17" s="1"/>
  <c r="AV19" i="6"/>
  <c r="BV27" i="17" s="1"/>
  <c r="ED27" i="17" s="1"/>
  <c r="AV22" i="6"/>
  <c r="BV28" i="17" s="1"/>
  <c r="ED28" i="17" s="1" a="1"/>
  <c r="ED28" i="17" s="1"/>
  <c r="AU10" i="6"/>
  <c r="BU24" i="17" s="1"/>
  <c r="EC24" i="17" s="1" a="1"/>
  <c r="EC24" i="17" s="1"/>
  <c r="AU19" i="6"/>
  <c r="BU27" i="17" s="1"/>
  <c r="EC27" i="17" s="1"/>
  <c r="AU16" i="6"/>
  <c r="BU26" i="17" s="1"/>
  <c r="EC26" i="17" s="1" a="1"/>
  <c r="EC26" i="17" s="1"/>
  <c r="AU22" i="6"/>
  <c r="BU28" i="17" s="1"/>
  <c r="EC28" i="17" s="1" a="1"/>
  <c r="EC28" i="17" s="1"/>
  <c r="AU13" i="6"/>
  <c r="BU25" i="17" s="1"/>
  <c r="EC25" i="17" s="1" a="1"/>
  <c r="EC25" i="17" s="1"/>
  <c r="AS22" i="6"/>
  <c r="BS28" i="17" s="1"/>
  <c r="EA28" i="17" s="1" a="1"/>
  <c r="EA28" i="17" s="1"/>
  <c r="AT22" i="6"/>
  <c r="BT28" i="17" s="1"/>
  <c r="EB28" i="17" s="1" a="1"/>
  <c r="EB28" i="17" s="1"/>
  <c r="AQ19" i="6"/>
  <c r="BQ27" i="17" s="1"/>
  <c r="DY27" i="17" s="1"/>
  <c r="AP19" i="6"/>
  <c r="BP27" i="17" s="1"/>
  <c r="DX27" i="17" s="1"/>
  <c r="AT16" i="6"/>
  <c r="BT26" i="17" s="1"/>
  <c r="EB26" i="17" s="1" a="1"/>
  <c r="EB26" i="17" s="1"/>
  <c r="AS16" i="6"/>
  <c r="BS26" i="17" s="1"/>
  <c r="EA26" i="17" s="1" a="1"/>
  <c r="EA26" i="17" s="1"/>
  <c r="AT13" i="6"/>
  <c r="BT25" i="17" s="1"/>
  <c r="EB25" i="17" s="1" a="1"/>
  <c r="EB25" i="17" s="1"/>
  <c r="AS13" i="6"/>
  <c r="BS25" i="17" s="1"/>
  <c r="EA25" i="17" s="1" a="1"/>
  <c r="EA25" i="17" s="1"/>
  <c r="AT10" i="6"/>
  <c r="BT24" i="17" s="1"/>
  <c r="EB24" i="17" s="1" a="1"/>
  <c r="EB24" i="17" s="1"/>
  <c r="AT19" i="6"/>
  <c r="BT27" i="17" s="1"/>
  <c r="EB27" i="17" s="1"/>
  <c r="AS19" i="6"/>
  <c r="BS27" i="17" s="1"/>
  <c r="EA27" i="17" s="1"/>
  <c r="AS10" i="6"/>
  <c r="BS24" i="17" s="1"/>
  <c r="EA24" i="17" s="1" a="1"/>
  <c r="EA24" i="17" s="1"/>
  <c r="AB13" i="6"/>
  <c r="S78" i="17"/>
  <c r="AQ13" i="6"/>
  <c r="BQ25" i="17" s="1"/>
  <c r="DY25" i="17" s="1" a="1"/>
  <c r="DY25" i="17" s="1"/>
  <c r="M78" i="17"/>
  <c r="AR10" i="6"/>
  <c r="BR24" i="17" s="1"/>
  <c r="DZ24" i="17" s="1" a="1"/>
  <c r="DZ24" i="17" s="1"/>
  <c r="AR22" i="6"/>
  <c r="BR28" i="17" s="1"/>
  <c r="DZ28" i="17" s="1" a="1"/>
  <c r="DZ28" i="17" s="1"/>
  <c r="AR19" i="6"/>
  <c r="BR27" i="17" s="1"/>
  <c r="DZ27" i="17" s="1"/>
  <c r="Z78" i="17"/>
  <c r="AR13" i="6"/>
  <c r="BR25" i="17" s="1"/>
  <c r="DZ25" i="17" s="1" a="1"/>
  <c r="DZ25" i="17" s="1"/>
  <c r="AR16" i="6"/>
  <c r="BR26" i="17" s="1"/>
  <c r="DZ26" i="17" s="1" a="1"/>
  <c r="DZ26" i="17" s="1"/>
  <c r="AB10" i="6"/>
  <c r="AQ10" i="6"/>
  <c r="BQ24" i="17" s="1"/>
  <c r="DY24" i="17" s="1" a="1"/>
  <c r="DY24" i="17" s="1"/>
  <c r="AA19" i="6"/>
  <c r="AQ22" i="6"/>
  <c r="BQ28" i="17" s="1"/>
  <c r="DY28" i="17" s="1" a="1"/>
  <c r="DY28" i="17" s="1"/>
  <c r="AM13" i="6"/>
  <c r="BM25" i="17" s="1"/>
  <c r="DU25" i="17" s="1" a="1"/>
  <c r="DU25" i="17" s="1"/>
  <c r="AB19" i="6"/>
  <c r="AB22" i="6"/>
  <c r="AQ16" i="6"/>
  <c r="BQ26" i="17" s="1"/>
  <c r="DY26" i="17" s="1" a="1"/>
  <c r="DY26" i="17" s="1"/>
  <c r="AK10" i="6"/>
  <c r="BK24" i="17" s="1"/>
  <c r="DS24" i="17" s="1" a="1"/>
  <c r="DS24" i="17" s="1"/>
  <c r="AA22" i="6"/>
  <c r="AA16" i="6"/>
  <c r="AA13" i="6"/>
  <c r="AP22" i="6"/>
  <c r="BP28" i="17" s="1"/>
  <c r="DX28" i="17" s="1" a="1"/>
  <c r="DX28" i="17" s="1"/>
  <c r="T22" i="6"/>
  <c r="AP16" i="6"/>
  <c r="BP26" i="17" s="1"/>
  <c r="DX26" i="17" s="1" a="1"/>
  <c r="DX26" i="17" s="1"/>
  <c r="AP13" i="6"/>
  <c r="BP25" i="17" s="1"/>
  <c r="DX25" i="17" s="1" a="1"/>
  <c r="DX25" i="17" s="1"/>
  <c r="AP10" i="6"/>
  <c r="BP24" i="17" s="1"/>
  <c r="DX24" i="17" s="1" a="1"/>
  <c r="DX24" i="17" s="1"/>
  <c r="AM16" i="6"/>
  <c r="BM26" i="17" s="1"/>
  <c r="DU26" i="17" s="1" a="1"/>
  <c r="DU26" i="17" s="1"/>
  <c r="S22" i="6"/>
  <c r="S13" i="6"/>
  <c r="S16" i="6"/>
  <c r="S19" i="6"/>
  <c r="Z19" i="6"/>
  <c r="Z22" i="6"/>
  <c r="Z13" i="6"/>
  <c r="T10" i="6"/>
  <c r="AK16" i="6"/>
  <c r="BK26" i="17" s="1"/>
  <c r="DS26" i="17" s="1" a="1"/>
  <c r="DS26" i="17" s="1"/>
  <c r="AO10" i="6"/>
  <c r="BO24" i="17" s="1"/>
  <c r="DW24" i="17" s="1" a="1"/>
  <c r="DW24" i="17" s="1"/>
  <c r="T16" i="6"/>
  <c r="T19" i="6"/>
  <c r="AH22" i="6"/>
  <c r="AH19" i="6"/>
  <c r="AH10" i="6"/>
  <c r="AN19" i="6"/>
  <c r="BN27" i="17" s="1"/>
  <c r="DV27" i="17" s="1"/>
  <c r="AH16" i="6"/>
  <c r="X16" i="6"/>
  <c r="Z10" i="6"/>
  <c r="P13" i="6"/>
  <c r="AL10" i="6"/>
  <c r="BL24" i="17" s="1"/>
  <c r="DT24" i="17" s="1" a="1"/>
  <c r="DT24" i="17" s="1"/>
  <c r="X13" i="6"/>
  <c r="B79" i="17"/>
  <c r="DB79" i="17" s="1"/>
  <c r="A82" i="17"/>
  <c r="AO16" i="6"/>
  <c r="BO26" i="17" s="1"/>
  <c r="DW26" i="17" s="1" a="1"/>
  <c r="DW26" i="17" s="1"/>
  <c r="AO22" i="6"/>
  <c r="BO28" i="17" s="1"/>
  <c r="DW28" i="17" s="1" a="1"/>
  <c r="DW28" i="17" s="1"/>
  <c r="X19" i="6"/>
  <c r="AO13" i="6"/>
  <c r="BO25" i="17" s="1"/>
  <c r="DW25" i="17" s="1" a="1"/>
  <c r="DW25" i="17" s="1"/>
  <c r="AO19" i="6"/>
  <c r="BO27" i="17" s="1"/>
  <c r="DW27" i="17" s="1"/>
  <c r="AN13" i="6"/>
  <c r="BN25" i="17" s="1"/>
  <c r="DV25" i="17" s="1" a="1"/>
  <c r="DV25" i="17" s="1"/>
  <c r="V16" i="6"/>
  <c r="AM22" i="6"/>
  <c r="BM28" i="17" s="1"/>
  <c r="DU28" i="17" s="1" a="1"/>
  <c r="DU28" i="17" s="1"/>
  <c r="V13" i="6"/>
  <c r="AN22" i="6"/>
  <c r="BN28" i="17" s="1"/>
  <c r="DV28" i="17" s="1" a="1"/>
  <c r="DV28" i="17" s="1"/>
  <c r="AK22" i="6"/>
  <c r="BK28" i="17" s="1"/>
  <c r="DS28" i="17" s="1" a="1"/>
  <c r="DS28" i="17" s="1"/>
  <c r="AN10" i="6"/>
  <c r="BN24" i="17" s="1"/>
  <c r="DV24" i="17" s="1" a="1"/>
  <c r="DV24" i="17" s="1"/>
  <c r="AN16" i="6"/>
  <c r="BN26" i="17" s="1"/>
  <c r="DV26" i="17" s="1" a="1"/>
  <c r="DV26" i="17" s="1"/>
  <c r="V19" i="6"/>
  <c r="AG19" i="6"/>
  <c r="AG16" i="6"/>
  <c r="AE19" i="6"/>
  <c r="AG13" i="6"/>
  <c r="AF22" i="6"/>
  <c r="AK13" i="6"/>
  <c r="BK25" i="17" s="1"/>
  <c r="DS25" i="17" s="1" a="1"/>
  <c r="DS25" i="17" s="1"/>
  <c r="V22" i="6"/>
  <c r="R19" i="6"/>
  <c r="R10" i="6"/>
  <c r="R13" i="6"/>
  <c r="AL16" i="6"/>
  <c r="BL26" i="17" s="1"/>
  <c r="DT26" i="17" s="1" a="1"/>
  <c r="DT26" i="17" s="1"/>
  <c r="AJ22" i="6"/>
  <c r="AK19" i="6"/>
  <c r="BK27" i="17" s="1"/>
  <c r="DS27" i="17" s="1"/>
  <c r="AG22" i="6"/>
  <c r="AE22" i="6"/>
  <c r="AF16" i="6"/>
  <c r="AE13" i="6"/>
  <c r="AE16" i="6"/>
  <c r="AF10" i="6"/>
  <c r="AF13" i="6"/>
  <c r="AI22" i="6"/>
  <c r="AI10" i="6"/>
  <c r="AI19" i="6"/>
  <c r="AI13" i="6"/>
  <c r="R22" i="6"/>
  <c r="AD16" i="6"/>
  <c r="AD13" i="6"/>
  <c r="AM10" i="6"/>
  <c r="BM24" i="17" s="1"/>
  <c r="DU24" i="17" s="1" a="1"/>
  <c r="DU24" i="17" s="1"/>
  <c r="AL13" i="6"/>
  <c r="BL25" i="17" s="1"/>
  <c r="DT25" i="17" s="1" a="1"/>
  <c r="DT25" i="17" s="1"/>
  <c r="AL19" i="6"/>
  <c r="BL27" i="17" s="1"/>
  <c r="DT27" i="17" s="1"/>
  <c r="AL22" i="6"/>
  <c r="BL28" i="17" s="1"/>
  <c r="DT28" i="17" s="1" a="1"/>
  <c r="DT28" i="17" s="1"/>
  <c r="AD22" i="6"/>
  <c r="AJ16" i="6"/>
  <c r="U22" i="6"/>
  <c r="U16" i="6"/>
  <c r="AJ10" i="6"/>
  <c r="AJ19" i="6"/>
  <c r="U19" i="6"/>
  <c r="AJ13" i="6"/>
  <c r="O13" i="6"/>
  <c r="U13" i="6"/>
  <c r="AC22" i="6"/>
  <c r="AD10" i="6"/>
  <c r="AC13" i="6"/>
  <c r="X22" i="6"/>
  <c r="Q16" i="6"/>
  <c r="Q22" i="6"/>
  <c r="W13" i="6"/>
  <c r="W22" i="6"/>
  <c r="Q10" i="6"/>
  <c r="W16" i="6"/>
  <c r="Y19" i="6"/>
  <c r="AC16" i="6"/>
  <c r="AM19" i="6"/>
  <c r="BM27" i="17" s="1"/>
  <c r="DU27" i="17" s="1"/>
  <c r="Y13" i="6"/>
  <c r="Y16" i="6"/>
  <c r="AC10" i="6"/>
  <c r="Y10" i="6"/>
  <c r="W19" i="6"/>
  <c r="Q19" i="6"/>
  <c r="EP79" i="17"/>
  <c r="LJ79" i="17"/>
  <c r="GI79" i="17"/>
  <c r="MX79" i="17"/>
  <c r="MB79" i="17"/>
  <c r="KD79" i="17"/>
  <c r="IM79" i="17"/>
  <c r="KG79" i="17"/>
  <c r="IA79" i="17"/>
  <c r="MY79" i="17"/>
  <c r="JJ79" i="17"/>
  <c r="NI79" i="17"/>
  <c r="IF79" i="17"/>
  <c r="HY79" i="17"/>
  <c r="FV79" i="17"/>
  <c r="KR79" i="17"/>
  <c r="EG79" i="17"/>
  <c r="DK79" i="17"/>
  <c r="LD79" i="17"/>
  <c r="NL79" i="17"/>
  <c r="LG79" i="17"/>
  <c r="HV79" i="17"/>
  <c r="MT79" i="17"/>
  <c r="LE79" i="17"/>
  <c r="IY79" i="17"/>
  <c r="NW79" i="17"/>
  <c r="BO79" i="17"/>
  <c r="CJ79" i="17"/>
  <c r="ES79" i="17"/>
  <c r="BG79" i="17"/>
  <c r="DS79" i="17"/>
  <c r="CP79" i="17"/>
  <c r="AI79" i="17"/>
  <c r="A80" i="17"/>
  <c r="A78" i="17"/>
  <c r="M10" i="10"/>
  <c r="EW26" i="17"/>
  <c r="CO26" i="17"/>
  <c r="AH26" i="17"/>
  <c r="AL24" i="17"/>
  <c r="EQ23" i="17"/>
  <c r="EI23" i="17"/>
  <c r="EA23" i="17"/>
  <c r="DS23" i="17"/>
  <c r="DJ23" i="17"/>
  <c r="DB23" i="17"/>
  <c r="EP23" i="17"/>
  <c r="EH23" i="17"/>
  <c r="DZ23" i="17"/>
  <c r="DR23" i="17"/>
  <c r="DI23" i="17"/>
  <c r="DA23" i="17"/>
  <c r="EO23" i="17"/>
  <c r="EG23" i="17"/>
  <c r="DY23" i="17"/>
  <c r="DQ23" i="17"/>
  <c r="DH23" i="17"/>
  <c r="CZ23" i="17"/>
  <c r="EN23" i="17"/>
  <c r="EF23" i="17"/>
  <c r="DX23" i="17"/>
  <c r="DP23" i="17"/>
  <c r="DG23" i="17"/>
  <c r="CY23" i="17"/>
  <c r="EU23" i="17"/>
  <c r="EM23" i="17"/>
  <c r="EE23" i="17"/>
  <c r="DW23" i="17"/>
  <c r="DN23" i="17"/>
  <c r="DF23" i="17"/>
  <c r="CX23" i="17"/>
  <c r="ET23" i="17"/>
  <c r="EL23" i="17"/>
  <c r="ED23" i="17"/>
  <c r="DV23" i="17"/>
  <c r="DM23" i="17"/>
  <c r="DE23" i="17"/>
  <c r="CW23" i="17"/>
  <c r="ES23" i="17"/>
  <c r="EK23" i="17"/>
  <c r="EC23" i="17"/>
  <c r="DU23" i="17"/>
  <c r="DL23" i="17"/>
  <c r="DD23" i="17"/>
  <c r="CV23" i="17"/>
  <c r="ER23" i="17"/>
  <c r="EJ23" i="17"/>
  <c r="EB23" i="17"/>
  <c r="DT23" i="17"/>
  <c r="DK23" i="17"/>
  <c r="DC23" i="17"/>
  <c r="ES63" i="17"/>
  <c r="EK63" i="17"/>
  <c r="EC63" i="17"/>
  <c r="DU63" i="17"/>
  <c r="DL63" i="17"/>
  <c r="DD63" i="17"/>
  <c r="CV63" i="17"/>
  <c r="ER63" i="17"/>
  <c r="EJ63" i="17"/>
  <c r="EB63" i="17"/>
  <c r="DT63" i="17"/>
  <c r="DK63" i="17"/>
  <c r="DC63" i="17"/>
  <c r="EQ63" i="17"/>
  <c r="EI63" i="17"/>
  <c r="EA63" i="17"/>
  <c r="DS63" i="17"/>
  <c r="DJ63" i="17"/>
  <c r="DB63" i="17"/>
  <c r="EP63" i="17"/>
  <c r="EH63" i="17"/>
  <c r="DZ63" i="17"/>
  <c r="DR63" i="17"/>
  <c r="DI63" i="17"/>
  <c r="DA63" i="17"/>
  <c r="EO63" i="17"/>
  <c r="EG63" i="17"/>
  <c r="DY63" i="17"/>
  <c r="DQ63" i="17"/>
  <c r="DH63" i="17"/>
  <c r="CZ63" i="17"/>
  <c r="EN63" i="17"/>
  <c r="EF63" i="17"/>
  <c r="DX63" i="17"/>
  <c r="DP63" i="17"/>
  <c r="DG63" i="17"/>
  <c r="CY63" i="17"/>
  <c r="EU63" i="17"/>
  <c r="EM63" i="17"/>
  <c r="EE63" i="17"/>
  <c r="ET63" i="17"/>
  <c r="EL63" i="17"/>
  <c r="ED63" i="17"/>
  <c r="DV63" i="17"/>
  <c r="DM63" i="17"/>
  <c r="DE63" i="17"/>
  <c r="CW63" i="17"/>
  <c r="DW63" i="17"/>
  <c r="DN63" i="17"/>
  <c r="DF63" i="17"/>
  <c r="CX63" i="17"/>
  <c r="EO10" i="17"/>
  <c r="EG10" i="17"/>
  <c r="DY10" i="17"/>
  <c r="DQ10" i="17"/>
  <c r="DH10" i="17"/>
  <c r="CZ10" i="17"/>
  <c r="DA10" i="17"/>
  <c r="EN10" i="17"/>
  <c r="EF10" i="17"/>
  <c r="DX10" i="17"/>
  <c r="DP10" i="17"/>
  <c r="DG10" i="17"/>
  <c r="CY10" i="17"/>
  <c r="DD10" i="17"/>
  <c r="EJ10" i="17"/>
  <c r="DJ10" i="17"/>
  <c r="EU10" i="17"/>
  <c r="EM10" i="17"/>
  <c r="EE10" i="17"/>
  <c r="DW10" i="17"/>
  <c r="DN10" i="17"/>
  <c r="DF10" i="17"/>
  <c r="CX10" i="17"/>
  <c r="DL10" i="17"/>
  <c r="DS10" i="17"/>
  <c r="ET10" i="17"/>
  <c r="EL10" i="17"/>
  <c r="ED10" i="17"/>
  <c r="DV10" i="17"/>
  <c r="DM10" i="17"/>
  <c r="DE10" i="17"/>
  <c r="CW10" i="17"/>
  <c r="DU10" i="17"/>
  <c r="ER10" i="17"/>
  <c r="DK10" i="17"/>
  <c r="EA10" i="17"/>
  <c r="ES10" i="17"/>
  <c r="EK10" i="17"/>
  <c r="EC10" i="17"/>
  <c r="CV10" i="17"/>
  <c r="EB10" i="17"/>
  <c r="DC10" i="17"/>
  <c r="EI10" i="17"/>
  <c r="DB10" i="17"/>
  <c r="DT10" i="17"/>
  <c r="EQ10" i="17"/>
  <c r="EP10" i="17"/>
  <c r="EH10" i="17"/>
  <c r="DZ10" i="17"/>
  <c r="DR10" i="17"/>
  <c r="DI10" i="17"/>
  <c r="ET17" i="17"/>
  <c r="EL17" i="17"/>
  <c r="ED17" i="17"/>
  <c r="DV17" i="17"/>
  <c r="DM17" i="17"/>
  <c r="DE17" i="17"/>
  <c r="CW17" i="17"/>
  <c r="DQ17" i="17"/>
  <c r="CY17" i="17"/>
  <c r="ES17" i="17"/>
  <c r="EK17" i="17"/>
  <c r="EC17" i="17"/>
  <c r="DU17" i="17"/>
  <c r="DL17" i="17"/>
  <c r="DD17" i="17"/>
  <c r="CV17" i="17"/>
  <c r="EN17" i="17"/>
  <c r="ER17" i="17"/>
  <c r="EJ17" i="17"/>
  <c r="EB17" i="17"/>
  <c r="DT17" i="17"/>
  <c r="DK17" i="17"/>
  <c r="DC17" i="17"/>
  <c r="CZ17" i="17"/>
  <c r="DX17" i="17"/>
  <c r="EQ17" i="17"/>
  <c r="EI17" i="17"/>
  <c r="EA17" i="17"/>
  <c r="DS17" i="17"/>
  <c r="DJ17" i="17"/>
  <c r="DB17" i="17"/>
  <c r="EF17" i="17"/>
  <c r="EP17" i="17"/>
  <c r="EH17" i="17"/>
  <c r="DZ17" i="17"/>
  <c r="DR17" i="17"/>
  <c r="DI17" i="17"/>
  <c r="DA17" i="17"/>
  <c r="DG17" i="17"/>
  <c r="EO17" i="17"/>
  <c r="EG17" i="17"/>
  <c r="DY17" i="17"/>
  <c r="DH17" i="17"/>
  <c r="DP17" i="17"/>
  <c r="EU17" i="17"/>
  <c r="EM17" i="17"/>
  <c r="EE17" i="17"/>
  <c r="DW17" i="17"/>
  <c r="DN17" i="17"/>
  <c r="DF17" i="17"/>
  <c r="CX17" i="17"/>
  <c r="EU115" i="17"/>
  <c r="EM115" i="17"/>
  <c r="EE115" i="17"/>
  <c r="DW115" i="17"/>
  <c r="DN115" i="17"/>
  <c r="DF115" i="17"/>
  <c r="CX115" i="17"/>
  <c r="ET115" i="17"/>
  <c r="EL115" i="17"/>
  <c r="ED115" i="17"/>
  <c r="DV115" i="17"/>
  <c r="DM115" i="17"/>
  <c r="DE115" i="17"/>
  <c r="CW115" i="17"/>
  <c r="ES115" i="17"/>
  <c r="EK115" i="17"/>
  <c r="EC115" i="17"/>
  <c r="DU115" i="17"/>
  <c r="DL115" i="17"/>
  <c r="DD115" i="17"/>
  <c r="CV115" i="17"/>
  <c r="ER115" i="17"/>
  <c r="EJ115" i="17"/>
  <c r="EB115" i="17"/>
  <c r="DT115" i="17"/>
  <c r="DK115" i="17"/>
  <c r="DC115" i="17"/>
  <c r="EQ115" i="17"/>
  <c r="EI115" i="17"/>
  <c r="EA115" i="17"/>
  <c r="DS115" i="17"/>
  <c r="DJ115" i="17"/>
  <c r="DB115" i="17"/>
  <c r="EP115" i="17"/>
  <c r="EH115" i="17"/>
  <c r="DZ115" i="17"/>
  <c r="DR115" i="17"/>
  <c r="DI115" i="17"/>
  <c r="DA115" i="17"/>
  <c r="EO115" i="17"/>
  <c r="EG115" i="17"/>
  <c r="DY115" i="17"/>
  <c r="DQ115" i="17"/>
  <c r="DH115" i="17"/>
  <c r="CZ115" i="17"/>
  <c r="EN115" i="17"/>
  <c r="EF115" i="17"/>
  <c r="DX115" i="17"/>
  <c r="DP115" i="17"/>
  <c r="DG115" i="17"/>
  <c r="CY115" i="17"/>
  <c r="ES108" i="17"/>
  <c r="EK108" i="17"/>
  <c r="EC108" i="17"/>
  <c r="DU108" i="17"/>
  <c r="DL108" i="17"/>
  <c r="DD108" i="17"/>
  <c r="CV108" i="17"/>
  <c r="ER108" i="17"/>
  <c r="EJ108" i="17"/>
  <c r="EB108" i="17"/>
  <c r="DT108" i="17"/>
  <c r="DK108" i="17"/>
  <c r="DC108" i="17"/>
  <c r="EQ108" i="17"/>
  <c r="EI108" i="17"/>
  <c r="EA108" i="17"/>
  <c r="DS108" i="17"/>
  <c r="DJ108" i="17"/>
  <c r="DB108" i="17"/>
  <c r="EP108" i="17"/>
  <c r="EH108" i="17"/>
  <c r="DZ108" i="17"/>
  <c r="DR108" i="17"/>
  <c r="DI108" i="17"/>
  <c r="DA108" i="17"/>
  <c r="EO108" i="17"/>
  <c r="EG108" i="17"/>
  <c r="DY108" i="17"/>
  <c r="DQ108" i="17"/>
  <c r="DH108" i="17"/>
  <c r="CZ108" i="17"/>
  <c r="EN108" i="17"/>
  <c r="EF108" i="17"/>
  <c r="DX108" i="17"/>
  <c r="DP108" i="17"/>
  <c r="DG108" i="17"/>
  <c r="CY108" i="17"/>
  <c r="EU108" i="17"/>
  <c r="EM108" i="17"/>
  <c r="EE108" i="17"/>
  <c r="DW108" i="17"/>
  <c r="DN108" i="17"/>
  <c r="DF108" i="17"/>
  <c r="CX108" i="17"/>
  <c r="ET108" i="17"/>
  <c r="EL108" i="17"/>
  <c r="ED108" i="17"/>
  <c r="DV108" i="17"/>
  <c r="DM108" i="17"/>
  <c r="DE108" i="17"/>
  <c r="CW108" i="17"/>
  <c r="EN30" i="17"/>
  <c r="EF30" i="17"/>
  <c r="DX30" i="17"/>
  <c r="DP30" i="17"/>
  <c r="DG30" i="17"/>
  <c r="CY30" i="17"/>
  <c r="EU30" i="17"/>
  <c r="EM30" i="17"/>
  <c r="EE30" i="17"/>
  <c r="DW30" i="17"/>
  <c r="DN30" i="17"/>
  <c r="DF30" i="17"/>
  <c r="CX30" i="17"/>
  <c r="ET30" i="17"/>
  <c r="EL30" i="17"/>
  <c r="ED30" i="17"/>
  <c r="DV30" i="17"/>
  <c r="DM30" i="17"/>
  <c r="DE30" i="17"/>
  <c r="CW30" i="17"/>
  <c r="ES30" i="17"/>
  <c r="EK30" i="17"/>
  <c r="EC30" i="17"/>
  <c r="DU30" i="17"/>
  <c r="DL30" i="17"/>
  <c r="DD30" i="17"/>
  <c r="CV30" i="17"/>
  <c r="ER30" i="17"/>
  <c r="EJ30" i="17"/>
  <c r="EB30" i="17"/>
  <c r="DT30" i="17"/>
  <c r="DK30" i="17"/>
  <c r="DC30" i="17"/>
  <c r="EQ30" i="17"/>
  <c r="EI30" i="17"/>
  <c r="EA30" i="17"/>
  <c r="DS30" i="17"/>
  <c r="DJ30" i="17"/>
  <c r="DB30" i="17"/>
  <c r="EP30" i="17"/>
  <c r="EH30" i="17"/>
  <c r="DZ30" i="17"/>
  <c r="DR30" i="17"/>
  <c r="DI30" i="17"/>
  <c r="DA30" i="17"/>
  <c r="EO30" i="17"/>
  <c r="EG30" i="17"/>
  <c r="DY30" i="17"/>
  <c r="DQ30" i="17"/>
  <c r="DH30" i="17"/>
  <c r="CZ30" i="17"/>
  <c r="ES37" i="17"/>
  <c r="EK37" i="17"/>
  <c r="EC37" i="17"/>
  <c r="DU37" i="17"/>
  <c r="DL37" i="17"/>
  <c r="DD37" i="17"/>
  <c r="CV37" i="17"/>
  <c r="ER37" i="17"/>
  <c r="EJ37" i="17"/>
  <c r="EB37" i="17"/>
  <c r="DT37" i="17"/>
  <c r="DK37" i="17"/>
  <c r="DC37" i="17"/>
  <c r="EQ37" i="17"/>
  <c r="EI37" i="17"/>
  <c r="EA37" i="17"/>
  <c r="DS37" i="17"/>
  <c r="DJ37" i="17"/>
  <c r="DB37" i="17"/>
  <c r="EP37" i="17"/>
  <c r="EH37" i="17"/>
  <c r="DZ37" i="17"/>
  <c r="DR37" i="17"/>
  <c r="DI37" i="17"/>
  <c r="DA37" i="17"/>
  <c r="EO37" i="17"/>
  <c r="EG37" i="17"/>
  <c r="DY37" i="17"/>
  <c r="DQ37" i="17"/>
  <c r="DH37" i="17"/>
  <c r="CZ37" i="17"/>
  <c r="EN37" i="17"/>
  <c r="EF37" i="17"/>
  <c r="DX37" i="17"/>
  <c r="DP37" i="17"/>
  <c r="DG37" i="17"/>
  <c r="CY37" i="17"/>
  <c r="EU37" i="17"/>
  <c r="EM37" i="17"/>
  <c r="EE37" i="17"/>
  <c r="DW37" i="17"/>
  <c r="DN37" i="17"/>
  <c r="DF37" i="17"/>
  <c r="CX37" i="17"/>
  <c r="ET37" i="17"/>
  <c r="EL37" i="17"/>
  <c r="ED37" i="17"/>
  <c r="DV37" i="17"/>
  <c r="DM37" i="17"/>
  <c r="DE37" i="17"/>
  <c r="CW37" i="17"/>
  <c r="ES44" i="17"/>
  <c r="EK44" i="17"/>
  <c r="ER44" i="17"/>
  <c r="EJ44" i="17"/>
  <c r="EQ44" i="17"/>
  <c r="EI44" i="17"/>
  <c r="EP44" i="17"/>
  <c r="EH44" i="17"/>
  <c r="EU44" i="17"/>
  <c r="EM44" i="17"/>
  <c r="EE44" i="17"/>
  <c r="EN44" i="17"/>
  <c r="DZ44" i="17"/>
  <c r="DR44" i="17"/>
  <c r="DI44" i="17"/>
  <c r="DA44" i="17"/>
  <c r="EL44" i="17"/>
  <c r="DY44" i="17"/>
  <c r="DQ44" i="17"/>
  <c r="DH44" i="17"/>
  <c r="CZ44" i="17"/>
  <c r="EG44" i="17"/>
  <c r="DX44" i="17"/>
  <c r="DP44" i="17"/>
  <c r="DG44" i="17"/>
  <c r="CY44" i="17"/>
  <c r="EF44" i="17"/>
  <c r="DW44" i="17"/>
  <c r="DN44" i="17"/>
  <c r="DF44" i="17"/>
  <c r="CX44" i="17"/>
  <c r="ED44" i="17"/>
  <c r="DV44" i="17"/>
  <c r="DM44" i="17"/>
  <c r="DE44" i="17"/>
  <c r="CW44" i="17"/>
  <c r="EC44" i="17"/>
  <c r="DU44" i="17"/>
  <c r="DL44" i="17"/>
  <c r="DD44" i="17"/>
  <c r="CV44" i="17"/>
  <c r="ET44" i="17"/>
  <c r="EB44" i="17"/>
  <c r="DT44" i="17"/>
  <c r="DK44" i="17"/>
  <c r="DC44" i="17"/>
  <c r="EO44" i="17"/>
  <c r="EA44" i="17"/>
  <c r="DS44" i="17"/>
  <c r="DJ44" i="17"/>
  <c r="DB44" i="17"/>
  <c r="CO87" i="17"/>
  <c r="EW87" i="17"/>
  <c r="AH87" i="17"/>
  <c r="EQ96" i="17"/>
  <c r="EI96" i="17"/>
  <c r="EA96" i="17"/>
  <c r="DS96" i="17"/>
  <c r="DJ96" i="17"/>
  <c r="DB96" i="17"/>
  <c r="EP96" i="17"/>
  <c r="EH96" i="17"/>
  <c r="DZ96" i="17"/>
  <c r="DR96" i="17"/>
  <c r="DI96" i="17"/>
  <c r="DA96" i="17"/>
  <c r="EO96" i="17"/>
  <c r="EG96" i="17"/>
  <c r="DY96" i="17"/>
  <c r="DQ96" i="17"/>
  <c r="DH96" i="17"/>
  <c r="CZ96" i="17"/>
  <c r="EN96" i="17"/>
  <c r="EF96" i="17"/>
  <c r="DX96" i="17"/>
  <c r="DP96" i="17"/>
  <c r="DG96" i="17"/>
  <c r="CY96" i="17"/>
  <c r="EU96" i="17"/>
  <c r="EM96" i="17"/>
  <c r="EE96" i="17"/>
  <c r="DW96" i="17"/>
  <c r="DN96" i="17"/>
  <c r="DF96" i="17"/>
  <c r="CX96" i="17"/>
  <c r="ET96" i="17"/>
  <c r="EL96" i="17"/>
  <c r="ED96" i="17"/>
  <c r="DV96" i="17"/>
  <c r="DM96" i="17"/>
  <c r="DE96" i="17"/>
  <c r="CW96" i="17"/>
  <c r="ES96" i="17"/>
  <c r="EK96" i="17"/>
  <c r="EC96" i="17"/>
  <c r="DU96" i="17"/>
  <c r="DL96" i="17"/>
  <c r="DD96" i="17"/>
  <c r="CV96" i="17"/>
  <c r="ER96" i="17"/>
  <c r="EJ96" i="17"/>
  <c r="EB96" i="17"/>
  <c r="DT96" i="17"/>
  <c r="DK96" i="17"/>
  <c r="DC96" i="17"/>
  <c r="EU75" i="17"/>
  <c r="EM75" i="17"/>
  <c r="EE75" i="17"/>
  <c r="DW75" i="17"/>
  <c r="DN75" i="17"/>
  <c r="DF75" i="17"/>
  <c r="CX75" i="17"/>
  <c r="ET75" i="17"/>
  <c r="EL75" i="17"/>
  <c r="ED75" i="17"/>
  <c r="DV75" i="17"/>
  <c r="DM75" i="17"/>
  <c r="DE75" i="17"/>
  <c r="CW75" i="17"/>
  <c r="ES75" i="17"/>
  <c r="EK75" i="17"/>
  <c r="EC75" i="17"/>
  <c r="DU75" i="17"/>
  <c r="DL75" i="17"/>
  <c r="DD75" i="17"/>
  <c r="CV75" i="17"/>
  <c r="ER75" i="17"/>
  <c r="EJ75" i="17"/>
  <c r="EB75" i="17"/>
  <c r="DT75" i="17"/>
  <c r="DK75" i="17"/>
  <c r="DC75" i="17"/>
  <c r="EQ75" i="17"/>
  <c r="EI75" i="17"/>
  <c r="EA75" i="17"/>
  <c r="DS75" i="17"/>
  <c r="DJ75" i="17"/>
  <c r="DB75" i="17"/>
  <c r="EP75" i="17"/>
  <c r="EH75" i="17"/>
  <c r="DZ75" i="17"/>
  <c r="DR75" i="17"/>
  <c r="DI75" i="17"/>
  <c r="DA75" i="17"/>
  <c r="EO75" i="17"/>
  <c r="EG75" i="17"/>
  <c r="DY75" i="17"/>
  <c r="DQ75" i="17"/>
  <c r="DH75" i="17"/>
  <c r="CZ75" i="17"/>
  <c r="EN75" i="17"/>
  <c r="EF75" i="17"/>
  <c r="DX75" i="17"/>
  <c r="DP75" i="17"/>
  <c r="DG75" i="17"/>
  <c r="CY75" i="17"/>
  <c r="EP51" i="17"/>
  <c r="EH51" i="17"/>
  <c r="DZ51" i="17"/>
  <c r="DR51" i="17"/>
  <c r="DI51" i="17"/>
  <c r="DA51" i="17"/>
  <c r="EO51" i="17"/>
  <c r="EG51" i="17"/>
  <c r="DY51" i="17"/>
  <c r="DQ51" i="17"/>
  <c r="DH51" i="17"/>
  <c r="CZ51" i="17"/>
  <c r="EN51" i="17"/>
  <c r="EF51" i="17"/>
  <c r="DX51" i="17"/>
  <c r="DP51" i="17"/>
  <c r="DG51" i="17"/>
  <c r="CY51" i="17"/>
  <c r="EU51" i="17"/>
  <c r="EM51" i="17"/>
  <c r="EE51" i="17"/>
  <c r="DW51" i="17"/>
  <c r="DN51" i="17"/>
  <c r="DF51" i="17"/>
  <c r="CX51" i="17"/>
  <c r="ER51" i="17"/>
  <c r="EJ51" i="17"/>
  <c r="EB51" i="17"/>
  <c r="DT51" i="17"/>
  <c r="DK51" i="17"/>
  <c r="DC51" i="17"/>
  <c r="ED51" i="17"/>
  <c r="DJ51" i="17"/>
  <c r="EC51" i="17"/>
  <c r="DE51" i="17"/>
  <c r="ET51" i="17"/>
  <c r="EA51" i="17"/>
  <c r="DD51" i="17"/>
  <c r="ES51" i="17"/>
  <c r="DV51" i="17"/>
  <c r="DB51" i="17"/>
  <c r="EQ51" i="17"/>
  <c r="DU51" i="17"/>
  <c r="CW51" i="17"/>
  <c r="EL51" i="17"/>
  <c r="DS51" i="17"/>
  <c r="CV51" i="17"/>
  <c r="EK51" i="17"/>
  <c r="DM51" i="17"/>
  <c r="EI51" i="17"/>
  <c r="DL51" i="17"/>
  <c r="CO86" i="17"/>
  <c r="EW86" i="17"/>
  <c r="AH86" i="17"/>
  <c r="ET90" i="17"/>
  <c r="EL90" i="17"/>
  <c r="ED90" i="17"/>
  <c r="DV90" i="17"/>
  <c r="DM90" i="17"/>
  <c r="DE90" i="17"/>
  <c r="CW90" i="17"/>
  <c r="ES90" i="17"/>
  <c r="EK90" i="17"/>
  <c r="EC90" i="17"/>
  <c r="DU90" i="17"/>
  <c r="DL90" i="17"/>
  <c r="DD90" i="17"/>
  <c r="CV90" i="17"/>
  <c r="ER90" i="17"/>
  <c r="EJ90" i="17"/>
  <c r="EB90" i="17"/>
  <c r="DT90" i="17"/>
  <c r="DK90" i="17"/>
  <c r="DC90" i="17"/>
  <c r="EQ90" i="17"/>
  <c r="EI90" i="17"/>
  <c r="EA90" i="17"/>
  <c r="DS90" i="17"/>
  <c r="DJ90" i="17"/>
  <c r="DB90" i="17"/>
  <c r="EP90" i="17"/>
  <c r="EH90" i="17"/>
  <c r="DZ90" i="17"/>
  <c r="DR90" i="17"/>
  <c r="DI90" i="17"/>
  <c r="DA90" i="17"/>
  <c r="EO90" i="17"/>
  <c r="EG90" i="17"/>
  <c r="DY90" i="17"/>
  <c r="DQ90" i="17"/>
  <c r="DH90" i="17"/>
  <c r="CZ90" i="17"/>
  <c r="EN90" i="17"/>
  <c r="EF90" i="17"/>
  <c r="DX90" i="17"/>
  <c r="DP90" i="17"/>
  <c r="DG90" i="17"/>
  <c r="CY90" i="17"/>
  <c r="EU90" i="17"/>
  <c r="EM90" i="17"/>
  <c r="EE90" i="17"/>
  <c r="DW90" i="17"/>
  <c r="DN90" i="17"/>
  <c r="DF90" i="17"/>
  <c r="CX90" i="17"/>
  <c r="EN102" i="17"/>
  <c r="EF102" i="17"/>
  <c r="DX102" i="17"/>
  <c r="DP102" i="17"/>
  <c r="DG102" i="17"/>
  <c r="CY102" i="17"/>
  <c r="EU102" i="17"/>
  <c r="EM102" i="17"/>
  <c r="EE102" i="17"/>
  <c r="DW102" i="17"/>
  <c r="DN102" i="17"/>
  <c r="DF102" i="17"/>
  <c r="CX102" i="17"/>
  <c r="ET102" i="17"/>
  <c r="EL102" i="17"/>
  <c r="ED102" i="17"/>
  <c r="DV102" i="17"/>
  <c r="DM102" i="17"/>
  <c r="DE102" i="17"/>
  <c r="CW102" i="17"/>
  <c r="ES102" i="17"/>
  <c r="EK102" i="17"/>
  <c r="EC102" i="17"/>
  <c r="DU102" i="17"/>
  <c r="DL102" i="17"/>
  <c r="DD102" i="17"/>
  <c r="CV102" i="17"/>
  <c r="ER102" i="17"/>
  <c r="EJ102" i="17"/>
  <c r="EB102" i="17"/>
  <c r="DT102" i="17"/>
  <c r="DK102" i="17"/>
  <c r="DC102" i="17"/>
  <c r="EQ102" i="17"/>
  <c r="EI102" i="17"/>
  <c r="EA102" i="17"/>
  <c r="DS102" i="17"/>
  <c r="DJ102" i="17"/>
  <c r="DB102" i="17"/>
  <c r="EP102" i="17"/>
  <c r="EH102" i="17"/>
  <c r="DZ102" i="17"/>
  <c r="DR102" i="17"/>
  <c r="DI102" i="17"/>
  <c r="DA102" i="17"/>
  <c r="EO102" i="17"/>
  <c r="EG102" i="17"/>
  <c r="DY102" i="17"/>
  <c r="DQ102" i="17"/>
  <c r="DH102" i="17"/>
  <c r="CZ102" i="17"/>
  <c r="EP69" i="17"/>
  <c r="EH69" i="17"/>
  <c r="DZ69" i="17"/>
  <c r="DR69" i="17"/>
  <c r="DI69" i="17"/>
  <c r="DA69" i="17"/>
  <c r="EO69" i="17"/>
  <c r="EG69" i="17"/>
  <c r="DY69" i="17"/>
  <c r="DQ69" i="17"/>
  <c r="DH69" i="17"/>
  <c r="CZ69" i="17"/>
  <c r="EN69" i="17"/>
  <c r="EF69" i="17"/>
  <c r="DX69" i="17"/>
  <c r="DP69" i="17"/>
  <c r="DG69" i="17"/>
  <c r="CY69" i="17"/>
  <c r="EU69" i="17"/>
  <c r="EM69" i="17"/>
  <c r="EE69" i="17"/>
  <c r="DW69" i="17"/>
  <c r="DN69" i="17"/>
  <c r="DF69" i="17"/>
  <c r="CX69" i="17"/>
  <c r="ET69" i="17"/>
  <c r="EL69" i="17"/>
  <c r="ED69" i="17"/>
  <c r="DV69" i="17"/>
  <c r="DM69" i="17"/>
  <c r="DE69" i="17"/>
  <c r="CW69" i="17"/>
  <c r="ES69" i="17"/>
  <c r="EK69" i="17"/>
  <c r="EC69" i="17"/>
  <c r="DU69" i="17"/>
  <c r="DL69" i="17"/>
  <c r="DD69" i="17"/>
  <c r="CV69" i="17"/>
  <c r="ER69" i="17"/>
  <c r="EJ69" i="17"/>
  <c r="EB69" i="17"/>
  <c r="DT69" i="17"/>
  <c r="DK69" i="17"/>
  <c r="DC69" i="17"/>
  <c r="EQ69" i="17"/>
  <c r="EI69" i="17"/>
  <c r="EA69" i="17"/>
  <c r="DS69" i="17"/>
  <c r="DJ69" i="17"/>
  <c r="DB69" i="17"/>
  <c r="EN57" i="17"/>
  <c r="EF57" i="17"/>
  <c r="DX57" i="17"/>
  <c r="EU57" i="17"/>
  <c r="EM57" i="17"/>
  <c r="EE57" i="17"/>
  <c r="DW57" i="17"/>
  <c r="DN57" i="17"/>
  <c r="DF57" i="17"/>
  <c r="CX57" i="17"/>
  <c r="ET57" i="17"/>
  <c r="EL57" i="17"/>
  <c r="ED57" i="17"/>
  <c r="DV57" i="17"/>
  <c r="DM57" i="17"/>
  <c r="DE57" i="17"/>
  <c r="CW57" i="17"/>
  <c r="ES57" i="17"/>
  <c r="EK57" i="17"/>
  <c r="EC57" i="17"/>
  <c r="DU57" i="17"/>
  <c r="DL57" i="17"/>
  <c r="DD57" i="17"/>
  <c r="CV57" i="17"/>
  <c r="ER57" i="17"/>
  <c r="EJ57" i="17"/>
  <c r="EB57" i="17"/>
  <c r="DT57" i="17"/>
  <c r="DK57" i="17"/>
  <c r="DC57" i="17"/>
  <c r="EQ57" i="17"/>
  <c r="EO57" i="17"/>
  <c r="EG57" i="17"/>
  <c r="DY57" i="17"/>
  <c r="DQ57" i="17"/>
  <c r="DH57" i="17"/>
  <c r="CZ57" i="17"/>
  <c r="DZ57" i="17"/>
  <c r="DA57" i="17"/>
  <c r="DS57" i="17"/>
  <c r="CY57" i="17"/>
  <c r="DR57" i="17"/>
  <c r="DP57" i="17"/>
  <c r="EP57" i="17"/>
  <c r="DJ57" i="17"/>
  <c r="EI57" i="17"/>
  <c r="DI57" i="17"/>
  <c r="EH57" i="17"/>
  <c r="DG57" i="17"/>
  <c r="EA57" i="17"/>
  <c r="DB57" i="17"/>
  <c r="CO85" i="17"/>
  <c r="EW85" i="17"/>
  <c r="AH85" i="17"/>
  <c r="EW88" i="17"/>
  <c r="AH88" i="17"/>
  <c r="CO88" i="17"/>
  <c r="U112" i="17"/>
  <c r="LW84" i="17"/>
  <c r="JP84" i="17"/>
  <c r="I104" i="40"/>
  <c r="I103" i="40"/>
  <c r="I102" i="40"/>
  <c r="I101" i="40"/>
  <c r="AR23" i="17"/>
  <c r="AZ23" i="17"/>
  <c r="BH23" i="17"/>
  <c r="BP23" i="17"/>
  <c r="BX23" i="17"/>
  <c r="AS23" i="17"/>
  <c r="BA23" i="17"/>
  <c r="BI23" i="17"/>
  <c r="BQ23" i="17"/>
  <c r="BY23" i="17"/>
  <c r="AT23" i="17"/>
  <c r="BB23" i="17"/>
  <c r="BJ23" i="17"/>
  <c r="BR23" i="17"/>
  <c r="BZ23" i="17"/>
  <c r="AM23" i="17"/>
  <c r="AU23" i="17"/>
  <c r="BC23" i="17"/>
  <c r="BK23" i="17"/>
  <c r="BS23" i="17"/>
  <c r="CA23" i="17"/>
  <c r="P23" i="17"/>
  <c r="AO23" i="17"/>
  <c r="AW23" i="17"/>
  <c r="BE23" i="17"/>
  <c r="BM23" i="17"/>
  <c r="BU23" i="17"/>
  <c r="AQ23" i="17"/>
  <c r="BN23" i="17"/>
  <c r="AV23" i="17"/>
  <c r="BO23" i="17"/>
  <c r="AX23" i="17"/>
  <c r="BT23" i="17"/>
  <c r="J23" i="17"/>
  <c r="AY23" i="17"/>
  <c r="BV23" i="17"/>
  <c r="X23" i="17"/>
  <c r="BD23" i="17"/>
  <c r="BW23" i="17"/>
  <c r="AP23" i="17"/>
  <c r="BL23" i="17"/>
  <c r="AC23" i="17"/>
  <c r="AN23" i="17"/>
  <c r="BF23" i="17"/>
  <c r="BG23" i="17"/>
  <c r="CB23" i="17"/>
  <c r="AS17" i="17"/>
  <c r="BA17" i="17"/>
  <c r="BI17" i="17"/>
  <c r="BQ17" i="17"/>
  <c r="BY17" i="17"/>
  <c r="AT17" i="17"/>
  <c r="BB17" i="17"/>
  <c r="BJ17" i="17"/>
  <c r="BR17" i="17"/>
  <c r="BZ17" i="17"/>
  <c r="AM17" i="17"/>
  <c r="AU17" i="17"/>
  <c r="BC17" i="17"/>
  <c r="BK17" i="17"/>
  <c r="BS17" i="17"/>
  <c r="CA17" i="17"/>
  <c r="J17" i="17"/>
  <c r="AN17" i="17"/>
  <c r="AV17" i="17"/>
  <c r="BD17" i="17"/>
  <c r="BL17" i="17"/>
  <c r="BT17" i="17"/>
  <c r="CB17" i="17"/>
  <c r="P17" i="17"/>
  <c r="AO17" i="17"/>
  <c r="AW17" i="17"/>
  <c r="BE17" i="17"/>
  <c r="BM17" i="17"/>
  <c r="BU17" i="17"/>
  <c r="AR17" i="17"/>
  <c r="AZ17" i="17"/>
  <c r="BH17" i="17"/>
  <c r="BP17" i="17"/>
  <c r="BX17" i="17"/>
  <c r="AY17" i="17"/>
  <c r="BF17" i="17"/>
  <c r="BG17" i="17"/>
  <c r="X17" i="17"/>
  <c r="BN17" i="17"/>
  <c r="AP17" i="17"/>
  <c r="BV17" i="17"/>
  <c r="AQ17" i="17"/>
  <c r="AX17" i="17"/>
  <c r="BO17" i="17"/>
  <c r="BW17" i="17"/>
  <c r="AC17" i="17"/>
  <c r="I20" i="40"/>
  <c r="I19" i="40"/>
  <c r="I18" i="40"/>
  <c r="I21" i="40"/>
  <c r="AS30" i="17"/>
  <c r="BA30" i="17"/>
  <c r="BI30" i="17"/>
  <c r="BQ30" i="17"/>
  <c r="BY30" i="17"/>
  <c r="AT30" i="17"/>
  <c r="BB30" i="17"/>
  <c r="BJ30" i="17"/>
  <c r="BR30" i="17"/>
  <c r="BZ30" i="17"/>
  <c r="AM30" i="17"/>
  <c r="AU30" i="17"/>
  <c r="BC30" i="17"/>
  <c r="BK30" i="17"/>
  <c r="BS30" i="17"/>
  <c r="CA30" i="17"/>
  <c r="J30" i="17"/>
  <c r="AO30" i="17"/>
  <c r="AW30" i="17"/>
  <c r="BE30" i="17"/>
  <c r="BM30" i="17"/>
  <c r="BU30" i="17"/>
  <c r="P30" i="17"/>
  <c r="AX30" i="17"/>
  <c r="BN30" i="17"/>
  <c r="X30" i="17"/>
  <c r="AY30" i="17"/>
  <c r="BO30" i="17"/>
  <c r="AC30" i="17"/>
  <c r="AZ30" i="17"/>
  <c r="BP30" i="17"/>
  <c r="AN30" i="17"/>
  <c r="BD30" i="17"/>
  <c r="BT30" i="17"/>
  <c r="AP30" i="17"/>
  <c r="BF30" i="17"/>
  <c r="BV30" i="17"/>
  <c r="AV30" i="17"/>
  <c r="BL30" i="17"/>
  <c r="CB30" i="17"/>
  <c r="BH30" i="17"/>
  <c r="BW30" i="17"/>
  <c r="BX30" i="17"/>
  <c r="AQ30" i="17"/>
  <c r="AR30" i="17"/>
  <c r="BG30" i="17"/>
  <c r="I97" i="40"/>
  <c r="I96" i="40"/>
  <c r="I95" i="40"/>
  <c r="I98" i="40"/>
  <c r="I84" i="40"/>
  <c r="I81" i="40"/>
  <c r="I83" i="40"/>
  <c r="I82" i="40"/>
  <c r="F90" i="17"/>
  <c r="FA90" i="17" s="1"/>
  <c r="A11" i="17"/>
  <c r="A12" i="17"/>
  <c r="A13" i="17"/>
  <c r="A15" i="17"/>
  <c r="A19" i="17"/>
  <c r="A18" i="17"/>
  <c r="A21" i="17"/>
  <c r="A20" i="17"/>
  <c r="A116" i="17"/>
  <c r="A123" i="17"/>
  <c r="A122" i="17"/>
  <c r="A121" i="17"/>
  <c r="A120" i="17"/>
  <c r="A119" i="17"/>
  <c r="A118" i="17"/>
  <c r="A117" i="17"/>
  <c r="A31" i="17"/>
  <c r="A32" i="17"/>
  <c r="A35" i="17"/>
  <c r="A34" i="17"/>
  <c r="A33" i="17"/>
  <c r="A100" i="17"/>
  <c r="A99" i="17"/>
  <c r="A98" i="17"/>
  <c r="A97" i="17"/>
  <c r="A77" i="17"/>
  <c r="A76" i="17"/>
  <c r="A52" i="17"/>
  <c r="A54" i="17"/>
  <c r="A53" i="17"/>
  <c r="A55" i="17"/>
  <c r="A92" i="17"/>
  <c r="A91" i="17"/>
  <c r="A93" i="17"/>
  <c r="A94" i="17"/>
  <c r="B110" i="17"/>
  <c r="ME110" i="17" s="1"/>
  <c r="A113" i="17"/>
  <c r="A112" i="17"/>
  <c r="A111" i="17"/>
  <c r="A109" i="17"/>
  <c r="A103" i="17"/>
  <c r="A105" i="17"/>
  <c r="A104" i="17"/>
  <c r="A106" i="17"/>
  <c r="A71" i="17"/>
  <c r="A70" i="17"/>
  <c r="A72" i="17"/>
  <c r="A73" i="17"/>
  <c r="F69" i="17"/>
  <c r="HH69" i="17" s="1"/>
  <c r="A61" i="17"/>
  <c r="A60" i="17"/>
  <c r="A59" i="17"/>
  <c r="A58" i="17"/>
  <c r="A41" i="17"/>
  <c r="A40" i="17"/>
  <c r="A39" i="17"/>
  <c r="A38" i="17"/>
  <c r="A42" i="17"/>
  <c r="A49" i="17"/>
  <c r="A48" i="17"/>
  <c r="A45" i="17"/>
  <c r="A47" i="17"/>
  <c r="A46" i="17"/>
  <c r="A28" i="17"/>
  <c r="A27" i="17"/>
  <c r="A25" i="17"/>
  <c r="A24" i="17"/>
  <c r="A64" i="17"/>
  <c r="A65" i="17"/>
  <c r="A66" i="17"/>
  <c r="A67" i="17"/>
  <c r="F17" i="17"/>
  <c r="CS17" i="17" s="1"/>
  <c r="U113" i="17"/>
  <c r="AA112" i="17"/>
  <c r="X112" i="17" s="1"/>
  <c r="V119" i="26"/>
  <c r="V115" i="26"/>
  <c r="V121" i="26"/>
  <c r="V118" i="26"/>
  <c r="U111" i="17"/>
  <c r="V116" i="26"/>
  <c r="V120" i="26"/>
  <c r="V122" i="26"/>
  <c r="V117" i="26"/>
  <c r="HK110" i="17"/>
  <c r="AI110" i="17"/>
  <c r="CC110" i="17"/>
  <c r="LD110" i="17"/>
  <c r="BM110" i="17"/>
  <c r="NR110" i="17"/>
  <c r="KK110" i="17"/>
  <c r="II110" i="17"/>
  <c r="GU110" i="17"/>
  <c r="CJ110" i="17"/>
  <c r="NM110" i="17"/>
  <c r="LL110" i="17"/>
  <c r="LZ110" i="17"/>
  <c r="MB110" i="17"/>
  <c r="BI110" i="17"/>
  <c r="MN110" i="17"/>
  <c r="KA110" i="17"/>
  <c r="GO110" i="17"/>
  <c r="HU110" i="17"/>
  <c r="CA110" i="17"/>
  <c r="FH110" i="17"/>
  <c r="NH110" i="17"/>
  <c r="FT110" i="17"/>
  <c r="NT110" i="17"/>
  <c r="NV110" i="17"/>
  <c r="LG110" i="17"/>
  <c r="KR110" i="17"/>
  <c r="GJ110" i="17"/>
  <c r="HI110" i="17" s="1"/>
  <c r="AA113" i="17"/>
  <c r="X113" i="17" s="1"/>
  <c r="AB113" i="17"/>
  <c r="AB112" i="17"/>
  <c r="HE51" i="17"/>
  <c r="JW51" i="17"/>
  <c r="KE51" i="17"/>
  <c r="KM51" i="17"/>
  <c r="KU51" i="17"/>
  <c r="LC51" i="17"/>
  <c r="LK51" i="17"/>
  <c r="JX51" i="17"/>
  <c r="KF51" i="17"/>
  <c r="KN51" i="17"/>
  <c r="KV51" i="17"/>
  <c r="LD51" i="17"/>
  <c r="LL51" i="17"/>
  <c r="JY51" i="17"/>
  <c r="KG51" i="17"/>
  <c r="KO51" i="17"/>
  <c r="KW51" i="17"/>
  <c r="LE51" i="17"/>
  <c r="LM51" i="17"/>
  <c r="JZ51" i="17"/>
  <c r="KH51" i="17"/>
  <c r="KP51" i="17"/>
  <c r="KX51" i="17"/>
  <c r="LF51" i="17"/>
  <c r="LN51" i="17"/>
  <c r="JS51" i="17"/>
  <c r="KA51" i="17"/>
  <c r="KI51" i="17"/>
  <c r="KQ51" i="17"/>
  <c r="KY51" i="17"/>
  <c r="LG51" i="17"/>
  <c r="LO51" i="17"/>
  <c r="KJ51" i="17"/>
  <c r="LB51" i="17"/>
  <c r="KK51" i="17"/>
  <c r="LH51" i="17"/>
  <c r="JT51" i="17"/>
  <c r="KL51" i="17"/>
  <c r="LI51" i="17"/>
  <c r="JU51" i="17"/>
  <c r="KR51" i="17"/>
  <c r="LJ51" i="17"/>
  <c r="JV51" i="17"/>
  <c r="KS51" i="17"/>
  <c r="LP51" i="17"/>
  <c r="KB51" i="17"/>
  <c r="KT51" i="17"/>
  <c r="LQ51" i="17"/>
  <c r="KD51" i="17"/>
  <c r="LA51" i="17"/>
  <c r="KC51" i="17"/>
  <c r="KZ51" i="17"/>
  <c r="LR51" i="17"/>
  <c r="HK51" i="17"/>
  <c r="HJ51" i="17"/>
  <c r="HE30" i="17"/>
  <c r="JW30" i="17"/>
  <c r="KE30" i="17"/>
  <c r="KM30" i="17"/>
  <c r="KU30" i="17"/>
  <c r="LC30" i="17"/>
  <c r="LK30" i="17"/>
  <c r="JX30" i="17"/>
  <c r="KF30" i="17"/>
  <c r="KN30" i="17"/>
  <c r="KV30" i="17"/>
  <c r="LD30" i="17"/>
  <c r="LL30" i="17"/>
  <c r="JY30" i="17"/>
  <c r="KG30" i="17"/>
  <c r="KO30" i="17"/>
  <c r="KW30" i="17"/>
  <c r="LE30" i="17"/>
  <c r="LM30" i="17"/>
  <c r="JZ30" i="17"/>
  <c r="KH30" i="17"/>
  <c r="KP30" i="17"/>
  <c r="KX30" i="17"/>
  <c r="LF30" i="17"/>
  <c r="LN30" i="17"/>
  <c r="JS30" i="17"/>
  <c r="KA30" i="17"/>
  <c r="KI30" i="17"/>
  <c r="KQ30" i="17"/>
  <c r="KY30" i="17"/>
  <c r="LG30" i="17"/>
  <c r="LO30" i="17"/>
  <c r="JT30" i="17"/>
  <c r="KB30" i="17"/>
  <c r="KJ30" i="17"/>
  <c r="KR30" i="17"/>
  <c r="KZ30" i="17"/>
  <c r="LH30" i="17"/>
  <c r="LP30" i="17"/>
  <c r="JV30" i="17"/>
  <c r="KD30" i="17"/>
  <c r="KL30" i="17"/>
  <c r="KT30" i="17"/>
  <c r="LB30" i="17"/>
  <c r="LJ30" i="17"/>
  <c r="LR30" i="17"/>
  <c r="JU30" i="17"/>
  <c r="KC30" i="17"/>
  <c r="KK30" i="17"/>
  <c r="KS30" i="17"/>
  <c r="LA30" i="17"/>
  <c r="LI30" i="17"/>
  <c r="LQ30" i="17"/>
  <c r="HK30" i="17"/>
  <c r="HJ30" i="17"/>
  <c r="HE37" i="17"/>
  <c r="JS37" i="17"/>
  <c r="KA37" i="17"/>
  <c r="KI37" i="17"/>
  <c r="KQ37" i="17"/>
  <c r="KY37" i="17"/>
  <c r="LG37" i="17"/>
  <c r="LO37" i="17"/>
  <c r="JT37" i="17"/>
  <c r="KB37" i="17"/>
  <c r="KJ37" i="17"/>
  <c r="KR37" i="17"/>
  <c r="KZ37" i="17"/>
  <c r="LH37" i="17"/>
  <c r="LP37" i="17"/>
  <c r="JU37" i="17"/>
  <c r="KC37" i="17"/>
  <c r="KK37" i="17"/>
  <c r="KS37" i="17"/>
  <c r="LA37" i="17"/>
  <c r="LI37" i="17"/>
  <c r="LQ37" i="17"/>
  <c r="JV37" i="17"/>
  <c r="KD37" i="17"/>
  <c r="KL37" i="17"/>
  <c r="KT37" i="17"/>
  <c r="LB37" i="17"/>
  <c r="LJ37" i="17"/>
  <c r="LR37" i="17"/>
  <c r="JW37" i="17"/>
  <c r="KE37" i="17"/>
  <c r="KM37" i="17"/>
  <c r="KU37" i="17"/>
  <c r="LC37" i="17"/>
  <c r="LK37" i="17"/>
  <c r="JX37" i="17"/>
  <c r="KF37" i="17"/>
  <c r="KN37" i="17"/>
  <c r="KV37" i="17"/>
  <c r="LD37" i="17"/>
  <c r="LL37" i="17"/>
  <c r="JZ37" i="17"/>
  <c r="KH37" i="17"/>
  <c r="KP37" i="17"/>
  <c r="KX37" i="17"/>
  <c r="LF37" i="17"/>
  <c r="LN37" i="17"/>
  <c r="KG37" i="17"/>
  <c r="KO37" i="17"/>
  <c r="KW37" i="17"/>
  <c r="LE37" i="17"/>
  <c r="LM37" i="17"/>
  <c r="JY37" i="17"/>
  <c r="HJ37" i="17"/>
  <c r="HK37" i="17"/>
  <c r="HE44" i="17"/>
  <c r="JW44" i="17"/>
  <c r="KE44" i="17"/>
  <c r="KM44" i="17"/>
  <c r="KU44" i="17"/>
  <c r="LC44" i="17"/>
  <c r="LK44" i="17"/>
  <c r="JX44" i="17"/>
  <c r="KF44" i="17"/>
  <c r="KN44" i="17"/>
  <c r="KV44" i="17"/>
  <c r="LD44" i="17"/>
  <c r="LL44" i="17"/>
  <c r="JY44" i="17"/>
  <c r="KG44" i="17"/>
  <c r="KO44" i="17"/>
  <c r="KW44" i="17"/>
  <c r="LE44" i="17"/>
  <c r="LM44" i="17"/>
  <c r="JZ44" i="17"/>
  <c r="KH44" i="17"/>
  <c r="KP44" i="17"/>
  <c r="KX44" i="17"/>
  <c r="LF44" i="17"/>
  <c r="LN44" i="17"/>
  <c r="JS44" i="17"/>
  <c r="KA44" i="17"/>
  <c r="KI44" i="17"/>
  <c r="KQ44" i="17"/>
  <c r="KY44" i="17"/>
  <c r="LG44" i="17"/>
  <c r="LO44" i="17"/>
  <c r="JT44" i="17"/>
  <c r="KB44" i="17"/>
  <c r="KJ44" i="17"/>
  <c r="KR44" i="17"/>
  <c r="KZ44" i="17"/>
  <c r="LH44" i="17"/>
  <c r="LP44" i="17"/>
  <c r="JV44" i="17"/>
  <c r="KD44" i="17"/>
  <c r="KL44" i="17"/>
  <c r="KT44" i="17"/>
  <c r="LB44" i="17"/>
  <c r="LJ44" i="17"/>
  <c r="LR44" i="17"/>
  <c r="KS44" i="17"/>
  <c r="LA44" i="17"/>
  <c r="LI44" i="17"/>
  <c r="LQ44" i="17"/>
  <c r="JU44" i="17"/>
  <c r="KK44" i="17"/>
  <c r="KC44" i="17"/>
  <c r="HK44" i="17"/>
  <c r="HJ44" i="17"/>
  <c r="HE57" i="17"/>
  <c r="JS57" i="17"/>
  <c r="KA57" i="17"/>
  <c r="KI57" i="17"/>
  <c r="KQ57" i="17"/>
  <c r="KY57" i="17"/>
  <c r="LG57" i="17"/>
  <c r="LO57" i="17"/>
  <c r="JT57" i="17"/>
  <c r="KB57" i="17"/>
  <c r="KJ57" i="17"/>
  <c r="KR57" i="17"/>
  <c r="KZ57" i="17"/>
  <c r="LH57" i="17"/>
  <c r="LP57" i="17"/>
  <c r="JU57" i="17"/>
  <c r="KC57" i="17"/>
  <c r="KK57" i="17"/>
  <c r="KS57" i="17"/>
  <c r="LA57" i="17"/>
  <c r="LI57" i="17"/>
  <c r="LQ57" i="17"/>
  <c r="JV57" i="17"/>
  <c r="KD57" i="17"/>
  <c r="KL57" i="17"/>
  <c r="KT57" i="17"/>
  <c r="LB57" i="17"/>
  <c r="LJ57" i="17"/>
  <c r="LR57" i="17"/>
  <c r="JW57" i="17"/>
  <c r="KE57" i="17"/>
  <c r="KM57" i="17"/>
  <c r="KU57" i="17"/>
  <c r="LC57" i="17"/>
  <c r="LK57" i="17"/>
  <c r="JX57" i="17"/>
  <c r="KF57" i="17"/>
  <c r="KN57" i="17"/>
  <c r="KV57" i="17"/>
  <c r="LD57" i="17"/>
  <c r="LL57" i="17"/>
  <c r="JZ57" i="17"/>
  <c r="KH57" i="17"/>
  <c r="KP57" i="17"/>
  <c r="KX57" i="17"/>
  <c r="LF57" i="17"/>
  <c r="LN57" i="17"/>
  <c r="LM57" i="17"/>
  <c r="JY57" i="17"/>
  <c r="KG57" i="17"/>
  <c r="KO57" i="17"/>
  <c r="LE57" i="17"/>
  <c r="KW57" i="17"/>
  <c r="HJ57" i="17"/>
  <c r="HK57" i="17"/>
  <c r="HE102" i="17"/>
  <c r="JS102" i="17"/>
  <c r="KA102" i="17"/>
  <c r="KI102" i="17"/>
  <c r="KQ102" i="17"/>
  <c r="KY102" i="17"/>
  <c r="LG102" i="17"/>
  <c r="LO102" i="17"/>
  <c r="JT102" i="17"/>
  <c r="KB102" i="17"/>
  <c r="KJ102" i="17"/>
  <c r="KR102" i="17"/>
  <c r="KZ102" i="17"/>
  <c r="LH102" i="17"/>
  <c r="LP102" i="17"/>
  <c r="JU102" i="17"/>
  <c r="KC102" i="17"/>
  <c r="KK102" i="17"/>
  <c r="KS102" i="17"/>
  <c r="LA102" i="17"/>
  <c r="LI102" i="17"/>
  <c r="LQ102" i="17"/>
  <c r="JV102" i="17"/>
  <c r="KD102" i="17"/>
  <c r="KL102" i="17"/>
  <c r="KT102" i="17"/>
  <c r="LB102" i="17"/>
  <c r="LJ102" i="17"/>
  <c r="LR102" i="17"/>
  <c r="JW102" i="17"/>
  <c r="KE102" i="17"/>
  <c r="KM102" i="17"/>
  <c r="KU102" i="17"/>
  <c r="LC102" i="17"/>
  <c r="LK102" i="17"/>
  <c r="KO102" i="17"/>
  <c r="LL102" i="17"/>
  <c r="JX102" i="17"/>
  <c r="KP102" i="17"/>
  <c r="LM102" i="17"/>
  <c r="JY102" i="17"/>
  <c r="KV102" i="17"/>
  <c r="LN102" i="17"/>
  <c r="JZ102" i="17"/>
  <c r="KW102" i="17"/>
  <c r="KF102" i="17"/>
  <c r="KX102" i="17"/>
  <c r="KG102" i="17"/>
  <c r="LD102" i="17"/>
  <c r="KN102" i="17"/>
  <c r="LF102" i="17"/>
  <c r="KH102" i="17"/>
  <c r="LE102" i="17"/>
  <c r="HJ102" i="17"/>
  <c r="HK102" i="17"/>
  <c r="HE69" i="17"/>
  <c r="JS69" i="17"/>
  <c r="KA69" i="17"/>
  <c r="KI69" i="17"/>
  <c r="KQ69" i="17"/>
  <c r="KY69" i="17"/>
  <c r="LG69" i="17"/>
  <c r="LO69" i="17"/>
  <c r="JT69" i="17"/>
  <c r="KB69" i="17"/>
  <c r="KJ69" i="17"/>
  <c r="KR69" i="17"/>
  <c r="KZ69" i="17"/>
  <c r="LH69" i="17"/>
  <c r="LP69" i="17"/>
  <c r="JU69" i="17"/>
  <c r="KC69" i="17"/>
  <c r="KK69" i="17"/>
  <c r="KS69" i="17"/>
  <c r="LA69" i="17"/>
  <c r="LI69" i="17"/>
  <c r="LQ69" i="17"/>
  <c r="JV69" i="17"/>
  <c r="KD69" i="17"/>
  <c r="KL69" i="17"/>
  <c r="KT69" i="17"/>
  <c r="LB69" i="17"/>
  <c r="LJ69" i="17"/>
  <c r="LR69" i="17"/>
  <c r="JW69" i="17"/>
  <c r="KE69" i="17"/>
  <c r="KM69" i="17"/>
  <c r="KU69" i="17"/>
  <c r="LC69" i="17"/>
  <c r="LK69" i="17"/>
  <c r="JX69" i="17"/>
  <c r="KF69" i="17"/>
  <c r="KN69" i="17"/>
  <c r="KV69" i="17"/>
  <c r="LD69" i="17"/>
  <c r="LL69" i="17"/>
  <c r="JZ69" i="17"/>
  <c r="KH69" i="17"/>
  <c r="KP69" i="17"/>
  <c r="KX69" i="17"/>
  <c r="LF69" i="17"/>
  <c r="LN69" i="17"/>
  <c r="JY69" i="17"/>
  <c r="KG69" i="17"/>
  <c r="KO69" i="17"/>
  <c r="KW69" i="17"/>
  <c r="LM69" i="17"/>
  <c r="HJ69" i="17"/>
  <c r="LE69" i="17"/>
  <c r="HK69" i="17"/>
  <c r="HE90" i="17"/>
  <c r="JS90" i="17"/>
  <c r="KA90" i="17"/>
  <c r="KI90" i="17"/>
  <c r="KQ90" i="17"/>
  <c r="KY90" i="17"/>
  <c r="LX90" i="17" s="1"/>
  <c r="LG90" i="17"/>
  <c r="LO90" i="17"/>
  <c r="JT90" i="17"/>
  <c r="KB90" i="17"/>
  <c r="KJ90" i="17"/>
  <c r="KR90" i="17"/>
  <c r="KZ90" i="17"/>
  <c r="LH90" i="17"/>
  <c r="LP90" i="17"/>
  <c r="JU90" i="17"/>
  <c r="KC90" i="17"/>
  <c r="KK90" i="17"/>
  <c r="KS90" i="17"/>
  <c r="LA90" i="17"/>
  <c r="LI90" i="17"/>
  <c r="LQ90" i="17"/>
  <c r="JV90" i="17"/>
  <c r="KD90" i="17"/>
  <c r="KL90" i="17"/>
  <c r="KT90" i="17"/>
  <c r="LB90" i="17"/>
  <c r="LJ90" i="17"/>
  <c r="LR90" i="17"/>
  <c r="JW90" i="17"/>
  <c r="KE90" i="17"/>
  <c r="KM90" i="17"/>
  <c r="KU90" i="17"/>
  <c r="LC90" i="17"/>
  <c r="LK90" i="17"/>
  <c r="JX90" i="17"/>
  <c r="KF90" i="17"/>
  <c r="KN90" i="17"/>
  <c r="KV90" i="17"/>
  <c r="LD90" i="17"/>
  <c r="LL90" i="17"/>
  <c r="JZ90" i="17"/>
  <c r="KH90" i="17"/>
  <c r="KP90" i="17"/>
  <c r="KX90" i="17"/>
  <c r="LF90" i="17"/>
  <c r="LN90" i="17"/>
  <c r="KO90" i="17"/>
  <c r="KW90" i="17"/>
  <c r="LE90" i="17"/>
  <c r="LM90" i="17"/>
  <c r="KG90" i="17"/>
  <c r="JY90" i="17"/>
  <c r="HK90" i="17"/>
  <c r="HJ90" i="17"/>
  <c r="HE23" i="17"/>
  <c r="JW23" i="17"/>
  <c r="KE23" i="17"/>
  <c r="KM23" i="17"/>
  <c r="KU23" i="17"/>
  <c r="LC23" i="17"/>
  <c r="LK23" i="17"/>
  <c r="JX23" i="17"/>
  <c r="KF23" i="17"/>
  <c r="KN23" i="17"/>
  <c r="KV23" i="17"/>
  <c r="LD23" i="17"/>
  <c r="LL23" i="17"/>
  <c r="JY23" i="17"/>
  <c r="KG23" i="17"/>
  <c r="KO23" i="17"/>
  <c r="KW23" i="17"/>
  <c r="LE23" i="17"/>
  <c r="LM23" i="17"/>
  <c r="JZ23" i="17"/>
  <c r="KH23" i="17"/>
  <c r="KP23" i="17"/>
  <c r="KX23" i="17"/>
  <c r="LF23" i="17"/>
  <c r="LN23" i="17"/>
  <c r="JS23" i="17"/>
  <c r="KA23" i="17"/>
  <c r="KI23" i="17"/>
  <c r="KQ23" i="17"/>
  <c r="KY23" i="17"/>
  <c r="LG23" i="17"/>
  <c r="LO23" i="17"/>
  <c r="KD23" i="17"/>
  <c r="LA23" i="17"/>
  <c r="KJ23" i="17"/>
  <c r="LB23" i="17"/>
  <c r="KK23" i="17"/>
  <c r="LH23" i="17"/>
  <c r="JT23" i="17"/>
  <c r="KL23" i="17"/>
  <c r="LI23" i="17"/>
  <c r="JU23" i="17"/>
  <c r="KR23" i="17"/>
  <c r="LJ23" i="17"/>
  <c r="JV23" i="17"/>
  <c r="KS23" i="17"/>
  <c r="LP23" i="17"/>
  <c r="KC23" i="17"/>
  <c r="KZ23" i="17"/>
  <c r="LR23" i="17"/>
  <c r="KB23" i="17"/>
  <c r="LQ23" i="17"/>
  <c r="KT23" i="17"/>
  <c r="HK23" i="17"/>
  <c r="HJ23" i="17"/>
  <c r="HE63" i="17"/>
  <c r="JW63" i="17"/>
  <c r="KE63" i="17"/>
  <c r="KM63" i="17"/>
  <c r="KU63" i="17"/>
  <c r="LC63" i="17"/>
  <c r="LK63" i="17"/>
  <c r="JX63" i="17"/>
  <c r="KF63" i="17"/>
  <c r="KN63" i="17"/>
  <c r="KV63" i="17"/>
  <c r="LD63" i="17"/>
  <c r="LL63" i="17"/>
  <c r="JY63" i="17"/>
  <c r="KG63" i="17"/>
  <c r="KO63" i="17"/>
  <c r="KW63" i="17"/>
  <c r="LE63" i="17"/>
  <c r="LM63" i="17"/>
  <c r="JZ63" i="17"/>
  <c r="KH63" i="17"/>
  <c r="KP63" i="17"/>
  <c r="KX63" i="17"/>
  <c r="LF63" i="17"/>
  <c r="LN63" i="17"/>
  <c r="JS63" i="17"/>
  <c r="KA63" i="17"/>
  <c r="KI63" i="17"/>
  <c r="KQ63" i="17"/>
  <c r="KY63" i="17"/>
  <c r="LG63" i="17"/>
  <c r="LO63" i="17"/>
  <c r="JT63" i="17"/>
  <c r="KB63" i="17"/>
  <c r="KJ63" i="17"/>
  <c r="KR63" i="17"/>
  <c r="KZ63" i="17"/>
  <c r="LH63" i="17"/>
  <c r="LP63" i="17"/>
  <c r="JV63" i="17"/>
  <c r="KD63" i="17"/>
  <c r="KL63" i="17"/>
  <c r="KT63" i="17"/>
  <c r="LB63" i="17"/>
  <c r="LJ63" i="17"/>
  <c r="LR63" i="17"/>
  <c r="JU63" i="17"/>
  <c r="KC63" i="17"/>
  <c r="KK63" i="17"/>
  <c r="KS63" i="17"/>
  <c r="LA63" i="17"/>
  <c r="LQ63" i="17"/>
  <c r="LI63" i="17"/>
  <c r="HK63" i="17"/>
  <c r="HJ63" i="17"/>
  <c r="HE75" i="17"/>
  <c r="JY75" i="17"/>
  <c r="KG75" i="17"/>
  <c r="KO75" i="17"/>
  <c r="KW75" i="17"/>
  <c r="LE75" i="17"/>
  <c r="LM75" i="17"/>
  <c r="JZ75" i="17"/>
  <c r="KH75" i="17"/>
  <c r="KP75" i="17"/>
  <c r="KX75" i="17"/>
  <c r="LF75" i="17"/>
  <c r="LN75" i="17"/>
  <c r="JS75" i="17"/>
  <c r="KA75" i="17"/>
  <c r="KI75" i="17"/>
  <c r="KQ75" i="17"/>
  <c r="KY75" i="17"/>
  <c r="LG75" i="17"/>
  <c r="LO75" i="17"/>
  <c r="JT75" i="17"/>
  <c r="KB75" i="17"/>
  <c r="KJ75" i="17"/>
  <c r="KR75" i="17"/>
  <c r="KZ75" i="17"/>
  <c r="LH75" i="17"/>
  <c r="LP75" i="17"/>
  <c r="JV75" i="17"/>
  <c r="KD75" i="17"/>
  <c r="KL75" i="17"/>
  <c r="KT75" i="17"/>
  <c r="LB75" i="17"/>
  <c r="LJ75" i="17"/>
  <c r="LR75" i="17"/>
  <c r="KE75" i="17"/>
  <c r="LA75" i="17"/>
  <c r="KF75" i="17"/>
  <c r="LC75" i="17"/>
  <c r="KK75" i="17"/>
  <c r="LD75" i="17"/>
  <c r="KM75" i="17"/>
  <c r="LI75" i="17"/>
  <c r="JU75" i="17"/>
  <c r="KN75" i="17"/>
  <c r="LK75" i="17"/>
  <c r="JW75" i="17"/>
  <c r="KS75" i="17"/>
  <c r="LL75" i="17"/>
  <c r="KC75" i="17"/>
  <c r="KV75" i="17"/>
  <c r="JX75" i="17"/>
  <c r="KU75" i="17"/>
  <c r="LQ75" i="17"/>
  <c r="HJ75" i="17"/>
  <c r="HK75" i="17"/>
  <c r="HE10" i="17"/>
  <c r="LT10" i="17"/>
  <c r="J10" i="17"/>
  <c r="JS10" i="17"/>
  <c r="KA10" i="17"/>
  <c r="KI10" i="17"/>
  <c r="KQ10" i="17"/>
  <c r="KY10" i="17"/>
  <c r="LG10" i="17"/>
  <c r="LO10" i="17"/>
  <c r="JT10" i="17"/>
  <c r="KB10" i="17"/>
  <c r="KJ10" i="17"/>
  <c r="KR10" i="17"/>
  <c r="KZ10" i="17"/>
  <c r="LH10" i="17"/>
  <c r="LP10" i="17"/>
  <c r="JU10" i="17"/>
  <c r="KC10" i="17"/>
  <c r="KK10" i="17"/>
  <c r="KS10" i="17"/>
  <c r="LA10" i="17"/>
  <c r="LI10" i="17"/>
  <c r="LQ10" i="17"/>
  <c r="JV10" i="17"/>
  <c r="KD10" i="17"/>
  <c r="KL10" i="17"/>
  <c r="KT10" i="17"/>
  <c r="LB10" i="17"/>
  <c r="LJ10" i="17"/>
  <c r="LR10" i="17"/>
  <c r="JW10" i="17"/>
  <c r="KE10" i="17"/>
  <c r="KM10" i="17"/>
  <c r="KU10" i="17"/>
  <c r="LC10" i="17"/>
  <c r="LK10" i="17"/>
  <c r="P10" i="17"/>
  <c r="JZ10" i="17"/>
  <c r="KH10" i="17"/>
  <c r="KP10" i="17"/>
  <c r="KX10" i="17"/>
  <c r="LF10" i="17"/>
  <c r="LN10" i="17"/>
  <c r="JY10" i="17"/>
  <c r="LE10" i="17"/>
  <c r="KF10" i="17"/>
  <c r="LL10" i="17"/>
  <c r="KG10" i="17"/>
  <c r="LM10" i="17"/>
  <c r="KN10" i="17"/>
  <c r="X10" i="17"/>
  <c r="KO10" i="17"/>
  <c r="KV10" i="17"/>
  <c r="JX10" i="17"/>
  <c r="LD10" i="17"/>
  <c r="KW10" i="17"/>
  <c r="HE115" i="17"/>
  <c r="JS115" i="17"/>
  <c r="KA115" i="17"/>
  <c r="KI115" i="17"/>
  <c r="KQ115" i="17"/>
  <c r="KY115" i="17"/>
  <c r="LG115" i="17"/>
  <c r="LO115" i="17"/>
  <c r="JT115" i="17"/>
  <c r="KB115" i="17"/>
  <c r="KJ115" i="17"/>
  <c r="KR115" i="17"/>
  <c r="KZ115" i="17"/>
  <c r="LH115" i="17"/>
  <c r="LP115" i="17"/>
  <c r="JU115" i="17"/>
  <c r="KC115" i="17"/>
  <c r="KK115" i="17"/>
  <c r="KS115" i="17"/>
  <c r="LA115" i="17"/>
  <c r="LI115" i="17"/>
  <c r="LQ115" i="17"/>
  <c r="JV115" i="17"/>
  <c r="KD115" i="17"/>
  <c r="KL115" i="17"/>
  <c r="KT115" i="17"/>
  <c r="LB115" i="17"/>
  <c r="LJ115" i="17"/>
  <c r="LR115" i="17"/>
  <c r="JW115" i="17"/>
  <c r="KE115" i="17"/>
  <c r="KM115" i="17"/>
  <c r="KU115" i="17"/>
  <c r="LC115" i="17"/>
  <c r="LK115" i="17"/>
  <c r="JX115" i="17"/>
  <c r="KP115" i="17"/>
  <c r="LM115" i="17"/>
  <c r="JY115" i="17"/>
  <c r="KV115" i="17"/>
  <c r="LN115" i="17"/>
  <c r="JZ115" i="17"/>
  <c r="KW115" i="17"/>
  <c r="KF115" i="17"/>
  <c r="KX115" i="17"/>
  <c r="KG115" i="17"/>
  <c r="LD115" i="17"/>
  <c r="KH115" i="17"/>
  <c r="LE115" i="17"/>
  <c r="KO115" i="17"/>
  <c r="LL115" i="17"/>
  <c r="KN115" i="17"/>
  <c r="LF115" i="17"/>
  <c r="HK115" i="17"/>
  <c r="HJ115" i="17"/>
  <c r="HF108" i="17"/>
  <c r="JS108" i="17"/>
  <c r="KA108" i="17"/>
  <c r="KI108" i="17"/>
  <c r="KQ108" i="17"/>
  <c r="KY108" i="17"/>
  <c r="LG108" i="17"/>
  <c r="LO108" i="17"/>
  <c r="JT108" i="17"/>
  <c r="KB108" i="17"/>
  <c r="KJ108" i="17"/>
  <c r="KR108" i="17"/>
  <c r="KZ108" i="17"/>
  <c r="LH108" i="17"/>
  <c r="LP108" i="17"/>
  <c r="JU108" i="17"/>
  <c r="KC108" i="17"/>
  <c r="KK108" i="17"/>
  <c r="KS108" i="17"/>
  <c r="LA108" i="17"/>
  <c r="LI108" i="17"/>
  <c r="LQ108" i="17"/>
  <c r="JV108" i="17"/>
  <c r="KD108" i="17"/>
  <c r="KL108" i="17"/>
  <c r="KT108" i="17"/>
  <c r="LB108" i="17"/>
  <c r="LJ108" i="17"/>
  <c r="LR108" i="17"/>
  <c r="JW108" i="17"/>
  <c r="KE108" i="17"/>
  <c r="KM108" i="17"/>
  <c r="KU108" i="17"/>
  <c r="LC108" i="17"/>
  <c r="LK108" i="17"/>
  <c r="JX108" i="17"/>
  <c r="KF108" i="17"/>
  <c r="KN108" i="17"/>
  <c r="KV108" i="17"/>
  <c r="LD108" i="17"/>
  <c r="LL108" i="17"/>
  <c r="JZ108" i="17"/>
  <c r="KH108" i="17"/>
  <c r="KP108" i="17"/>
  <c r="KX108" i="17"/>
  <c r="LF108" i="17"/>
  <c r="LN108" i="17"/>
  <c r="JY108" i="17"/>
  <c r="KG108" i="17"/>
  <c r="KO108" i="17"/>
  <c r="KW108" i="17"/>
  <c r="LE108" i="17"/>
  <c r="LM108" i="17"/>
  <c r="HK108" i="17"/>
  <c r="HJ108" i="17"/>
  <c r="HE96" i="17"/>
  <c r="JW96" i="17"/>
  <c r="KE96" i="17"/>
  <c r="KM96" i="17"/>
  <c r="KU96" i="17"/>
  <c r="LC96" i="17"/>
  <c r="LK96" i="17"/>
  <c r="JX96" i="17"/>
  <c r="KF96" i="17"/>
  <c r="KN96" i="17"/>
  <c r="KV96" i="17"/>
  <c r="LD96" i="17"/>
  <c r="LL96" i="17"/>
  <c r="JY96" i="17"/>
  <c r="KG96" i="17"/>
  <c r="KO96" i="17"/>
  <c r="KW96" i="17"/>
  <c r="LE96" i="17"/>
  <c r="LM96" i="17"/>
  <c r="JZ96" i="17"/>
  <c r="KH96" i="17"/>
  <c r="KP96" i="17"/>
  <c r="KX96" i="17"/>
  <c r="LF96" i="17"/>
  <c r="LN96" i="17"/>
  <c r="JS96" i="17"/>
  <c r="KA96" i="17"/>
  <c r="KI96" i="17"/>
  <c r="KQ96" i="17"/>
  <c r="KY96" i="17"/>
  <c r="LG96" i="17"/>
  <c r="LO96" i="17"/>
  <c r="JV96" i="17"/>
  <c r="KD96" i="17"/>
  <c r="KL96" i="17"/>
  <c r="JU96" i="17"/>
  <c r="KZ96" i="17"/>
  <c r="LR96" i="17"/>
  <c r="KB96" i="17"/>
  <c r="LA96" i="17"/>
  <c r="KC96" i="17"/>
  <c r="LB96" i="17"/>
  <c r="KJ96" i="17"/>
  <c r="LH96" i="17"/>
  <c r="KK96" i="17"/>
  <c r="LI96" i="17"/>
  <c r="KR96" i="17"/>
  <c r="LJ96" i="17"/>
  <c r="JT96" i="17"/>
  <c r="KT96" i="17"/>
  <c r="LQ96" i="17"/>
  <c r="KS96" i="17"/>
  <c r="LP96" i="17"/>
  <c r="HJ96" i="17"/>
  <c r="HK96" i="17"/>
  <c r="HE17" i="17"/>
  <c r="JS17" i="17"/>
  <c r="KA17" i="17"/>
  <c r="KI17" i="17"/>
  <c r="KQ17" i="17"/>
  <c r="KY17" i="17"/>
  <c r="LG17" i="17"/>
  <c r="LO17" i="17"/>
  <c r="JT17" i="17"/>
  <c r="KB17" i="17"/>
  <c r="KJ17" i="17"/>
  <c r="KR17" i="17"/>
  <c r="KZ17" i="17"/>
  <c r="LH17" i="17"/>
  <c r="LP17" i="17"/>
  <c r="JU17" i="17"/>
  <c r="KC17" i="17"/>
  <c r="KK17" i="17"/>
  <c r="KS17" i="17"/>
  <c r="LA17" i="17"/>
  <c r="LI17" i="17"/>
  <c r="LQ17" i="17"/>
  <c r="JV17" i="17"/>
  <c r="KD17" i="17"/>
  <c r="KL17" i="17"/>
  <c r="KT17" i="17"/>
  <c r="LB17" i="17"/>
  <c r="LJ17" i="17"/>
  <c r="LR17" i="17"/>
  <c r="JW17" i="17"/>
  <c r="KE17" i="17"/>
  <c r="KM17" i="17"/>
  <c r="KU17" i="17"/>
  <c r="LC17" i="17"/>
  <c r="LK17" i="17"/>
  <c r="JX17" i="17"/>
  <c r="KF17" i="17"/>
  <c r="KN17" i="17"/>
  <c r="KV17" i="17"/>
  <c r="LD17" i="17"/>
  <c r="LL17" i="17"/>
  <c r="JZ17" i="17"/>
  <c r="KH17" i="17"/>
  <c r="KP17" i="17"/>
  <c r="KX17" i="17"/>
  <c r="LF17" i="17"/>
  <c r="LN17" i="17"/>
  <c r="LE17" i="17"/>
  <c r="LM17" i="17"/>
  <c r="JY17" i="17"/>
  <c r="KG17" i="17"/>
  <c r="KW17" i="17"/>
  <c r="KO17" i="17"/>
  <c r="HK17" i="17"/>
  <c r="HJ17" i="17"/>
  <c r="HX51" i="17"/>
  <c r="IF51" i="17"/>
  <c r="IN51" i="17"/>
  <c r="IV51" i="17"/>
  <c r="JD51" i="17"/>
  <c r="HR51" i="17"/>
  <c r="HZ51" i="17"/>
  <c r="IH51" i="17"/>
  <c r="IP51" i="17"/>
  <c r="IX51" i="17"/>
  <c r="JF51" i="17"/>
  <c r="HU51" i="17"/>
  <c r="IC51" i="17"/>
  <c r="IK51" i="17"/>
  <c r="IS51" i="17"/>
  <c r="JA51" i="17"/>
  <c r="JI51" i="17"/>
  <c r="IA51" i="17"/>
  <c r="IM51" i="17"/>
  <c r="IZ51" i="17"/>
  <c r="ID51" i="17"/>
  <c r="IQ51" i="17"/>
  <c r="JC51" i="17"/>
  <c r="HS51" i="17"/>
  <c r="IE51" i="17"/>
  <c r="IR51" i="17"/>
  <c r="JE51" i="17"/>
  <c r="HT51" i="17"/>
  <c r="IG51" i="17"/>
  <c r="IT51" i="17"/>
  <c r="JG51" i="17"/>
  <c r="HW51" i="17"/>
  <c r="IJ51" i="17"/>
  <c r="IW51" i="17"/>
  <c r="JJ51" i="17"/>
  <c r="IU51" i="17"/>
  <c r="IY51" i="17"/>
  <c r="HY51" i="17"/>
  <c r="JH51" i="17"/>
  <c r="IB51" i="17"/>
  <c r="IL51" i="17"/>
  <c r="HV51" i="17"/>
  <c r="II51" i="17"/>
  <c r="JB51" i="17"/>
  <c r="IO51" i="17"/>
  <c r="HT30" i="17"/>
  <c r="IB30" i="17"/>
  <c r="IJ30" i="17"/>
  <c r="IR30" i="17"/>
  <c r="IZ30" i="17"/>
  <c r="JH30" i="17"/>
  <c r="HU30" i="17"/>
  <c r="IC30" i="17"/>
  <c r="IK30" i="17"/>
  <c r="IS30" i="17"/>
  <c r="JA30" i="17"/>
  <c r="JI30" i="17"/>
  <c r="HV30" i="17"/>
  <c r="ID30" i="17"/>
  <c r="IL30" i="17"/>
  <c r="IT30" i="17"/>
  <c r="JB30" i="17"/>
  <c r="JJ30" i="17"/>
  <c r="HW30" i="17"/>
  <c r="IE30" i="17"/>
  <c r="IM30" i="17"/>
  <c r="IU30" i="17"/>
  <c r="JC30" i="17"/>
  <c r="HX30" i="17"/>
  <c r="IF30" i="17"/>
  <c r="IN30" i="17"/>
  <c r="IV30" i="17"/>
  <c r="JD30" i="17"/>
  <c r="HR30" i="17"/>
  <c r="HZ30" i="17"/>
  <c r="IH30" i="17"/>
  <c r="IP30" i="17"/>
  <c r="IX30" i="17"/>
  <c r="JF30" i="17"/>
  <c r="IW30" i="17"/>
  <c r="II30" i="17"/>
  <c r="HS30" i="17"/>
  <c r="IY30" i="17"/>
  <c r="HY30" i="17"/>
  <c r="JE30" i="17"/>
  <c r="IA30" i="17"/>
  <c r="JG30" i="17"/>
  <c r="IG30" i="17"/>
  <c r="IO30" i="17"/>
  <c r="IQ30" i="17"/>
  <c r="HX37" i="17"/>
  <c r="IF37" i="17"/>
  <c r="IN37" i="17"/>
  <c r="IV37" i="17"/>
  <c r="JD37" i="17"/>
  <c r="HY37" i="17"/>
  <c r="IG37" i="17"/>
  <c r="IO37" i="17"/>
  <c r="IW37" i="17"/>
  <c r="JE37" i="17"/>
  <c r="HR37" i="17"/>
  <c r="HZ37" i="17"/>
  <c r="IH37" i="17"/>
  <c r="IP37" i="17"/>
  <c r="IX37" i="17"/>
  <c r="JF37" i="17"/>
  <c r="HS37" i="17"/>
  <c r="IA37" i="17"/>
  <c r="II37" i="17"/>
  <c r="IQ37" i="17"/>
  <c r="IY37" i="17"/>
  <c r="JG37" i="17"/>
  <c r="HT37" i="17"/>
  <c r="IB37" i="17"/>
  <c r="IJ37" i="17"/>
  <c r="IR37" i="17"/>
  <c r="IZ37" i="17"/>
  <c r="JH37" i="17"/>
  <c r="HV37" i="17"/>
  <c r="ID37" i="17"/>
  <c r="IL37" i="17"/>
  <c r="IT37" i="17"/>
  <c r="JB37" i="17"/>
  <c r="JJ37" i="17"/>
  <c r="IS37" i="17"/>
  <c r="IU37" i="17"/>
  <c r="HU37" i="17"/>
  <c r="JA37" i="17"/>
  <c r="HW37" i="17"/>
  <c r="JC37" i="17"/>
  <c r="IC37" i="17"/>
  <c r="JI37" i="17"/>
  <c r="IE37" i="17"/>
  <c r="IK37" i="17"/>
  <c r="IM37" i="17"/>
  <c r="HT44" i="17"/>
  <c r="IB44" i="17"/>
  <c r="IJ44" i="17"/>
  <c r="IR44" i="17"/>
  <c r="IZ44" i="17"/>
  <c r="JH44" i="17"/>
  <c r="HU44" i="17"/>
  <c r="IC44" i="17"/>
  <c r="IK44" i="17"/>
  <c r="IS44" i="17"/>
  <c r="JA44" i="17"/>
  <c r="JI44" i="17"/>
  <c r="HV44" i="17"/>
  <c r="ID44" i="17"/>
  <c r="IL44" i="17"/>
  <c r="IT44" i="17"/>
  <c r="JB44" i="17"/>
  <c r="JJ44" i="17"/>
  <c r="HW44" i="17"/>
  <c r="IE44" i="17"/>
  <c r="IM44" i="17"/>
  <c r="IU44" i="17"/>
  <c r="JC44" i="17"/>
  <c r="HX44" i="17"/>
  <c r="IF44" i="17"/>
  <c r="IN44" i="17"/>
  <c r="IV44" i="17"/>
  <c r="JD44" i="17"/>
  <c r="HR44" i="17"/>
  <c r="HZ44" i="17"/>
  <c r="IH44" i="17"/>
  <c r="IP44" i="17"/>
  <c r="IX44" i="17"/>
  <c r="JF44" i="17"/>
  <c r="IO44" i="17"/>
  <c r="IQ44" i="17"/>
  <c r="IW44" i="17"/>
  <c r="IA44" i="17"/>
  <c r="HS44" i="17"/>
  <c r="IY44" i="17"/>
  <c r="HY44" i="17"/>
  <c r="JE44" i="17"/>
  <c r="JG44" i="17"/>
  <c r="IG44" i="17"/>
  <c r="II44" i="17"/>
  <c r="HR115" i="17"/>
  <c r="HZ115" i="17"/>
  <c r="IH115" i="17"/>
  <c r="IP115" i="17"/>
  <c r="IX115" i="17"/>
  <c r="HX115" i="17"/>
  <c r="IF115" i="17"/>
  <c r="IN115" i="17"/>
  <c r="IV115" i="17"/>
  <c r="JD115" i="17"/>
  <c r="HY115" i="17"/>
  <c r="IJ115" i="17"/>
  <c r="IT115" i="17"/>
  <c r="JE115" i="17"/>
  <c r="IB115" i="17"/>
  <c r="IL115" i="17"/>
  <c r="IW115" i="17"/>
  <c r="JG115" i="17"/>
  <c r="HU115" i="17"/>
  <c r="IE115" i="17"/>
  <c r="IQ115" i="17"/>
  <c r="JA115" i="17"/>
  <c r="JJ115" i="17"/>
  <c r="HV115" i="17"/>
  <c r="IM115" i="17"/>
  <c r="JC115" i="17"/>
  <c r="IA115" i="17"/>
  <c r="IR115" i="17"/>
  <c r="JH115" i="17"/>
  <c r="IC115" i="17"/>
  <c r="IS115" i="17"/>
  <c r="JI115" i="17"/>
  <c r="ID115" i="17"/>
  <c r="IU115" i="17"/>
  <c r="IG115" i="17"/>
  <c r="IY115" i="17"/>
  <c r="HS115" i="17"/>
  <c r="II115" i="17"/>
  <c r="IZ115" i="17"/>
  <c r="HW115" i="17"/>
  <c r="IK115" i="17"/>
  <c r="JB115" i="17"/>
  <c r="HT115" i="17"/>
  <c r="JF115" i="17"/>
  <c r="IO115" i="17"/>
  <c r="HV102" i="17"/>
  <c r="HR102" i="17"/>
  <c r="HZ102" i="17"/>
  <c r="IB102" i="17"/>
  <c r="IJ102" i="17"/>
  <c r="IR102" i="17"/>
  <c r="IZ102" i="17"/>
  <c r="JH102" i="17"/>
  <c r="HS102" i="17"/>
  <c r="IC102" i="17"/>
  <c r="IK102" i="17"/>
  <c r="IS102" i="17"/>
  <c r="JA102" i="17"/>
  <c r="JI102" i="17"/>
  <c r="HX102" i="17"/>
  <c r="IG102" i="17"/>
  <c r="IO102" i="17"/>
  <c r="IW102" i="17"/>
  <c r="JE102" i="17"/>
  <c r="HY102" i="17"/>
  <c r="IH102" i="17"/>
  <c r="IP102" i="17"/>
  <c r="IX102" i="17"/>
  <c r="JF102" i="17"/>
  <c r="II102" i="17"/>
  <c r="IY102" i="17"/>
  <c r="HU102" i="17"/>
  <c r="IM102" i="17"/>
  <c r="JC102" i="17"/>
  <c r="HW102" i="17"/>
  <c r="IN102" i="17"/>
  <c r="JD102" i="17"/>
  <c r="ID102" i="17"/>
  <c r="IT102" i="17"/>
  <c r="JJ102" i="17"/>
  <c r="IL102" i="17"/>
  <c r="IU102" i="17"/>
  <c r="IV102" i="17"/>
  <c r="HT102" i="17"/>
  <c r="JB102" i="17"/>
  <c r="IA102" i="17"/>
  <c r="JG102" i="17"/>
  <c r="IE102" i="17"/>
  <c r="IF102" i="17"/>
  <c r="IQ102" i="17"/>
  <c r="HT75" i="17"/>
  <c r="IB75" i="17"/>
  <c r="IJ75" i="17"/>
  <c r="IR75" i="17"/>
  <c r="IZ75" i="17"/>
  <c r="HU75" i="17"/>
  <c r="IC75" i="17"/>
  <c r="IK75" i="17"/>
  <c r="IS75" i="17"/>
  <c r="HV75" i="17"/>
  <c r="ID75" i="17"/>
  <c r="IL75" i="17"/>
  <c r="IT75" i="17"/>
  <c r="HY75" i="17"/>
  <c r="IG75" i="17"/>
  <c r="IO75" i="17"/>
  <c r="IW75" i="17"/>
  <c r="HW75" i="17"/>
  <c r="IM75" i="17"/>
  <c r="JA75" i="17"/>
  <c r="JI75" i="17"/>
  <c r="JF75" i="17"/>
  <c r="HX75" i="17"/>
  <c r="IN75" i="17"/>
  <c r="JB75" i="17"/>
  <c r="JJ75" i="17"/>
  <c r="HZ75" i="17"/>
  <c r="IP75" i="17"/>
  <c r="JC75" i="17"/>
  <c r="IA75" i="17"/>
  <c r="IQ75" i="17"/>
  <c r="JD75" i="17"/>
  <c r="IF75" i="17"/>
  <c r="IE75" i="17"/>
  <c r="IU75" i="17"/>
  <c r="JE75" i="17"/>
  <c r="IV75" i="17"/>
  <c r="HR75" i="17"/>
  <c r="IH75" i="17"/>
  <c r="IX75" i="17"/>
  <c r="JG75" i="17"/>
  <c r="IY75" i="17"/>
  <c r="JH75" i="17"/>
  <c r="II75" i="17"/>
  <c r="HS75" i="17"/>
  <c r="HV57" i="17"/>
  <c r="ID57" i="17"/>
  <c r="IL57" i="17"/>
  <c r="IT57" i="17"/>
  <c r="JB57" i="17"/>
  <c r="JJ57" i="17"/>
  <c r="HX57" i="17"/>
  <c r="IF57" i="17"/>
  <c r="IN57" i="17"/>
  <c r="IV57" i="17"/>
  <c r="JD57" i="17"/>
  <c r="HY57" i="17"/>
  <c r="II57" i="17"/>
  <c r="IS57" i="17"/>
  <c r="JE57" i="17"/>
  <c r="HZ57" i="17"/>
  <c r="IJ57" i="17"/>
  <c r="IU57" i="17"/>
  <c r="JF57" i="17"/>
  <c r="HR57" i="17"/>
  <c r="IB57" i="17"/>
  <c r="IM57" i="17"/>
  <c r="IX57" i="17"/>
  <c r="JH57" i="17"/>
  <c r="HS57" i="17"/>
  <c r="IC57" i="17"/>
  <c r="IO57" i="17"/>
  <c r="IY57" i="17"/>
  <c r="JI57" i="17"/>
  <c r="HU57" i="17"/>
  <c r="IG57" i="17"/>
  <c r="IQ57" i="17"/>
  <c r="JA57" i="17"/>
  <c r="HT57" i="17"/>
  <c r="IW57" i="17"/>
  <c r="HW57" i="17"/>
  <c r="IZ57" i="17"/>
  <c r="IA57" i="17"/>
  <c r="JC57" i="17"/>
  <c r="IE57" i="17"/>
  <c r="JG57" i="17"/>
  <c r="IH57" i="17"/>
  <c r="IP57" i="17"/>
  <c r="IK57" i="17"/>
  <c r="IR57" i="17"/>
  <c r="HX69" i="17"/>
  <c r="IF69" i="17"/>
  <c r="IN69" i="17"/>
  <c r="IV69" i="17"/>
  <c r="JD69" i="17"/>
  <c r="IC69" i="17"/>
  <c r="IS69" i="17"/>
  <c r="HY69" i="17"/>
  <c r="IG69" i="17"/>
  <c r="IO69" i="17"/>
  <c r="IW69" i="17"/>
  <c r="JE69" i="17"/>
  <c r="HU69" i="17"/>
  <c r="HR69" i="17"/>
  <c r="HZ69" i="17"/>
  <c r="IH69" i="17"/>
  <c r="IP69" i="17"/>
  <c r="IX69" i="17"/>
  <c r="JF69" i="17"/>
  <c r="JA69" i="17"/>
  <c r="HS69" i="17"/>
  <c r="IA69" i="17"/>
  <c r="II69" i="17"/>
  <c r="IQ69" i="17"/>
  <c r="IY69" i="17"/>
  <c r="JG69" i="17"/>
  <c r="IK69" i="17"/>
  <c r="HT69" i="17"/>
  <c r="IB69" i="17"/>
  <c r="IJ69" i="17"/>
  <c r="IR69" i="17"/>
  <c r="IZ69" i="17"/>
  <c r="JH69" i="17"/>
  <c r="JI69" i="17"/>
  <c r="HV69" i="17"/>
  <c r="ID69" i="17"/>
  <c r="IL69" i="17"/>
  <c r="IT69" i="17"/>
  <c r="JB69" i="17"/>
  <c r="JJ69" i="17"/>
  <c r="IM69" i="17"/>
  <c r="IU69" i="17"/>
  <c r="IE69" i="17"/>
  <c r="JC69" i="17"/>
  <c r="HW69" i="17"/>
  <c r="HV90" i="17"/>
  <c r="ID90" i="17"/>
  <c r="IL90" i="17"/>
  <c r="IT90" i="17"/>
  <c r="JB90" i="17"/>
  <c r="JJ90" i="17"/>
  <c r="HW90" i="17"/>
  <c r="IE90" i="17"/>
  <c r="IM90" i="17"/>
  <c r="IU90" i="17"/>
  <c r="JC90" i="17"/>
  <c r="HX90" i="17"/>
  <c r="IF90" i="17"/>
  <c r="IN90" i="17"/>
  <c r="IV90" i="17"/>
  <c r="JD90" i="17"/>
  <c r="HY90" i="17"/>
  <c r="IG90" i="17"/>
  <c r="IO90" i="17"/>
  <c r="IW90" i="17"/>
  <c r="JE90" i="17"/>
  <c r="HR90" i="17"/>
  <c r="HZ90" i="17"/>
  <c r="IH90" i="17"/>
  <c r="IP90" i="17"/>
  <c r="IX90" i="17"/>
  <c r="JF90" i="17"/>
  <c r="HT90" i="17"/>
  <c r="IB90" i="17"/>
  <c r="IJ90" i="17"/>
  <c r="IR90" i="17"/>
  <c r="IZ90" i="17"/>
  <c r="JH90" i="17"/>
  <c r="IK90" i="17"/>
  <c r="JA90" i="17"/>
  <c r="IQ90" i="17"/>
  <c r="HU90" i="17"/>
  <c r="JG90" i="17"/>
  <c r="II90" i="17"/>
  <c r="IS90" i="17"/>
  <c r="IA90" i="17"/>
  <c r="HS90" i="17"/>
  <c r="IY90" i="17"/>
  <c r="IC90" i="17"/>
  <c r="JI90" i="17"/>
  <c r="HS23" i="17"/>
  <c r="IA23" i="17"/>
  <c r="II23" i="17"/>
  <c r="IQ23" i="17"/>
  <c r="IY23" i="17"/>
  <c r="JG23" i="17"/>
  <c r="HT23" i="17"/>
  <c r="IB23" i="17"/>
  <c r="IJ23" i="17"/>
  <c r="IR23" i="17"/>
  <c r="IZ23" i="17"/>
  <c r="JH23" i="17"/>
  <c r="HY23" i="17"/>
  <c r="IG23" i="17"/>
  <c r="IO23" i="17"/>
  <c r="IW23" i="17"/>
  <c r="JE23" i="17"/>
  <c r="HW23" i="17"/>
  <c r="IK23" i="17"/>
  <c r="IV23" i="17"/>
  <c r="JJ23" i="17"/>
  <c r="HZ23" i="17"/>
  <c r="IM23" i="17"/>
  <c r="JA23" i="17"/>
  <c r="IC23" i="17"/>
  <c r="IN23" i="17"/>
  <c r="JB23" i="17"/>
  <c r="HR23" i="17"/>
  <c r="IE23" i="17"/>
  <c r="IS23" i="17"/>
  <c r="JD23" i="17"/>
  <c r="IL23" i="17"/>
  <c r="HU23" i="17"/>
  <c r="IT23" i="17"/>
  <c r="HV23" i="17"/>
  <c r="IU23" i="17"/>
  <c r="HX23" i="17"/>
  <c r="IX23" i="17"/>
  <c r="ID23" i="17"/>
  <c r="JC23" i="17"/>
  <c r="IF23" i="17"/>
  <c r="JF23" i="17"/>
  <c r="JI23" i="17"/>
  <c r="IH23" i="17"/>
  <c r="IP23" i="17"/>
  <c r="HV63" i="17"/>
  <c r="ID63" i="17"/>
  <c r="IL63" i="17"/>
  <c r="IT63" i="17"/>
  <c r="JB63" i="17"/>
  <c r="JJ63" i="17"/>
  <c r="HW63" i="17"/>
  <c r="IE63" i="17"/>
  <c r="IM63" i="17"/>
  <c r="IU63" i="17"/>
  <c r="JC63" i="17"/>
  <c r="HY63" i="17"/>
  <c r="IG63" i="17"/>
  <c r="IO63" i="17"/>
  <c r="IW63" i="17"/>
  <c r="JE63" i="17"/>
  <c r="HR63" i="17"/>
  <c r="HZ63" i="17"/>
  <c r="IH63" i="17"/>
  <c r="IP63" i="17"/>
  <c r="IX63" i="17"/>
  <c r="JF63" i="17"/>
  <c r="HT63" i="17"/>
  <c r="IB63" i="17"/>
  <c r="IJ63" i="17"/>
  <c r="IR63" i="17"/>
  <c r="IZ63" i="17"/>
  <c r="JH63" i="17"/>
  <c r="II63" i="17"/>
  <c r="JD63" i="17"/>
  <c r="IK63" i="17"/>
  <c r="JG63" i="17"/>
  <c r="HS63" i="17"/>
  <c r="IN63" i="17"/>
  <c r="JI63" i="17"/>
  <c r="HU63" i="17"/>
  <c r="IQ63" i="17"/>
  <c r="HX63" i="17"/>
  <c r="IS63" i="17"/>
  <c r="IC63" i="17"/>
  <c r="IY63" i="17"/>
  <c r="IV63" i="17"/>
  <c r="JA63" i="17"/>
  <c r="IA63" i="17"/>
  <c r="IF63" i="17"/>
  <c r="HU108" i="17"/>
  <c r="IC108" i="17"/>
  <c r="IK108" i="17"/>
  <c r="IS108" i="17"/>
  <c r="JA108" i="17"/>
  <c r="JI108" i="17"/>
  <c r="HV108" i="17"/>
  <c r="ID108" i="17"/>
  <c r="IL108" i="17"/>
  <c r="IT108" i="17"/>
  <c r="JB108" i="17"/>
  <c r="JJ108" i="17"/>
  <c r="HX108" i="17"/>
  <c r="IF108" i="17"/>
  <c r="IN108" i="17"/>
  <c r="IV108" i="17"/>
  <c r="JD108" i="17"/>
  <c r="HY108" i="17"/>
  <c r="IG108" i="17"/>
  <c r="IO108" i="17"/>
  <c r="IW108" i="17"/>
  <c r="JE108" i="17"/>
  <c r="HS108" i="17"/>
  <c r="IA108" i="17"/>
  <c r="II108" i="17"/>
  <c r="IQ108" i="17"/>
  <c r="IY108" i="17"/>
  <c r="JG108" i="17"/>
  <c r="HW108" i="17"/>
  <c r="IR108" i="17"/>
  <c r="HZ108" i="17"/>
  <c r="IU108" i="17"/>
  <c r="IB108" i="17"/>
  <c r="IX108" i="17"/>
  <c r="IE108" i="17"/>
  <c r="IZ108" i="17"/>
  <c r="IH108" i="17"/>
  <c r="JC108" i="17"/>
  <c r="HR108" i="17"/>
  <c r="IM108" i="17"/>
  <c r="JH108" i="17"/>
  <c r="HT108" i="17"/>
  <c r="IP108" i="17"/>
  <c r="IJ108" i="17"/>
  <c r="JF108" i="17"/>
  <c r="HU96" i="17"/>
  <c r="IC96" i="17"/>
  <c r="IK96" i="17"/>
  <c r="IS96" i="17"/>
  <c r="JA96" i="17"/>
  <c r="JI96" i="17"/>
  <c r="HW96" i="17"/>
  <c r="IE96" i="17"/>
  <c r="IM96" i="17"/>
  <c r="IU96" i="17"/>
  <c r="JC96" i="17"/>
  <c r="HR96" i="17"/>
  <c r="HZ96" i="17"/>
  <c r="IH96" i="17"/>
  <c r="IP96" i="17"/>
  <c r="IX96" i="17"/>
  <c r="JF96" i="17"/>
  <c r="HS96" i="17"/>
  <c r="IA96" i="17"/>
  <c r="II96" i="17"/>
  <c r="IQ96" i="17"/>
  <c r="IY96" i="17"/>
  <c r="JG96" i="17"/>
  <c r="IG96" i="17"/>
  <c r="IW96" i="17"/>
  <c r="HT96" i="17"/>
  <c r="IJ96" i="17"/>
  <c r="IZ96" i="17"/>
  <c r="IB96" i="17"/>
  <c r="IR96" i="17"/>
  <c r="JH96" i="17"/>
  <c r="ID96" i="17"/>
  <c r="IT96" i="17"/>
  <c r="JJ96" i="17"/>
  <c r="IF96" i="17"/>
  <c r="IN96" i="17"/>
  <c r="IO96" i="17"/>
  <c r="HV96" i="17"/>
  <c r="JB96" i="17"/>
  <c r="IL96" i="17"/>
  <c r="JD96" i="17"/>
  <c r="JE96" i="17"/>
  <c r="HX96" i="17"/>
  <c r="HY96" i="17"/>
  <c r="IV96" i="17"/>
  <c r="HX17" i="17"/>
  <c r="IF17" i="17"/>
  <c r="IN17" i="17"/>
  <c r="IV17" i="17"/>
  <c r="JD17" i="17"/>
  <c r="HY17" i="17"/>
  <c r="IG17" i="17"/>
  <c r="IO17" i="17"/>
  <c r="IW17" i="17"/>
  <c r="JE17" i="17"/>
  <c r="HR17" i="17"/>
  <c r="HZ17" i="17"/>
  <c r="IH17" i="17"/>
  <c r="IP17" i="17"/>
  <c r="IX17" i="17"/>
  <c r="JF17" i="17"/>
  <c r="HS17" i="17"/>
  <c r="IA17" i="17"/>
  <c r="II17" i="17"/>
  <c r="IQ17" i="17"/>
  <c r="IY17" i="17"/>
  <c r="JG17" i="17"/>
  <c r="HT17" i="17"/>
  <c r="IB17" i="17"/>
  <c r="IJ17" i="17"/>
  <c r="IR17" i="17"/>
  <c r="IZ17" i="17"/>
  <c r="JH17" i="17"/>
  <c r="HV17" i="17"/>
  <c r="ID17" i="17"/>
  <c r="IL17" i="17"/>
  <c r="IT17" i="17"/>
  <c r="JB17" i="17"/>
  <c r="JJ17" i="17"/>
  <c r="IK17" i="17"/>
  <c r="HW17" i="17"/>
  <c r="IM17" i="17"/>
  <c r="IS17" i="17"/>
  <c r="IU17" i="17"/>
  <c r="HU17" i="17"/>
  <c r="JA17" i="17"/>
  <c r="JC17" i="17"/>
  <c r="IC17" i="17"/>
  <c r="JI17" i="17"/>
  <c r="IE17" i="17"/>
  <c r="AC10" i="17"/>
  <c r="MV10" i="17"/>
  <c r="ND10" i="17"/>
  <c r="NL10" i="17"/>
  <c r="NT10" i="17"/>
  <c r="NX10" i="17"/>
  <c r="NB10" i="17"/>
  <c r="NR10" i="17"/>
  <c r="NK10" i="17"/>
  <c r="MW10" i="17"/>
  <c r="NE10" i="17"/>
  <c r="NM10" i="17"/>
  <c r="NU10" i="17"/>
  <c r="MZ10" i="17"/>
  <c r="NH10" i="17"/>
  <c r="MX10" i="17"/>
  <c r="NF10" i="17"/>
  <c r="NN10" i="17"/>
  <c r="NV10" i="17"/>
  <c r="MR10" i="17"/>
  <c r="NP10" i="17"/>
  <c r="MT10" i="17"/>
  <c r="GZ10" i="17"/>
  <c r="NC10" i="17"/>
  <c r="MY10" i="17"/>
  <c r="NG10" i="17"/>
  <c r="NO10" i="17"/>
  <c r="NW10" i="17"/>
  <c r="MU10" i="17"/>
  <c r="MS10" i="17"/>
  <c r="NA10" i="17"/>
  <c r="NI10" i="17"/>
  <c r="NQ10" i="17"/>
  <c r="NY10" i="17"/>
  <c r="NJ10" i="17"/>
  <c r="NS10" i="17"/>
  <c r="AC90" i="17"/>
  <c r="HL90" i="17"/>
  <c r="HQ90" i="17"/>
  <c r="HP90" i="17"/>
  <c r="HO90" i="17"/>
  <c r="HN90" i="17"/>
  <c r="HM90" i="17"/>
  <c r="MQ90" i="17"/>
  <c r="MY90" i="17"/>
  <c r="NG90" i="17"/>
  <c r="NO90" i="17"/>
  <c r="NW90" i="17"/>
  <c r="BA90" i="17"/>
  <c r="BI90" i="17"/>
  <c r="BQ90" i="17"/>
  <c r="BY90" i="17"/>
  <c r="CG90" i="17"/>
  <c r="MT90" i="17"/>
  <c r="NB90" i="17"/>
  <c r="NJ90" i="17"/>
  <c r="NR90" i="17"/>
  <c r="BD90" i="17"/>
  <c r="BL90" i="17"/>
  <c r="BT90" i="17"/>
  <c r="CB90" i="17"/>
  <c r="CJ90" i="17"/>
  <c r="P90" i="17"/>
  <c r="MW90" i="17"/>
  <c r="NH90" i="17"/>
  <c r="NS90" i="17"/>
  <c r="BF90" i="17"/>
  <c r="BP90" i="17"/>
  <c r="CA90" i="17"/>
  <c r="CL90" i="17"/>
  <c r="MX90" i="17"/>
  <c r="NI90" i="17"/>
  <c r="NT90" i="17"/>
  <c r="BG90" i="17"/>
  <c r="BR90" i="17"/>
  <c r="CC90" i="17"/>
  <c r="CM90" i="17"/>
  <c r="MS90" i="17"/>
  <c r="BB90" i="17"/>
  <c r="NE90" i="17"/>
  <c r="CI90" i="17"/>
  <c r="MO90" i="17"/>
  <c r="MZ90" i="17"/>
  <c r="NK90" i="17"/>
  <c r="NU90" i="17"/>
  <c r="BH90" i="17"/>
  <c r="BS90" i="17"/>
  <c r="CD90" i="17"/>
  <c r="FZ90" i="17"/>
  <c r="MP90" i="17"/>
  <c r="NA90" i="17"/>
  <c r="NL90" i="17"/>
  <c r="NV90" i="17"/>
  <c r="BJ90" i="17"/>
  <c r="BU90" i="17"/>
  <c r="CE90" i="17"/>
  <c r="NN90" i="17"/>
  <c r="BW90" i="17"/>
  <c r="BC90" i="17"/>
  <c r="MR90" i="17"/>
  <c r="NC90" i="17"/>
  <c r="NM90" i="17"/>
  <c r="NX90" i="17"/>
  <c r="AZ90" i="17"/>
  <c r="BK90" i="17"/>
  <c r="BV90" i="17"/>
  <c r="CF90" i="17"/>
  <c r="NY90" i="17"/>
  <c r="CH90" i="17"/>
  <c r="NP90" i="17"/>
  <c r="ND90" i="17"/>
  <c r="BM90" i="17"/>
  <c r="MU90" i="17"/>
  <c r="BN90" i="17"/>
  <c r="MV90" i="17"/>
  <c r="NF90" i="17"/>
  <c r="NQ90" i="17"/>
  <c r="BE90" i="17"/>
  <c r="BO90" i="17"/>
  <c r="BZ90" i="17"/>
  <c r="CK90" i="17"/>
  <c r="GZ90" i="17"/>
  <c r="BX90" i="17"/>
  <c r="AC96" i="17"/>
  <c r="HL96" i="17"/>
  <c r="MR96" i="17"/>
  <c r="MZ96" i="17"/>
  <c r="NH96" i="17"/>
  <c r="NP96" i="17"/>
  <c r="NX96" i="17"/>
  <c r="MS96" i="17"/>
  <c r="NA96" i="17"/>
  <c r="NI96" i="17"/>
  <c r="NQ96" i="17"/>
  <c r="NY96" i="17"/>
  <c r="MT96" i="17"/>
  <c r="NB96" i="17"/>
  <c r="NJ96" i="17"/>
  <c r="NR96" i="17"/>
  <c r="HQ96" i="17"/>
  <c r="MU96" i="17"/>
  <c r="NC96" i="17"/>
  <c r="NK96" i="17"/>
  <c r="NS96" i="17"/>
  <c r="HO96" i="17"/>
  <c r="MO96" i="17"/>
  <c r="MW96" i="17"/>
  <c r="NE96" i="17"/>
  <c r="NM96" i="17"/>
  <c r="NU96" i="17"/>
  <c r="HM96" i="17"/>
  <c r="MQ96" i="17"/>
  <c r="NN96" i="17"/>
  <c r="MV96" i="17"/>
  <c r="NO96" i="17"/>
  <c r="BA96" i="17"/>
  <c r="BI96" i="17"/>
  <c r="BQ96" i="17"/>
  <c r="BY96" i="17"/>
  <c r="CG96" i="17"/>
  <c r="MY96" i="17"/>
  <c r="NV96" i="17"/>
  <c r="ND96" i="17"/>
  <c r="NW96" i="17"/>
  <c r="BD96" i="17"/>
  <c r="BL96" i="17"/>
  <c r="BT96" i="17"/>
  <c r="CB96" i="17"/>
  <c r="CJ96" i="17"/>
  <c r="HN96" i="17"/>
  <c r="MP96" i="17"/>
  <c r="NL96" i="17"/>
  <c r="HP96" i="17"/>
  <c r="BH96" i="17"/>
  <c r="BS96" i="17"/>
  <c r="CD96" i="17"/>
  <c r="FZ96" i="17"/>
  <c r="BE96" i="17"/>
  <c r="BP96" i="17"/>
  <c r="P96" i="17"/>
  <c r="BJ96" i="17"/>
  <c r="BU96" i="17"/>
  <c r="CE96" i="17"/>
  <c r="CK96" i="17"/>
  <c r="CL96" i="17"/>
  <c r="MX96" i="17"/>
  <c r="AZ96" i="17"/>
  <c r="BK96" i="17"/>
  <c r="BV96" i="17"/>
  <c r="CF96" i="17"/>
  <c r="NF96" i="17"/>
  <c r="BB96" i="17"/>
  <c r="BM96" i="17"/>
  <c r="BW96" i="17"/>
  <c r="CH96" i="17"/>
  <c r="BZ96" i="17"/>
  <c r="NG96" i="17"/>
  <c r="BC96" i="17"/>
  <c r="BN96" i="17"/>
  <c r="BX96" i="17"/>
  <c r="CI96" i="17"/>
  <c r="BO96" i="17"/>
  <c r="CA96" i="17"/>
  <c r="NT96" i="17"/>
  <c r="GZ96" i="17"/>
  <c r="BF96" i="17"/>
  <c r="BG96" i="17"/>
  <c r="BR96" i="17"/>
  <c r="CC96" i="17"/>
  <c r="CM96" i="17"/>
  <c r="AC108" i="17"/>
  <c r="HN108" i="17"/>
  <c r="HM108" i="17"/>
  <c r="HL108" i="17"/>
  <c r="MS108" i="17"/>
  <c r="NA108" i="17"/>
  <c r="NI108" i="17"/>
  <c r="NQ108" i="17"/>
  <c r="NY108" i="17"/>
  <c r="HQ108" i="17"/>
  <c r="P108" i="17"/>
  <c r="MT108" i="17"/>
  <c r="NB108" i="17"/>
  <c r="NJ108" i="17"/>
  <c r="NR108" i="17"/>
  <c r="HP108" i="17"/>
  <c r="HO108" i="17"/>
  <c r="MV108" i="17"/>
  <c r="ND108" i="17"/>
  <c r="NL108" i="17"/>
  <c r="NT108" i="17"/>
  <c r="MP108" i="17"/>
  <c r="MX108" i="17"/>
  <c r="NF108" i="17"/>
  <c r="NN108" i="17"/>
  <c r="NV108" i="17"/>
  <c r="MW108" i="17"/>
  <c r="NM108" i="17"/>
  <c r="MY108" i="17"/>
  <c r="NO108" i="17"/>
  <c r="BA108" i="17"/>
  <c r="BI108" i="17"/>
  <c r="BQ108" i="17"/>
  <c r="BY108" i="17"/>
  <c r="CG108" i="17"/>
  <c r="MO108" i="17"/>
  <c r="NE108" i="17"/>
  <c r="NU108" i="17"/>
  <c r="BD108" i="17"/>
  <c r="BL108" i="17"/>
  <c r="BT108" i="17"/>
  <c r="CB108" i="17"/>
  <c r="CJ108" i="17"/>
  <c r="MU108" i="17"/>
  <c r="NW108" i="17"/>
  <c r="BF108" i="17"/>
  <c r="BP108" i="17"/>
  <c r="CA108" i="17"/>
  <c r="CL108" i="17"/>
  <c r="NP108" i="17"/>
  <c r="BN108" i="17"/>
  <c r="MZ108" i="17"/>
  <c r="NX108" i="17"/>
  <c r="BG108" i="17"/>
  <c r="BR108" i="17"/>
  <c r="CC108" i="17"/>
  <c r="CM108" i="17"/>
  <c r="BW108" i="17"/>
  <c r="NC108" i="17"/>
  <c r="BH108" i="17"/>
  <c r="BS108" i="17"/>
  <c r="CD108" i="17"/>
  <c r="NG108" i="17"/>
  <c r="BJ108" i="17"/>
  <c r="BU108" i="17"/>
  <c r="CE108" i="17"/>
  <c r="BB108" i="17"/>
  <c r="CI108" i="17"/>
  <c r="NH108" i="17"/>
  <c r="AZ108" i="17"/>
  <c r="BK108" i="17"/>
  <c r="BV108" i="17"/>
  <c r="CF108" i="17"/>
  <c r="GZ108" i="17"/>
  <c r="NK108" i="17"/>
  <c r="BM108" i="17"/>
  <c r="CH108" i="17"/>
  <c r="BX108" i="17"/>
  <c r="MR108" i="17"/>
  <c r="NS108" i="17"/>
  <c r="BE108" i="17"/>
  <c r="BO108" i="17"/>
  <c r="BZ108" i="17"/>
  <c r="CK108" i="17"/>
  <c r="FZ108" i="17"/>
  <c r="MQ108" i="17"/>
  <c r="BC108" i="17"/>
  <c r="AF35" i="17"/>
  <c r="HO17" i="17"/>
  <c r="HQ17" i="17"/>
  <c r="HP17" i="17"/>
  <c r="HN17" i="17"/>
  <c r="HM17" i="17"/>
  <c r="MP17" i="17"/>
  <c r="MX17" i="17"/>
  <c r="HL17" i="17"/>
  <c r="MS17" i="17"/>
  <c r="MU17" i="17"/>
  <c r="NC17" i="17"/>
  <c r="NK17" i="17"/>
  <c r="NS17" i="17"/>
  <c r="MZ17" i="17"/>
  <c r="NI17" i="17"/>
  <c r="NR17" i="17"/>
  <c r="CG17" i="17"/>
  <c r="MR17" i="17"/>
  <c r="ND17" i="17"/>
  <c r="NM17" i="17"/>
  <c r="NV17" i="17"/>
  <c r="CJ17" i="17"/>
  <c r="MQ17" i="17"/>
  <c r="NF17" i="17"/>
  <c r="NQ17" i="17"/>
  <c r="CL17" i="17"/>
  <c r="NN17" i="17"/>
  <c r="CH17" i="17"/>
  <c r="CI17" i="17"/>
  <c r="MT17" i="17"/>
  <c r="NG17" i="17"/>
  <c r="NT17" i="17"/>
  <c r="CC17" i="17"/>
  <c r="CM17" i="17"/>
  <c r="NA17" i="17"/>
  <c r="NB17" i="17"/>
  <c r="MV17" i="17"/>
  <c r="NH17" i="17"/>
  <c r="NU17" i="17"/>
  <c r="CD17" i="17"/>
  <c r="MW17" i="17"/>
  <c r="NJ17" i="17"/>
  <c r="NW17" i="17"/>
  <c r="CE17" i="17"/>
  <c r="GZ17" i="17"/>
  <c r="MY17" i="17"/>
  <c r="NL17" i="17"/>
  <c r="NX17" i="17"/>
  <c r="CF17" i="17"/>
  <c r="NY17" i="17"/>
  <c r="NO17" i="17"/>
  <c r="FZ17" i="17"/>
  <c r="MO17" i="17"/>
  <c r="NE17" i="17"/>
  <c r="NP17" i="17"/>
  <c r="CK17" i="17"/>
  <c r="AC102" i="17"/>
  <c r="MQ102" i="17"/>
  <c r="MY102" i="17"/>
  <c r="NG102" i="17"/>
  <c r="NO102" i="17"/>
  <c r="NW102" i="17"/>
  <c r="MR102" i="17"/>
  <c r="MZ102" i="17"/>
  <c r="NH102" i="17"/>
  <c r="NP102" i="17"/>
  <c r="NX102" i="17"/>
  <c r="HQ102" i="17"/>
  <c r="MS102" i="17"/>
  <c r="NA102" i="17"/>
  <c r="NI102" i="17"/>
  <c r="NQ102" i="17"/>
  <c r="NY102" i="17"/>
  <c r="HP102" i="17"/>
  <c r="MT102" i="17"/>
  <c r="NB102" i="17"/>
  <c r="NJ102" i="17"/>
  <c r="NR102" i="17"/>
  <c r="HN102" i="17"/>
  <c r="MV102" i="17"/>
  <c r="ND102" i="17"/>
  <c r="NL102" i="17"/>
  <c r="NT102" i="17"/>
  <c r="HM102" i="17"/>
  <c r="NF102" i="17"/>
  <c r="HL102" i="17"/>
  <c r="P102" i="17"/>
  <c r="MO102" i="17"/>
  <c r="NK102" i="17"/>
  <c r="BA102" i="17"/>
  <c r="BI102" i="17"/>
  <c r="BQ102" i="17"/>
  <c r="BY102" i="17"/>
  <c r="CG102" i="17"/>
  <c r="MU102" i="17"/>
  <c r="NN102" i="17"/>
  <c r="MW102" i="17"/>
  <c r="NS102" i="17"/>
  <c r="BD102" i="17"/>
  <c r="BL102" i="17"/>
  <c r="BT102" i="17"/>
  <c r="CB102" i="17"/>
  <c r="CJ102" i="17"/>
  <c r="HO102" i="17"/>
  <c r="NE102" i="17"/>
  <c r="AZ102" i="17"/>
  <c r="BK102" i="17"/>
  <c r="BV102" i="17"/>
  <c r="CF102" i="17"/>
  <c r="BR102" i="17"/>
  <c r="FZ102" i="17"/>
  <c r="BS102" i="17"/>
  <c r="BB102" i="17"/>
  <c r="BM102" i="17"/>
  <c r="BW102" i="17"/>
  <c r="CH102" i="17"/>
  <c r="CM102" i="17"/>
  <c r="BH102" i="17"/>
  <c r="MP102" i="17"/>
  <c r="BC102" i="17"/>
  <c r="BN102" i="17"/>
  <c r="BX102" i="17"/>
  <c r="CI102" i="17"/>
  <c r="GZ102" i="17"/>
  <c r="MX102" i="17"/>
  <c r="BE102" i="17"/>
  <c r="BO102" i="17"/>
  <c r="BZ102" i="17"/>
  <c r="CK102" i="17"/>
  <c r="CC102" i="17"/>
  <c r="NC102" i="17"/>
  <c r="BF102" i="17"/>
  <c r="BP102" i="17"/>
  <c r="CA102" i="17"/>
  <c r="CL102" i="17"/>
  <c r="BG102" i="17"/>
  <c r="NU102" i="17"/>
  <c r="NM102" i="17"/>
  <c r="CD102" i="17"/>
  <c r="NV102" i="17"/>
  <c r="BJ102" i="17"/>
  <c r="BU102" i="17"/>
  <c r="CE102" i="17"/>
  <c r="AC51" i="17"/>
  <c r="HQ51" i="17"/>
  <c r="HP51" i="17"/>
  <c r="P51" i="17"/>
  <c r="MV51" i="17"/>
  <c r="ND51" i="17"/>
  <c r="NL51" i="17"/>
  <c r="NT51" i="17"/>
  <c r="MO51" i="17"/>
  <c r="MW51" i="17"/>
  <c r="NE51" i="17"/>
  <c r="NM51" i="17"/>
  <c r="NU51" i="17"/>
  <c r="MP51" i="17"/>
  <c r="MX51" i="17"/>
  <c r="NF51" i="17"/>
  <c r="NN51" i="17"/>
  <c r="NV51" i="17"/>
  <c r="MQ51" i="17"/>
  <c r="MY51" i="17"/>
  <c r="NG51" i="17"/>
  <c r="NO51" i="17"/>
  <c r="NW51" i="17"/>
  <c r="HN51" i="17"/>
  <c r="MS51" i="17"/>
  <c r="NA51" i="17"/>
  <c r="NI51" i="17"/>
  <c r="NQ51" i="17"/>
  <c r="NY51" i="17"/>
  <c r="MZ51" i="17"/>
  <c r="NS51" i="17"/>
  <c r="NB51" i="17"/>
  <c r="NX51" i="17"/>
  <c r="BA51" i="17"/>
  <c r="BI51" i="17"/>
  <c r="BQ51" i="17"/>
  <c r="BY51" i="17"/>
  <c r="CG51" i="17"/>
  <c r="HO51" i="17"/>
  <c r="HM51" i="17"/>
  <c r="NH51" i="17"/>
  <c r="HL51" i="17"/>
  <c r="NJ51" i="17"/>
  <c r="BD51" i="17"/>
  <c r="BL51" i="17"/>
  <c r="BT51" i="17"/>
  <c r="CB51" i="17"/>
  <c r="CJ51" i="17"/>
  <c r="MU51" i="17"/>
  <c r="NR51" i="17"/>
  <c r="NC51" i="17"/>
  <c r="BH51" i="17"/>
  <c r="BS51" i="17"/>
  <c r="CD51" i="17"/>
  <c r="FZ51" i="17"/>
  <c r="BZ51" i="17"/>
  <c r="GZ51" i="17"/>
  <c r="NK51" i="17"/>
  <c r="BJ51" i="17"/>
  <c r="BU51" i="17"/>
  <c r="CE51" i="17"/>
  <c r="BE51" i="17"/>
  <c r="BP51" i="17"/>
  <c r="NP51" i="17"/>
  <c r="AZ51" i="17"/>
  <c r="BK51" i="17"/>
  <c r="BV51" i="17"/>
  <c r="CF51" i="17"/>
  <c r="BB51" i="17"/>
  <c r="BM51" i="17"/>
  <c r="BW51" i="17"/>
  <c r="CH51" i="17"/>
  <c r="CK51" i="17"/>
  <c r="CL51" i="17"/>
  <c r="BC51" i="17"/>
  <c r="BN51" i="17"/>
  <c r="BX51" i="17"/>
  <c r="CI51" i="17"/>
  <c r="BO51" i="17"/>
  <c r="BF51" i="17"/>
  <c r="MT51" i="17"/>
  <c r="BG51" i="17"/>
  <c r="BR51" i="17"/>
  <c r="CC51" i="17"/>
  <c r="CM51" i="17"/>
  <c r="MR51" i="17"/>
  <c r="CA51" i="17"/>
  <c r="HM30" i="17"/>
  <c r="HL30" i="17"/>
  <c r="HQ30" i="17"/>
  <c r="HP30" i="17"/>
  <c r="MR30" i="17"/>
  <c r="MZ30" i="17"/>
  <c r="NH30" i="17"/>
  <c r="NP30" i="17"/>
  <c r="NX30" i="17"/>
  <c r="HO30" i="17"/>
  <c r="MS30" i="17"/>
  <c r="NA30" i="17"/>
  <c r="NI30" i="17"/>
  <c r="NQ30" i="17"/>
  <c r="NY30" i="17"/>
  <c r="HN30" i="17"/>
  <c r="MU30" i="17"/>
  <c r="NC30" i="17"/>
  <c r="NK30" i="17"/>
  <c r="NS30" i="17"/>
  <c r="MO30" i="17"/>
  <c r="MW30" i="17"/>
  <c r="NE30" i="17"/>
  <c r="NM30" i="17"/>
  <c r="NU30" i="17"/>
  <c r="NB30" i="17"/>
  <c r="NR30" i="17"/>
  <c r="CG30" i="17"/>
  <c r="MQ30" i="17"/>
  <c r="NG30" i="17"/>
  <c r="NW30" i="17"/>
  <c r="CJ30" i="17"/>
  <c r="MV30" i="17"/>
  <c r="NO30" i="17"/>
  <c r="CD30" i="17"/>
  <c r="MX30" i="17"/>
  <c r="NT30" i="17"/>
  <c r="CE30" i="17"/>
  <c r="GZ30" i="17"/>
  <c r="MP30" i="17"/>
  <c r="MY30" i="17"/>
  <c r="NV30" i="17"/>
  <c r="CF30" i="17"/>
  <c r="ND30" i="17"/>
  <c r="CH30" i="17"/>
  <c r="NF30" i="17"/>
  <c r="CI30" i="17"/>
  <c r="FZ30" i="17"/>
  <c r="CK30" i="17"/>
  <c r="NJ30" i="17"/>
  <c r="NL30" i="17"/>
  <c r="CL30" i="17"/>
  <c r="MT30" i="17"/>
  <c r="NN30" i="17"/>
  <c r="CC30" i="17"/>
  <c r="CM30" i="17"/>
  <c r="AC37" i="17"/>
  <c r="HO37" i="17"/>
  <c r="HN37" i="17"/>
  <c r="HM37" i="17"/>
  <c r="HL37" i="17"/>
  <c r="MT37" i="17"/>
  <c r="NB37" i="17"/>
  <c r="NJ37" i="17"/>
  <c r="NR37" i="17"/>
  <c r="MU37" i="17"/>
  <c r="NC37" i="17"/>
  <c r="NK37" i="17"/>
  <c r="NS37" i="17"/>
  <c r="MO37" i="17"/>
  <c r="MW37" i="17"/>
  <c r="NE37" i="17"/>
  <c r="NM37" i="17"/>
  <c r="NU37" i="17"/>
  <c r="MQ37" i="17"/>
  <c r="MY37" i="17"/>
  <c r="NG37" i="17"/>
  <c r="NO37" i="17"/>
  <c r="NW37" i="17"/>
  <c r="HQ37" i="17"/>
  <c r="MV37" i="17"/>
  <c r="NL37" i="17"/>
  <c r="BA37" i="17"/>
  <c r="BI37" i="17"/>
  <c r="BQ37" i="17"/>
  <c r="BY37" i="17"/>
  <c r="CG37" i="17"/>
  <c r="HP37" i="17"/>
  <c r="NA37" i="17"/>
  <c r="NQ37" i="17"/>
  <c r="BD37" i="17"/>
  <c r="BL37" i="17"/>
  <c r="BT37" i="17"/>
  <c r="CB37" i="17"/>
  <c r="CJ37" i="17"/>
  <c r="MZ37" i="17"/>
  <c r="NV37" i="17"/>
  <c r="AZ37" i="17"/>
  <c r="BK37" i="17"/>
  <c r="BV37" i="17"/>
  <c r="CF37" i="17"/>
  <c r="CC37" i="17"/>
  <c r="ND37" i="17"/>
  <c r="NX37" i="17"/>
  <c r="BB37" i="17"/>
  <c r="BM37" i="17"/>
  <c r="BW37" i="17"/>
  <c r="CH37" i="17"/>
  <c r="BG37" i="17"/>
  <c r="BH37" i="17"/>
  <c r="NF37" i="17"/>
  <c r="NY37" i="17"/>
  <c r="BC37" i="17"/>
  <c r="BN37" i="17"/>
  <c r="BX37" i="17"/>
  <c r="CI37" i="17"/>
  <c r="FZ37" i="17"/>
  <c r="P37" i="17"/>
  <c r="NH37" i="17"/>
  <c r="BE37" i="17"/>
  <c r="BO37" i="17"/>
  <c r="BZ37" i="17"/>
  <c r="CK37" i="17"/>
  <c r="CD37" i="17"/>
  <c r="MP37" i="17"/>
  <c r="NI37" i="17"/>
  <c r="BF37" i="17"/>
  <c r="BP37" i="17"/>
  <c r="CA37" i="17"/>
  <c r="CL37" i="17"/>
  <c r="MR37" i="17"/>
  <c r="CM37" i="17"/>
  <c r="MS37" i="17"/>
  <c r="BS37" i="17"/>
  <c r="NN37" i="17"/>
  <c r="BR37" i="17"/>
  <c r="MX37" i="17"/>
  <c r="NT37" i="17"/>
  <c r="BJ37" i="17"/>
  <c r="BU37" i="17"/>
  <c r="CE37" i="17"/>
  <c r="GZ37" i="17"/>
  <c r="NP37" i="17"/>
  <c r="AC44" i="17"/>
  <c r="HM44" i="17"/>
  <c r="HQ44" i="17"/>
  <c r="HN44" i="17"/>
  <c r="HL44" i="17"/>
  <c r="P44" i="17"/>
  <c r="MV44" i="17"/>
  <c r="ND44" i="17"/>
  <c r="NL44" i="17"/>
  <c r="NT44" i="17"/>
  <c r="MQ44" i="17"/>
  <c r="MY44" i="17"/>
  <c r="NG44" i="17"/>
  <c r="NO44" i="17"/>
  <c r="NW44" i="17"/>
  <c r="MS44" i="17"/>
  <c r="NA44" i="17"/>
  <c r="NI44" i="17"/>
  <c r="NQ44" i="17"/>
  <c r="NY44" i="17"/>
  <c r="HP44" i="17"/>
  <c r="HO44" i="17"/>
  <c r="MZ44" i="17"/>
  <c r="NM44" i="17"/>
  <c r="BA44" i="17"/>
  <c r="BI44" i="17"/>
  <c r="BQ44" i="17"/>
  <c r="BY44" i="17"/>
  <c r="CG44" i="17"/>
  <c r="MR44" i="17"/>
  <c r="NE44" i="17"/>
  <c r="NR44" i="17"/>
  <c r="BD44" i="17"/>
  <c r="BL44" i="17"/>
  <c r="BT44" i="17"/>
  <c r="CB44" i="17"/>
  <c r="CJ44" i="17"/>
  <c r="MW44" i="17"/>
  <c r="NN44" i="17"/>
  <c r="BC44" i="17"/>
  <c r="BN44" i="17"/>
  <c r="BX44" i="17"/>
  <c r="CI44" i="17"/>
  <c r="FZ44" i="17"/>
  <c r="MP44" i="17"/>
  <c r="NX44" i="17"/>
  <c r="BU44" i="17"/>
  <c r="BV44" i="17"/>
  <c r="MX44" i="17"/>
  <c r="NP44" i="17"/>
  <c r="BE44" i="17"/>
  <c r="BO44" i="17"/>
  <c r="BZ44" i="17"/>
  <c r="CK44" i="17"/>
  <c r="NB44" i="17"/>
  <c r="NS44" i="17"/>
  <c r="BF44" i="17"/>
  <c r="BP44" i="17"/>
  <c r="CA44" i="17"/>
  <c r="CL44" i="17"/>
  <c r="NC44" i="17"/>
  <c r="NU44" i="17"/>
  <c r="BG44" i="17"/>
  <c r="BR44" i="17"/>
  <c r="CC44" i="17"/>
  <c r="CM44" i="17"/>
  <c r="CE44" i="17"/>
  <c r="BK44" i="17"/>
  <c r="MO44" i="17"/>
  <c r="NF44" i="17"/>
  <c r="NV44" i="17"/>
  <c r="BH44" i="17"/>
  <c r="BS44" i="17"/>
  <c r="CD44" i="17"/>
  <c r="BJ44" i="17"/>
  <c r="NH44" i="17"/>
  <c r="GZ44" i="17"/>
  <c r="NJ44" i="17"/>
  <c r="CF44" i="17"/>
  <c r="MU44" i="17"/>
  <c r="NK44" i="17"/>
  <c r="BB44" i="17"/>
  <c r="BM44" i="17"/>
  <c r="BW44" i="17"/>
  <c r="CH44" i="17"/>
  <c r="MT44" i="17"/>
  <c r="AZ44" i="17"/>
  <c r="AC115" i="17"/>
  <c r="HQ115" i="17"/>
  <c r="MO115" i="17"/>
  <c r="MW115" i="17"/>
  <c r="NE115" i="17"/>
  <c r="NM115" i="17"/>
  <c r="NU115" i="17"/>
  <c r="HP115" i="17"/>
  <c r="MP115" i="17"/>
  <c r="MX115" i="17"/>
  <c r="NF115" i="17"/>
  <c r="NN115" i="17"/>
  <c r="NV115" i="17"/>
  <c r="HO115" i="17"/>
  <c r="MQ115" i="17"/>
  <c r="MY115" i="17"/>
  <c r="NG115" i="17"/>
  <c r="NO115" i="17"/>
  <c r="NW115" i="17"/>
  <c r="HN115" i="17"/>
  <c r="MR115" i="17"/>
  <c r="MZ115" i="17"/>
  <c r="NH115" i="17"/>
  <c r="NP115" i="17"/>
  <c r="NX115" i="17"/>
  <c r="HL115" i="17"/>
  <c r="P115" i="17"/>
  <c r="MT115" i="17"/>
  <c r="NB115" i="17"/>
  <c r="NJ115" i="17"/>
  <c r="NR115" i="17"/>
  <c r="HM115" i="17"/>
  <c r="NC115" i="17"/>
  <c r="NY115" i="17"/>
  <c r="ND115" i="17"/>
  <c r="BA115" i="17"/>
  <c r="BI115" i="17"/>
  <c r="BQ115" i="17"/>
  <c r="BY115" i="17"/>
  <c r="CG115" i="17"/>
  <c r="NK115" i="17"/>
  <c r="MS115" i="17"/>
  <c r="NL115" i="17"/>
  <c r="BD115" i="17"/>
  <c r="BL115" i="17"/>
  <c r="BT115" i="17"/>
  <c r="CB115" i="17"/>
  <c r="CJ115" i="17"/>
  <c r="NA115" i="17"/>
  <c r="NT115" i="17"/>
  <c r="NQ115" i="17"/>
  <c r="BF115" i="17"/>
  <c r="BP115" i="17"/>
  <c r="CA115" i="17"/>
  <c r="CL115" i="17"/>
  <c r="BM115" i="17"/>
  <c r="CI115" i="17"/>
  <c r="NS115" i="17"/>
  <c r="BG115" i="17"/>
  <c r="BR115" i="17"/>
  <c r="CC115" i="17"/>
  <c r="CM115" i="17"/>
  <c r="MV115" i="17"/>
  <c r="BH115" i="17"/>
  <c r="BS115" i="17"/>
  <c r="CD115" i="17"/>
  <c r="BJ115" i="17"/>
  <c r="BU115" i="17"/>
  <c r="CE115" i="17"/>
  <c r="BW115" i="17"/>
  <c r="BN115" i="17"/>
  <c r="AZ115" i="17"/>
  <c r="BK115" i="17"/>
  <c r="BV115" i="17"/>
  <c r="CF115" i="17"/>
  <c r="GZ115" i="17"/>
  <c r="BB115" i="17"/>
  <c r="BX115" i="17"/>
  <c r="MU115" i="17"/>
  <c r="CH115" i="17"/>
  <c r="NI115" i="17"/>
  <c r="BE115" i="17"/>
  <c r="BO115" i="17"/>
  <c r="BZ115" i="17"/>
  <c r="CK115" i="17"/>
  <c r="FZ115" i="17"/>
  <c r="BC115" i="17"/>
  <c r="AC57" i="17"/>
  <c r="HP57" i="17"/>
  <c r="HO57" i="17"/>
  <c r="HL57" i="17"/>
  <c r="HN57" i="17"/>
  <c r="MU57" i="17"/>
  <c r="NC57" i="17"/>
  <c r="NK57" i="17"/>
  <c r="NS57" i="17"/>
  <c r="HM57" i="17"/>
  <c r="MV57" i="17"/>
  <c r="ND57" i="17"/>
  <c r="NL57" i="17"/>
  <c r="NT57" i="17"/>
  <c r="P57" i="17"/>
  <c r="MP57" i="17"/>
  <c r="MX57" i="17"/>
  <c r="NF57" i="17"/>
  <c r="NN57" i="17"/>
  <c r="NV57" i="17"/>
  <c r="MR57" i="17"/>
  <c r="MZ57" i="17"/>
  <c r="NH57" i="17"/>
  <c r="NP57" i="17"/>
  <c r="NX57" i="17"/>
  <c r="MS57" i="17"/>
  <c r="NI57" i="17"/>
  <c r="NY57" i="17"/>
  <c r="MT57" i="17"/>
  <c r="NJ57" i="17"/>
  <c r="BA57" i="17"/>
  <c r="BI57" i="17"/>
  <c r="BQ57" i="17"/>
  <c r="BY57" i="17"/>
  <c r="CG57" i="17"/>
  <c r="MY57" i="17"/>
  <c r="NO57" i="17"/>
  <c r="NA57" i="17"/>
  <c r="NQ57" i="17"/>
  <c r="BD57" i="17"/>
  <c r="BL57" i="17"/>
  <c r="BT57" i="17"/>
  <c r="CB57" i="17"/>
  <c r="CJ57" i="17"/>
  <c r="HQ57" i="17"/>
  <c r="MQ57" i="17"/>
  <c r="NG57" i="17"/>
  <c r="NW57" i="17"/>
  <c r="MW57" i="17"/>
  <c r="AZ57" i="17"/>
  <c r="BK57" i="17"/>
  <c r="BV57" i="17"/>
  <c r="CF57" i="17"/>
  <c r="BR57" i="17"/>
  <c r="CD57" i="17"/>
  <c r="NB57" i="17"/>
  <c r="BB57" i="17"/>
  <c r="BM57" i="17"/>
  <c r="BW57" i="17"/>
  <c r="CH57" i="17"/>
  <c r="BG57" i="17"/>
  <c r="BH57" i="17"/>
  <c r="NE57" i="17"/>
  <c r="BC57" i="17"/>
  <c r="BN57" i="17"/>
  <c r="BX57" i="17"/>
  <c r="CI57" i="17"/>
  <c r="GZ57" i="17"/>
  <c r="NM57" i="17"/>
  <c r="BE57" i="17"/>
  <c r="BO57" i="17"/>
  <c r="BZ57" i="17"/>
  <c r="CK57" i="17"/>
  <c r="CM57" i="17"/>
  <c r="NR57" i="17"/>
  <c r="BF57" i="17"/>
  <c r="BP57" i="17"/>
  <c r="CA57" i="17"/>
  <c r="CL57" i="17"/>
  <c r="NU57" i="17"/>
  <c r="CC57" i="17"/>
  <c r="FZ57" i="17"/>
  <c r="BS57" i="17"/>
  <c r="MO57" i="17"/>
  <c r="BJ57" i="17"/>
  <c r="BU57" i="17"/>
  <c r="CE57" i="17"/>
  <c r="AC75" i="17"/>
  <c r="HN75" i="17"/>
  <c r="HQ75" i="17"/>
  <c r="HP75" i="17"/>
  <c r="HL75" i="17"/>
  <c r="P75" i="17"/>
  <c r="HO75" i="17"/>
  <c r="MT75" i="17"/>
  <c r="NB75" i="17"/>
  <c r="NJ75" i="17"/>
  <c r="NR75" i="17"/>
  <c r="BA75" i="17"/>
  <c r="BI75" i="17"/>
  <c r="BQ75" i="17"/>
  <c r="BY75" i="17"/>
  <c r="CG75" i="17"/>
  <c r="HM75" i="17"/>
  <c r="MO75" i="17"/>
  <c r="MW75" i="17"/>
  <c r="NE75" i="17"/>
  <c r="NM75" i="17"/>
  <c r="NU75" i="17"/>
  <c r="BD75" i="17"/>
  <c r="BL75" i="17"/>
  <c r="BT75" i="17"/>
  <c r="CB75" i="17"/>
  <c r="CJ75" i="17"/>
  <c r="MX75" i="17"/>
  <c r="NH75" i="17"/>
  <c r="NS75" i="17"/>
  <c r="BH75" i="17"/>
  <c r="BS75" i="17"/>
  <c r="CD75" i="17"/>
  <c r="GZ75" i="17"/>
  <c r="MS75" i="17"/>
  <c r="NY75" i="17"/>
  <c r="MU75" i="17"/>
  <c r="CA75" i="17"/>
  <c r="MY75" i="17"/>
  <c r="NI75" i="17"/>
  <c r="NT75" i="17"/>
  <c r="BJ75" i="17"/>
  <c r="BU75" i="17"/>
  <c r="CE75" i="17"/>
  <c r="NO75" i="17"/>
  <c r="BZ75" i="17"/>
  <c r="BP75" i="17"/>
  <c r="MP75" i="17"/>
  <c r="MZ75" i="17"/>
  <c r="NK75" i="17"/>
  <c r="NV75" i="17"/>
  <c r="AZ75" i="17"/>
  <c r="BK75" i="17"/>
  <c r="BV75" i="17"/>
  <c r="CF75" i="17"/>
  <c r="MQ75" i="17"/>
  <c r="NA75" i="17"/>
  <c r="NL75" i="17"/>
  <c r="NW75" i="17"/>
  <c r="BB75" i="17"/>
  <c r="BM75" i="17"/>
  <c r="BW75" i="17"/>
  <c r="CH75" i="17"/>
  <c r="FZ75" i="17"/>
  <c r="BO75" i="17"/>
  <c r="NP75" i="17"/>
  <c r="MR75" i="17"/>
  <c r="NC75" i="17"/>
  <c r="NN75" i="17"/>
  <c r="NX75" i="17"/>
  <c r="BC75" i="17"/>
  <c r="BN75" i="17"/>
  <c r="BX75" i="17"/>
  <c r="CI75" i="17"/>
  <c r="BE75" i="17"/>
  <c r="ND75" i="17"/>
  <c r="CK75" i="17"/>
  <c r="NF75" i="17"/>
  <c r="BF75" i="17"/>
  <c r="MV75" i="17"/>
  <c r="NG75" i="17"/>
  <c r="NQ75" i="17"/>
  <c r="BG75" i="17"/>
  <c r="BR75" i="17"/>
  <c r="CC75" i="17"/>
  <c r="CM75" i="17"/>
  <c r="CL75" i="17"/>
  <c r="MP23" i="17"/>
  <c r="MX23" i="17"/>
  <c r="NF23" i="17"/>
  <c r="NN23" i="17"/>
  <c r="NV23" i="17"/>
  <c r="HQ23" i="17"/>
  <c r="MQ23" i="17"/>
  <c r="MY23" i="17"/>
  <c r="NG23" i="17"/>
  <c r="NO23" i="17"/>
  <c r="NW23" i="17"/>
  <c r="HP23" i="17"/>
  <c r="MR23" i="17"/>
  <c r="MZ23" i="17"/>
  <c r="NH23" i="17"/>
  <c r="NP23" i="17"/>
  <c r="NX23" i="17"/>
  <c r="HO23" i="17"/>
  <c r="MS23" i="17"/>
  <c r="NA23" i="17"/>
  <c r="NI23" i="17"/>
  <c r="NQ23" i="17"/>
  <c r="NY23" i="17"/>
  <c r="HM23" i="17"/>
  <c r="MU23" i="17"/>
  <c r="NC23" i="17"/>
  <c r="NK23" i="17"/>
  <c r="NS23" i="17"/>
  <c r="HL23" i="17"/>
  <c r="ND23" i="17"/>
  <c r="NE23" i="17"/>
  <c r="CG23" i="17"/>
  <c r="MO23" i="17"/>
  <c r="NL23" i="17"/>
  <c r="MT23" i="17"/>
  <c r="NM23" i="17"/>
  <c r="CJ23" i="17"/>
  <c r="HN23" i="17"/>
  <c r="NB23" i="17"/>
  <c r="NU23" i="17"/>
  <c r="NT23" i="17"/>
  <c r="CI23" i="17"/>
  <c r="CE23" i="17"/>
  <c r="CF23" i="17"/>
  <c r="CK23" i="17"/>
  <c r="CL23" i="17"/>
  <c r="FZ23" i="17"/>
  <c r="CC23" i="17"/>
  <c r="CM23" i="17"/>
  <c r="MV23" i="17"/>
  <c r="CD23" i="17"/>
  <c r="MW23" i="17"/>
  <c r="NR23" i="17"/>
  <c r="CH23" i="17"/>
  <c r="GZ23" i="17"/>
  <c r="NJ23" i="17"/>
  <c r="AF105" i="17"/>
  <c r="AC63" i="17"/>
  <c r="HO63" i="17"/>
  <c r="HN63" i="17"/>
  <c r="MT63" i="17"/>
  <c r="NB63" i="17"/>
  <c r="NJ63" i="17"/>
  <c r="NR63" i="17"/>
  <c r="HQ63" i="17"/>
  <c r="MU63" i="17"/>
  <c r="NC63" i="17"/>
  <c r="NK63" i="17"/>
  <c r="NS63" i="17"/>
  <c r="HP63" i="17"/>
  <c r="HM63" i="17"/>
  <c r="MO63" i="17"/>
  <c r="MW63" i="17"/>
  <c r="NE63" i="17"/>
  <c r="NM63" i="17"/>
  <c r="NU63" i="17"/>
  <c r="MQ63" i="17"/>
  <c r="MY63" i="17"/>
  <c r="NG63" i="17"/>
  <c r="NO63" i="17"/>
  <c r="NW63" i="17"/>
  <c r="MV63" i="17"/>
  <c r="NL63" i="17"/>
  <c r="MX63" i="17"/>
  <c r="NN63" i="17"/>
  <c r="BA63" i="17"/>
  <c r="BI63" i="17"/>
  <c r="BQ63" i="17"/>
  <c r="BY63" i="17"/>
  <c r="CG63" i="17"/>
  <c r="NA63" i="17"/>
  <c r="NQ63" i="17"/>
  <c r="P63" i="17"/>
  <c r="ND63" i="17"/>
  <c r="NT63" i="17"/>
  <c r="BD63" i="17"/>
  <c r="BL63" i="17"/>
  <c r="BT63" i="17"/>
  <c r="CB63" i="17"/>
  <c r="CJ63" i="17"/>
  <c r="MS63" i="17"/>
  <c r="NI63" i="17"/>
  <c r="NY63" i="17"/>
  <c r="NV63" i="17"/>
  <c r="BC63" i="17"/>
  <c r="BN63" i="17"/>
  <c r="BX63" i="17"/>
  <c r="CI63" i="17"/>
  <c r="BU63" i="17"/>
  <c r="AZ63" i="17"/>
  <c r="HL63" i="17"/>
  <c r="NX63" i="17"/>
  <c r="BE63" i="17"/>
  <c r="BO63" i="17"/>
  <c r="BZ63" i="17"/>
  <c r="CK63" i="17"/>
  <c r="CE63" i="17"/>
  <c r="NH63" i="17"/>
  <c r="BV63" i="17"/>
  <c r="MP63" i="17"/>
  <c r="BF63" i="17"/>
  <c r="BP63" i="17"/>
  <c r="CA63" i="17"/>
  <c r="CL63" i="17"/>
  <c r="FZ63" i="17"/>
  <c r="MR63" i="17"/>
  <c r="BG63" i="17"/>
  <c r="BR63" i="17"/>
  <c r="CC63" i="17"/>
  <c r="CM63" i="17"/>
  <c r="MZ63" i="17"/>
  <c r="BH63" i="17"/>
  <c r="BS63" i="17"/>
  <c r="CD63" i="17"/>
  <c r="BJ63" i="17"/>
  <c r="CF63" i="17"/>
  <c r="NF63" i="17"/>
  <c r="BK63" i="17"/>
  <c r="NP63" i="17"/>
  <c r="BB63" i="17"/>
  <c r="BM63" i="17"/>
  <c r="BW63" i="17"/>
  <c r="CH63" i="17"/>
  <c r="GZ63" i="17"/>
  <c r="AC69" i="17"/>
  <c r="HN69" i="17"/>
  <c r="HM69" i="17"/>
  <c r="HQ69" i="17"/>
  <c r="HL69" i="17"/>
  <c r="P69" i="17"/>
  <c r="HP69" i="17"/>
  <c r="MS69" i="17"/>
  <c r="NA69" i="17"/>
  <c r="NI69" i="17"/>
  <c r="NQ69" i="17"/>
  <c r="NY69" i="17"/>
  <c r="BA69" i="17"/>
  <c r="BI69" i="17"/>
  <c r="BQ69" i="17"/>
  <c r="BY69" i="17"/>
  <c r="CG69" i="17"/>
  <c r="MV69" i="17"/>
  <c r="ND69" i="17"/>
  <c r="NL69" i="17"/>
  <c r="NT69" i="17"/>
  <c r="BD69" i="17"/>
  <c r="BL69" i="17"/>
  <c r="BT69" i="17"/>
  <c r="CB69" i="17"/>
  <c r="CJ69" i="17"/>
  <c r="MW69" i="17"/>
  <c r="NG69" i="17"/>
  <c r="NR69" i="17"/>
  <c r="AZ69" i="17"/>
  <c r="BK69" i="17"/>
  <c r="BV69" i="17"/>
  <c r="CF69" i="17"/>
  <c r="FZ69" i="17"/>
  <c r="MR69" i="17"/>
  <c r="NX69" i="17"/>
  <c r="BR69" i="17"/>
  <c r="HO69" i="17"/>
  <c r="MX69" i="17"/>
  <c r="NH69" i="17"/>
  <c r="NS69" i="17"/>
  <c r="BB69" i="17"/>
  <c r="BM69" i="17"/>
  <c r="BW69" i="17"/>
  <c r="CH69" i="17"/>
  <c r="NN69" i="17"/>
  <c r="CC69" i="17"/>
  <c r="CD69" i="17"/>
  <c r="MO69" i="17"/>
  <c r="MY69" i="17"/>
  <c r="NJ69" i="17"/>
  <c r="NU69" i="17"/>
  <c r="BC69" i="17"/>
  <c r="BN69" i="17"/>
  <c r="BX69" i="17"/>
  <c r="CI69" i="17"/>
  <c r="MP69" i="17"/>
  <c r="MZ69" i="17"/>
  <c r="NK69" i="17"/>
  <c r="NV69" i="17"/>
  <c r="BE69" i="17"/>
  <c r="BO69" i="17"/>
  <c r="BZ69" i="17"/>
  <c r="CK69" i="17"/>
  <c r="MQ69" i="17"/>
  <c r="NB69" i="17"/>
  <c r="NM69" i="17"/>
  <c r="NW69" i="17"/>
  <c r="BF69" i="17"/>
  <c r="BP69" i="17"/>
  <c r="CA69" i="17"/>
  <c r="CL69" i="17"/>
  <c r="NC69" i="17"/>
  <c r="BG69" i="17"/>
  <c r="GZ69" i="17"/>
  <c r="NE69" i="17"/>
  <c r="BH69" i="17"/>
  <c r="CM69" i="17"/>
  <c r="NO69" i="17"/>
  <c r="BS69" i="17"/>
  <c r="MU69" i="17"/>
  <c r="NF69" i="17"/>
  <c r="NP69" i="17"/>
  <c r="BJ69" i="17"/>
  <c r="BU69" i="17"/>
  <c r="CE69" i="17"/>
  <c r="MT69" i="17"/>
  <c r="JM12" i="17"/>
  <c r="LT12" i="17"/>
  <c r="JO13" i="17"/>
  <c r="LV13" i="17"/>
  <c r="JR96" i="17"/>
  <c r="LT96" i="17"/>
  <c r="ML96" i="17"/>
  <c r="MD96" i="17"/>
  <c r="MK96" i="17"/>
  <c r="MC96" i="17"/>
  <c r="MJ96" i="17"/>
  <c r="MB96" i="17"/>
  <c r="JM96" i="17"/>
  <c r="MI96" i="17"/>
  <c r="MA96" i="17"/>
  <c r="MH96" i="17"/>
  <c r="LZ96" i="17"/>
  <c r="MG96" i="17"/>
  <c r="LY96" i="17"/>
  <c r="MN96" i="17"/>
  <c r="MF96" i="17"/>
  <c r="MM96" i="17"/>
  <c r="ME96" i="17"/>
  <c r="LW97" i="17"/>
  <c r="JP97" i="17"/>
  <c r="LV100" i="17"/>
  <c r="JO100" i="17"/>
  <c r="LT103" i="17"/>
  <c r="JM103" i="17"/>
  <c r="LV104" i="17"/>
  <c r="JO104" i="17"/>
  <c r="LT27" i="17"/>
  <c r="JM27" i="17"/>
  <c r="JP28" i="17"/>
  <c r="LW28" i="17"/>
  <c r="JN116" i="17"/>
  <c r="LU116" i="17"/>
  <c r="LW118" i="17"/>
  <c r="JP118" i="17"/>
  <c r="LT123" i="17"/>
  <c r="JM123" i="17"/>
  <c r="JM53" i="17"/>
  <c r="LT53" i="17"/>
  <c r="JO54" i="17"/>
  <c r="LV54" i="17"/>
  <c r="JR57" i="17"/>
  <c r="LT57" i="17"/>
  <c r="MM57" i="17"/>
  <c r="ME57" i="17"/>
  <c r="ML57" i="17"/>
  <c r="MD57" i="17"/>
  <c r="MK57" i="17"/>
  <c r="MC57" i="17"/>
  <c r="MJ57" i="17"/>
  <c r="MB57" i="17"/>
  <c r="JM57" i="17"/>
  <c r="MI57" i="17"/>
  <c r="MA57" i="17"/>
  <c r="MH57" i="17"/>
  <c r="LZ57" i="17"/>
  <c r="MG57" i="17"/>
  <c r="LY57" i="17"/>
  <c r="MN57" i="17"/>
  <c r="MF57" i="17"/>
  <c r="FI57" i="17"/>
  <c r="FQ57" i="17"/>
  <c r="FY57" i="17"/>
  <c r="GG57" i="17"/>
  <c r="GO57" i="17"/>
  <c r="GW57" i="17"/>
  <c r="FX57" i="17"/>
  <c r="FJ57" i="17"/>
  <c r="FR57" i="17"/>
  <c r="GH57" i="17"/>
  <c r="GP57" i="17"/>
  <c r="GX57" i="17"/>
  <c r="FC57" i="17"/>
  <c r="FK57" i="17"/>
  <c r="FS57" i="17"/>
  <c r="GA57" i="17"/>
  <c r="GI57" i="17"/>
  <c r="GQ57" i="17"/>
  <c r="GY57" i="17"/>
  <c r="FH57" i="17"/>
  <c r="FD57" i="17"/>
  <c r="FL57" i="17"/>
  <c r="FT57" i="17"/>
  <c r="GB57" i="17"/>
  <c r="GJ57" i="17"/>
  <c r="HI57" i="17" s="1"/>
  <c r="GR57" i="17"/>
  <c r="FP57" i="17"/>
  <c r="FE57" i="17"/>
  <c r="FM57" i="17"/>
  <c r="FU57" i="17"/>
  <c r="GC57" i="17"/>
  <c r="GK57" i="17"/>
  <c r="GS57" i="17"/>
  <c r="HA57" i="17"/>
  <c r="GF57" i="17"/>
  <c r="FF57" i="17"/>
  <c r="FN57" i="17"/>
  <c r="FV57" i="17"/>
  <c r="GD57" i="17"/>
  <c r="GL57" i="17"/>
  <c r="GT57" i="17"/>
  <c r="HB57" i="17"/>
  <c r="GN57" i="17"/>
  <c r="FG57" i="17"/>
  <c r="FO57" i="17"/>
  <c r="FW57" i="17"/>
  <c r="GE57" i="17"/>
  <c r="GM57" i="17"/>
  <c r="GU57" i="17"/>
  <c r="HC57" i="17"/>
  <c r="GV57" i="17"/>
  <c r="LW58" i="17"/>
  <c r="JP58" i="17"/>
  <c r="LV61" i="17"/>
  <c r="JO61" i="17"/>
  <c r="LT64" i="17"/>
  <c r="JM64" i="17"/>
  <c r="LV65" i="17"/>
  <c r="JO65" i="17"/>
  <c r="LV108" i="17"/>
  <c r="JO108" i="17"/>
  <c r="JO31" i="17"/>
  <c r="LV31" i="17"/>
  <c r="JM34" i="17"/>
  <c r="LT34" i="17"/>
  <c r="JP35" i="17"/>
  <c r="LW35" i="17"/>
  <c r="JN38" i="17"/>
  <c r="LU38" i="17"/>
  <c r="LW39" i="17"/>
  <c r="JP39" i="17"/>
  <c r="LV42" i="17"/>
  <c r="JO42" i="17"/>
  <c r="LT45" i="17"/>
  <c r="JM45" i="17"/>
  <c r="LV46" i="17"/>
  <c r="JO46" i="17"/>
  <c r="LU49" i="17"/>
  <c r="JN49" i="17"/>
  <c r="LU19" i="17"/>
  <c r="JN19" i="17"/>
  <c r="JP20" i="17"/>
  <c r="LW20" i="17"/>
  <c r="JO88" i="17"/>
  <c r="LV88" i="17"/>
  <c r="LU92" i="17"/>
  <c r="JN92" i="17"/>
  <c r="JP93" i="17"/>
  <c r="LW93" i="17"/>
  <c r="JP85" i="17"/>
  <c r="LW85" i="17"/>
  <c r="JN12" i="17"/>
  <c r="LU12" i="17"/>
  <c r="LW13" i="17"/>
  <c r="JP13" i="17"/>
  <c r="JM99" i="17"/>
  <c r="LT99" i="17"/>
  <c r="LW100" i="17"/>
  <c r="JP100" i="17"/>
  <c r="LU103" i="17"/>
  <c r="JN103" i="17"/>
  <c r="JP104" i="17"/>
  <c r="LW104" i="17"/>
  <c r="LV23" i="17"/>
  <c r="JO23" i="17"/>
  <c r="JN27" i="17"/>
  <c r="LU27" i="17"/>
  <c r="JO116" i="17"/>
  <c r="LV116" i="17"/>
  <c r="LU123" i="17"/>
  <c r="JN123" i="17"/>
  <c r="JN53" i="17"/>
  <c r="LU53" i="17"/>
  <c r="JP54" i="17"/>
  <c r="LW54" i="17"/>
  <c r="JM60" i="17"/>
  <c r="LT60" i="17"/>
  <c r="LW61" i="17"/>
  <c r="JP61" i="17"/>
  <c r="LU64" i="17"/>
  <c r="JN64" i="17"/>
  <c r="LW65" i="17"/>
  <c r="JP65" i="17"/>
  <c r="LT67" i="17"/>
  <c r="JM67" i="17"/>
  <c r="JR30" i="17"/>
  <c r="LT30" i="17"/>
  <c r="MG30" i="17"/>
  <c r="LY30" i="17"/>
  <c r="MN30" i="17"/>
  <c r="MF30" i="17"/>
  <c r="MM30" i="17"/>
  <c r="ME30" i="17"/>
  <c r="ML30" i="17"/>
  <c r="MD30" i="17"/>
  <c r="MK30" i="17"/>
  <c r="MC30" i="17"/>
  <c r="MJ30" i="17"/>
  <c r="MB30" i="17"/>
  <c r="JM30" i="17"/>
  <c r="MI30" i="17"/>
  <c r="MA30" i="17"/>
  <c r="MH30" i="17"/>
  <c r="LZ30" i="17"/>
  <c r="FE30" i="17"/>
  <c r="FM30" i="17"/>
  <c r="FU30" i="17"/>
  <c r="GC30" i="17"/>
  <c r="GK30" i="17"/>
  <c r="GS30" i="17"/>
  <c r="HA30" i="17"/>
  <c r="FD30" i="17"/>
  <c r="FF30" i="17"/>
  <c r="FN30" i="17"/>
  <c r="FV30" i="17"/>
  <c r="GD30" i="17"/>
  <c r="GL30" i="17"/>
  <c r="GT30" i="17"/>
  <c r="HB30" i="17"/>
  <c r="FG30" i="17"/>
  <c r="FO30" i="17"/>
  <c r="FW30" i="17"/>
  <c r="GE30" i="17"/>
  <c r="GM30" i="17"/>
  <c r="GU30" i="17"/>
  <c r="HC30" i="17"/>
  <c r="FL30" i="17"/>
  <c r="FH30" i="17"/>
  <c r="FP30" i="17"/>
  <c r="FX30" i="17"/>
  <c r="GF30" i="17"/>
  <c r="GN30" i="17"/>
  <c r="GV30" i="17"/>
  <c r="FT30" i="17"/>
  <c r="FI30" i="17"/>
  <c r="FQ30" i="17"/>
  <c r="FY30" i="17"/>
  <c r="GG30" i="17"/>
  <c r="GO30" i="17"/>
  <c r="GW30" i="17"/>
  <c r="GR30" i="17"/>
  <c r="FJ30" i="17"/>
  <c r="FR30" i="17"/>
  <c r="GH30" i="17"/>
  <c r="GP30" i="17"/>
  <c r="GX30" i="17"/>
  <c r="GJ30" i="17"/>
  <c r="HI30" i="17" s="1"/>
  <c r="FK30" i="17"/>
  <c r="FS30" i="17"/>
  <c r="GA30" i="17"/>
  <c r="GI30" i="17"/>
  <c r="GQ30" i="17"/>
  <c r="GY30" i="17"/>
  <c r="FC30" i="17"/>
  <c r="GB30" i="17"/>
  <c r="JP31" i="17"/>
  <c r="LW31" i="17"/>
  <c r="JN34" i="17"/>
  <c r="LU34" i="17"/>
  <c r="LV38" i="17"/>
  <c r="JO38" i="17"/>
  <c r="JM41" i="17"/>
  <c r="LT41" i="17"/>
  <c r="LW42" i="17"/>
  <c r="JP42" i="17"/>
  <c r="LU45" i="17"/>
  <c r="JN45" i="17"/>
  <c r="LW46" i="17"/>
  <c r="JP46" i="17"/>
  <c r="LV49" i="17"/>
  <c r="JO49" i="17"/>
  <c r="LT18" i="17"/>
  <c r="JM18" i="17"/>
  <c r="JO19" i="17"/>
  <c r="LV19" i="17"/>
  <c r="JM77" i="17"/>
  <c r="LT77" i="17"/>
  <c r="JO80" i="17"/>
  <c r="LV80" i="17"/>
  <c r="JR69" i="17"/>
  <c r="LT69" i="17"/>
  <c r="MM69" i="17"/>
  <c r="ME69" i="17"/>
  <c r="ML69" i="17"/>
  <c r="MD69" i="17"/>
  <c r="MK69" i="17"/>
  <c r="MC69" i="17"/>
  <c r="MJ69" i="17"/>
  <c r="MB69" i="17"/>
  <c r="JM69" i="17"/>
  <c r="MI69" i="17"/>
  <c r="MA69" i="17"/>
  <c r="MH69" i="17"/>
  <c r="LZ69" i="17"/>
  <c r="MG69" i="17"/>
  <c r="LY69" i="17"/>
  <c r="MN69" i="17"/>
  <c r="MF69" i="17"/>
  <c r="FG69" i="17"/>
  <c r="FO69" i="17"/>
  <c r="FW69" i="17"/>
  <c r="GE69" i="17"/>
  <c r="GM69" i="17"/>
  <c r="GU69" i="17"/>
  <c r="HC69" i="17"/>
  <c r="FH69" i="17"/>
  <c r="FP69" i="17"/>
  <c r="FX69" i="17"/>
  <c r="GF69" i="17"/>
  <c r="GN69" i="17"/>
  <c r="GV69" i="17"/>
  <c r="FI69" i="17"/>
  <c r="FQ69" i="17"/>
  <c r="FY69" i="17"/>
  <c r="GG69" i="17"/>
  <c r="GO69" i="17"/>
  <c r="GW69" i="17"/>
  <c r="FJ69" i="17"/>
  <c r="FR69" i="17"/>
  <c r="GH69" i="17"/>
  <c r="GP69" i="17"/>
  <c r="GX69" i="17"/>
  <c r="FK69" i="17"/>
  <c r="FS69" i="17"/>
  <c r="GA69" i="17"/>
  <c r="GI69" i="17"/>
  <c r="GQ69" i="17"/>
  <c r="GY69" i="17"/>
  <c r="FD69" i="17"/>
  <c r="FL69" i="17"/>
  <c r="FT69" i="17"/>
  <c r="GB69" i="17"/>
  <c r="GJ69" i="17"/>
  <c r="HI69" i="17" s="1"/>
  <c r="GR69" i="17"/>
  <c r="FE69" i="17"/>
  <c r="FM69" i="17"/>
  <c r="FU69" i="17"/>
  <c r="GC69" i="17"/>
  <c r="GK69" i="17"/>
  <c r="GS69" i="17"/>
  <c r="HA69" i="17"/>
  <c r="HB69" i="17"/>
  <c r="FC69" i="17"/>
  <c r="FF69" i="17"/>
  <c r="GT69" i="17"/>
  <c r="FN69" i="17"/>
  <c r="FV69" i="17"/>
  <c r="GD69" i="17"/>
  <c r="GL69" i="17"/>
  <c r="LW70" i="17"/>
  <c r="JP70" i="17"/>
  <c r="LV73" i="17"/>
  <c r="JO73" i="17"/>
  <c r="JM87" i="17"/>
  <c r="LT87" i="17"/>
  <c r="JP88" i="17"/>
  <c r="LW88" i="17"/>
  <c r="LT91" i="17"/>
  <c r="JM91" i="17"/>
  <c r="JO92" i="17"/>
  <c r="LV92" i="17"/>
  <c r="EX11" i="17"/>
  <c r="JM11" i="17"/>
  <c r="LT11" i="17"/>
  <c r="JO12" i="17"/>
  <c r="LV12" i="17"/>
  <c r="JO96" i="17"/>
  <c r="LV96" i="17"/>
  <c r="LU99" i="17"/>
  <c r="JN99" i="17"/>
  <c r="LV103" i="17"/>
  <c r="JO103" i="17"/>
  <c r="LT106" i="17"/>
  <c r="JM106" i="17"/>
  <c r="LT25" i="17"/>
  <c r="JM25" i="17"/>
  <c r="JO27" i="17"/>
  <c r="LV27" i="17"/>
  <c r="JR115" i="17"/>
  <c r="LT115" i="17"/>
  <c r="MN115" i="17"/>
  <c r="MF115" i="17"/>
  <c r="MM115" i="17"/>
  <c r="ME115" i="17"/>
  <c r="ML115" i="17"/>
  <c r="MD115" i="17"/>
  <c r="MK115" i="17"/>
  <c r="MC115" i="17"/>
  <c r="MJ115" i="17"/>
  <c r="MB115" i="17"/>
  <c r="JM115" i="17"/>
  <c r="MI115" i="17"/>
  <c r="MA115" i="17"/>
  <c r="MH115" i="17"/>
  <c r="LZ115" i="17"/>
  <c r="MG115" i="17"/>
  <c r="LY115" i="17"/>
  <c r="FH115" i="17"/>
  <c r="FP115" i="17"/>
  <c r="FX115" i="17"/>
  <c r="GF115" i="17"/>
  <c r="GN115" i="17"/>
  <c r="GV115" i="17"/>
  <c r="FI115" i="17"/>
  <c r="FQ115" i="17"/>
  <c r="FY115" i="17"/>
  <c r="GG115" i="17"/>
  <c r="GO115" i="17"/>
  <c r="GW115" i="17"/>
  <c r="FJ115" i="17"/>
  <c r="FR115" i="17"/>
  <c r="GH115" i="17"/>
  <c r="GP115" i="17"/>
  <c r="GX115" i="17"/>
  <c r="FK115" i="17"/>
  <c r="FS115" i="17"/>
  <c r="GA115" i="17"/>
  <c r="GI115" i="17"/>
  <c r="GQ115" i="17"/>
  <c r="GY115" i="17"/>
  <c r="FD115" i="17"/>
  <c r="FL115" i="17"/>
  <c r="FT115" i="17"/>
  <c r="GB115" i="17"/>
  <c r="GJ115" i="17"/>
  <c r="GR115" i="17"/>
  <c r="FE115" i="17"/>
  <c r="FM115" i="17"/>
  <c r="FU115" i="17"/>
  <c r="GC115" i="17"/>
  <c r="GK115" i="17"/>
  <c r="GS115" i="17"/>
  <c r="HA115" i="17"/>
  <c r="FF115" i="17"/>
  <c r="FN115" i="17"/>
  <c r="FV115" i="17"/>
  <c r="GD115" i="17"/>
  <c r="GL115" i="17"/>
  <c r="GT115" i="17"/>
  <c r="HB115" i="17"/>
  <c r="HC115" i="17"/>
  <c r="GU115" i="17"/>
  <c r="FC115" i="17"/>
  <c r="FG115" i="17"/>
  <c r="FO115" i="17"/>
  <c r="FW115" i="17"/>
  <c r="GE115" i="17"/>
  <c r="GM115" i="17"/>
  <c r="LW116" i="17"/>
  <c r="JP116" i="17"/>
  <c r="JO123" i="17"/>
  <c r="LV123" i="17"/>
  <c r="JM52" i="17"/>
  <c r="LT52" i="17"/>
  <c r="JO53" i="17"/>
  <c r="LV53" i="17"/>
  <c r="LV57" i="17"/>
  <c r="JO57" i="17"/>
  <c r="JN60" i="17"/>
  <c r="LU60" i="17"/>
  <c r="LV64" i="17"/>
  <c r="JO64" i="17"/>
  <c r="LU67" i="17"/>
  <c r="JN67" i="17"/>
  <c r="JM33" i="17"/>
  <c r="LT33" i="17"/>
  <c r="JO34" i="17"/>
  <c r="LV34" i="17"/>
  <c r="JR37" i="17"/>
  <c r="LT37" i="17"/>
  <c r="MM37" i="17"/>
  <c r="ME37" i="17"/>
  <c r="ML37" i="17"/>
  <c r="MD37" i="17"/>
  <c r="MK37" i="17"/>
  <c r="MC37" i="17"/>
  <c r="MJ37" i="17"/>
  <c r="MB37" i="17"/>
  <c r="JM37" i="17"/>
  <c r="MI37" i="17"/>
  <c r="MA37" i="17"/>
  <c r="MH37" i="17"/>
  <c r="LZ37" i="17"/>
  <c r="MG37" i="17"/>
  <c r="LY37" i="17"/>
  <c r="MF37" i="17"/>
  <c r="MN37" i="17"/>
  <c r="FI37" i="17"/>
  <c r="FQ37" i="17"/>
  <c r="FY37" i="17"/>
  <c r="GG37" i="17"/>
  <c r="GO37" i="17"/>
  <c r="GW37" i="17"/>
  <c r="GN37" i="17"/>
  <c r="FJ37" i="17"/>
  <c r="FR37" i="17"/>
  <c r="GH37" i="17"/>
  <c r="GP37" i="17"/>
  <c r="GX37" i="17"/>
  <c r="FK37" i="17"/>
  <c r="FS37" i="17"/>
  <c r="GA37" i="17"/>
  <c r="GI37" i="17"/>
  <c r="GQ37" i="17"/>
  <c r="GY37" i="17"/>
  <c r="FH37" i="17"/>
  <c r="FD37" i="17"/>
  <c r="FL37" i="17"/>
  <c r="FT37" i="17"/>
  <c r="GB37" i="17"/>
  <c r="GJ37" i="17"/>
  <c r="HI37" i="17" s="1"/>
  <c r="GR37" i="17"/>
  <c r="FX37" i="17"/>
  <c r="FE37" i="17"/>
  <c r="FM37" i="17"/>
  <c r="FU37" i="17"/>
  <c r="GC37" i="17"/>
  <c r="GK37" i="17"/>
  <c r="GS37" i="17"/>
  <c r="HA37" i="17"/>
  <c r="GF37" i="17"/>
  <c r="FF37" i="17"/>
  <c r="FN37" i="17"/>
  <c r="FV37" i="17"/>
  <c r="GD37" i="17"/>
  <c r="GL37" i="17"/>
  <c r="GT37" i="17"/>
  <c r="HB37" i="17"/>
  <c r="FC37" i="17"/>
  <c r="GV37" i="17"/>
  <c r="FG37" i="17"/>
  <c r="FO37" i="17"/>
  <c r="FW37" i="17"/>
  <c r="GE37" i="17"/>
  <c r="GM37" i="17"/>
  <c r="GU37" i="17"/>
  <c r="HC37" i="17"/>
  <c r="FP37" i="17"/>
  <c r="LW38" i="17"/>
  <c r="JP38" i="17"/>
  <c r="JN41" i="17"/>
  <c r="LU41" i="17"/>
  <c r="LV45" i="17"/>
  <c r="JO45" i="17"/>
  <c r="LT48" i="17"/>
  <c r="JM48" i="17"/>
  <c r="LW49" i="17"/>
  <c r="JP49" i="17"/>
  <c r="LU18" i="17"/>
  <c r="JN18" i="17"/>
  <c r="JP19" i="17"/>
  <c r="LW19" i="17"/>
  <c r="LT21" i="17"/>
  <c r="JM21" i="17"/>
  <c r="JN77" i="17"/>
  <c r="LU77" i="17"/>
  <c r="JP80" i="17"/>
  <c r="LW80" i="17"/>
  <c r="JM72" i="17"/>
  <c r="LT72" i="17"/>
  <c r="LW73" i="17"/>
  <c r="JP73" i="17"/>
  <c r="JN87" i="17"/>
  <c r="LU87" i="17"/>
  <c r="LU91" i="17"/>
  <c r="JN91" i="17"/>
  <c r="JP92" i="17"/>
  <c r="LW92" i="17"/>
  <c r="LT94" i="17"/>
  <c r="JM94" i="17"/>
  <c r="JN73" i="17"/>
  <c r="LU73" i="17"/>
  <c r="JN11" i="17"/>
  <c r="LU11" i="17"/>
  <c r="LW12" i="17"/>
  <c r="JP12" i="17"/>
  <c r="JM15" i="17"/>
  <c r="LT15" i="17"/>
  <c r="JM98" i="17"/>
  <c r="LT98" i="17"/>
  <c r="LV99" i="17"/>
  <c r="JO99" i="17"/>
  <c r="JR102" i="17"/>
  <c r="LT102" i="17"/>
  <c r="MJ102" i="17"/>
  <c r="MB102" i="17"/>
  <c r="JM102" i="17"/>
  <c r="MI102" i="17"/>
  <c r="MA102" i="17"/>
  <c r="MH102" i="17"/>
  <c r="LZ102" i="17"/>
  <c r="MG102" i="17"/>
  <c r="LY102" i="17"/>
  <c r="MN102" i="17"/>
  <c r="MF102" i="17"/>
  <c r="MM102" i="17"/>
  <c r="ME102" i="17"/>
  <c r="ML102" i="17"/>
  <c r="MD102" i="17"/>
  <c r="MK102" i="17"/>
  <c r="MC102" i="17"/>
  <c r="FH102" i="17"/>
  <c r="FP102" i="17"/>
  <c r="FX102" i="17"/>
  <c r="GF102" i="17"/>
  <c r="GN102" i="17"/>
  <c r="GV102" i="17"/>
  <c r="FI102" i="17"/>
  <c r="FQ102" i="17"/>
  <c r="FY102" i="17"/>
  <c r="GG102" i="17"/>
  <c r="GO102" i="17"/>
  <c r="GW102" i="17"/>
  <c r="FJ102" i="17"/>
  <c r="FR102" i="17"/>
  <c r="GH102" i="17"/>
  <c r="GP102" i="17"/>
  <c r="GX102" i="17"/>
  <c r="FK102" i="17"/>
  <c r="FS102" i="17"/>
  <c r="GA102" i="17"/>
  <c r="GI102" i="17"/>
  <c r="GQ102" i="17"/>
  <c r="GY102" i="17"/>
  <c r="FD102" i="17"/>
  <c r="FL102" i="17"/>
  <c r="FT102" i="17"/>
  <c r="GB102" i="17"/>
  <c r="GJ102" i="17"/>
  <c r="GR102" i="17"/>
  <c r="FE102" i="17"/>
  <c r="FM102" i="17"/>
  <c r="FU102" i="17"/>
  <c r="GC102" i="17"/>
  <c r="GK102" i="17"/>
  <c r="GS102" i="17"/>
  <c r="HA102" i="17"/>
  <c r="FF102" i="17"/>
  <c r="FN102" i="17"/>
  <c r="FV102" i="17"/>
  <c r="GD102" i="17"/>
  <c r="GL102" i="17"/>
  <c r="GT102" i="17"/>
  <c r="HB102" i="17"/>
  <c r="GE102" i="17"/>
  <c r="GM102" i="17"/>
  <c r="FC102" i="17"/>
  <c r="GU102" i="17"/>
  <c r="HC102" i="17"/>
  <c r="FG102" i="17"/>
  <c r="FO102" i="17"/>
  <c r="FW102" i="17"/>
  <c r="JP103" i="17"/>
  <c r="LW103" i="17"/>
  <c r="LU106" i="17"/>
  <c r="JN106" i="17"/>
  <c r="JN25" i="17"/>
  <c r="LU25" i="17"/>
  <c r="JP27" i="17"/>
  <c r="LW27" i="17"/>
  <c r="JM120" i="17"/>
  <c r="LT120" i="17"/>
  <c r="JP123" i="17"/>
  <c r="LW123" i="17"/>
  <c r="JN52" i="17"/>
  <c r="LU52" i="17"/>
  <c r="JP53" i="17"/>
  <c r="LW53" i="17"/>
  <c r="JM55" i="17"/>
  <c r="LT55" i="17"/>
  <c r="JM59" i="17"/>
  <c r="LT59" i="17"/>
  <c r="LV60" i="17"/>
  <c r="JO60" i="17"/>
  <c r="JR63" i="17"/>
  <c r="LT63" i="17"/>
  <c r="MK63" i="17"/>
  <c r="MC63" i="17"/>
  <c r="MJ63" i="17"/>
  <c r="MB63" i="17"/>
  <c r="JM63" i="17"/>
  <c r="MI63" i="17"/>
  <c r="MA63" i="17"/>
  <c r="MH63" i="17"/>
  <c r="LZ63" i="17"/>
  <c r="MG63" i="17"/>
  <c r="LY63" i="17"/>
  <c r="MN63" i="17"/>
  <c r="MF63" i="17"/>
  <c r="MM63" i="17"/>
  <c r="ME63" i="17"/>
  <c r="ML63" i="17"/>
  <c r="MD63" i="17"/>
  <c r="FE63" i="17"/>
  <c r="FM63" i="17"/>
  <c r="FU63" i="17"/>
  <c r="GC63" i="17"/>
  <c r="GK63" i="17"/>
  <c r="GS63" i="17"/>
  <c r="HA63" i="17"/>
  <c r="FC63" i="17"/>
  <c r="GB63" i="17"/>
  <c r="FF63" i="17"/>
  <c r="FN63" i="17"/>
  <c r="FV63" i="17"/>
  <c r="GD63" i="17"/>
  <c r="GL63" i="17"/>
  <c r="GT63" i="17"/>
  <c r="HB63" i="17"/>
  <c r="FG63" i="17"/>
  <c r="FO63" i="17"/>
  <c r="FW63" i="17"/>
  <c r="GE63" i="17"/>
  <c r="GM63" i="17"/>
  <c r="GU63" i="17"/>
  <c r="HC63" i="17"/>
  <c r="FD63" i="17"/>
  <c r="GR63" i="17"/>
  <c r="FH63" i="17"/>
  <c r="FP63" i="17"/>
  <c r="FX63" i="17"/>
  <c r="GF63" i="17"/>
  <c r="GN63" i="17"/>
  <c r="GV63" i="17"/>
  <c r="FT63" i="17"/>
  <c r="FI63" i="17"/>
  <c r="FQ63" i="17"/>
  <c r="FY63" i="17"/>
  <c r="GG63" i="17"/>
  <c r="GO63" i="17"/>
  <c r="GW63" i="17"/>
  <c r="FL63" i="17"/>
  <c r="FJ63" i="17"/>
  <c r="FR63" i="17"/>
  <c r="GH63" i="17"/>
  <c r="GP63" i="17"/>
  <c r="GX63" i="17"/>
  <c r="FK63" i="17"/>
  <c r="FS63" i="17"/>
  <c r="GA63" i="17"/>
  <c r="GI63" i="17"/>
  <c r="GQ63" i="17"/>
  <c r="GY63" i="17"/>
  <c r="GJ63" i="17"/>
  <c r="HI63" i="17" s="1"/>
  <c r="LW64" i="17"/>
  <c r="JP64" i="17"/>
  <c r="LV67" i="17"/>
  <c r="JO67" i="17"/>
  <c r="LT109" i="17"/>
  <c r="JM109" i="17"/>
  <c r="LV30" i="17"/>
  <c r="JO30" i="17"/>
  <c r="JN33" i="17"/>
  <c r="LU33" i="17"/>
  <c r="JP34" i="17"/>
  <c r="LW34" i="17"/>
  <c r="JM40" i="17"/>
  <c r="LT40" i="17"/>
  <c r="LV41" i="17"/>
  <c r="JO41" i="17"/>
  <c r="JR44" i="17"/>
  <c r="MK44" i="17"/>
  <c r="MC44" i="17"/>
  <c r="MJ44" i="17"/>
  <c r="MB44" i="17"/>
  <c r="JM44" i="17"/>
  <c r="MI44" i="17"/>
  <c r="MA44" i="17"/>
  <c r="MH44" i="17"/>
  <c r="LZ44" i="17"/>
  <c r="LT44" i="17"/>
  <c r="MG44" i="17"/>
  <c r="LY44" i="17"/>
  <c r="MN44" i="17"/>
  <c r="MF44" i="17"/>
  <c r="MM44" i="17"/>
  <c r="ME44" i="17"/>
  <c r="ML44" i="17"/>
  <c r="MD44" i="17"/>
  <c r="FE44" i="17"/>
  <c r="FM44" i="17"/>
  <c r="FU44" i="17"/>
  <c r="GC44" i="17"/>
  <c r="GK44" i="17"/>
  <c r="GS44" i="17"/>
  <c r="HA44" i="17"/>
  <c r="FL44" i="17"/>
  <c r="FF44" i="17"/>
  <c r="FN44" i="17"/>
  <c r="FV44" i="17"/>
  <c r="GD44" i="17"/>
  <c r="GL44" i="17"/>
  <c r="GT44" i="17"/>
  <c r="HB44" i="17"/>
  <c r="FG44" i="17"/>
  <c r="FO44" i="17"/>
  <c r="FW44" i="17"/>
  <c r="GE44" i="17"/>
  <c r="GM44" i="17"/>
  <c r="GU44" i="17"/>
  <c r="HC44" i="17"/>
  <c r="GB44" i="17"/>
  <c r="FH44" i="17"/>
  <c r="FP44" i="17"/>
  <c r="FX44" i="17"/>
  <c r="GF44" i="17"/>
  <c r="GN44" i="17"/>
  <c r="GV44" i="17"/>
  <c r="FD44" i="17"/>
  <c r="FI44" i="17"/>
  <c r="FQ44" i="17"/>
  <c r="FY44" i="17"/>
  <c r="GG44" i="17"/>
  <c r="GO44" i="17"/>
  <c r="GW44" i="17"/>
  <c r="FC44" i="17"/>
  <c r="FT44" i="17"/>
  <c r="FJ44" i="17"/>
  <c r="FR44" i="17"/>
  <c r="GH44" i="17"/>
  <c r="GP44" i="17"/>
  <c r="GX44" i="17"/>
  <c r="GJ44" i="17"/>
  <c r="HI44" i="17" s="1"/>
  <c r="FK44" i="17"/>
  <c r="FS44" i="17"/>
  <c r="GA44" i="17"/>
  <c r="GI44" i="17"/>
  <c r="GQ44" i="17"/>
  <c r="GY44" i="17"/>
  <c r="GR44" i="17"/>
  <c r="LW45" i="17"/>
  <c r="JP45" i="17"/>
  <c r="LU48" i="17"/>
  <c r="JN48" i="17"/>
  <c r="JO18" i="17"/>
  <c r="LV18" i="17"/>
  <c r="LU21" i="17"/>
  <c r="JN21" i="17"/>
  <c r="JM76" i="17"/>
  <c r="LT76" i="17"/>
  <c r="JO77" i="17"/>
  <c r="LV77" i="17"/>
  <c r="LV69" i="17"/>
  <c r="JO69" i="17"/>
  <c r="JN72" i="17"/>
  <c r="LU72" i="17"/>
  <c r="JM86" i="17"/>
  <c r="LT86" i="17"/>
  <c r="JO87" i="17"/>
  <c r="LV87" i="17"/>
  <c r="JR90" i="17"/>
  <c r="ML90" i="17"/>
  <c r="MD90" i="17"/>
  <c r="MK90" i="17"/>
  <c r="MC90" i="17"/>
  <c r="MJ90" i="17"/>
  <c r="MB90" i="17"/>
  <c r="MI90" i="17"/>
  <c r="MA90" i="17"/>
  <c r="MH90" i="17"/>
  <c r="LZ90" i="17"/>
  <c r="LT90" i="17"/>
  <c r="MG90" i="17"/>
  <c r="LY90" i="17"/>
  <c r="MN90" i="17"/>
  <c r="MF90" i="17"/>
  <c r="JM90" i="17"/>
  <c r="MM90" i="17"/>
  <c r="ME90" i="17"/>
  <c r="FG90" i="17"/>
  <c r="FO90" i="17"/>
  <c r="FW90" i="17"/>
  <c r="GE90" i="17"/>
  <c r="GM90" i="17"/>
  <c r="GU90" i="17"/>
  <c r="HC90" i="17"/>
  <c r="FH90" i="17"/>
  <c r="FP90" i="17"/>
  <c r="FX90" i="17"/>
  <c r="GF90" i="17"/>
  <c r="GN90" i="17"/>
  <c r="GV90" i="17"/>
  <c r="FI90" i="17"/>
  <c r="FQ90" i="17"/>
  <c r="FY90" i="17"/>
  <c r="GG90" i="17"/>
  <c r="GO90" i="17"/>
  <c r="GW90" i="17"/>
  <c r="FJ90" i="17"/>
  <c r="FR90" i="17"/>
  <c r="GH90" i="17"/>
  <c r="GP90" i="17"/>
  <c r="GX90" i="17"/>
  <c r="FK90" i="17"/>
  <c r="FS90" i="17"/>
  <c r="GA90" i="17"/>
  <c r="GI90" i="17"/>
  <c r="GQ90" i="17"/>
  <c r="GY90" i="17"/>
  <c r="FD90" i="17"/>
  <c r="FL90" i="17"/>
  <c r="FT90" i="17"/>
  <c r="GB90" i="17"/>
  <c r="GJ90" i="17"/>
  <c r="HI90" i="17" s="1"/>
  <c r="GR90" i="17"/>
  <c r="FE90" i="17"/>
  <c r="FM90" i="17"/>
  <c r="FU90" i="17"/>
  <c r="GC90" i="17"/>
  <c r="GK90" i="17"/>
  <c r="GS90" i="17"/>
  <c r="HA90" i="17"/>
  <c r="HB90" i="17"/>
  <c r="FF90" i="17"/>
  <c r="FN90" i="17"/>
  <c r="FV90" i="17"/>
  <c r="GD90" i="17"/>
  <c r="FC90" i="17"/>
  <c r="GL90" i="17"/>
  <c r="GT90" i="17"/>
  <c r="JO91" i="17"/>
  <c r="LV91" i="17"/>
  <c r="LU94" i="17"/>
  <c r="JN94" i="17"/>
  <c r="LV70" i="17"/>
  <c r="JO70" i="17"/>
  <c r="JO11" i="17"/>
  <c r="LV11" i="17"/>
  <c r="JN15" i="17"/>
  <c r="LU15" i="17"/>
  <c r="LU98" i="17"/>
  <c r="JN98" i="17"/>
  <c r="LW99" i="17"/>
  <c r="JP99" i="17"/>
  <c r="LT105" i="17"/>
  <c r="JM105" i="17"/>
  <c r="LV106" i="17"/>
  <c r="JO106" i="17"/>
  <c r="LT24" i="17"/>
  <c r="JM24" i="17"/>
  <c r="JO25" i="17"/>
  <c r="LV25" i="17"/>
  <c r="LV115" i="17"/>
  <c r="JO115" i="17"/>
  <c r="JN120" i="17"/>
  <c r="LU120" i="17"/>
  <c r="JO52" i="17"/>
  <c r="LV52" i="17"/>
  <c r="JN55" i="17"/>
  <c r="LU55" i="17"/>
  <c r="JN59" i="17"/>
  <c r="LU59" i="17"/>
  <c r="LW60" i="17"/>
  <c r="JP60" i="17"/>
  <c r="LT66" i="17"/>
  <c r="JM66" i="17"/>
  <c r="LW67" i="17"/>
  <c r="JP67" i="17"/>
  <c r="LU109" i="17"/>
  <c r="JN109" i="17"/>
  <c r="JM32" i="17"/>
  <c r="LT32" i="17"/>
  <c r="JO33" i="17"/>
  <c r="LV33" i="17"/>
  <c r="LV37" i="17"/>
  <c r="JO37" i="17"/>
  <c r="JN40" i="17"/>
  <c r="LU40" i="17"/>
  <c r="LW41" i="17"/>
  <c r="JP41" i="17"/>
  <c r="LT47" i="17"/>
  <c r="JM47" i="17"/>
  <c r="LV48" i="17"/>
  <c r="JO48" i="17"/>
  <c r="JR17" i="17"/>
  <c r="LT17" i="17"/>
  <c r="MI17" i="17"/>
  <c r="MA17" i="17"/>
  <c r="MH17" i="17"/>
  <c r="LZ17" i="17"/>
  <c r="MG17" i="17"/>
  <c r="LY17" i="17"/>
  <c r="MN17" i="17"/>
  <c r="MF17" i="17"/>
  <c r="MM17" i="17"/>
  <c r="ME17" i="17"/>
  <c r="ML17" i="17"/>
  <c r="MD17" i="17"/>
  <c r="MK17" i="17"/>
  <c r="MC17" i="17"/>
  <c r="MB17" i="17"/>
  <c r="JM17" i="17"/>
  <c r="MJ17" i="17"/>
  <c r="FI17" i="17"/>
  <c r="FQ17" i="17"/>
  <c r="FY17" i="17"/>
  <c r="GG17" i="17"/>
  <c r="GO17" i="17"/>
  <c r="GW17" i="17"/>
  <c r="GV17" i="17"/>
  <c r="FJ17" i="17"/>
  <c r="FR17" i="17"/>
  <c r="GH17" i="17"/>
  <c r="GP17" i="17"/>
  <c r="GX17" i="17"/>
  <c r="FK17" i="17"/>
  <c r="FS17" i="17"/>
  <c r="GA17" i="17"/>
  <c r="GI17" i="17"/>
  <c r="GQ17" i="17"/>
  <c r="GY17" i="17"/>
  <c r="GF17" i="17"/>
  <c r="FD17" i="17"/>
  <c r="FL17" i="17"/>
  <c r="FT17" i="17"/>
  <c r="GB17" i="17"/>
  <c r="GJ17" i="17"/>
  <c r="HI17" i="17" s="1"/>
  <c r="GR17" i="17"/>
  <c r="FC17" i="17"/>
  <c r="FH17" i="17"/>
  <c r="FE17" i="17"/>
  <c r="FM17" i="17"/>
  <c r="FU17" i="17"/>
  <c r="GC17" i="17"/>
  <c r="GK17" i="17"/>
  <c r="GS17" i="17"/>
  <c r="HA17" i="17"/>
  <c r="FP17" i="17"/>
  <c r="FF17" i="17"/>
  <c r="FN17" i="17"/>
  <c r="FV17" i="17"/>
  <c r="GD17" i="17"/>
  <c r="GL17" i="17"/>
  <c r="GT17" i="17"/>
  <c r="HB17" i="17"/>
  <c r="FX17" i="17"/>
  <c r="FG17" i="17"/>
  <c r="FO17" i="17"/>
  <c r="FW17" i="17"/>
  <c r="GE17" i="17"/>
  <c r="GM17" i="17"/>
  <c r="GU17" i="17"/>
  <c r="HC17" i="17"/>
  <c r="GN17" i="17"/>
  <c r="JP18" i="17"/>
  <c r="LW18" i="17"/>
  <c r="JO21" i="17"/>
  <c r="LV21" i="17"/>
  <c r="JN76" i="17"/>
  <c r="LU76" i="17"/>
  <c r="JP77" i="17"/>
  <c r="LW77" i="17"/>
  <c r="JM78" i="17"/>
  <c r="LT78" i="17"/>
  <c r="JM71" i="17"/>
  <c r="LT71" i="17"/>
  <c r="LV72" i="17"/>
  <c r="JO72" i="17"/>
  <c r="JN86" i="17"/>
  <c r="LU86" i="17"/>
  <c r="JP87" i="17"/>
  <c r="LW87" i="17"/>
  <c r="JP91" i="17"/>
  <c r="LW91" i="17"/>
  <c r="JO94" i="17"/>
  <c r="LV94" i="17"/>
  <c r="MN10" i="17"/>
  <c r="MF10" i="17"/>
  <c r="MM10" i="17"/>
  <c r="ME10" i="17"/>
  <c r="JM10" i="17"/>
  <c r="ML10" i="17"/>
  <c r="MD10" i="17"/>
  <c r="MK10" i="17"/>
  <c r="MC10" i="17"/>
  <c r="MJ10" i="17"/>
  <c r="MB10" i="17"/>
  <c r="MQ10" i="17"/>
  <c r="MI10" i="17"/>
  <c r="MA10" i="17"/>
  <c r="MP10" i="17"/>
  <c r="MH10" i="17"/>
  <c r="LZ10" i="17"/>
  <c r="JR10" i="17"/>
  <c r="MG10" i="17"/>
  <c r="LY10" i="17"/>
  <c r="MO10" i="17"/>
  <c r="LW11" i="17"/>
  <c r="JP11" i="17"/>
  <c r="JO15" i="17"/>
  <c r="LV15" i="17"/>
  <c r="JM97" i="17"/>
  <c r="LT97" i="17"/>
  <c r="LV98" i="17"/>
  <c r="JO98" i="17"/>
  <c r="LV102" i="17"/>
  <c r="JO102" i="17"/>
  <c r="LU105" i="17"/>
  <c r="JN105" i="17"/>
  <c r="JP106" i="17"/>
  <c r="LW106" i="17"/>
  <c r="JN24" i="17"/>
  <c r="LU24" i="17"/>
  <c r="JP25" i="17"/>
  <c r="LW25" i="17"/>
  <c r="LT28" i="17"/>
  <c r="JM28" i="17"/>
  <c r="JM118" i="17"/>
  <c r="LT118" i="17"/>
  <c r="JO120" i="17"/>
  <c r="LV120" i="17"/>
  <c r="JR51" i="17"/>
  <c r="LT51" i="17"/>
  <c r="MG51" i="17"/>
  <c r="LY51" i="17"/>
  <c r="MN51" i="17"/>
  <c r="MF51" i="17"/>
  <c r="MM51" i="17"/>
  <c r="ME51" i="17"/>
  <c r="ML51" i="17"/>
  <c r="MD51" i="17"/>
  <c r="MK51" i="17"/>
  <c r="MC51" i="17"/>
  <c r="MJ51" i="17"/>
  <c r="MB51" i="17"/>
  <c r="JM51" i="17"/>
  <c r="MI51" i="17"/>
  <c r="MA51" i="17"/>
  <c r="MH51" i="17"/>
  <c r="LZ51" i="17"/>
  <c r="FE51" i="17"/>
  <c r="FM51" i="17"/>
  <c r="FU51" i="17"/>
  <c r="GC51" i="17"/>
  <c r="GK51" i="17"/>
  <c r="GS51" i="17"/>
  <c r="HA51" i="17"/>
  <c r="FD51" i="17"/>
  <c r="GJ51" i="17"/>
  <c r="HI51" i="17" s="1"/>
  <c r="FF51" i="17"/>
  <c r="FN51" i="17"/>
  <c r="FV51" i="17"/>
  <c r="GD51" i="17"/>
  <c r="GL51" i="17"/>
  <c r="GT51" i="17"/>
  <c r="HB51" i="17"/>
  <c r="FG51" i="17"/>
  <c r="FO51" i="17"/>
  <c r="FW51" i="17"/>
  <c r="GE51" i="17"/>
  <c r="GM51" i="17"/>
  <c r="GU51" i="17"/>
  <c r="HC51" i="17"/>
  <c r="FC51" i="17"/>
  <c r="GB51" i="17"/>
  <c r="FH51" i="17"/>
  <c r="FP51" i="17"/>
  <c r="FX51" i="17"/>
  <c r="GF51" i="17"/>
  <c r="GN51" i="17"/>
  <c r="GV51" i="17"/>
  <c r="FL51" i="17"/>
  <c r="FI51" i="17"/>
  <c r="FQ51" i="17"/>
  <c r="FY51" i="17"/>
  <c r="GG51" i="17"/>
  <c r="GO51" i="17"/>
  <c r="GW51" i="17"/>
  <c r="GR51" i="17"/>
  <c r="FJ51" i="17"/>
  <c r="FR51" i="17"/>
  <c r="GH51" i="17"/>
  <c r="GP51" i="17"/>
  <c r="GX51" i="17"/>
  <c r="FK51" i="17"/>
  <c r="FS51" i="17"/>
  <c r="GA51" i="17"/>
  <c r="GI51" i="17"/>
  <c r="GQ51" i="17"/>
  <c r="GY51" i="17"/>
  <c r="FT51" i="17"/>
  <c r="JP52" i="17"/>
  <c r="LW52" i="17"/>
  <c r="JO55" i="17"/>
  <c r="LV55" i="17"/>
  <c r="JM58" i="17"/>
  <c r="LT58" i="17"/>
  <c r="LV59" i="17"/>
  <c r="JO59" i="17"/>
  <c r="JO63" i="17"/>
  <c r="LV63" i="17"/>
  <c r="LU66" i="17"/>
  <c r="JN66" i="17"/>
  <c r="JO109" i="17"/>
  <c r="LV109" i="17"/>
  <c r="JN32" i="17"/>
  <c r="LU32" i="17"/>
  <c r="JP33" i="17"/>
  <c r="LW33" i="17"/>
  <c r="JM35" i="17"/>
  <c r="LT35" i="17"/>
  <c r="JM39" i="17"/>
  <c r="LT39" i="17"/>
  <c r="LV40" i="17"/>
  <c r="JO40" i="17"/>
  <c r="JO44" i="17"/>
  <c r="LV44" i="17"/>
  <c r="LU47" i="17"/>
  <c r="JN47" i="17"/>
  <c r="LW48" i="17"/>
  <c r="JP48" i="17"/>
  <c r="LT20" i="17"/>
  <c r="JM20" i="17"/>
  <c r="JP21" i="17"/>
  <c r="LW21" i="17"/>
  <c r="JO76" i="17"/>
  <c r="LV76" i="17"/>
  <c r="JN78" i="17"/>
  <c r="LU78" i="17"/>
  <c r="JN71" i="17"/>
  <c r="LU71" i="17"/>
  <c r="LW72" i="17"/>
  <c r="JP72" i="17"/>
  <c r="JM85" i="17"/>
  <c r="LT85" i="17"/>
  <c r="JO86" i="17"/>
  <c r="LV86" i="17"/>
  <c r="JO90" i="17"/>
  <c r="LV90" i="17"/>
  <c r="LT93" i="17"/>
  <c r="JM93" i="17"/>
  <c r="JP94" i="17"/>
  <c r="LW94" i="17"/>
  <c r="JN80" i="17"/>
  <c r="LU80" i="17"/>
  <c r="JM13" i="17"/>
  <c r="LT13" i="17"/>
  <c r="LW15" i="17"/>
  <c r="JP15" i="17"/>
  <c r="LU97" i="17"/>
  <c r="JN97" i="17"/>
  <c r="LW98" i="17"/>
  <c r="JP98" i="17"/>
  <c r="JM100" i="17"/>
  <c r="LT100" i="17"/>
  <c r="LT104" i="17"/>
  <c r="JM104" i="17"/>
  <c r="LV105" i="17"/>
  <c r="JO105" i="17"/>
  <c r="JO24" i="17"/>
  <c r="LV24" i="17"/>
  <c r="JN28" i="17"/>
  <c r="LU28" i="17"/>
  <c r="JN118" i="17"/>
  <c r="LU118" i="17"/>
  <c r="LW120" i="17"/>
  <c r="JP120" i="17"/>
  <c r="JM54" i="17"/>
  <c r="LT54" i="17"/>
  <c r="JP55" i="17"/>
  <c r="LW55" i="17"/>
  <c r="JN58" i="17"/>
  <c r="LU58" i="17"/>
  <c r="LW59" i="17"/>
  <c r="JP59" i="17"/>
  <c r="JM61" i="17"/>
  <c r="LT61" i="17"/>
  <c r="LT65" i="17"/>
  <c r="JM65" i="17"/>
  <c r="LV66" i="17"/>
  <c r="JO66" i="17"/>
  <c r="JR108" i="17"/>
  <c r="LT108" i="17"/>
  <c r="MI108" i="17"/>
  <c r="MA108" i="17"/>
  <c r="MH108" i="17"/>
  <c r="LZ108" i="17"/>
  <c r="MG108" i="17"/>
  <c r="LY108" i="17"/>
  <c r="MN108" i="17"/>
  <c r="MF108" i="17"/>
  <c r="MM108" i="17"/>
  <c r="ME108" i="17"/>
  <c r="ML108" i="17"/>
  <c r="MD108" i="17"/>
  <c r="MK108" i="17"/>
  <c r="MC108" i="17"/>
  <c r="MB108" i="17"/>
  <c r="JM108" i="17"/>
  <c r="MJ108" i="17"/>
  <c r="FI108" i="17"/>
  <c r="FQ108" i="17"/>
  <c r="FY108" i="17"/>
  <c r="GG108" i="17"/>
  <c r="GO108" i="17"/>
  <c r="GW108" i="17"/>
  <c r="FH108" i="17"/>
  <c r="FJ108" i="17"/>
  <c r="FR108" i="17"/>
  <c r="GH108" i="17"/>
  <c r="GP108" i="17"/>
  <c r="GX108" i="17"/>
  <c r="FK108" i="17"/>
  <c r="FS108" i="17"/>
  <c r="GA108" i="17"/>
  <c r="GI108" i="17"/>
  <c r="GQ108" i="17"/>
  <c r="GY108" i="17"/>
  <c r="GF108" i="17"/>
  <c r="FD108" i="17"/>
  <c r="FL108" i="17"/>
  <c r="FT108" i="17"/>
  <c r="GB108" i="17"/>
  <c r="GJ108" i="17"/>
  <c r="HI108" i="17" s="1"/>
  <c r="GR108" i="17"/>
  <c r="FX108" i="17"/>
  <c r="FC108" i="17"/>
  <c r="FE108" i="17"/>
  <c r="FM108" i="17"/>
  <c r="FU108" i="17"/>
  <c r="GC108" i="17"/>
  <c r="GK108" i="17"/>
  <c r="GS108" i="17"/>
  <c r="HA108" i="17"/>
  <c r="GV108" i="17"/>
  <c r="FF108" i="17"/>
  <c r="FN108" i="17"/>
  <c r="FV108" i="17"/>
  <c r="GD108" i="17"/>
  <c r="GL108" i="17"/>
  <c r="GT108" i="17"/>
  <c r="HB108" i="17"/>
  <c r="FP108" i="17"/>
  <c r="FG108" i="17"/>
  <c r="FO108" i="17"/>
  <c r="FW108" i="17"/>
  <c r="GE108" i="17"/>
  <c r="GM108" i="17"/>
  <c r="GU108" i="17"/>
  <c r="HC108" i="17"/>
  <c r="GN108" i="17"/>
  <c r="JP109" i="17"/>
  <c r="LW109" i="17"/>
  <c r="JM31" i="17"/>
  <c r="LT31" i="17"/>
  <c r="JO32" i="17"/>
  <c r="LV32" i="17"/>
  <c r="JN35" i="17"/>
  <c r="LU35" i="17"/>
  <c r="JN39" i="17"/>
  <c r="LU39" i="17"/>
  <c r="LW40" i="17"/>
  <c r="JP40" i="17"/>
  <c r="JM42" i="17"/>
  <c r="LT42" i="17"/>
  <c r="LT46" i="17"/>
  <c r="JM46" i="17"/>
  <c r="LV47" i="17"/>
  <c r="JO47" i="17"/>
  <c r="LV17" i="17"/>
  <c r="JO17" i="17"/>
  <c r="LU20" i="17"/>
  <c r="JN20" i="17"/>
  <c r="JP76" i="17"/>
  <c r="LW76" i="17"/>
  <c r="JO78" i="17"/>
  <c r="LV78" i="17"/>
  <c r="JM70" i="17"/>
  <c r="LT70" i="17"/>
  <c r="LV71" i="17"/>
  <c r="JO71" i="17"/>
  <c r="JN85" i="17"/>
  <c r="LU85" i="17"/>
  <c r="JP86" i="17"/>
  <c r="LW86" i="17"/>
  <c r="JM88" i="17"/>
  <c r="LT88" i="17"/>
  <c r="LU93" i="17"/>
  <c r="JN93" i="17"/>
  <c r="JO10" i="17"/>
  <c r="LV10" i="17"/>
  <c r="JN13" i="17"/>
  <c r="LU13" i="17"/>
  <c r="LV97" i="17"/>
  <c r="JO97" i="17"/>
  <c r="LU100" i="17"/>
  <c r="JN100" i="17"/>
  <c r="LU104" i="17"/>
  <c r="JN104" i="17"/>
  <c r="JP105" i="17"/>
  <c r="LW105" i="17"/>
  <c r="JR23" i="17"/>
  <c r="LT23" i="17"/>
  <c r="MH23" i="17"/>
  <c r="LZ23" i="17"/>
  <c r="MG23" i="17"/>
  <c r="LY23" i="17"/>
  <c r="MN23" i="17"/>
  <c r="MF23" i="17"/>
  <c r="MM23" i="17"/>
  <c r="ME23" i="17"/>
  <c r="ML23" i="17"/>
  <c r="MD23" i="17"/>
  <c r="MK23" i="17"/>
  <c r="MC23" i="17"/>
  <c r="MJ23" i="17"/>
  <c r="MB23" i="17"/>
  <c r="JM23" i="17"/>
  <c r="MI23" i="17"/>
  <c r="FD23" i="17"/>
  <c r="FL23" i="17"/>
  <c r="FT23" i="17"/>
  <c r="GB23" i="17"/>
  <c r="GJ23" i="17"/>
  <c r="GR23" i="17"/>
  <c r="MA23" i="17"/>
  <c r="FE23" i="17"/>
  <c r="FM23" i="17"/>
  <c r="FU23" i="17"/>
  <c r="GC23" i="17"/>
  <c r="GK23" i="17"/>
  <c r="GS23" i="17"/>
  <c r="HA23" i="17"/>
  <c r="FF23" i="17"/>
  <c r="FN23" i="17"/>
  <c r="FV23" i="17"/>
  <c r="GD23" i="17"/>
  <c r="GL23" i="17"/>
  <c r="GT23" i="17"/>
  <c r="HB23" i="17"/>
  <c r="FG23" i="17"/>
  <c r="FO23" i="17"/>
  <c r="FW23" i="17"/>
  <c r="GE23" i="17"/>
  <c r="GM23" i="17"/>
  <c r="GU23" i="17"/>
  <c r="HC23" i="17"/>
  <c r="FH23" i="17"/>
  <c r="FP23" i="17"/>
  <c r="FX23" i="17"/>
  <c r="GF23" i="17"/>
  <c r="GN23" i="17"/>
  <c r="GV23" i="17"/>
  <c r="FI23" i="17"/>
  <c r="FQ23" i="17"/>
  <c r="FY23" i="17"/>
  <c r="GG23" i="17"/>
  <c r="GO23" i="17"/>
  <c r="GW23" i="17"/>
  <c r="FJ23" i="17"/>
  <c r="FR23" i="17"/>
  <c r="GH23" i="17"/>
  <c r="GP23" i="17"/>
  <c r="GX23" i="17"/>
  <c r="GQ23" i="17"/>
  <c r="GI23" i="17"/>
  <c r="GY23" i="17"/>
  <c r="FK23" i="17"/>
  <c r="FC23" i="17"/>
  <c r="FS23" i="17"/>
  <c r="GA23" i="17"/>
  <c r="JP24" i="17"/>
  <c r="LW24" i="17"/>
  <c r="JO28" i="17"/>
  <c r="LV28" i="17"/>
  <c r="JM116" i="17"/>
  <c r="LT116" i="17"/>
  <c r="JO118" i="17"/>
  <c r="LV118" i="17"/>
  <c r="LV51" i="17"/>
  <c r="JO51" i="17"/>
  <c r="JN54" i="17"/>
  <c r="LU54" i="17"/>
  <c r="LV58" i="17"/>
  <c r="JO58" i="17"/>
  <c r="JN61" i="17"/>
  <c r="LU61" i="17"/>
  <c r="LU65" i="17"/>
  <c r="JN65" i="17"/>
  <c r="LW66" i="17"/>
  <c r="JP66" i="17"/>
  <c r="JN31" i="17"/>
  <c r="LU31" i="17"/>
  <c r="JP32" i="17"/>
  <c r="LW32" i="17"/>
  <c r="JO35" i="17"/>
  <c r="LV35" i="17"/>
  <c r="JM38" i="17"/>
  <c r="LT38" i="17"/>
  <c r="LV39" i="17"/>
  <c r="JO39" i="17"/>
  <c r="JN42" i="17"/>
  <c r="LU42" i="17"/>
  <c r="LU46" i="17"/>
  <c r="JN46" i="17"/>
  <c r="LW47" i="17"/>
  <c r="JP47" i="17"/>
  <c r="LT49" i="17"/>
  <c r="JM49" i="17"/>
  <c r="LT19" i="17"/>
  <c r="JM19" i="17"/>
  <c r="JO20" i="17"/>
  <c r="LV20" i="17"/>
  <c r="JR75" i="17"/>
  <c r="LT75" i="17"/>
  <c r="MG75" i="17"/>
  <c r="LY75" i="17"/>
  <c r="MN75" i="17"/>
  <c r="MF75" i="17"/>
  <c r="MM75" i="17"/>
  <c r="ME75" i="17"/>
  <c r="ML75" i="17"/>
  <c r="MD75" i="17"/>
  <c r="MK75" i="17"/>
  <c r="MC75" i="17"/>
  <c r="MJ75" i="17"/>
  <c r="MB75" i="17"/>
  <c r="JM75" i="17"/>
  <c r="MI75" i="17"/>
  <c r="MA75" i="17"/>
  <c r="MH75" i="17"/>
  <c r="LZ75" i="17"/>
  <c r="FK75" i="17"/>
  <c r="FS75" i="17"/>
  <c r="GA75" i="17"/>
  <c r="GI75" i="17"/>
  <c r="GQ75" i="17"/>
  <c r="GY75" i="17"/>
  <c r="FD75" i="17"/>
  <c r="FL75" i="17"/>
  <c r="FT75" i="17"/>
  <c r="GB75" i="17"/>
  <c r="GJ75" i="17"/>
  <c r="HI75" i="17" s="1"/>
  <c r="GR75" i="17"/>
  <c r="FE75" i="17"/>
  <c r="FM75" i="17"/>
  <c r="FU75" i="17"/>
  <c r="GC75" i="17"/>
  <c r="GK75" i="17"/>
  <c r="GS75" i="17"/>
  <c r="HA75" i="17"/>
  <c r="FF75" i="17"/>
  <c r="FN75" i="17"/>
  <c r="FV75" i="17"/>
  <c r="GD75" i="17"/>
  <c r="GL75" i="17"/>
  <c r="GT75" i="17"/>
  <c r="HB75" i="17"/>
  <c r="FG75" i="17"/>
  <c r="FO75" i="17"/>
  <c r="FW75" i="17"/>
  <c r="GE75" i="17"/>
  <c r="GM75" i="17"/>
  <c r="GU75" i="17"/>
  <c r="HC75" i="17"/>
  <c r="FH75" i="17"/>
  <c r="FP75" i="17"/>
  <c r="FX75" i="17"/>
  <c r="GF75" i="17"/>
  <c r="GN75" i="17"/>
  <c r="GV75" i="17"/>
  <c r="FI75" i="17"/>
  <c r="FQ75" i="17"/>
  <c r="FY75" i="17"/>
  <c r="GG75" i="17"/>
  <c r="GO75" i="17"/>
  <c r="GW75" i="17"/>
  <c r="GX75" i="17"/>
  <c r="FJ75" i="17"/>
  <c r="FC75" i="17"/>
  <c r="FR75" i="17"/>
  <c r="GH75" i="17"/>
  <c r="GP75" i="17"/>
  <c r="JM80" i="17"/>
  <c r="LT80" i="17"/>
  <c r="JP78" i="17"/>
  <c r="LW78" i="17"/>
  <c r="JN70" i="17"/>
  <c r="LU70" i="17"/>
  <c r="LW71" i="17"/>
  <c r="JP71" i="17"/>
  <c r="JM73" i="17"/>
  <c r="LT73" i="17"/>
  <c r="JO85" i="17"/>
  <c r="LV85" i="17"/>
  <c r="JN88" i="17"/>
  <c r="LU88" i="17"/>
  <c r="LT92" i="17"/>
  <c r="JM92" i="17"/>
  <c r="JO93" i="17"/>
  <c r="LV93" i="17"/>
  <c r="X102" i="17"/>
  <c r="EX102" i="17"/>
  <c r="X115" i="17"/>
  <c r="EX115" i="17"/>
  <c r="X37" i="17"/>
  <c r="EX37" i="17"/>
  <c r="EX17" i="17"/>
  <c r="GV10" i="17"/>
  <c r="GN10" i="17"/>
  <c r="GF10" i="17"/>
  <c r="FX10" i="17"/>
  <c r="FP10" i="17"/>
  <c r="FG10" i="17"/>
  <c r="HC10" i="17"/>
  <c r="GU10" i="17"/>
  <c r="GM10" i="17"/>
  <c r="GE10" i="17"/>
  <c r="FW10" i="17"/>
  <c r="FO10" i="17"/>
  <c r="FF10" i="17"/>
  <c r="HB10" i="17"/>
  <c r="GT10" i="17"/>
  <c r="GL10" i="17"/>
  <c r="GD10" i="17"/>
  <c r="FV10" i="17"/>
  <c r="FM10" i="17"/>
  <c r="FE10" i="17"/>
  <c r="HA10" i="17"/>
  <c r="GS10" i="17"/>
  <c r="GK10" i="17"/>
  <c r="GC10" i="17"/>
  <c r="FU10" i="17"/>
  <c r="FL10" i="17"/>
  <c r="FD10" i="17"/>
  <c r="GX10" i="17"/>
  <c r="GP10" i="17"/>
  <c r="GH10" i="17"/>
  <c r="FZ10" i="17"/>
  <c r="FR10" i="17"/>
  <c r="FI10" i="17"/>
  <c r="GG10" i="17"/>
  <c r="FJ10" i="17"/>
  <c r="GJ10" i="17"/>
  <c r="GY10" i="17"/>
  <c r="GB10" i="17"/>
  <c r="FH10" i="17"/>
  <c r="GW10" i="17"/>
  <c r="GA10" i="17"/>
  <c r="FC10" i="17"/>
  <c r="GR10" i="17"/>
  <c r="FY10" i="17"/>
  <c r="GQ10" i="17"/>
  <c r="FT10" i="17"/>
  <c r="GO10" i="17"/>
  <c r="FS10" i="17"/>
  <c r="EX10" i="17"/>
  <c r="FN10" i="17"/>
  <c r="GI10" i="17"/>
  <c r="FK10" i="17"/>
  <c r="FQ10" i="17"/>
  <c r="X51" i="17"/>
  <c r="EX51" i="17"/>
  <c r="X63" i="17"/>
  <c r="EX63" i="17"/>
  <c r="X44" i="17"/>
  <c r="EX44" i="17"/>
  <c r="X90" i="17"/>
  <c r="EX90" i="17"/>
  <c r="X108" i="17"/>
  <c r="EX108" i="17"/>
  <c r="EX23" i="17"/>
  <c r="X75" i="17"/>
  <c r="EX75" i="17"/>
  <c r="X96" i="17"/>
  <c r="GR96" i="17"/>
  <c r="GJ96" i="17"/>
  <c r="GB96" i="17"/>
  <c r="FT96" i="17"/>
  <c r="FK96" i="17"/>
  <c r="FC96" i="17"/>
  <c r="GY96" i="17"/>
  <c r="GQ96" i="17"/>
  <c r="GI96" i="17"/>
  <c r="GA96" i="17"/>
  <c r="FS96" i="17"/>
  <c r="FJ96" i="17"/>
  <c r="GX96" i="17"/>
  <c r="GP96" i="17"/>
  <c r="GH96" i="17"/>
  <c r="FR96" i="17"/>
  <c r="FI96" i="17"/>
  <c r="GW96" i="17"/>
  <c r="GO96" i="17"/>
  <c r="GG96" i="17"/>
  <c r="FY96" i="17"/>
  <c r="FQ96" i="17"/>
  <c r="FH96" i="17"/>
  <c r="HB96" i="17"/>
  <c r="GT96" i="17"/>
  <c r="GL96" i="17"/>
  <c r="GD96" i="17"/>
  <c r="FV96" i="17"/>
  <c r="FM96" i="17"/>
  <c r="FE96" i="17"/>
  <c r="GS96" i="17"/>
  <c r="FW96" i="17"/>
  <c r="FN96" i="17"/>
  <c r="GN96" i="17"/>
  <c r="FU96" i="17"/>
  <c r="GV96" i="17"/>
  <c r="GM96" i="17"/>
  <c r="FP96" i="17"/>
  <c r="GK96" i="17"/>
  <c r="FO96" i="17"/>
  <c r="FF96" i="17"/>
  <c r="HC96" i="17"/>
  <c r="GF96" i="17"/>
  <c r="FL96" i="17"/>
  <c r="EX96" i="17"/>
  <c r="HA96" i="17"/>
  <c r="GE96" i="17"/>
  <c r="FG96" i="17"/>
  <c r="GU96" i="17"/>
  <c r="FX96" i="17"/>
  <c r="FD96" i="17"/>
  <c r="GC96" i="17"/>
  <c r="X57" i="17"/>
  <c r="EX57" i="17"/>
  <c r="EX30" i="17"/>
  <c r="X69" i="17"/>
  <c r="EX69" i="17"/>
  <c r="X7" i="17"/>
  <c r="J90" i="17"/>
  <c r="J84" i="17"/>
  <c r="J69" i="17"/>
  <c r="J75" i="17"/>
  <c r="J44" i="17"/>
  <c r="J37" i="17"/>
  <c r="J108" i="17"/>
  <c r="J63" i="17"/>
  <c r="J57" i="17"/>
  <c r="J51" i="17"/>
  <c r="J115" i="17"/>
  <c r="J102" i="17"/>
  <c r="J96" i="17"/>
  <c r="J7" i="17"/>
  <c r="J89" i="26"/>
  <c r="J83" i="26"/>
  <c r="J68" i="26"/>
  <c r="J74" i="26"/>
  <c r="J16" i="26"/>
  <c r="J49" i="26"/>
  <c r="F49" i="26"/>
  <c r="J42" i="26"/>
  <c r="F42" i="26"/>
  <c r="J35" i="26"/>
  <c r="F35" i="26"/>
  <c r="J107" i="26"/>
  <c r="F107" i="26"/>
  <c r="I124" i="40" s="1"/>
  <c r="J62" i="26"/>
  <c r="F62" i="26"/>
  <c r="J56" i="26"/>
  <c r="F56" i="26"/>
  <c r="J29" i="26"/>
  <c r="F29" i="26"/>
  <c r="J114" i="26"/>
  <c r="LW115" i="17"/>
  <c r="J22" i="26"/>
  <c r="F22" i="26"/>
  <c r="I26" i="40" s="1"/>
  <c r="J101" i="26"/>
  <c r="F101" i="26"/>
  <c r="J95" i="26"/>
  <c r="F95" i="26"/>
  <c r="J9" i="26"/>
  <c r="F9" i="26"/>
  <c r="I14" i="40" s="1"/>
  <c r="HH94" i="17"/>
  <c r="HG94" i="17"/>
  <c r="HF94" i="17"/>
  <c r="HE94" i="17"/>
  <c r="HH93" i="17"/>
  <c r="HG93" i="17"/>
  <c r="HF93" i="17"/>
  <c r="HE93" i="17"/>
  <c r="HH92" i="17"/>
  <c r="HG92" i="17"/>
  <c r="HF92" i="17"/>
  <c r="HE92" i="17"/>
  <c r="HH91" i="17"/>
  <c r="HG91" i="17"/>
  <c r="HF91" i="17"/>
  <c r="HE91" i="17"/>
  <c r="HG90" i="17"/>
  <c r="HH88" i="17"/>
  <c r="HG88" i="17"/>
  <c r="HF88" i="17"/>
  <c r="HE88" i="17"/>
  <c r="HH87" i="17"/>
  <c r="HG87" i="17"/>
  <c r="HF87" i="17"/>
  <c r="HE87" i="17"/>
  <c r="HH86" i="17"/>
  <c r="HG86" i="17"/>
  <c r="HF86" i="17"/>
  <c r="HE86" i="17"/>
  <c r="HH85" i="17"/>
  <c r="HG85" i="17"/>
  <c r="HF85" i="17"/>
  <c r="HE85" i="17"/>
  <c r="HH84" i="17"/>
  <c r="HG84" i="17"/>
  <c r="HH73" i="17"/>
  <c r="HG73" i="17"/>
  <c r="HF73" i="17"/>
  <c r="HE73" i="17"/>
  <c r="HH72" i="17"/>
  <c r="HG72" i="17"/>
  <c r="HF72" i="17"/>
  <c r="HE72" i="17"/>
  <c r="HH71" i="17"/>
  <c r="HG71" i="17"/>
  <c r="HF71" i="17"/>
  <c r="HE71" i="17"/>
  <c r="HH70" i="17"/>
  <c r="HG70" i="17"/>
  <c r="HF70" i="17"/>
  <c r="HE70" i="17"/>
  <c r="HG69" i="17"/>
  <c r="HH78" i="17"/>
  <c r="HG78" i="17"/>
  <c r="HF78" i="17"/>
  <c r="HE78" i="17"/>
  <c r="HH80" i="17"/>
  <c r="HG80" i="17"/>
  <c r="HF80" i="17"/>
  <c r="HE80" i="17"/>
  <c r="HH77" i="17"/>
  <c r="HG77" i="17"/>
  <c r="HF77" i="17"/>
  <c r="HE77" i="17"/>
  <c r="HH76" i="17"/>
  <c r="HG76" i="17"/>
  <c r="HF76" i="17"/>
  <c r="HE76" i="17"/>
  <c r="HH21" i="17"/>
  <c r="HG21" i="17"/>
  <c r="HF21" i="17"/>
  <c r="HE21" i="17"/>
  <c r="HH20" i="17"/>
  <c r="HG20" i="17"/>
  <c r="HF20" i="17"/>
  <c r="HE20" i="17"/>
  <c r="HH19" i="17"/>
  <c r="HG19" i="17"/>
  <c r="HF19" i="17"/>
  <c r="HE19" i="17"/>
  <c r="HH18" i="17"/>
  <c r="HG18" i="17"/>
  <c r="HF18" i="17"/>
  <c r="HE18" i="17"/>
  <c r="HG17" i="17"/>
  <c r="HH49" i="17"/>
  <c r="HG49" i="17"/>
  <c r="HF49" i="17"/>
  <c r="HE49" i="17"/>
  <c r="HH48" i="17"/>
  <c r="HG48" i="17"/>
  <c r="HF48" i="17"/>
  <c r="HE48" i="17"/>
  <c r="HH47" i="17"/>
  <c r="HG47" i="17"/>
  <c r="HF47" i="17"/>
  <c r="HE47" i="17"/>
  <c r="HH46" i="17"/>
  <c r="HG46" i="17"/>
  <c r="HF46" i="17"/>
  <c r="HE46" i="17"/>
  <c r="HH45" i="17"/>
  <c r="HG45" i="17"/>
  <c r="HF45" i="17"/>
  <c r="HE45" i="17"/>
  <c r="HG44" i="17"/>
  <c r="HH42" i="17"/>
  <c r="HG42" i="17"/>
  <c r="HF42" i="17"/>
  <c r="HE42" i="17"/>
  <c r="HH41" i="17"/>
  <c r="HG41" i="17"/>
  <c r="HF41" i="17"/>
  <c r="HE41" i="17"/>
  <c r="HH40" i="17"/>
  <c r="HG40" i="17"/>
  <c r="HF40" i="17"/>
  <c r="HE40" i="17"/>
  <c r="HH39" i="17"/>
  <c r="HG39" i="17"/>
  <c r="HF39" i="17"/>
  <c r="HE39" i="17"/>
  <c r="HH38" i="17"/>
  <c r="HG38" i="17"/>
  <c r="HF38" i="17"/>
  <c r="HE38" i="17"/>
  <c r="HG37" i="17"/>
  <c r="HH35" i="17"/>
  <c r="HG35" i="17"/>
  <c r="HF35" i="17"/>
  <c r="HE35" i="17"/>
  <c r="HH34" i="17"/>
  <c r="HG34" i="17"/>
  <c r="HF34" i="17"/>
  <c r="HE34" i="17"/>
  <c r="HH33" i="17"/>
  <c r="HG33" i="17"/>
  <c r="HF33" i="17"/>
  <c r="HE33" i="17"/>
  <c r="HH32" i="17"/>
  <c r="HG32" i="17"/>
  <c r="HF32" i="17"/>
  <c r="HE32" i="17"/>
  <c r="HH31" i="17"/>
  <c r="HG31" i="17"/>
  <c r="HF31" i="17"/>
  <c r="HE31" i="17"/>
  <c r="HG30" i="17"/>
  <c r="HH109" i="17"/>
  <c r="HG109" i="17"/>
  <c r="HF109" i="17"/>
  <c r="HE109" i="17"/>
  <c r="HG108" i="17"/>
  <c r="HH67" i="17"/>
  <c r="HG67" i="17"/>
  <c r="HF67" i="17"/>
  <c r="HE67" i="17"/>
  <c r="HH66" i="17"/>
  <c r="HG66" i="17"/>
  <c r="HF66" i="17"/>
  <c r="HE66" i="17"/>
  <c r="HH65" i="17"/>
  <c r="HG65" i="17"/>
  <c r="HF65" i="17"/>
  <c r="HE65" i="17"/>
  <c r="HH64" i="17"/>
  <c r="HG64" i="17"/>
  <c r="HF64" i="17"/>
  <c r="HE64" i="17"/>
  <c r="HG63" i="17"/>
  <c r="HH61" i="17"/>
  <c r="HG61" i="17"/>
  <c r="HF61" i="17"/>
  <c r="HE61" i="17"/>
  <c r="HH60" i="17"/>
  <c r="HG60" i="17"/>
  <c r="HF60" i="17"/>
  <c r="HE60" i="17"/>
  <c r="HH59" i="17"/>
  <c r="HG59" i="17"/>
  <c r="HF59" i="17"/>
  <c r="HE59" i="17"/>
  <c r="HH58" i="17"/>
  <c r="HG58" i="17"/>
  <c r="HF58" i="17"/>
  <c r="HE58" i="17"/>
  <c r="HG57" i="17"/>
  <c r="HH55" i="17"/>
  <c r="HG55" i="17"/>
  <c r="HF55" i="17"/>
  <c r="HE55" i="17"/>
  <c r="HH54" i="17"/>
  <c r="HG54" i="17"/>
  <c r="HF54" i="17"/>
  <c r="HE54" i="17"/>
  <c r="HH53" i="17"/>
  <c r="HG53" i="17"/>
  <c r="HF53" i="17"/>
  <c r="HE53" i="17"/>
  <c r="HH52" i="17"/>
  <c r="HG52" i="17"/>
  <c r="HF52" i="17"/>
  <c r="HE52" i="17"/>
  <c r="HG51" i="17"/>
  <c r="HH123" i="17"/>
  <c r="HG123" i="17"/>
  <c r="HF123" i="17"/>
  <c r="HE123" i="17"/>
  <c r="HH120" i="17"/>
  <c r="HG120" i="17"/>
  <c r="HF120" i="17"/>
  <c r="HE120" i="17"/>
  <c r="HH118" i="17"/>
  <c r="HG118" i="17"/>
  <c r="HF118" i="17"/>
  <c r="HE118" i="17"/>
  <c r="HH116" i="17"/>
  <c r="HG116" i="17"/>
  <c r="HF116" i="17"/>
  <c r="HE116" i="17"/>
  <c r="HG115" i="17"/>
  <c r="HH28" i="17"/>
  <c r="HG28" i="17"/>
  <c r="HF28" i="17"/>
  <c r="HE28" i="17"/>
  <c r="HH27" i="17"/>
  <c r="HG27" i="17"/>
  <c r="HF27" i="17"/>
  <c r="HE27" i="17"/>
  <c r="HH25" i="17"/>
  <c r="HG25" i="17"/>
  <c r="HF25" i="17"/>
  <c r="HE25" i="17"/>
  <c r="HH24" i="17"/>
  <c r="HG24" i="17"/>
  <c r="HF24" i="17"/>
  <c r="HE24" i="17"/>
  <c r="HG23" i="17"/>
  <c r="HH106" i="17"/>
  <c r="HG106" i="17"/>
  <c r="HF106" i="17"/>
  <c r="HE106" i="17"/>
  <c r="HH105" i="17"/>
  <c r="HG105" i="17"/>
  <c r="HF105" i="17"/>
  <c r="HE105" i="17"/>
  <c r="HH104" i="17"/>
  <c r="HG104" i="17"/>
  <c r="HF104" i="17"/>
  <c r="HE104" i="17"/>
  <c r="HH103" i="17"/>
  <c r="HG103" i="17"/>
  <c r="HF103" i="17"/>
  <c r="HE103" i="17"/>
  <c r="HG102" i="17"/>
  <c r="HH100" i="17"/>
  <c r="HG100" i="17"/>
  <c r="HF100" i="17"/>
  <c r="HE100" i="17"/>
  <c r="HH99" i="17"/>
  <c r="HG99" i="17"/>
  <c r="HF99" i="17"/>
  <c r="HE99" i="17"/>
  <c r="HH98" i="17"/>
  <c r="HG98" i="17"/>
  <c r="HF98" i="17"/>
  <c r="HE98" i="17"/>
  <c r="HH97" i="17"/>
  <c r="HG97" i="17"/>
  <c r="HF97" i="17"/>
  <c r="HE97" i="17"/>
  <c r="HG96" i="17"/>
  <c r="HH15" i="17"/>
  <c r="HG15" i="17"/>
  <c r="HF15" i="17"/>
  <c r="HE15" i="17"/>
  <c r="HH13" i="17"/>
  <c r="HG13" i="17"/>
  <c r="HF13" i="17"/>
  <c r="HE13" i="17"/>
  <c r="HH12" i="17"/>
  <c r="HG12" i="17"/>
  <c r="HF12" i="17"/>
  <c r="HE12" i="17"/>
  <c r="HH11" i="17"/>
  <c r="HG11" i="17"/>
  <c r="HF11" i="17"/>
  <c r="HE11" i="17"/>
  <c r="JJ10" i="17"/>
  <c r="JI10" i="17"/>
  <c r="JH10" i="17"/>
  <c r="JG10" i="17"/>
  <c r="JF10" i="17"/>
  <c r="JE10" i="17"/>
  <c r="JD10" i="17"/>
  <c r="JC10" i="17"/>
  <c r="JB10" i="17"/>
  <c r="JA10" i="17"/>
  <c r="IZ10" i="17"/>
  <c r="IY10" i="17"/>
  <c r="IX10" i="17"/>
  <c r="IW10" i="17"/>
  <c r="IV10" i="17"/>
  <c r="IU10" i="17"/>
  <c r="IT10" i="17"/>
  <c r="IS10" i="17"/>
  <c r="IR10" i="17"/>
  <c r="IQ10" i="17"/>
  <c r="IP10" i="17"/>
  <c r="IO10" i="17"/>
  <c r="IN10" i="17"/>
  <c r="IM10" i="17"/>
  <c r="IL10" i="17"/>
  <c r="IK10" i="17"/>
  <c r="IJ10" i="17"/>
  <c r="II10" i="17"/>
  <c r="IH10" i="17"/>
  <c r="IG10" i="17"/>
  <c r="IF10" i="17"/>
  <c r="IE10" i="17"/>
  <c r="ID10" i="17"/>
  <c r="IC10" i="17"/>
  <c r="IB10" i="17"/>
  <c r="IA10" i="17"/>
  <c r="HZ10" i="17"/>
  <c r="HY10" i="17"/>
  <c r="HX10" i="17"/>
  <c r="HW10" i="17"/>
  <c r="HV10" i="17"/>
  <c r="HU10" i="17"/>
  <c r="HT10" i="17"/>
  <c r="HS10" i="17"/>
  <c r="HR10" i="17"/>
  <c r="HQ10" i="17"/>
  <c r="HP10" i="17"/>
  <c r="HO10" i="17"/>
  <c r="HN10" i="17"/>
  <c r="HM10" i="17"/>
  <c r="HL10" i="17"/>
  <c r="HK10" i="17"/>
  <c r="HJ10" i="17"/>
  <c r="HG10" i="17"/>
  <c r="FA94" i="17"/>
  <c r="EZ94" i="17"/>
  <c r="EY94" i="17"/>
  <c r="EX94" i="17"/>
  <c r="FA93" i="17"/>
  <c r="EZ93" i="17"/>
  <c r="EY93" i="17"/>
  <c r="EX93" i="17"/>
  <c r="FA92" i="17"/>
  <c r="EZ92" i="17"/>
  <c r="EY92" i="17"/>
  <c r="EX92" i="17"/>
  <c r="FA91" i="17"/>
  <c r="EZ91" i="17"/>
  <c r="EY91" i="17"/>
  <c r="EX91" i="17"/>
  <c r="EZ90" i="17"/>
  <c r="FA88" i="17"/>
  <c r="EZ88" i="17"/>
  <c r="EY88" i="17"/>
  <c r="EX88" i="17"/>
  <c r="FA87" i="17"/>
  <c r="EZ87" i="17"/>
  <c r="EY87" i="17"/>
  <c r="EX87" i="17"/>
  <c r="FA86" i="17"/>
  <c r="EZ86" i="17"/>
  <c r="EY86" i="17"/>
  <c r="EX86" i="17"/>
  <c r="FA85" i="17"/>
  <c r="EZ85" i="17"/>
  <c r="EY85" i="17"/>
  <c r="EX85" i="17"/>
  <c r="HI84" i="17"/>
  <c r="FA84" i="17"/>
  <c r="EZ84" i="17"/>
  <c r="FA73" i="17"/>
  <c r="EZ73" i="17"/>
  <c r="EY73" i="17"/>
  <c r="EX73" i="17"/>
  <c r="FA72" i="17"/>
  <c r="EZ72" i="17"/>
  <c r="EY72" i="17"/>
  <c r="EX72" i="17"/>
  <c r="FA71" i="17"/>
  <c r="EZ71" i="17"/>
  <c r="EY71" i="17"/>
  <c r="EX71" i="17"/>
  <c r="FA70" i="17"/>
  <c r="EZ70" i="17"/>
  <c r="EY70" i="17"/>
  <c r="EX70" i="17"/>
  <c r="EZ69" i="17"/>
  <c r="FA78" i="17"/>
  <c r="EZ78" i="17"/>
  <c r="EY78" i="17"/>
  <c r="EX78" i="17"/>
  <c r="FA80" i="17"/>
  <c r="EZ80" i="17"/>
  <c r="EY80" i="17"/>
  <c r="EX80" i="17"/>
  <c r="FA77" i="17"/>
  <c r="EZ77" i="17"/>
  <c r="EY77" i="17"/>
  <c r="EX77" i="17"/>
  <c r="FA76" i="17"/>
  <c r="EZ76" i="17"/>
  <c r="EY76" i="17"/>
  <c r="EX76" i="17"/>
  <c r="FA21" i="17"/>
  <c r="EZ21" i="17"/>
  <c r="EY21" i="17"/>
  <c r="EX21" i="17"/>
  <c r="FA20" i="17"/>
  <c r="EZ20" i="17"/>
  <c r="EY20" i="17"/>
  <c r="EX20" i="17"/>
  <c r="FA19" i="17"/>
  <c r="EZ19" i="17"/>
  <c r="EY19" i="17"/>
  <c r="EX19" i="17"/>
  <c r="FA18" i="17"/>
  <c r="EZ18" i="17"/>
  <c r="EY18" i="17"/>
  <c r="EX18" i="17"/>
  <c r="EZ17" i="17"/>
  <c r="FA49" i="17"/>
  <c r="EZ49" i="17"/>
  <c r="EY49" i="17"/>
  <c r="EX49" i="17"/>
  <c r="FA48" i="17"/>
  <c r="EZ48" i="17"/>
  <c r="EY48" i="17"/>
  <c r="EX48" i="17"/>
  <c r="FA47" i="17"/>
  <c r="EZ47" i="17"/>
  <c r="EY47" i="17"/>
  <c r="EX47" i="17"/>
  <c r="FA46" i="17"/>
  <c r="EZ46" i="17"/>
  <c r="EY46" i="17"/>
  <c r="EX46" i="17"/>
  <c r="FA45" i="17"/>
  <c r="EZ45" i="17"/>
  <c r="EY45" i="17"/>
  <c r="EX45" i="17"/>
  <c r="EZ44" i="17"/>
  <c r="FA42" i="17"/>
  <c r="EZ42" i="17"/>
  <c r="EY42" i="17"/>
  <c r="EX42" i="17"/>
  <c r="FA41" i="17"/>
  <c r="EZ41" i="17"/>
  <c r="EY41" i="17"/>
  <c r="EX41" i="17"/>
  <c r="FA40" i="17"/>
  <c r="EZ40" i="17"/>
  <c r="EY40" i="17"/>
  <c r="EX40" i="17"/>
  <c r="FA39" i="17"/>
  <c r="EZ39" i="17"/>
  <c r="EY39" i="17"/>
  <c r="EX39" i="17"/>
  <c r="FA38" i="17"/>
  <c r="EZ38" i="17"/>
  <c r="EY38" i="17"/>
  <c r="EX38" i="17"/>
  <c r="EZ37" i="17"/>
  <c r="FA35" i="17"/>
  <c r="EZ35" i="17"/>
  <c r="EY35" i="17"/>
  <c r="EX35" i="17"/>
  <c r="FA34" i="17"/>
  <c r="EZ34" i="17"/>
  <c r="EY34" i="17"/>
  <c r="EX34" i="17"/>
  <c r="FA33" i="17"/>
  <c r="EZ33" i="17"/>
  <c r="EY33" i="17"/>
  <c r="EX33" i="17"/>
  <c r="FA32" i="17"/>
  <c r="EZ32" i="17"/>
  <c r="EY32" i="17"/>
  <c r="EX32" i="17"/>
  <c r="FA31" i="17"/>
  <c r="EZ31" i="17"/>
  <c r="EY31" i="17"/>
  <c r="EX31" i="17"/>
  <c r="EZ30" i="17"/>
  <c r="FA109" i="17"/>
  <c r="EZ109" i="17"/>
  <c r="EY109" i="17"/>
  <c r="EX109" i="17"/>
  <c r="EZ108" i="17"/>
  <c r="FA67" i="17"/>
  <c r="EZ67" i="17"/>
  <c r="EY67" i="17"/>
  <c r="EX67" i="17"/>
  <c r="FA66" i="17"/>
  <c r="EZ66" i="17"/>
  <c r="EY66" i="17"/>
  <c r="EX66" i="17"/>
  <c r="FA65" i="17"/>
  <c r="EZ65" i="17"/>
  <c r="EY65" i="17"/>
  <c r="EX65" i="17"/>
  <c r="FA64" i="17"/>
  <c r="EZ64" i="17"/>
  <c r="EY64" i="17"/>
  <c r="EX64" i="17"/>
  <c r="EZ63" i="17"/>
  <c r="FA61" i="17"/>
  <c r="EZ61" i="17"/>
  <c r="EY61" i="17"/>
  <c r="EX61" i="17"/>
  <c r="FA60" i="17"/>
  <c r="EZ60" i="17"/>
  <c r="EY60" i="17"/>
  <c r="EX60" i="17"/>
  <c r="FA59" i="17"/>
  <c r="EZ59" i="17"/>
  <c r="EY59" i="17"/>
  <c r="EX59" i="17"/>
  <c r="FA58" i="17"/>
  <c r="EZ58" i="17"/>
  <c r="EY58" i="17"/>
  <c r="EX58" i="17"/>
  <c r="EZ57" i="17"/>
  <c r="FA55" i="17"/>
  <c r="EZ55" i="17"/>
  <c r="EY55" i="17"/>
  <c r="EX55" i="17"/>
  <c r="FA54" i="17"/>
  <c r="EZ54" i="17"/>
  <c r="EY54" i="17"/>
  <c r="EX54" i="17"/>
  <c r="FA53" i="17"/>
  <c r="EZ53" i="17"/>
  <c r="EY53" i="17"/>
  <c r="EX53" i="17"/>
  <c r="FA52" i="17"/>
  <c r="EZ52" i="17"/>
  <c r="EY52" i="17"/>
  <c r="EX52" i="17"/>
  <c r="EZ51" i="17"/>
  <c r="FA123" i="17"/>
  <c r="EZ123" i="17"/>
  <c r="EY123" i="17"/>
  <c r="EX123" i="17"/>
  <c r="FA120" i="17"/>
  <c r="EZ120" i="17"/>
  <c r="EY120" i="17"/>
  <c r="EX120" i="17"/>
  <c r="FA118" i="17"/>
  <c r="EZ118" i="17"/>
  <c r="EY118" i="17"/>
  <c r="EX118" i="17"/>
  <c r="FA116" i="17"/>
  <c r="EZ116" i="17"/>
  <c r="EY116" i="17"/>
  <c r="EX116" i="17"/>
  <c r="EZ115" i="17"/>
  <c r="FA28" i="17"/>
  <c r="EZ28" i="17"/>
  <c r="EY28" i="17"/>
  <c r="EX28" i="17"/>
  <c r="FA27" i="17"/>
  <c r="EZ27" i="17"/>
  <c r="EY27" i="17"/>
  <c r="EX27" i="17"/>
  <c r="FA25" i="17"/>
  <c r="EZ25" i="17"/>
  <c r="EY25" i="17"/>
  <c r="EX25" i="17"/>
  <c r="FA24" i="17"/>
  <c r="IV26" i="17" s="1"/>
  <c r="EZ24" i="17"/>
  <c r="EY24" i="17"/>
  <c r="EX24" i="17"/>
  <c r="EZ23" i="17"/>
  <c r="FA106" i="17"/>
  <c r="EZ106" i="17"/>
  <c r="EY106" i="17"/>
  <c r="EX106" i="17"/>
  <c r="FA105" i="17"/>
  <c r="EZ105" i="17"/>
  <c r="EY105" i="17"/>
  <c r="EX105" i="17"/>
  <c r="FA104" i="17"/>
  <c r="EZ104" i="17"/>
  <c r="EY104" i="17"/>
  <c r="EX104" i="17"/>
  <c r="FA103" i="17"/>
  <c r="EZ103" i="17"/>
  <c r="EY103" i="17"/>
  <c r="EX103" i="17"/>
  <c r="EZ102" i="17"/>
  <c r="FA100" i="17"/>
  <c r="EZ100" i="17"/>
  <c r="EY100" i="17"/>
  <c r="EX100" i="17"/>
  <c r="FA99" i="17"/>
  <c r="EZ99" i="17"/>
  <c r="EY99" i="17"/>
  <c r="EX99" i="17"/>
  <c r="FA98" i="17"/>
  <c r="EZ98" i="17"/>
  <c r="EY98" i="17"/>
  <c r="EX98" i="17"/>
  <c r="FA97" i="17"/>
  <c r="EZ97" i="17"/>
  <c r="EY97" i="17"/>
  <c r="EX97" i="17"/>
  <c r="EZ96" i="17"/>
  <c r="FA15" i="17"/>
  <c r="EZ15" i="17"/>
  <c r="EY15" i="17"/>
  <c r="EX15" i="17"/>
  <c r="FA13" i="17"/>
  <c r="EZ13" i="17"/>
  <c r="EY13" i="17"/>
  <c r="EX13" i="17"/>
  <c r="FA12" i="17"/>
  <c r="EZ12" i="17"/>
  <c r="EY12" i="17"/>
  <c r="EX12" i="17"/>
  <c r="FA11" i="17"/>
  <c r="EZ11" i="17"/>
  <c r="EY11" i="17"/>
  <c r="EZ10" i="17"/>
  <c r="FC9" i="17"/>
  <c r="CS40" i="17"/>
  <c r="CS39" i="17"/>
  <c r="CS33" i="17"/>
  <c r="CS32" i="17"/>
  <c r="CS31" i="17"/>
  <c r="CU57" i="17"/>
  <c r="CP108" i="17"/>
  <c r="CP115" i="17"/>
  <c r="CU106" i="17"/>
  <c r="CU105" i="17"/>
  <c r="DO90" i="17"/>
  <c r="CU90" i="17"/>
  <c r="DO84" i="17"/>
  <c r="CU84" i="17"/>
  <c r="DO69" i="17"/>
  <c r="CU69" i="17"/>
  <c r="DO75" i="17"/>
  <c r="CU75" i="17"/>
  <c r="DO17" i="17"/>
  <c r="CU17" i="17"/>
  <c r="DO44" i="17"/>
  <c r="CU44" i="17"/>
  <c r="DO37" i="17"/>
  <c r="CU37" i="17"/>
  <c r="CU35" i="17"/>
  <c r="CU34" i="17"/>
  <c r="DO30" i="17"/>
  <c r="CU30" i="17"/>
  <c r="DO108" i="17"/>
  <c r="CU108" i="17"/>
  <c r="DO63" i="17"/>
  <c r="CU63" i="17"/>
  <c r="DO57" i="17"/>
  <c r="DO51" i="17"/>
  <c r="CU51" i="17"/>
  <c r="DO115" i="17"/>
  <c r="CU115" i="17"/>
  <c r="DO23" i="17"/>
  <c r="CU23" i="17"/>
  <c r="DO102" i="17"/>
  <c r="CU102" i="17"/>
  <c r="DO96" i="17"/>
  <c r="CU96" i="17"/>
  <c r="AY90" i="17"/>
  <c r="AX90" i="17"/>
  <c r="AW90" i="17"/>
  <c r="AV90" i="17"/>
  <c r="AU90" i="17"/>
  <c r="AT90" i="17"/>
  <c r="AS90" i="17"/>
  <c r="AR90" i="17"/>
  <c r="AQ90" i="17"/>
  <c r="AP90" i="17"/>
  <c r="AO90" i="17"/>
  <c r="AN90" i="17"/>
  <c r="AY84" i="17"/>
  <c r="AX84" i="17"/>
  <c r="AW84" i="17"/>
  <c r="AV84" i="17"/>
  <c r="AU84" i="17"/>
  <c r="AT84" i="17"/>
  <c r="AS84" i="17"/>
  <c r="AR84" i="17"/>
  <c r="AQ84" i="17"/>
  <c r="AP84" i="17"/>
  <c r="AO84" i="17"/>
  <c r="AN84" i="17"/>
  <c r="AY69" i="17"/>
  <c r="AX69" i="17"/>
  <c r="AW69" i="17"/>
  <c r="AV69" i="17"/>
  <c r="AU69" i="17"/>
  <c r="AT69" i="17"/>
  <c r="AS69" i="17"/>
  <c r="AR69" i="17"/>
  <c r="AQ69" i="17"/>
  <c r="AP69" i="17"/>
  <c r="AO69" i="17"/>
  <c r="AN69" i="17"/>
  <c r="AY75" i="17"/>
  <c r="AX75" i="17"/>
  <c r="AW75" i="17"/>
  <c r="AV75" i="17"/>
  <c r="AU75" i="17"/>
  <c r="AT75" i="17"/>
  <c r="AS75" i="17"/>
  <c r="AR75" i="17"/>
  <c r="AQ75" i="17"/>
  <c r="AP75" i="17"/>
  <c r="AO75" i="17"/>
  <c r="AN75" i="17"/>
  <c r="AM35" i="17"/>
  <c r="AM34" i="17"/>
  <c r="AY63" i="17"/>
  <c r="AX63" i="17"/>
  <c r="AW63" i="17"/>
  <c r="AV63" i="17"/>
  <c r="AU63" i="17"/>
  <c r="AT63" i="17"/>
  <c r="AS63" i="17"/>
  <c r="AR63" i="17"/>
  <c r="AQ63" i="17"/>
  <c r="AP63" i="17"/>
  <c r="AO63" i="17"/>
  <c r="AN63" i="17"/>
  <c r="AY57" i="17"/>
  <c r="AX57" i="17"/>
  <c r="AW57" i="17"/>
  <c r="AV57" i="17"/>
  <c r="AU57" i="17"/>
  <c r="AT57" i="17"/>
  <c r="AS57" i="17"/>
  <c r="AR57" i="17"/>
  <c r="AQ57" i="17"/>
  <c r="AP57" i="17"/>
  <c r="AO57" i="17"/>
  <c r="AN57" i="17"/>
  <c r="N8" i="12"/>
  <c r="O8" i="12"/>
  <c r="P8" i="12"/>
  <c r="Q8" i="12"/>
  <c r="R8" i="12"/>
  <c r="S8" i="12"/>
  <c r="T8" i="12"/>
  <c r="U8" i="12"/>
  <c r="V8" i="12"/>
  <c r="W8" i="12"/>
  <c r="N9" i="12"/>
  <c r="O9" i="12"/>
  <c r="P9" i="12"/>
  <c r="Q9" i="12"/>
  <c r="R9" i="12"/>
  <c r="S9" i="12"/>
  <c r="T9" i="12"/>
  <c r="U9" i="12"/>
  <c r="V9" i="12"/>
  <c r="W9" i="12"/>
  <c r="CT90" i="17"/>
  <c r="CT35" i="17"/>
  <c r="CT108" i="17"/>
  <c r="CS94" i="17"/>
  <c r="CS93" i="17"/>
  <c r="CS92" i="17"/>
  <c r="CS91" i="17"/>
  <c r="CS88" i="17"/>
  <c r="CS87" i="17"/>
  <c r="CS86" i="17"/>
  <c r="CS85" i="17"/>
  <c r="CS84" i="17"/>
  <c r="CS73" i="17"/>
  <c r="CS72" i="17"/>
  <c r="CS71" i="17"/>
  <c r="CS70" i="17"/>
  <c r="CS78" i="17"/>
  <c r="CS80" i="17"/>
  <c r="CS77" i="17"/>
  <c r="CS76" i="17"/>
  <c r="CS21" i="17"/>
  <c r="CS20" i="17"/>
  <c r="CS19" i="17"/>
  <c r="CS18" i="17"/>
  <c r="CS49" i="17"/>
  <c r="CS48" i="17"/>
  <c r="CS47" i="17"/>
  <c r="CS46" i="17"/>
  <c r="CS45" i="17"/>
  <c r="CS42" i="17"/>
  <c r="CS41" i="17"/>
  <c r="CS38" i="17"/>
  <c r="CS35" i="17"/>
  <c r="CS34" i="17"/>
  <c r="CS109" i="17"/>
  <c r="CS67" i="17"/>
  <c r="CS66" i="17"/>
  <c r="CS65" i="17"/>
  <c r="CS64" i="17"/>
  <c r="CS61" i="17"/>
  <c r="CS60" i="17"/>
  <c r="CS59" i="17"/>
  <c r="CS58" i="17"/>
  <c r="CS55" i="17"/>
  <c r="CS54" i="17"/>
  <c r="CS53" i="17"/>
  <c r="CS52" i="17"/>
  <c r="CS123" i="17"/>
  <c r="CS120" i="17"/>
  <c r="CS118" i="17"/>
  <c r="CS116" i="17"/>
  <c r="CS28" i="17"/>
  <c r="CS27" i="17"/>
  <c r="CS25" i="17"/>
  <c r="CS24" i="17"/>
  <c r="CS106" i="17"/>
  <c r="CS105" i="17"/>
  <c r="CS104" i="17"/>
  <c r="CS103" i="17"/>
  <c r="CS100" i="17"/>
  <c r="CS99" i="17"/>
  <c r="CS98" i="17"/>
  <c r="CS97" i="17"/>
  <c r="CS15" i="17"/>
  <c r="CS13" i="17"/>
  <c r="CS12" i="17"/>
  <c r="CS11" i="17"/>
  <c r="CR94" i="17"/>
  <c r="CR93" i="17"/>
  <c r="CR92" i="17"/>
  <c r="CR91" i="17"/>
  <c r="CR90" i="17"/>
  <c r="CR88" i="17"/>
  <c r="CR87" i="17"/>
  <c r="CR86" i="17"/>
  <c r="CR85" i="17"/>
  <c r="CR84" i="17"/>
  <c r="CR73" i="17"/>
  <c r="CR72" i="17"/>
  <c r="CR71" i="17"/>
  <c r="CR70" i="17"/>
  <c r="CR69" i="17"/>
  <c r="CR78" i="17"/>
  <c r="CR80" i="17"/>
  <c r="CR77" i="17"/>
  <c r="CR76" i="17"/>
  <c r="CR21" i="17"/>
  <c r="CR20" i="17"/>
  <c r="CR19" i="17"/>
  <c r="CR18" i="17"/>
  <c r="CR17" i="17"/>
  <c r="CR49" i="17"/>
  <c r="CR48" i="17"/>
  <c r="CR47" i="17"/>
  <c r="CR46" i="17"/>
  <c r="CR45" i="17"/>
  <c r="CR44" i="17"/>
  <c r="CR42" i="17"/>
  <c r="CR41" i="17"/>
  <c r="CR40" i="17"/>
  <c r="CR39" i="17"/>
  <c r="CR38" i="17"/>
  <c r="CR37" i="17"/>
  <c r="CR35" i="17"/>
  <c r="CR34" i="17"/>
  <c r="CR33" i="17"/>
  <c r="CR32" i="17"/>
  <c r="CR31" i="17"/>
  <c r="CR30" i="17"/>
  <c r="CR109" i="17"/>
  <c r="CR108" i="17"/>
  <c r="CR67" i="17"/>
  <c r="CR66" i="17"/>
  <c r="CR65" i="17"/>
  <c r="CR64" i="17"/>
  <c r="CR63" i="17"/>
  <c r="CR61" i="17"/>
  <c r="CR60" i="17"/>
  <c r="CR59" i="17"/>
  <c r="CR58" i="17"/>
  <c r="CR57" i="17"/>
  <c r="CR55" i="17"/>
  <c r="CR54" i="17"/>
  <c r="CR53" i="17"/>
  <c r="CR52" i="17"/>
  <c r="CR51" i="17"/>
  <c r="CR123" i="17"/>
  <c r="CR120" i="17"/>
  <c r="CR118" i="17"/>
  <c r="CR116" i="17"/>
  <c r="CR115" i="17"/>
  <c r="CR28" i="17"/>
  <c r="CR27" i="17"/>
  <c r="CR25" i="17"/>
  <c r="CR24" i="17"/>
  <c r="CR23" i="17"/>
  <c r="CR106" i="17"/>
  <c r="CR105" i="17"/>
  <c r="CR104" i="17"/>
  <c r="CR103" i="17"/>
  <c r="CR102" i="17"/>
  <c r="CR100" i="17"/>
  <c r="CR99" i="17"/>
  <c r="CR98" i="17"/>
  <c r="CR97" i="17"/>
  <c r="CR96" i="17"/>
  <c r="CR15" i="17"/>
  <c r="CR13" i="17"/>
  <c r="CR12" i="17"/>
  <c r="CR11" i="17"/>
  <c r="CR10" i="17"/>
  <c r="CQ94" i="17"/>
  <c r="CQ93" i="17"/>
  <c r="CQ92" i="17"/>
  <c r="CQ91" i="17"/>
  <c r="CQ88" i="17"/>
  <c r="CQ87" i="17"/>
  <c r="CQ86" i="17"/>
  <c r="CQ85" i="17"/>
  <c r="CQ73" i="17"/>
  <c r="CQ72" i="17"/>
  <c r="CQ71" i="17"/>
  <c r="CQ70" i="17"/>
  <c r="CQ78" i="17"/>
  <c r="CQ80" i="17"/>
  <c r="CQ77" i="17"/>
  <c r="CQ76" i="17"/>
  <c r="CQ21" i="17"/>
  <c r="CQ20" i="17"/>
  <c r="CQ19" i="17"/>
  <c r="CQ18" i="17"/>
  <c r="CQ49" i="17"/>
  <c r="CQ48" i="17"/>
  <c r="CQ47" i="17"/>
  <c r="CQ46" i="17"/>
  <c r="CQ45" i="17"/>
  <c r="CQ42" i="17"/>
  <c r="CQ41" i="17"/>
  <c r="CQ40" i="17"/>
  <c r="CQ39" i="17"/>
  <c r="CQ38" i="17"/>
  <c r="CQ35" i="17"/>
  <c r="CQ34" i="17"/>
  <c r="CQ33" i="17"/>
  <c r="CQ32" i="17"/>
  <c r="CQ31" i="17"/>
  <c r="CQ109" i="17"/>
  <c r="CQ67" i="17"/>
  <c r="CQ66" i="17"/>
  <c r="CQ65" i="17"/>
  <c r="CQ64" i="17"/>
  <c r="CQ61" i="17"/>
  <c r="CQ60" i="17"/>
  <c r="CQ59" i="17"/>
  <c r="CQ58" i="17"/>
  <c r="CQ55" i="17"/>
  <c r="CQ54" i="17"/>
  <c r="CQ53" i="17"/>
  <c r="CQ52" i="17"/>
  <c r="CQ123" i="17"/>
  <c r="CQ120" i="17"/>
  <c r="CQ118" i="17"/>
  <c r="CQ116" i="17"/>
  <c r="CQ28" i="17"/>
  <c r="CQ27" i="17"/>
  <c r="CQ25" i="17"/>
  <c r="CQ24" i="17"/>
  <c r="CQ106" i="17"/>
  <c r="CQ105" i="17"/>
  <c r="CQ104" i="17"/>
  <c r="CQ103" i="17"/>
  <c r="CQ100" i="17"/>
  <c r="CQ99" i="17"/>
  <c r="CQ98" i="17"/>
  <c r="CQ97" i="17"/>
  <c r="CQ15" i="17"/>
  <c r="CQ13" i="17"/>
  <c r="CQ12" i="17"/>
  <c r="CQ11" i="17"/>
  <c r="CP94" i="17"/>
  <c r="CP93" i="17"/>
  <c r="CP92" i="17"/>
  <c r="CP91" i="17"/>
  <c r="CP88" i="17"/>
  <c r="CP87" i="17"/>
  <c r="CP86" i="17"/>
  <c r="CP85" i="17"/>
  <c r="CP73" i="17"/>
  <c r="CP72" i="17"/>
  <c r="CP71" i="17"/>
  <c r="CP70" i="17"/>
  <c r="CP78" i="17"/>
  <c r="CP80" i="17"/>
  <c r="CP77" i="17"/>
  <c r="CP76" i="17"/>
  <c r="CP21" i="17"/>
  <c r="CP20" i="17"/>
  <c r="CP19" i="17"/>
  <c r="CP18" i="17"/>
  <c r="CP49" i="17"/>
  <c r="CP48" i="17"/>
  <c r="CP47" i="17"/>
  <c r="CP46" i="17"/>
  <c r="CP45" i="17"/>
  <c r="CP42" i="17"/>
  <c r="CP41" i="17"/>
  <c r="CP40" i="17"/>
  <c r="CP39" i="17"/>
  <c r="CP38" i="17"/>
  <c r="CP35" i="17"/>
  <c r="CP34" i="17"/>
  <c r="CP33" i="17"/>
  <c r="CP32" i="17"/>
  <c r="CP31" i="17"/>
  <c r="CP109" i="17"/>
  <c r="CP67" i="17"/>
  <c r="CP66" i="17"/>
  <c r="CP65" i="17"/>
  <c r="CP64" i="17"/>
  <c r="CP61" i="17"/>
  <c r="CP60" i="17"/>
  <c r="CP59" i="17"/>
  <c r="CP58" i="17"/>
  <c r="CP55" i="17"/>
  <c r="CP54" i="17"/>
  <c r="CP53" i="17"/>
  <c r="CP52" i="17"/>
  <c r="CP123" i="17"/>
  <c r="CP120" i="17"/>
  <c r="CP118" i="17"/>
  <c r="CP116" i="17"/>
  <c r="CP28" i="17"/>
  <c r="CP27" i="17"/>
  <c r="CP25" i="17"/>
  <c r="CP24" i="17"/>
  <c r="CP106" i="17"/>
  <c r="CP105" i="17"/>
  <c r="CP104" i="17"/>
  <c r="CP103" i="17"/>
  <c r="CP100" i="17"/>
  <c r="CP99" i="17"/>
  <c r="CP98" i="17"/>
  <c r="CP97" i="17"/>
  <c r="CP15" i="17"/>
  <c r="CP13" i="17"/>
  <c r="CP12" i="17"/>
  <c r="CP11" i="17"/>
  <c r="DO10" i="17"/>
  <c r="CU10" i="17"/>
  <c r="CU9" i="17"/>
  <c r="AY44" i="17"/>
  <c r="AX44" i="17"/>
  <c r="AW44" i="17"/>
  <c r="AV44" i="17"/>
  <c r="AU44" i="17"/>
  <c r="AT44" i="17"/>
  <c r="AS44" i="17"/>
  <c r="AR44" i="17"/>
  <c r="AQ44" i="17"/>
  <c r="AP44" i="17"/>
  <c r="AO44" i="17"/>
  <c r="AN44" i="17"/>
  <c r="AY37" i="17"/>
  <c r="AX37" i="17"/>
  <c r="AW37" i="17"/>
  <c r="AV37" i="17"/>
  <c r="AU37" i="17"/>
  <c r="AT37" i="17"/>
  <c r="AS37" i="17"/>
  <c r="AR37" i="17"/>
  <c r="AQ37" i="17"/>
  <c r="AP37" i="17"/>
  <c r="AO37" i="17"/>
  <c r="AN37" i="17"/>
  <c r="AY108" i="17"/>
  <c r="AX108" i="17"/>
  <c r="AW108" i="17"/>
  <c r="AV108" i="17"/>
  <c r="AU108" i="17"/>
  <c r="AT108" i="17"/>
  <c r="AS108" i="17"/>
  <c r="AR108" i="17"/>
  <c r="AQ108" i="17"/>
  <c r="AP108" i="17"/>
  <c r="AO108" i="17"/>
  <c r="AN108" i="17"/>
  <c r="AY51" i="17"/>
  <c r="AX51" i="17"/>
  <c r="AW51" i="17"/>
  <c r="AV51" i="17"/>
  <c r="AU51" i="17"/>
  <c r="AT51" i="17"/>
  <c r="AS51" i="17"/>
  <c r="AR51" i="17"/>
  <c r="AQ51" i="17"/>
  <c r="AP51" i="17"/>
  <c r="AO51" i="17"/>
  <c r="AN51" i="17"/>
  <c r="AY115" i="17"/>
  <c r="AX115" i="17"/>
  <c r="AW115" i="17"/>
  <c r="AV115" i="17"/>
  <c r="AU115" i="17"/>
  <c r="AT115" i="17"/>
  <c r="AS115" i="17"/>
  <c r="AR115" i="17"/>
  <c r="AQ115" i="17"/>
  <c r="AP115" i="17"/>
  <c r="AO115" i="17"/>
  <c r="AN115" i="17"/>
  <c r="AY102" i="17"/>
  <c r="AX102" i="17"/>
  <c r="AW102" i="17"/>
  <c r="AV102" i="17"/>
  <c r="AU102" i="17"/>
  <c r="AT102" i="17"/>
  <c r="AS102" i="17"/>
  <c r="AR102" i="17"/>
  <c r="AQ102" i="17"/>
  <c r="AP102" i="17"/>
  <c r="AO102" i="17"/>
  <c r="AN102" i="17"/>
  <c r="AY96" i="17"/>
  <c r="AX96" i="17"/>
  <c r="AW96" i="17"/>
  <c r="AV96" i="17"/>
  <c r="AU96" i="17"/>
  <c r="AT96" i="17"/>
  <c r="AS96" i="17"/>
  <c r="AR96" i="17"/>
  <c r="AQ96" i="17"/>
  <c r="AP96" i="17"/>
  <c r="AO96" i="17"/>
  <c r="AN96" i="17"/>
  <c r="AL94" i="17"/>
  <c r="AK94" i="17"/>
  <c r="AJ94" i="17"/>
  <c r="AI94" i="17"/>
  <c r="AL93" i="17"/>
  <c r="AK93" i="17"/>
  <c r="AJ93" i="17"/>
  <c r="AI93" i="17"/>
  <c r="AL92" i="17"/>
  <c r="AK92" i="17"/>
  <c r="AJ92" i="17"/>
  <c r="AI92" i="17"/>
  <c r="AL91" i="17"/>
  <c r="AK91" i="17"/>
  <c r="AJ91" i="17"/>
  <c r="AI91" i="17"/>
  <c r="AK90" i="17"/>
  <c r="AL88" i="17"/>
  <c r="AK88" i="17"/>
  <c r="AJ88" i="17"/>
  <c r="AI88" i="17"/>
  <c r="AL87" i="17"/>
  <c r="AK87" i="17"/>
  <c r="AJ87" i="17"/>
  <c r="AI87" i="17"/>
  <c r="AL86" i="17"/>
  <c r="AK86" i="17"/>
  <c r="AJ86" i="17"/>
  <c r="AI86" i="17"/>
  <c r="AL85" i="17"/>
  <c r="AK85" i="17"/>
  <c r="AJ85" i="17"/>
  <c r="AI85" i="17"/>
  <c r="AL84" i="17"/>
  <c r="AK84" i="17"/>
  <c r="AL73" i="17"/>
  <c r="AK73" i="17"/>
  <c r="AJ73" i="17"/>
  <c r="AI73" i="17"/>
  <c r="AL72" i="17"/>
  <c r="AK72" i="17"/>
  <c r="AJ72" i="17"/>
  <c r="AI72" i="17"/>
  <c r="AL71" i="17"/>
  <c r="AK71" i="17"/>
  <c r="AJ71" i="17"/>
  <c r="AI71" i="17"/>
  <c r="AL70" i="17"/>
  <c r="AK70" i="17"/>
  <c r="AJ70" i="17"/>
  <c r="AI70" i="17"/>
  <c r="AK69" i="17"/>
  <c r="AL78" i="17"/>
  <c r="AK78" i="17"/>
  <c r="AJ78" i="17"/>
  <c r="AI78" i="17"/>
  <c r="AL80" i="17"/>
  <c r="AK80" i="17"/>
  <c r="AJ80" i="17"/>
  <c r="AI80" i="17"/>
  <c r="AL77" i="17"/>
  <c r="AK77" i="17"/>
  <c r="AJ77" i="17"/>
  <c r="AI77" i="17"/>
  <c r="AL76" i="17"/>
  <c r="AK76" i="17"/>
  <c r="AJ76" i="17"/>
  <c r="AI76" i="17"/>
  <c r="AL41" i="17"/>
  <c r="AK41" i="17"/>
  <c r="AJ41" i="17"/>
  <c r="AI41" i="17"/>
  <c r="AL40" i="17"/>
  <c r="AK40" i="17"/>
  <c r="AJ40" i="17"/>
  <c r="AI40" i="17"/>
  <c r="AL39" i="17"/>
  <c r="AK39" i="17"/>
  <c r="AJ39" i="17"/>
  <c r="AI39" i="17"/>
  <c r="AL38" i="17"/>
  <c r="AK38" i="17"/>
  <c r="AJ38" i="17"/>
  <c r="AI38" i="17"/>
  <c r="AK37" i="17"/>
  <c r="AL34" i="17"/>
  <c r="AK34" i="17"/>
  <c r="AJ34" i="17"/>
  <c r="AI34" i="17"/>
  <c r="AL109" i="17"/>
  <c r="AK109" i="17"/>
  <c r="AJ109" i="17"/>
  <c r="AI109" i="17"/>
  <c r="AK108" i="17"/>
  <c r="AI108" i="17"/>
  <c r="AL67" i="17"/>
  <c r="AK67" i="17"/>
  <c r="AJ67" i="17"/>
  <c r="AI67" i="17"/>
  <c r="AL66" i="17"/>
  <c r="AK66" i="17"/>
  <c r="AJ66" i="17"/>
  <c r="AI66" i="17"/>
  <c r="AL65" i="17"/>
  <c r="AK65" i="17"/>
  <c r="AJ65" i="17"/>
  <c r="AI65" i="17"/>
  <c r="AL64" i="17"/>
  <c r="AK64" i="17"/>
  <c r="AJ64" i="17"/>
  <c r="AI64" i="17"/>
  <c r="AK63" i="17"/>
  <c r="AL61" i="17"/>
  <c r="AK61" i="17"/>
  <c r="AJ61" i="17"/>
  <c r="AI61" i="17"/>
  <c r="AL60" i="17"/>
  <c r="AK60" i="17"/>
  <c r="AJ60" i="17"/>
  <c r="AI60" i="17"/>
  <c r="AL59" i="17"/>
  <c r="AK59" i="17"/>
  <c r="AJ59" i="17"/>
  <c r="AI59" i="17"/>
  <c r="AL58" i="17"/>
  <c r="AK58" i="17"/>
  <c r="AJ58" i="17"/>
  <c r="AI58" i="17"/>
  <c r="AK57" i="17"/>
  <c r="AL55" i="17"/>
  <c r="AK55" i="17"/>
  <c r="AJ55" i="17"/>
  <c r="AI55" i="17"/>
  <c r="AL54" i="17"/>
  <c r="AK54" i="17"/>
  <c r="AJ54" i="17"/>
  <c r="AI54" i="17"/>
  <c r="AL53" i="17"/>
  <c r="AK53" i="17"/>
  <c r="AJ53" i="17"/>
  <c r="AI53" i="17"/>
  <c r="AL52" i="17"/>
  <c r="AK52" i="17"/>
  <c r="AJ52" i="17"/>
  <c r="AI52" i="17"/>
  <c r="AK51" i="17"/>
  <c r="AL123" i="17"/>
  <c r="AK123" i="17"/>
  <c r="AJ123" i="17"/>
  <c r="AI123" i="17"/>
  <c r="AL120" i="17"/>
  <c r="AK120" i="17"/>
  <c r="AJ120" i="17"/>
  <c r="AI120" i="17"/>
  <c r="AL118" i="17"/>
  <c r="AK118" i="17"/>
  <c r="AJ118" i="17"/>
  <c r="AI118" i="17"/>
  <c r="AL116" i="17"/>
  <c r="AK116" i="17"/>
  <c r="AJ116" i="17"/>
  <c r="AI116" i="17"/>
  <c r="AK115" i="17"/>
  <c r="AI115" i="17"/>
  <c r="AL106" i="17"/>
  <c r="AK106" i="17"/>
  <c r="AJ106" i="17"/>
  <c r="AI106" i="17"/>
  <c r="AL105" i="17"/>
  <c r="AK105" i="17"/>
  <c r="AJ105" i="17"/>
  <c r="AI105" i="17"/>
  <c r="AL104" i="17"/>
  <c r="AK104" i="17"/>
  <c r="AJ104" i="17"/>
  <c r="AI104" i="17"/>
  <c r="AL103" i="17"/>
  <c r="AK103" i="17"/>
  <c r="AJ103" i="17"/>
  <c r="AI103" i="17"/>
  <c r="AK102" i="17"/>
  <c r="AL100" i="17"/>
  <c r="AK100" i="17"/>
  <c r="AJ100" i="17"/>
  <c r="AI100" i="17"/>
  <c r="AL99" i="17"/>
  <c r="AK99" i="17"/>
  <c r="AJ99" i="17"/>
  <c r="AI99" i="17"/>
  <c r="AL98" i="17"/>
  <c r="AK98" i="17"/>
  <c r="AJ98" i="17"/>
  <c r="AI98" i="17"/>
  <c r="AL97" i="17"/>
  <c r="AK97" i="17"/>
  <c r="AJ97" i="17"/>
  <c r="AI97" i="17"/>
  <c r="AK96" i="17"/>
  <c r="AL49" i="17"/>
  <c r="AK49" i="17"/>
  <c r="AJ49" i="17"/>
  <c r="AI49" i="17"/>
  <c r="AL48" i="17"/>
  <c r="AK48" i="17"/>
  <c r="AJ48" i="17"/>
  <c r="AI48" i="17"/>
  <c r="AL47" i="17"/>
  <c r="AK47" i="17"/>
  <c r="AJ47" i="17"/>
  <c r="AI47" i="17"/>
  <c r="AL46" i="17"/>
  <c r="AK46" i="17"/>
  <c r="AJ46" i="17"/>
  <c r="AI46" i="17"/>
  <c r="AL45" i="17"/>
  <c r="AK45" i="17"/>
  <c r="AJ45" i="17"/>
  <c r="AI45" i="17"/>
  <c r="AK44" i="17"/>
  <c r="AL42" i="17"/>
  <c r="AK42" i="17"/>
  <c r="AJ42" i="17"/>
  <c r="AI42" i="17"/>
  <c r="AL35" i="17"/>
  <c r="AK35" i="17"/>
  <c r="AJ35" i="17"/>
  <c r="AI35" i="17"/>
  <c r="AL11" i="17"/>
  <c r="AK11" i="17"/>
  <c r="AJ11" i="17"/>
  <c r="AK10" i="17"/>
  <c r="AI11" i="17"/>
  <c r="CM10" i="17"/>
  <c r="CL10" i="17"/>
  <c r="CK10" i="17"/>
  <c r="CJ10" i="17"/>
  <c r="CI10" i="17"/>
  <c r="CH10" i="17"/>
  <c r="CG10" i="17"/>
  <c r="CF10" i="17"/>
  <c r="CE10" i="17"/>
  <c r="CD10" i="17"/>
  <c r="CC10" i="17"/>
  <c r="CB10" i="17"/>
  <c r="CA10" i="17"/>
  <c r="BZ10" i="17"/>
  <c r="BY10" i="17"/>
  <c r="BX10" i="17"/>
  <c r="BW10" i="17"/>
  <c r="BV10" i="17"/>
  <c r="BU10" i="17"/>
  <c r="BT10" i="17"/>
  <c r="BS10" i="17"/>
  <c r="BR10" i="17"/>
  <c r="BQ10" i="17"/>
  <c r="BP10" i="17"/>
  <c r="BO10" i="17"/>
  <c r="BN10" i="17"/>
  <c r="BM10" i="17"/>
  <c r="BL10" i="17"/>
  <c r="BK10" i="17"/>
  <c r="BJ10" i="17"/>
  <c r="BI10" i="17"/>
  <c r="BH10" i="17"/>
  <c r="BG10" i="17"/>
  <c r="BF10" i="17"/>
  <c r="BE10" i="17"/>
  <c r="BD10" i="17"/>
  <c r="BC10" i="17"/>
  <c r="BB10" i="17"/>
  <c r="BA10" i="17"/>
  <c r="AZ10" i="17"/>
  <c r="AY10" i="17"/>
  <c r="AX10" i="17"/>
  <c r="AW10" i="17"/>
  <c r="AV10" i="17"/>
  <c r="AU10" i="17"/>
  <c r="AT10" i="17"/>
  <c r="AS10" i="17"/>
  <c r="AR10" i="17"/>
  <c r="AQ10" i="17"/>
  <c r="AP10" i="17"/>
  <c r="AO10" i="17"/>
  <c r="AN10" i="17"/>
  <c r="AM90" i="17"/>
  <c r="AM84" i="17"/>
  <c r="AM69" i="17"/>
  <c r="AM75" i="17"/>
  <c r="AM44" i="17"/>
  <c r="AM37" i="17"/>
  <c r="AM108" i="17"/>
  <c r="AM63" i="17"/>
  <c r="AM57" i="17"/>
  <c r="AM51" i="17"/>
  <c r="AM115" i="17"/>
  <c r="AM102" i="17"/>
  <c r="AM96" i="17"/>
  <c r="AM10" i="17"/>
  <c r="CP90" i="17"/>
  <c r="CP69" i="17"/>
  <c r="CP75" i="17"/>
  <c r="N7" i="22"/>
  <c r="O7" i="22" s="1"/>
  <c r="P7" i="22" s="1"/>
  <c r="Q7" i="22" s="1"/>
  <c r="R7" i="22" s="1"/>
  <c r="S7" i="22" s="1"/>
  <c r="T7" i="22" s="1"/>
  <c r="U7" i="22" s="1"/>
  <c r="V7" i="22" s="1"/>
  <c r="W7" i="22" s="1"/>
  <c r="X7" i="22" s="1"/>
  <c r="Y7" i="22" s="1"/>
  <c r="Z7" i="22" s="1"/>
  <c r="AA7" i="22" s="1"/>
  <c r="AB7" i="22" s="1"/>
  <c r="AC7" i="22" s="1"/>
  <c r="AD7" i="22" s="1"/>
  <c r="AE7" i="22" s="1"/>
  <c r="AF7" i="22" s="1"/>
  <c r="AG7" i="22" s="1"/>
  <c r="AH7" i="22" s="1"/>
  <c r="AI7" i="22" s="1"/>
  <c r="AJ7" i="22" s="1"/>
  <c r="AK7" i="22" s="1"/>
  <c r="AL7" i="22" s="1"/>
  <c r="AM7" i="22" s="1"/>
  <c r="AN7" i="22" s="1"/>
  <c r="AO7" i="22" s="1"/>
  <c r="AP7" i="22" s="1"/>
  <c r="AQ7" i="22" s="1"/>
  <c r="AR7" i="22" s="1"/>
  <c r="AS7" i="22" s="1"/>
  <c r="AT7" i="22" s="1"/>
  <c r="AU7" i="22" s="1"/>
  <c r="AV7" i="22" s="1"/>
  <c r="AW7" i="22" s="1"/>
  <c r="AX7" i="22" s="1"/>
  <c r="AY7" i="22" s="1"/>
  <c r="AZ7" i="22" s="1"/>
  <c r="BA7" i="22" s="1"/>
  <c r="BB7" i="22" s="1"/>
  <c r="BC7" i="22" s="1"/>
  <c r="BD7" i="22" s="1"/>
  <c r="BE7" i="22" s="1"/>
  <c r="BF7" i="22" s="1"/>
  <c r="BG7" i="22" s="1"/>
  <c r="BH7" i="22" s="1"/>
  <c r="BI7" i="22" s="1"/>
  <c r="BJ7" i="22" s="1"/>
  <c r="BK7" i="22" s="1"/>
  <c r="BL7" i="22" s="1"/>
  <c r="BM7" i="22" s="1"/>
  <c r="L7" i="22"/>
  <c r="K7" i="22" s="1"/>
  <c r="J7" i="22" s="1"/>
  <c r="I7" i="22" s="1"/>
  <c r="N6" i="22"/>
  <c r="K6" i="22"/>
  <c r="J6" i="22" s="1"/>
  <c r="I6" i="22" s="1"/>
  <c r="N7" i="21"/>
  <c r="O7" i="21" s="1"/>
  <c r="P7" i="21" s="1"/>
  <c r="Q7" i="21" s="1"/>
  <c r="R7" i="21" s="1"/>
  <c r="S7" i="21" s="1"/>
  <c r="T7" i="21" s="1"/>
  <c r="U7" i="21" s="1"/>
  <c r="V7" i="21" s="1"/>
  <c r="W7" i="21" s="1"/>
  <c r="X7" i="21" s="1"/>
  <c r="Y7" i="21" s="1"/>
  <c r="Z7" i="21" s="1"/>
  <c r="AA7" i="21" s="1"/>
  <c r="AB7" i="21" s="1"/>
  <c r="AC7" i="21" s="1"/>
  <c r="AD7" i="21" s="1"/>
  <c r="AE7" i="21" s="1"/>
  <c r="AF7" i="21" s="1"/>
  <c r="AG7" i="21" s="1"/>
  <c r="AH7" i="21" s="1"/>
  <c r="AI7" i="21" s="1"/>
  <c r="AJ7" i="21" s="1"/>
  <c r="AK7" i="21" s="1"/>
  <c r="AL7" i="21" s="1"/>
  <c r="AM7" i="21" s="1"/>
  <c r="AN7" i="21" s="1"/>
  <c r="AO7" i="21" s="1"/>
  <c r="AP7" i="21" s="1"/>
  <c r="AQ7" i="21" s="1"/>
  <c r="AR7" i="21" s="1"/>
  <c r="AS7" i="21" s="1"/>
  <c r="AT7" i="21" s="1"/>
  <c r="AU7" i="21" s="1"/>
  <c r="AV7" i="21" s="1"/>
  <c r="AW7" i="21" s="1"/>
  <c r="AX7" i="21" s="1"/>
  <c r="AY7" i="21" s="1"/>
  <c r="AZ7" i="21" s="1"/>
  <c r="BA7" i="21" s="1"/>
  <c r="BB7" i="21" s="1"/>
  <c r="BC7" i="21" s="1"/>
  <c r="BD7" i="21" s="1"/>
  <c r="BE7" i="21" s="1"/>
  <c r="BF7" i="21" s="1"/>
  <c r="BG7" i="21" s="1"/>
  <c r="BH7" i="21" s="1"/>
  <c r="BI7" i="21" s="1"/>
  <c r="BJ7" i="21" s="1"/>
  <c r="BK7" i="21" s="1"/>
  <c r="BL7" i="21" s="1"/>
  <c r="BM7" i="21" s="1"/>
  <c r="L7" i="21"/>
  <c r="K7" i="21" s="1"/>
  <c r="J7" i="21" s="1"/>
  <c r="I7" i="21" s="1"/>
  <c r="N6" i="21"/>
  <c r="K6" i="21"/>
  <c r="J6" i="21" s="1"/>
  <c r="I6" i="21" s="1"/>
  <c r="E3" i="21"/>
  <c r="N7" i="20"/>
  <c r="O7" i="20" s="1"/>
  <c r="P7" i="20" s="1"/>
  <c r="Q7" i="20" s="1"/>
  <c r="R7" i="20" s="1"/>
  <c r="S7" i="20" s="1"/>
  <c r="T7" i="20" s="1"/>
  <c r="U7" i="20" s="1"/>
  <c r="V7" i="20" s="1"/>
  <c r="W7" i="20" s="1"/>
  <c r="X7" i="20" s="1"/>
  <c r="Y7" i="20" s="1"/>
  <c r="Z7" i="20" s="1"/>
  <c r="AA7" i="20" s="1"/>
  <c r="AB7" i="20" s="1"/>
  <c r="AC7" i="20" s="1"/>
  <c r="AD7" i="20" s="1"/>
  <c r="AE7" i="20" s="1"/>
  <c r="AF7" i="20" s="1"/>
  <c r="AG7" i="20" s="1"/>
  <c r="AH7" i="20" s="1"/>
  <c r="AI7" i="20" s="1"/>
  <c r="AJ7" i="20" s="1"/>
  <c r="AK7" i="20" s="1"/>
  <c r="AL7" i="20" s="1"/>
  <c r="AM7" i="20" s="1"/>
  <c r="AN7" i="20" s="1"/>
  <c r="AO7" i="20" s="1"/>
  <c r="AP7" i="20" s="1"/>
  <c r="AQ7" i="20" s="1"/>
  <c r="AR7" i="20" s="1"/>
  <c r="AS7" i="20" s="1"/>
  <c r="AT7" i="20" s="1"/>
  <c r="AU7" i="20" s="1"/>
  <c r="AV7" i="20" s="1"/>
  <c r="AW7" i="20" s="1"/>
  <c r="AX7" i="20" s="1"/>
  <c r="AY7" i="20" s="1"/>
  <c r="AZ7" i="20" s="1"/>
  <c r="BA7" i="20" s="1"/>
  <c r="BB7" i="20" s="1"/>
  <c r="BC7" i="20" s="1"/>
  <c r="BD7" i="20" s="1"/>
  <c r="BE7" i="20" s="1"/>
  <c r="BF7" i="20" s="1"/>
  <c r="BG7" i="20" s="1"/>
  <c r="BH7" i="20" s="1"/>
  <c r="BI7" i="20" s="1"/>
  <c r="BJ7" i="20" s="1"/>
  <c r="BK7" i="20" s="1"/>
  <c r="BL7" i="20" s="1"/>
  <c r="BM7" i="20" s="1"/>
  <c r="L7" i="20"/>
  <c r="K7" i="20" s="1"/>
  <c r="J7" i="20" s="1"/>
  <c r="I7" i="20" s="1"/>
  <c r="N6" i="20"/>
  <c r="K6" i="20"/>
  <c r="J6" i="20" s="1"/>
  <c r="I6" i="20" s="1"/>
  <c r="N23" i="19"/>
  <c r="O23" i="19" s="1"/>
  <c r="P23" i="19" s="1"/>
  <c r="Q23" i="19" s="1"/>
  <c r="R23" i="19" s="1"/>
  <c r="S23" i="19" s="1"/>
  <c r="T23" i="19" s="1"/>
  <c r="U23" i="19" s="1"/>
  <c r="V23" i="19" s="1"/>
  <c r="W23" i="19" s="1"/>
  <c r="X23" i="19" s="1"/>
  <c r="Y23" i="19" s="1"/>
  <c r="Z23" i="19" s="1"/>
  <c r="AA23" i="19" s="1"/>
  <c r="AB23" i="19" s="1"/>
  <c r="AC23" i="19" s="1"/>
  <c r="AD23" i="19" s="1"/>
  <c r="AE23" i="19" s="1"/>
  <c r="AF23" i="19" s="1"/>
  <c r="AG23" i="19" s="1"/>
  <c r="AH23" i="19" s="1"/>
  <c r="AI23" i="19" s="1"/>
  <c r="AJ23" i="19" s="1"/>
  <c r="AK23" i="19" s="1"/>
  <c r="AL23" i="19" s="1"/>
  <c r="AM23" i="19" s="1"/>
  <c r="AN23" i="19" s="1"/>
  <c r="AO23" i="19" s="1"/>
  <c r="AP23" i="19" s="1"/>
  <c r="AQ23" i="19" s="1"/>
  <c r="AR23" i="19" s="1"/>
  <c r="AS23" i="19" s="1"/>
  <c r="AT23" i="19" s="1"/>
  <c r="AU23" i="19" s="1"/>
  <c r="AV23" i="19" s="1"/>
  <c r="AW23" i="19" s="1"/>
  <c r="AX23" i="19" s="1"/>
  <c r="AY23" i="19" s="1"/>
  <c r="AZ23" i="19" s="1"/>
  <c r="BA23" i="19" s="1"/>
  <c r="BB23" i="19" s="1"/>
  <c r="BC23" i="19" s="1"/>
  <c r="BD23" i="19" s="1"/>
  <c r="BE23" i="19" s="1"/>
  <c r="BF23" i="19" s="1"/>
  <c r="BG23" i="19" s="1"/>
  <c r="BH23" i="19" s="1"/>
  <c r="BI23" i="19" s="1"/>
  <c r="BJ23" i="19" s="1"/>
  <c r="BK23" i="19" s="1"/>
  <c r="BL23" i="19" s="1"/>
  <c r="BM23" i="19" s="1"/>
  <c r="L23" i="19"/>
  <c r="K23" i="19" s="1"/>
  <c r="J23" i="19" s="1"/>
  <c r="I23" i="19" s="1"/>
  <c r="N22" i="19"/>
  <c r="K22" i="19"/>
  <c r="J22" i="19" s="1"/>
  <c r="I22" i="19" s="1"/>
  <c r="E19" i="19"/>
  <c r="CP17" i="17"/>
  <c r="E3" i="4"/>
  <c r="IY92" i="17" l="1"/>
  <c r="GR93" i="17"/>
  <c r="IY94" i="17"/>
  <c r="GR91" i="17"/>
  <c r="GR94" i="17"/>
  <c r="IY91" i="17"/>
  <c r="IY93" i="17"/>
  <c r="GR92" i="17"/>
  <c r="IY88" i="17"/>
  <c r="IY85" i="17"/>
  <c r="GR88" i="17"/>
  <c r="IY87" i="17"/>
  <c r="IY86" i="17"/>
  <c r="GR87" i="17"/>
  <c r="GR85" i="17"/>
  <c r="GR86" i="17"/>
  <c r="GO76" i="17"/>
  <c r="GQ76" i="17"/>
  <c r="GN76" i="17"/>
  <c r="GP76" i="17"/>
  <c r="FQ79" i="17"/>
  <c r="LZ79" i="17"/>
  <c r="CD79" i="17"/>
  <c r="CI79" i="17"/>
  <c r="KH79" i="17"/>
  <c r="LH79" i="17"/>
  <c r="GL79" i="17"/>
  <c r="IO79" i="17"/>
  <c r="ML79" i="17"/>
  <c r="MS79" i="17"/>
  <c r="IQ79" i="17"/>
  <c r="KW79" i="17"/>
  <c r="LC79" i="17"/>
  <c r="ID79" i="17"/>
  <c r="BJ79" i="17"/>
  <c r="IB79" i="17"/>
  <c r="AY79" i="17"/>
  <c r="FD79" i="17"/>
  <c r="HX79" i="17"/>
  <c r="IK79" i="17"/>
  <c r="DY79" i="17"/>
  <c r="KJ79" i="17"/>
  <c r="FN79" i="17"/>
  <c r="HQ79" i="17"/>
  <c r="GY79" i="17"/>
  <c r="BR79" i="17"/>
  <c r="JI79" i="17"/>
  <c r="KI79" i="17"/>
  <c r="HO79" i="17"/>
  <c r="IT79" i="17"/>
  <c r="EI79" i="17"/>
  <c r="FP79" i="17"/>
  <c r="JG79" i="17"/>
  <c r="LM79" i="17"/>
  <c r="CB79" i="17"/>
  <c r="GJ79" i="17"/>
  <c r="HI79" i="17" s="1"/>
  <c r="IR79" i="17"/>
  <c r="DN79" i="17"/>
  <c r="FT79" i="17"/>
  <c r="KN79" i="17"/>
  <c r="EX79" i="17"/>
  <c r="GD79" i="17"/>
  <c r="IG79" i="17"/>
  <c r="KV79" i="17"/>
  <c r="LA79" i="17"/>
  <c r="MR79" i="17"/>
  <c r="FO79" i="17"/>
  <c r="LN79" i="17"/>
  <c r="CK79" i="17"/>
  <c r="NQ79" i="17"/>
  <c r="BZ79" i="17"/>
  <c r="BB79" i="17"/>
  <c r="HT79" i="17"/>
  <c r="NU79" i="17"/>
  <c r="ER79" i="17"/>
  <c r="GQ79" i="17"/>
  <c r="KZ79" i="17"/>
  <c r="GN79" i="17"/>
  <c r="KX79" i="17"/>
  <c r="IL79" i="17"/>
  <c r="HC79" i="17"/>
  <c r="GP79" i="17"/>
  <c r="FC81" i="17"/>
  <c r="HK81" i="17"/>
  <c r="HJ81" i="17"/>
  <c r="FD81" i="17"/>
  <c r="LP79" i="17"/>
  <c r="GT79" i="17"/>
  <c r="IW79" i="17"/>
  <c r="CA79" i="17"/>
  <c r="DT79" i="17"/>
  <c r="GE79" i="17"/>
  <c r="MG79" i="17"/>
  <c r="DD79" i="17"/>
  <c r="FX79" i="17"/>
  <c r="IJ79" i="17"/>
  <c r="CM79" i="17"/>
  <c r="FL79" i="17"/>
  <c r="JD79" i="17"/>
  <c r="FI79" i="17"/>
  <c r="KC79" i="17"/>
  <c r="CY79" i="17"/>
  <c r="IX79" i="17"/>
  <c r="NS79" i="17"/>
  <c r="DA79" i="17"/>
  <c r="FH79" i="17"/>
  <c r="MJ79" i="17"/>
  <c r="FG79" i="17"/>
  <c r="LF79" i="17"/>
  <c r="CC79" i="17"/>
  <c r="LI79" i="17"/>
  <c r="MC79" i="17"/>
  <c r="DX79" i="17"/>
  <c r="IH79" i="17"/>
  <c r="AS79" i="17"/>
  <c r="MP79" i="17"/>
  <c r="AX79" i="17"/>
  <c r="AN81" i="17"/>
  <c r="GO77" i="17"/>
  <c r="GP77" i="17"/>
  <c r="GQ77" i="17"/>
  <c r="GN77" i="17"/>
  <c r="IZ79" i="17"/>
  <c r="ED79" i="17"/>
  <c r="GB79" i="17"/>
  <c r="BV79" i="17"/>
  <c r="DC79" i="17"/>
  <c r="DO79" i="17"/>
  <c r="JR79" i="17"/>
  <c r="AO79" i="17"/>
  <c r="EE79" i="17"/>
  <c r="FW79" i="17"/>
  <c r="LY79" i="17"/>
  <c r="CV79" i="17"/>
  <c r="NX79" i="17"/>
  <c r="IC79" i="17"/>
  <c r="HM79" i="17"/>
  <c r="DF79" i="17"/>
  <c r="GK79" i="17"/>
  <c r="IV79" i="17"/>
  <c r="MA79" i="17"/>
  <c r="EO79" i="17"/>
  <c r="JU79" i="17"/>
  <c r="CF79" i="17"/>
  <c r="IP79" i="17"/>
  <c r="NK79" i="17"/>
  <c r="GU79" i="17"/>
  <c r="GW79" i="17"/>
  <c r="BI79" i="17"/>
  <c r="FU79" i="17"/>
  <c r="MH79" i="17"/>
  <c r="KA79" i="17"/>
  <c r="HW79" i="17"/>
  <c r="IW26" i="17"/>
  <c r="LB79" i="17"/>
  <c r="GM79" i="17"/>
  <c r="MO79" i="17"/>
  <c r="DL79" i="17"/>
  <c r="BS79" i="17"/>
  <c r="CH79" i="17"/>
  <c r="AR79" i="17"/>
  <c r="HA79" i="17"/>
  <c r="LL79" i="17"/>
  <c r="HR79" i="17"/>
  <c r="DG79" i="17"/>
  <c r="JF79" i="17"/>
  <c r="P79" i="17"/>
  <c r="JH79" i="17"/>
  <c r="MZ79" i="17"/>
  <c r="EN79" i="17"/>
  <c r="NN79" i="17"/>
  <c r="DU79" i="17"/>
  <c r="KE79" i="17"/>
  <c r="HB79" i="17"/>
  <c r="KK79" i="17"/>
  <c r="GV79" i="17"/>
  <c r="CX79" i="17"/>
  <c r="GC79" i="17"/>
  <c r="HP79" i="17"/>
  <c r="EL79" i="17"/>
  <c r="LR79" i="17"/>
  <c r="EU79" i="17"/>
  <c r="DE79" i="17"/>
  <c r="MW79" i="17"/>
  <c r="HK79" i="17"/>
  <c r="IT26" i="17"/>
  <c r="GO26" i="17"/>
  <c r="GP26" i="17"/>
  <c r="GN26" i="17"/>
  <c r="GQ26" i="17"/>
  <c r="IS79" i="17"/>
  <c r="DW79" i="17"/>
  <c r="JZ79" i="17"/>
  <c r="AW79" i="17"/>
  <c r="FY79" i="17"/>
  <c r="NA79" i="17"/>
  <c r="AQ79" i="17"/>
  <c r="EK79" i="17"/>
  <c r="NJ79" i="17"/>
  <c r="DR79" i="17"/>
  <c r="DV79" i="17"/>
  <c r="GS79" i="17"/>
  <c r="KF79" i="17"/>
  <c r="JS79" i="17"/>
  <c r="NO79" i="17"/>
  <c r="BY79" i="17"/>
  <c r="KY79" i="17"/>
  <c r="ND79" i="17"/>
  <c r="JX79" i="17"/>
  <c r="CL79" i="17"/>
  <c r="CG79" i="17"/>
  <c r="EF79" i="17"/>
  <c r="NF79" i="17"/>
  <c r="DM79" i="17"/>
  <c r="IU79" i="17"/>
  <c r="DJ79" i="17"/>
  <c r="JB79" i="17"/>
  <c r="BX79" i="17"/>
  <c r="BU79" i="17"/>
  <c r="KL79" i="17"/>
  <c r="BM79" i="17"/>
  <c r="IU26" i="17"/>
  <c r="N16" i="20"/>
  <c r="N30" i="20"/>
  <c r="BH79" i="17"/>
  <c r="AZ79" i="17"/>
  <c r="HJ79" i="17"/>
  <c r="ME79" i="17"/>
  <c r="DH79" i="17"/>
  <c r="KS79" i="17"/>
  <c r="LO79" i="17"/>
  <c r="NT79" i="17"/>
  <c r="NB79" i="17"/>
  <c r="CZ79" i="17"/>
  <c r="NV79" i="17"/>
  <c r="EC79" i="17"/>
  <c r="LK79" i="17"/>
  <c r="FE79" i="17"/>
  <c r="HF79" i="17"/>
  <c r="NG79" i="17"/>
  <c r="II79" i="17"/>
  <c r="KO79" i="17"/>
  <c r="JW79" i="17"/>
  <c r="MM79" i="17"/>
  <c r="MK79" i="17"/>
  <c r="BQ79" i="17"/>
  <c r="KQ79" i="17"/>
  <c r="MV79" i="17"/>
  <c r="IN79" i="17"/>
  <c r="KT79" i="17"/>
  <c r="GO79" i="17"/>
  <c r="CE79" i="17"/>
  <c r="NC79" i="17"/>
  <c r="JV79" i="17"/>
  <c r="EQ79" i="17"/>
  <c r="IX26" i="17"/>
  <c r="LT79" i="17"/>
  <c r="MN79" i="17"/>
  <c r="GA79" i="17"/>
  <c r="JE79" i="17"/>
  <c r="DI79" i="17"/>
  <c r="NE79" i="17"/>
  <c r="FJ79" i="17"/>
  <c r="BD79" i="17"/>
  <c r="MQ79" i="17"/>
  <c r="HS79" i="17"/>
  <c r="JY79" i="17"/>
  <c r="FZ79" i="17"/>
  <c r="BE79" i="17"/>
  <c r="DP79" i="17"/>
  <c r="CW79" i="17"/>
  <c r="BL79" i="17"/>
  <c r="DQ79" i="17"/>
  <c r="KB79" i="17"/>
  <c r="FF79" i="17"/>
  <c r="GZ79" i="17"/>
  <c r="FS79" i="17"/>
  <c r="CU79" i="17"/>
  <c r="BA79" i="17"/>
  <c r="MF79" i="17"/>
  <c r="FR79" i="17"/>
  <c r="AT79" i="17"/>
  <c r="HL79" i="17"/>
  <c r="NM79" i="17"/>
  <c r="EJ79" i="17"/>
  <c r="FK79" i="17"/>
  <c r="NP79" i="17"/>
  <c r="MI79" i="17"/>
  <c r="GR79" i="17"/>
  <c r="AU79" i="17"/>
  <c r="GG79" i="17"/>
  <c r="JT79" i="17"/>
  <c r="ET79" i="17"/>
  <c r="EB79" i="17"/>
  <c r="BK79" i="17"/>
  <c r="BN79" i="17"/>
  <c r="AC79" i="17"/>
  <c r="NH79" i="17"/>
  <c r="LQ79" i="17"/>
  <c r="EM79" i="17"/>
  <c r="KP79" i="17"/>
  <c r="MU79" i="17"/>
  <c r="JM79" i="17"/>
  <c r="GX79" i="17"/>
  <c r="DZ79" i="17"/>
  <c r="HN79" i="17"/>
  <c r="JA79" i="17"/>
  <c r="BP79" i="17"/>
  <c r="HZ79" i="17"/>
  <c r="FC79" i="17"/>
  <c r="AM79" i="17"/>
  <c r="KU79" i="17"/>
  <c r="IE79" i="17"/>
  <c r="HU79" i="17"/>
  <c r="GF79" i="17"/>
  <c r="BW79" i="17"/>
  <c r="FM79" i="17"/>
  <c r="GH79" i="17"/>
  <c r="BF79" i="17"/>
  <c r="J79" i="17"/>
  <c r="IR26" i="17"/>
  <c r="GI77" i="17"/>
  <c r="GK77" i="17"/>
  <c r="GM77" i="17"/>
  <c r="GL77" i="17"/>
  <c r="GJ77" i="17"/>
  <c r="GI26" i="17"/>
  <c r="GL26" i="17"/>
  <c r="GM26" i="17"/>
  <c r="GK26" i="17"/>
  <c r="GJ26" i="17"/>
  <c r="IS26" i="17"/>
  <c r="GI76" i="17"/>
  <c r="GM76" i="17"/>
  <c r="GJ76" i="17"/>
  <c r="GL76" i="17"/>
  <c r="GK76" i="17"/>
  <c r="IQ26" i="17"/>
  <c r="IP26" i="17"/>
  <c r="GG26" i="17"/>
  <c r="GF26" i="17"/>
  <c r="GH26" i="17"/>
  <c r="FL76" i="17"/>
  <c r="FK76" i="17"/>
  <c r="FO76" i="17"/>
  <c r="FD76" i="17"/>
  <c r="FC76" i="17"/>
  <c r="GC76" i="17"/>
  <c r="FE76" i="17"/>
  <c r="FP76" i="17"/>
  <c r="GD76" i="17"/>
  <c r="FU76" i="17"/>
  <c r="FV76" i="17"/>
  <c r="GH76" i="17"/>
  <c r="GF76" i="17"/>
  <c r="FY76" i="17"/>
  <c r="FQ76" i="17"/>
  <c r="FN76" i="17"/>
  <c r="GB76" i="17"/>
  <c r="GA76" i="17"/>
  <c r="FZ76" i="17"/>
  <c r="FM76" i="17"/>
  <c r="GE76" i="17"/>
  <c r="FI76" i="17"/>
  <c r="FX76" i="17"/>
  <c r="FW76" i="17"/>
  <c r="FF76" i="17"/>
  <c r="FT76" i="17"/>
  <c r="FS76" i="17"/>
  <c r="FR76" i="17"/>
  <c r="GG76" i="17"/>
  <c r="FJ76" i="17"/>
  <c r="FH76" i="17"/>
  <c r="FG76" i="17"/>
  <c r="HK82" i="17"/>
  <c r="FD82" i="17"/>
  <c r="HK80" i="17"/>
  <c r="IM26" i="17"/>
  <c r="IO26" i="17"/>
  <c r="GB77" i="17"/>
  <c r="GH77" i="17"/>
  <c r="FE77" i="17"/>
  <c r="FT77" i="17"/>
  <c r="FZ77" i="17"/>
  <c r="FL77" i="17"/>
  <c r="GA77" i="17"/>
  <c r="FR77" i="17"/>
  <c r="GC77" i="17"/>
  <c r="FU77" i="17"/>
  <c r="FN77" i="17"/>
  <c r="FM77" i="17"/>
  <c r="FD77" i="17"/>
  <c r="FS77" i="17"/>
  <c r="FJ77" i="17"/>
  <c r="GG77" i="17"/>
  <c r="GF77" i="17"/>
  <c r="GE77" i="17"/>
  <c r="FV77" i="17"/>
  <c r="FF77" i="17"/>
  <c r="FK77" i="17"/>
  <c r="FY77" i="17"/>
  <c r="FX77" i="17"/>
  <c r="FW77" i="17"/>
  <c r="GD77" i="17"/>
  <c r="FC77" i="17"/>
  <c r="FQ77" i="17"/>
  <c r="FP77" i="17"/>
  <c r="FO77" i="17"/>
  <c r="FI77" i="17"/>
  <c r="FH77" i="17"/>
  <c r="FG77" i="17"/>
  <c r="IN26" i="17"/>
  <c r="LW90" i="17"/>
  <c r="AL90" i="17"/>
  <c r="CS90" i="17"/>
  <c r="CO82" i="17"/>
  <c r="EW82" i="17"/>
  <c r="EA79" i="17"/>
  <c r="EH79" i="17"/>
  <c r="KM79" i="17"/>
  <c r="X79" i="17"/>
  <c r="MD79" i="17"/>
  <c r="NY79" i="17"/>
  <c r="JC79" i="17"/>
  <c r="AV79" i="17"/>
  <c r="BC79" i="17"/>
  <c r="NR79" i="17"/>
  <c r="AN79" i="17"/>
  <c r="AP79" i="17"/>
  <c r="BT79" i="17"/>
  <c r="AH82" i="17"/>
  <c r="O22" i="19"/>
  <c r="FE80" i="17" s="1"/>
  <c r="AN80" i="17"/>
  <c r="CV80" i="17" s="1"/>
  <c r="FD80" i="17"/>
  <c r="GD26" i="17"/>
  <c r="GE26" i="17"/>
  <c r="IL26" i="17"/>
  <c r="IK26" i="17"/>
  <c r="JP90" i="17"/>
  <c r="HH90" i="17"/>
  <c r="IJ26" i="17"/>
  <c r="II26" i="17"/>
  <c r="GB26" i="17"/>
  <c r="GC26" i="17"/>
  <c r="GA26" i="17"/>
  <c r="IH26" i="17"/>
  <c r="BN17" i="4"/>
  <c r="M19" i="4"/>
  <c r="AM100" i="17" s="1"/>
  <c r="M10" i="4"/>
  <c r="CU97" i="17" s="1"/>
  <c r="M16" i="4"/>
  <c r="M13" i="4"/>
  <c r="CU98" i="17" s="1"/>
  <c r="N16" i="22"/>
  <c r="P22" i="1" s="1"/>
  <c r="N13" i="22"/>
  <c r="N19" i="22"/>
  <c r="P23" i="1" s="1"/>
  <c r="N10" i="22"/>
  <c r="IG26" i="17"/>
  <c r="FZ26" i="17"/>
  <c r="LK110" i="17"/>
  <c r="CI110" i="17"/>
  <c r="BS110" i="17"/>
  <c r="JI110" i="17"/>
  <c r="KH110" i="17"/>
  <c r="GI110" i="17"/>
  <c r="M16" i="21"/>
  <c r="M19" i="21"/>
  <c r="M13" i="21"/>
  <c r="M10" i="21"/>
  <c r="KZ110" i="17"/>
  <c r="AC110" i="17"/>
  <c r="IC110" i="17"/>
  <c r="HM110" i="17"/>
  <c r="AV110" i="17"/>
  <c r="MI110" i="17"/>
  <c r="IJ110" i="17"/>
  <c r="N19" i="20"/>
  <c r="M23" i="1" s="1"/>
  <c r="N10" i="20"/>
  <c r="N13" i="20"/>
  <c r="N16" i="21"/>
  <c r="N19" i="21"/>
  <c r="N13" i="21"/>
  <c r="N10" i="21"/>
  <c r="IW110" i="17"/>
  <c r="NP110" i="17"/>
  <c r="GW110" i="17"/>
  <c r="AX110" i="17"/>
  <c r="GC110" i="17"/>
  <c r="BL110" i="17"/>
  <c r="LR110" i="17"/>
  <c r="IU110" i="17"/>
  <c r="FP110" i="17"/>
  <c r="KI110" i="17"/>
  <c r="GV110" i="17"/>
  <c r="ID110" i="17"/>
  <c r="EX110" i="17"/>
  <c r="CB110" i="17"/>
  <c r="CS69" i="17"/>
  <c r="GF110" i="17"/>
  <c r="AS110" i="17"/>
  <c r="IO110" i="17"/>
  <c r="IS110" i="17"/>
  <c r="KY110" i="17"/>
  <c r="LC110" i="17"/>
  <c r="KQ110" i="17"/>
  <c r="NL110" i="17"/>
  <c r="BN110" i="17"/>
  <c r="ND110" i="17"/>
  <c r="BF110" i="17"/>
  <c r="MV110" i="17"/>
  <c r="MJ110" i="17"/>
  <c r="JW110" i="17"/>
  <c r="JE110" i="17"/>
  <c r="GR110" i="17"/>
  <c r="GS110" i="17"/>
  <c r="MG110" i="17"/>
  <c r="FO110" i="17"/>
  <c r="KX110" i="17"/>
  <c r="BX110" i="17"/>
  <c r="IY110" i="17"/>
  <c r="AN110" i="17"/>
  <c r="GY110" i="17"/>
  <c r="NS110" i="17"/>
  <c r="NE110" i="17"/>
  <c r="BR110" i="17"/>
  <c r="NQ110" i="17"/>
  <c r="LM110" i="17"/>
  <c r="NI110" i="17"/>
  <c r="FX110" i="17"/>
  <c r="GB110" i="17"/>
  <c r="IG110" i="17"/>
  <c r="IK110" i="17"/>
  <c r="HY110" i="17"/>
  <c r="KU110" i="17"/>
  <c r="MZ110" i="17"/>
  <c r="KM110" i="17"/>
  <c r="MR110" i="17"/>
  <c r="KE110" i="17"/>
  <c r="JS110" i="17"/>
  <c r="GZ110" i="17"/>
  <c r="GN110" i="17"/>
  <c r="BA110" i="17"/>
  <c r="HN110" i="17"/>
  <c r="MW110" i="17"/>
  <c r="GE110" i="17"/>
  <c r="LN110" i="17"/>
  <c r="CK110" i="17"/>
  <c r="JU110" i="17"/>
  <c r="AZ110" i="17"/>
  <c r="HT110" i="17"/>
  <c r="AO110" i="17"/>
  <c r="BP110" i="17"/>
  <c r="FJ110" i="17"/>
  <c r="IH110" i="17"/>
  <c r="GD110" i="17"/>
  <c r="HZ110" i="17"/>
  <c r="LE110" i="17"/>
  <c r="NA110" i="17"/>
  <c r="NN110" i="17"/>
  <c r="MS110" i="17"/>
  <c r="NF110" i="17"/>
  <c r="FL110" i="17"/>
  <c r="HQ110" i="17"/>
  <c r="FD110" i="17"/>
  <c r="HF110" i="17"/>
  <c r="BQ110" i="17"/>
  <c r="MH110" i="17"/>
  <c r="LH110" i="17"/>
  <c r="JC110" i="17"/>
  <c r="BH110" i="17"/>
  <c r="IT110" i="17"/>
  <c r="P110" i="17"/>
  <c r="HP110" i="17"/>
  <c r="MY110" i="17"/>
  <c r="FR110" i="17"/>
  <c r="LA110" i="17"/>
  <c r="BZ110" i="17"/>
  <c r="IZ110" i="17"/>
  <c r="FE110" i="17"/>
  <c r="HC110" i="17"/>
  <c r="KS110" i="17"/>
  <c r="FQ110" i="17"/>
  <c r="AU110" i="17"/>
  <c r="FI110" i="17"/>
  <c r="IM110" i="17"/>
  <c r="KJ110" i="17"/>
  <c r="KW110" i="17"/>
  <c r="KB110" i="17"/>
  <c r="KO110" i="17"/>
  <c r="CG110" i="17"/>
  <c r="MX110" i="17"/>
  <c r="BY110" i="17"/>
  <c r="MP110" i="17"/>
  <c r="LP110" i="17"/>
  <c r="JM110" i="17"/>
  <c r="IP110" i="17"/>
  <c r="GL110" i="17"/>
  <c r="BU110" i="17"/>
  <c r="JJ110" i="17"/>
  <c r="AW110" i="17"/>
  <c r="IF110" i="17"/>
  <c r="NO110" i="17"/>
  <c r="GH110" i="17"/>
  <c r="LQ110" i="17"/>
  <c r="CM110" i="17"/>
  <c r="JV110" i="17"/>
  <c r="FU110" i="17"/>
  <c r="IN110" i="17"/>
  <c r="GA110" i="17"/>
  <c r="J110" i="17"/>
  <c r="LT110" i="17"/>
  <c r="CL110" i="17"/>
  <c r="FV110" i="17"/>
  <c r="HR110" i="17"/>
  <c r="IE110" i="17"/>
  <c r="HJ110" i="17"/>
  <c r="HW110" i="17"/>
  <c r="MK110" i="17"/>
  <c r="KG110" i="17"/>
  <c r="MC110" i="17"/>
  <c r="JY110" i="17"/>
  <c r="IX110" i="17"/>
  <c r="GT110" i="17"/>
  <c r="FY110" i="17"/>
  <c r="BC110" i="17"/>
  <c r="CH110" i="17"/>
  <c r="KF110" i="17"/>
  <c r="BJ110" i="17"/>
  <c r="IV110" i="17"/>
  <c r="X110" i="17"/>
  <c r="GX110" i="17"/>
  <c r="ML110" i="17"/>
  <c r="FC110" i="17"/>
  <c r="KL110" i="17"/>
  <c r="HV110" i="17"/>
  <c r="KP110" i="17"/>
  <c r="LJ110" i="17"/>
  <c r="LO110" i="17"/>
  <c r="JA110" i="17"/>
  <c r="NX110" i="17"/>
  <c r="AM110" i="17"/>
  <c r="CD110" i="17"/>
  <c r="FN110" i="17"/>
  <c r="BV110" i="17"/>
  <c r="FF110" i="17"/>
  <c r="JT110" i="17"/>
  <c r="HO110" i="17"/>
  <c r="JF110" i="17"/>
  <c r="HB110" i="17"/>
  <c r="GG110" i="17"/>
  <c r="BK110" i="17"/>
  <c r="AP110" i="17"/>
  <c r="MF110" i="17"/>
  <c r="FM110" i="17"/>
  <c r="KV110" i="17"/>
  <c r="BW110" i="17"/>
  <c r="JR110" i="17"/>
  <c r="AY110" i="17"/>
  <c r="HS110" i="17"/>
  <c r="NB110" i="17"/>
  <c r="FS110" i="17"/>
  <c r="LB110" i="17"/>
  <c r="KN110" i="17"/>
  <c r="NW110" i="17"/>
  <c r="FC26" i="17"/>
  <c r="AH66" i="17"/>
  <c r="CO66" i="17"/>
  <c r="EW66" i="17"/>
  <c r="CO47" i="17"/>
  <c r="EW47" i="17"/>
  <c r="AH47" i="17"/>
  <c r="AH41" i="17"/>
  <c r="CO41" i="17"/>
  <c r="EW41" i="17"/>
  <c r="AH105" i="17"/>
  <c r="CO105" i="17"/>
  <c r="EW105" i="17"/>
  <c r="CO111" i="17"/>
  <c r="EW111" i="17"/>
  <c r="AH111" i="17"/>
  <c r="AH55" i="17"/>
  <c r="CO55" i="17"/>
  <c r="EW55" i="17"/>
  <c r="CO99" i="17"/>
  <c r="EW99" i="17"/>
  <c r="AH99" i="17"/>
  <c r="AH118" i="17"/>
  <c r="CO118" i="17"/>
  <c r="EW118" i="17"/>
  <c r="CO21" i="17"/>
  <c r="EW21" i="17"/>
  <c r="AH21" i="17"/>
  <c r="AH65" i="17"/>
  <c r="CO65" i="17"/>
  <c r="EW65" i="17"/>
  <c r="AH45" i="17"/>
  <c r="CO45" i="17"/>
  <c r="EW45" i="17"/>
  <c r="CO58" i="17"/>
  <c r="EW58" i="17"/>
  <c r="AH58" i="17"/>
  <c r="AH103" i="17"/>
  <c r="CO103" i="17"/>
  <c r="EW103" i="17"/>
  <c r="CO112" i="17"/>
  <c r="EW112" i="17"/>
  <c r="AH112" i="17"/>
  <c r="AH53" i="17"/>
  <c r="CO53" i="17"/>
  <c r="EW53" i="17"/>
  <c r="EW100" i="17"/>
  <c r="AH100" i="17"/>
  <c r="CO100" i="17"/>
  <c r="AH119" i="17"/>
  <c r="CO119" i="17"/>
  <c r="EW119" i="17"/>
  <c r="AH18" i="17"/>
  <c r="CO18" i="17"/>
  <c r="EW18" i="17"/>
  <c r="AH64" i="17"/>
  <c r="CO64" i="17"/>
  <c r="EW64" i="17"/>
  <c r="CO48" i="17"/>
  <c r="EW48" i="17"/>
  <c r="AH48" i="17"/>
  <c r="CO59" i="17"/>
  <c r="EW59" i="17"/>
  <c r="AH59" i="17"/>
  <c r="EW73" i="17"/>
  <c r="AH73" i="17"/>
  <c r="CO73" i="17"/>
  <c r="EW113" i="17"/>
  <c r="AH113" i="17"/>
  <c r="CO113" i="17"/>
  <c r="AH54" i="17"/>
  <c r="CO54" i="17"/>
  <c r="EW54" i="17"/>
  <c r="AH33" i="17"/>
  <c r="CO33" i="17"/>
  <c r="EW33" i="17"/>
  <c r="CO120" i="17"/>
  <c r="EW120" i="17"/>
  <c r="AH120" i="17"/>
  <c r="AH19" i="17"/>
  <c r="CO19" i="17"/>
  <c r="EW19" i="17"/>
  <c r="CO24" i="17"/>
  <c r="EW24" i="17"/>
  <c r="AH24" i="17"/>
  <c r="EW49" i="17"/>
  <c r="AH49" i="17"/>
  <c r="CO49" i="17"/>
  <c r="CO60" i="17"/>
  <c r="EW60" i="17"/>
  <c r="AH60" i="17"/>
  <c r="CO72" i="17"/>
  <c r="EW72" i="17"/>
  <c r="AH72" i="17"/>
  <c r="EP110" i="17"/>
  <c r="EH110" i="17"/>
  <c r="DZ110" i="17"/>
  <c r="DR110" i="17"/>
  <c r="DI110" i="17"/>
  <c r="DA110" i="17"/>
  <c r="EO110" i="17"/>
  <c r="EG110" i="17"/>
  <c r="DY110" i="17"/>
  <c r="DQ110" i="17"/>
  <c r="DH110" i="17"/>
  <c r="CZ110" i="17"/>
  <c r="EN110" i="17"/>
  <c r="EF110" i="17"/>
  <c r="DX110" i="17"/>
  <c r="DP110" i="17"/>
  <c r="DG110" i="17"/>
  <c r="CY110" i="17"/>
  <c r="EU110" i="17"/>
  <c r="EM110" i="17"/>
  <c r="EE110" i="17"/>
  <c r="DW110" i="17"/>
  <c r="DN110" i="17"/>
  <c r="DF110" i="17"/>
  <c r="CX110" i="17"/>
  <c r="ET110" i="17"/>
  <c r="EL110" i="17"/>
  <c r="ED110" i="17"/>
  <c r="DV110" i="17"/>
  <c r="DM110" i="17"/>
  <c r="DE110" i="17"/>
  <c r="CW110" i="17"/>
  <c r="ES110" i="17"/>
  <c r="EK110" i="17"/>
  <c r="EC110" i="17"/>
  <c r="DU110" i="17"/>
  <c r="DL110" i="17"/>
  <c r="DD110" i="17"/>
  <c r="CV110" i="17"/>
  <c r="ER110" i="17"/>
  <c r="EJ110" i="17"/>
  <c r="EB110" i="17"/>
  <c r="DT110" i="17"/>
  <c r="DK110" i="17"/>
  <c r="DC110" i="17"/>
  <c r="EQ110" i="17"/>
  <c r="EI110" i="17"/>
  <c r="EA110" i="17"/>
  <c r="DS110" i="17"/>
  <c r="DJ110" i="17"/>
  <c r="DB110" i="17"/>
  <c r="AH52" i="17"/>
  <c r="CO52" i="17"/>
  <c r="EW52" i="17"/>
  <c r="CO34" i="17"/>
  <c r="EW34" i="17"/>
  <c r="AH34" i="17"/>
  <c r="CO121" i="17"/>
  <c r="EW121" i="17"/>
  <c r="AH121" i="17"/>
  <c r="AH15" i="17"/>
  <c r="CO15" i="17"/>
  <c r="EW15" i="17"/>
  <c r="CO25" i="17"/>
  <c r="EW25" i="17"/>
  <c r="AH25" i="17"/>
  <c r="AH42" i="17"/>
  <c r="CO42" i="17"/>
  <c r="EW42" i="17"/>
  <c r="EW61" i="17"/>
  <c r="AH61" i="17"/>
  <c r="CO61" i="17"/>
  <c r="CO70" i="17"/>
  <c r="EW70" i="17"/>
  <c r="AH70" i="17"/>
  <c r="AH94" i="17"/>
  <c r="CO94" i="17"/>
  <c r="EW94" i="17"/>
  <c r="AH76" i="17"/>
  <c r="CO76" i="17"/>
  <c r="EW76" i="17"/>
  <c r="CO35" i="17"/>
  <c r="EW35" i="17"/>
  <c r="AH35" i="17"/>
  <c r="CO122" i="17"/>
  <c r="EW122" i="17"/>
  <c r="AH122" i="17"/>
  <c r="EW13" i="17"/>
  <c r="AH13" i="17"/>
  <c r="CO13" i="17"/>
  <c r="EW27" i="17"/>
  <c r="AH27" i="17"/>
  <c r="CO27" i="17"/>
  <c r="CO38" i="17"/>
  <c r="EW38" i="17"/>
  <c r="AH38" i="17"/>
  <c r="CO71" i="17"/>
  <c r="EW71" i="17"/>
  <c r="AH71" i="17"/>
  <c r="AH93" i="17"/>
  <c r="CO93" i="17"/>
  <c r="EW93" i="17"/>
  <c r="AH77" i="17"/>
  <c r="CO77" i="17"/>
  <c r="EW77" i="17"/>
  <c r="AH32" i="17"/>
  <c r="CO32" i="17"/>
  <c r="EW32" i="17"/>
  <c r="EW123" i="17"/>
  <c r="AH123" i="17"/>
  <c r="CO123" i="17"/>
  <c r="CO12" i="17"/>
  <c r="EW12" i="17"/>
  <c r="AH12" i="17"/>
  <c r="AH28" i="17"/>
  <c r="CO28" i="17"/>
  <c r="EW28" i="17"/>
  <c r="EW39" i="17"/>
  <c r="AH39" i="17"/>
  <c r="CO39" i="17"/>
  <c r="AH106" i="17"/>
  <c r="CO106" i="17"/>
  <c r="EW106" i="17"/>
  <c r="AH91" i="17"/>
  <c r="CO91" i="17"/>
  <c r="EW91" i="17"/>
  <c r="CO97" i="17"/>
  <c r="EW97" i="17"/>
  <c r="AH97" i="17"/>
  <c r="AH31" i="17"/>
  <c r="CO31" i="17"/>
  <c r="EW31" i="17"/>
  <c r="AH116" i="17"/>
  <c r="CO116" i="17"/>
  <c r="EW116" i="17"/>
  <c r="CO11" i="17"/>
  <c r="EW11" i="17"/>
  <c r="AH11" i="17"/>
  <c r="AH67" i="17"/>
  <c r="CO67" i="17"/>
  <c r="EW67" i="17"/>
  <c r="CO46" i="17"/>
  <c r="EW46" i="17"/>
  <c r="AH46" i="17"/>
  <c r="AH40" i="17"/>
  <c r="CO40" i="17"/>
  <c r="EW40" i="17"/>
  <c r="AH104" i="17"/>
  <c r="CO104" i="17"/>
  <c r="EW104" i="17"/>
  <c r="CO109" i="17"/>
  <c r="EW109" i="17"/>
  <c r="AH109" i="17"/>
  <c r="AH92" i="17"/>
  <c r="CO92" i="17"/>
  <c r="EW92" i="17"/>
  <c r="CO98" i="17"/>
  <c r="EW98" i="17"/>
  <c r="AH98" i="17"/>
  <c r="AH117" i="17"/>
  <c r="CO117" i="17"/>
  <c r="EW117" i="17"/>
  <c r="AH20" i="17"/>
  <c r="CO20" i="17"/>
  <c r="EW20" i="17"/>
  <c r="I24" i="40"/>
  <c r="I28" i="40"/>
  <c r="I27" i="40"/>
  <c r="I25" i="40"/>
  <c r="FA17" i="17"/>
  <c r="AL17" i="17"/>
  <c r="I15" i="40"/>
  <c r="I11" i="40"/>
  <c r="I13" i="40"/>
  <c r="I12" i="40"/>
  <c r="I115" i="40"/>
  <c r="I114" i="40"/>
  <c r="I113" i="40"/>
  <c r="I112" i="40"/>
  <c r="KT110" i="17"/>
  <c r="DO110" i="17"/>
  <c r="CU110" i="17"/>
  <c r="I121" i="40"/>
  <c r="I120" i="40"/>
  <c r="I119" i="40"/>
  <c r="I118" i="40"/>
  <c r="I67" i="40"/>
  <c r="I66" i="40"/>
  <c r="I65" i="40"/>
  <c r="I64" i="40"/>
  <c r="I48" i="40"/>
  <c r="I49" i="40"/>
  <c r="I50" i="40"/>
  <c r="I51" i="40"/>
  <c r="I47" i="40"/>
  <c r="I60" i="40"/>
  <c r="I58" i="40"/>
  <c r="I59" i="40"/>
  <c r="I61" i="40"/>
  <c r="I57" i="40"/>
  <c r="I56" i="40"/>
  <c r="I55" i="40"/>
  <c r="I54" i="40"/>
  <c r="I53" i="40"/>
  <c r="I52" i="40"/>
  <c r="I34" i="40"/>
  <c r="I33" i="40"/>
  <c r="I32" i="40"/>
  <c r="I31" i="40"/>
  <c r="AL69" i="17"/>
  <c r="LW69" i="17"/>
  <c r="FA69" i="17"/>
  <c r="JP69" i="17"/>
  <c r="I73" i="40"/>
  <c r="I72" i="40"/>
  <c r="I71" i="40"/>
  <c r="I70" i="40"/>
  <c r="HH17" i="17"/>
  <c r="JP17" i="17"/>
  <c r="LW17" i="17"/>
  <c r="LI110" i="17"/>
  <c r="NJ110" i="17"/>
  <c r="BB110" i="17"/>
  <c r="GK110" i="17"/>
  <c r="LY110" i="17"/>
  <c r="JD110" i="17"/>
  <c r="AR110" i="17"/>
  <c r="FZ110" i="17"/>
  <c r="MD110" i="17"/>
  <c r="MU110" i="17"/>
  <c r="BO110" i="17"/>
  <c r="HA110" i="17"/>
  <c r="MO110" i="17"/>
  <c r="JZ110" i="17"/>
  <c r="BE110" i="17"/>
  <c r="GP110" i="17"/>
  <c r="MT110" i="17"/>
  <c r="NK110" i="17"/>
  <c r="NY110" i="17"/>
  <c r="IL110" i="17"/>
  <c r="NU110" i="17"/>
  <c r="FG110" i="17"/>
  <c r="LF110" i="17"/>
  <c r="CE110" i="17"/>
  <c r="IA110" i="17"/>
  <c r="BG110" i="17"/>
  <c r="GQ110" i="17"/>
  <c r="MM110" i="17"/>
  <c r="JB110" i="17"/>
  <c r="AQ110" i="17"/>
  <c r="FW110" i="17"/>
  <c r="MA110" i="17"/>
  <c r="JG110" i="17"/>
  <c r="BT110" i="17"/>
  <c r="HL110" i="17"/>
  <c r="NC110" i="17"/>
  <c r="JX110" i="17"/>
  <c r="BD110" i="17"/>
  <c r="GM110" i="17"/>
  <c r="MQ110" i="17"/>
  <c r="KC110" i="17"/>
  <c r="CF110" i="17"/>
  <c r="IB110" i="17"/>
  <c r="IR110" i="17"/>
  <c r="KD110" i="17"/>
  <c r="JH110" i="17"/>
  <c r="HX110" i="17"/>
  <c r="NG110" i="17"/>
  <c r="IQ110" i="17"/>
  <c r="AT110" i="17"/>
  <c r="FK110" i="17"/>
  <c r="F23" i="17"/>
  <c r="F63" i="17"/>
  <c r="JP63" i="17" s="1"/>
  <c r="F44" i="17"/>
  <c r="JP44" i="17" s="1"/>
  <c r="F57" i="17"/>
  <c r="JP57" i="17" s="1"/>
  <c r="F108" i="17"/>
  <c r="LW108" i="17" s="1"/>
  <c r="F37" i="17"/>
  <c r="LW37" i="17" s="1"/>
  <c r="F96" i="17"/>
  <c r="F51" i="17"/>
  <c r="JP51" i="17" s="1"/>
  <c r="F30" i="17"/>
  <c r="F102" i="17"/>
  <c r="LW102" i="17" s="1"/>
  <c r="F10" i="17"/>
  <c r="LW10" i="17" s="1"/>
  <c r="N4" i="22"/>
  <c r="N4" i="20"/>
  <c r="HJ87" i="17"/>
  <c r="HJ88" i="17"/>
  <c r="HK88" i="17"/>
  <c r="HK87" i="17"/>
  <c r="HJ85" i="17"/>
  <c r="HK86" i="17"/>
  <c r="HK85" i="17"/>
  <c r="HJ86" i="17"/>
  <c r="N4" i="21"/>
  <c r="M4" i="21"/>
  <c r="M4" i="4"/>
  <c r="N20" i="19"/>
  <c r="N32" i="19" s="1"/>
  <c r="M20" i="19"/>
  <c r="HK92" i="17"/>
  <c r="HK94" i="17"/>
  <c r="HK91" i="17"/>
  <c r="HK93" i="17"/>
  <c r="HJ94" i="17"/>
  <c r="HJ92" i="17"/>
  <c r="HJ93" i="17"/>
  <c r="HJ91" i="17"/>
  <c r="B4" i="20"/>
  <c r="B4" i="4"/>
  <c r="B20" i="19"/>
  <c r="B4" i="21"/>
  <c r="N22" i="1"/>
  <c r="N19" i="1"/>
  <c r="CU76" i="17"/>
  <c r="AM72" i="17"/>
  <c r="CU72" i="17" s="1"/>
  <c r="CU71" i="17"/>
  <c r="CU70" i="17"/>
  <c r="CU73" i="17"/>
  <c r="CU91" i="17"/>
  <c r="JP115" i="17"/>
  <c r="O6" i="21"/>
  <c r="O6" i="20"/>
  <c r="FC61" i="17"/>
  <c r="FD91" i="17"/>
  <c r="FD93" i="17"/>
  <c r="FC94" i="17"/>
  <c r="FC93" i="17"/>
  <c r="FC92" i="17"/>
  <c r="FC91" i="17"/>
  <c r="FD92" i="17"/>
  <c r="FD94" i="17"/>
  <c r="FD85" i="17"/>
  <c r="FD87" i="17"/>
  <c r="FC88" i="17"/>
  <c r="FC87" i="17"/>
  <c r="FC86" i="17"/>
  <c r="FC85" i="17"/>
  <c r="FD86" i="17"/>
  <c r="FD88" i="17"/>
  <c r="K7" i="17"/>
  <c r="P7" i="17"/>
  <c r="CU45" i="17"/>
  <c r="AM47" i="17"/>
  <c r="CU48" i="17"/>
  <c r="CU47" i="17"/>
  <c r="AI84" i="17"/>
  <c r="CP84" i="17"/>
  <c r="CU49" i="17"/>
  <c r="AI75" i="17"/>
  <c r="AI69" i="17"/>
  <c r="AI90" i="17"/>
  <c r="CU94" i="17"/>
  <c r="AM94" i="17"/>
  <c r="CU92" i="17"/>
  <c r="AM92" i="17"/>
  <c r="CU93" i="17"/>
  <c r="AM93" i="17"/>
  <c r="CU31" i="17"/>
  <c r="CU32" i="17"/>
  <c r="CU33" i="17"/>
  <c r="AM45" i="17"/>
  <c r="CU41" i="17"/>
  <c r="AM41" i="17"/>
  <c r="CU38" i="17"/>
  <c r="AM38" i="17"/>
  <c r="AM46" i="17"/>
  <c r="CU39" i="17"/>
  <c r="AM39" i="17"/>
  <c r="CU40" i="17"/>
  <c r="AM40" i="17"/>
  <c r="AM49" i="17"/>
  <c r="CU42" i="17"/>
  <c r="AM42" i="17"/>
  <c r="AM48" i="17"/>
  <c r="O6" i="22"/>
  <c r="IY70" i="17" l="1"/>
  <c r="GR73" i="17"/>
  <c r="GR71" i="17"/>
  <c r="IY71" i="17"/>
  <c r="IY73" i="17"/>
  <c r="IY72" i="17"/>
  <c r="GR72" i="17"/>
  <c r="GR70" i="17"/>
  <c r="IY18" i="17"/>
  <c r="IY21" i="17"/>
  <c r="GR20" i="17"/>
  <c r="GR18" i="17"/>
  <c r="IY19" i="17"/>
  <c r="IY20" i="17"/>
  <c r="GR21" i="17"/>
  <c r="GR19" i="17"/>
  <c r="CV81" i="17"/>
  <c r="O30" i="20"/>
  <c r="O16" i="20"/>
  <c r="FE81" i="17"/>
  <c r="HL81" i="17"/>
  <c r="MA81" i="17" s="1"/>
  <c r="FF81" i="17"/>
  <c r="AO81" i="17"/>
  <c r="HN81" i="17"/>
  <c r="LY81" i="17"/>
  <c r="LZ81" i="17"/>
  <c r="JS81" i="17"/>
  <c r="JT81" i="17"/>
  <c r="JR81" i="17"/>
  <c r="AN82" i="17"/>
  <c r="CV82" i="17" s="1"/>
  <c r="V88" i="40"/>
  <c r="P87" i="40"/>
  <c r="P88" i="40"/>
  <c r="V87" i="40"/>
  <c r="Q87" i="40"/>
  <c r="Q88" i="40"/>
  <c r="P22" i="19"/>
  <c r="P20" i="19" s="1"/>
  <c r="P32" i="19" s="1"/>
  <c r="O20" i="19"/>
  <c r="O32" i="19" s="1"/>
  <c r="LZ82" i="17"/>
  <c r="HL82" i="17"/>
  <c r="HL80" i="17"/>
  <c r="MA80" i="17" s="1"/>
  <c r="AO80" i="17"/>
  <c r="CW80" i="17" s="1"/>
  <c r="FE82" i="17"/>
  <c r="HM80" i="17"/>
  <c r="JS82" i="17"/>
  <c r="LZ80" i="17"/>
  <c r="NA76" i="17"/>
  <c r="MZ76" i="17"/>
  <c r="MY76" i="17"/>
  <c r="MX76" i="17"/>
  <c r="MW76" i="17"/>
  <c r="MV76" i="17"/>
  <c r="O4" i="21"/>
  <c r="O19" i="21"/>
  <c r="AO88" i="17" s="1"/>
  <c r="CW88" i="17" s="1"/>
  <c r="O13" i="21"/>
  <c r="O16" i="21"/>
  <c r="O10" i="21"/>
  <c r="CU116" i="17"/>
  <c r="CU119" i="17"/>
  <c r="CU121" i="17"/>
  <c r="CU123" i="17"/>
  <c r="CU118" i="17"/>
  <c r="CU104" i="17"/>
  <c r="CU120" i="17"/>
  <c r="CU46" i="17"/>
  <c r="CU122" i="17"/>
  <c r="CU117" i="17"/>
  <c r="CU103" i="17"/>
  <c r="O4" i="22"/>
  <c r="O16" i="22"/>
  <c r="O10" i="22"/>
  <c r="O13" i="22"/>
  <c r="O19" i="22"/>
  <c r="O4" i="20"/>
  <c r="O19" i="20"/>
  <c r="O13" i="20"/>
  <c r="O10" i="20"/>
  <c r="AO70" i="17" s="1"/>
  <c r="CW70" i="17" s="1"/>
  <c r="FC18" i="17"/>
  <c r="JR18" i="17" s="1"/>
  <c r="JP37" i="17"/>
  <c r="HJ20" i="17"/>
  <c r="FC19" i="17"/>
  <c r="JR19" i="17" s="1"/>
  <c r="FC20" i="17"/>
  <c r="JR20" i="17" s="1"/>
  <c r="AN86" i="17"/>
  <c r="CV86" i="17" s="1"/>
  <c r="HJ19" i="17"/>
  <c r="HJ21" i="17"/>
  <c r="FC21" i="17"/>
  <c r="JR21" i="17" s="1"/>
  <c r="HJ18" i="17"/>
  <c r="M33" i="40"/>
  <c r="M11" i="40"/>
  <c r="M27" i="40"/>
  <c r="M21" i="40"/>
  <c r="M19" i="40"/>
  <c r="M32" i="40"/>
  <c r="M81" i="40"/>
  <c r="M34" i="40"/>
  <c r="M24" i="40"/>
  <c r="M73" i="40"/>
  <c r="M18" i="40"/>
  <c r="M64" i="40"/>
  <c r="M67" i="40"/>
  <c r="JR26" i="17"/>
  <c r="M51" i="40"/>
  <c r="M84" i="40"/>
  <c r="M31" i="40"/>
  <c r="M70" i="40"/>
  <c r="M20" i="40"/>
  <c r="M28" i="40"/>
  <c r="AH80" i="17"/>
  <c r="CO80" i="17"/>
  <c r="EW80" i="17"/>
  <c r="AH78" i="17"/>
  <c r="CO78" i="17"/>
  <c r="EW78" i="17"/>
  <c r="FC70" i="17"/>
  <c r="JR70" i="17" s="1"/>
  <c r="HJ71" i="17"/>
  <c r="FE73" i="17"/>
  <c r="HJ72" i="17"/>
  <c r="FE71" i="17"/>
  <c r="FE87" i="17"/>
  <c r="JT87" i="17" s="1"/>
  <c r="FE88" i="17"/>
  <c r="JT88" i="17" s="1"/>
  <c r="FE85" i="17"/>
  <c r="JT85" i="17" s="1"/>
  <c r="FE86" i="17"/>
  <c r="JT86" i="17" s="1"/>
  <c r="HL87" i="17"/>
  <c r="HL86" i="17"/>
  <c r="HL85" i="17"/>
  <c r="HL88" i="17"/>
  <c r="FD71" i="17"/>
  <c r="HK70" i="17"/>
  <c r="FE72" i="17"/>
  <c r="HK73" i="17"/>
  <c r="FD73" i="17"/>
  <c r="HK72" i="17"/>
  <c r="FC71" i="17"/>
  <c r="FD72" i="17"/>
  <c r="HK71" i="17"/>
  <c r="FC72" i="17"/>
  <c r="JR72" i="17" s="1"/>
  <c r="FD70" i="17"/>
  <c r="HJ70" i="17"/>
  <c r="FC73" i="17"/>
  <c r="JR73" i="17" s="1"/>
  <c r="HJ73" i="17"/>
  <c r="JP102" i="17"/>
  <c r="JP10" i="17"/>
  <c r="AN87" i="17"/>
  <c r="JP23" i="17"/>
  <c r="AL23" i="17"/>
  <c r="AL30" i="17"/>
  <c r="LW44" i="17"/>
  <c r="LW96" i="17"/>
  <c r="JP108" i="17"/>
  <c r="LW30" i="17"/>
  <c r="JP30" i="17"/>
  <c r="LW63" i="17"/>
  <c r="JP96" i="17"/>
  <c r="JR78" i="17"/>
  <c r="JR77" i="17"/>
  <c r="JS76" i="17"/>
  <c r="LW51" i="17"/>
  <c r="LW23" i="17"/>
  <c r="LW57" i="17"/>
  <c r="FE70" i="17"/>
  <c r="HL73" i="17"/>
  <c r="HL93" i="17"/>
  <c r="HL92" i="17"/>
  <c r="HL91" i="17"/>
  <c r="HL72" i="17"/>
  <c r="HL71" i="17"/>
  <c r="HL94" i="17"/>
  <c r="HL70" i="17"/>
  <c r="JR76" i="17"/>
  <c r="P20" i="1"/>
  <c r="JR80" i="17"/>
  <c r="JS80" i="17"/>
  <c r="N20" i="1"/>
  <c r="N23" i="1"/>
  <c r="P19" i="1"/>
  <c r="AM73" i="17"/>
  <c r="AM71" i="17"/>
  <c r="JS87" i="17"/>
  <c r="JR87" i="17"/>
  <c r="JS88" i="17"/>
  <c r="JR88" i="17"/>
  <c r="JR86" i="17"/>
  <c r="JS86" i="17"/>
  <c r="JS85" i="17"/>
  <c r="JR85" i="17"/>
  <c r="M22" i="1"/>
  <c r="M20" i="1"/>
  <c r="M19" i="1"/>
  <c r="JS94" i="17"/>
  <c r="JR94" i="17"/>
  <c r="JS93" i="17"/>
  <c r="JR93" i="17"/>
  <c r="JR92" i="17"/>
  <c r="JS92" i="17"/>
  <c r="JS91" i="17"/>
  <c r="JR91" i="17"/>
  <c r="JR61" i="17"/>
  <c r="P6" i="21"/>
  <c r="AM70" i="17"/>
  <c r="AM98" i="17"/>
  <c r="CU100" i="17"/>
  <c r="AM91" i="17"/>
  <c r="FE92" i="17"/>
  <c r="JT92" i="17" s="1"/>
  <c r="FE93" i="17"/>
  <c r="FE94" i="17"/>
  <c r="FE91" i="17"/>
  <c r="P6" i="20"/>
  <c r="AM97" i="17"/>
  <c r="AM99" i="17"/>
  <c r="CU99" i="17"/>
  <c r="AN72" i="17"/>
  <c r="CV72" i="17" s="1"/>
  <c r="AN93" i="17"/>
  <c r="CV93" i="17" s="1"/>
  <c r="AN92" i="17"/>
  <c r="CV92" i="17" s="1"/>
  <c r="AN94" i="17"/>
  <c r="CV94" i="17" s="1"/>
  <c r="AN73" i="17"/>
  <c r="CV73" i="17" s="1"/>
  <c r="AN91" i="17"/>
  <c r="CV91" i="17" s="1"/>
  <c r="AN70" i="17"/>
  <c r="CV70" i="17" s="1"/>
  <c r="AN71" i="17"/>
  <c r="CV71" i="17" s="1"/>
  <c r="P6" i="22"/>
  <c r="Q22" i="19"/>
  <c r="AQ81" i="17" l="1"/>
  <c r="FG81" i="17"/>
  <c r="W132" i="40"/>
  <c r="FH81" i="17"/>
  <c r="HM81" i="17"/>
  <c r="P30" i="20"/>
  <c r="P16" i="20"/>
  <c r="AP81" i="17"/>
  <c r="CX81" i="17" s="1"/>
  <c r="JU81" i="17"/>
  <c r="JV81" i="17"/>
  <c r="AP82" i="17"/>
  <c r="CX82" i="17" s="1"/>
  <c r="AO82" i="17"/>
  <c r="CW82" i="17" s="1"/>
  <c r="CW81" i="17"/>
  <c r="FF82" i="17"/>
  <c r="JU82" i="17" s="1"/>
  <c r="AP80" i="17"/>
  <c r="CX80" i="17" s="1"/>
  <c r="FF80" i="17"/>
  <c r="JU80" i="17" s="1"/>
  <c r="HM82" i="17"/>
  <c r="W130" i="40"/>
  <c r="P134" i="40"/>
  <c r="W137" i="40"/>
  <c r="V137" i="40"/>
  <c r="P130" i="40"/>
  <c r="P132" i="40"/>
  <c r="W133" i="40"/>
  <c r="P131" i="40"/>
  <c r="V130" i="40"/>
  <c r="P136" i="40"/>
  <c r="P137" i="40"/>
  <c r="W136" i="40"/>
  <c r="V132" i="40"/>
  <c r="P135" i="40"/>
  <c r="W131" i="40"/>
  <c r="V133" i="40"/>
  <c r="V136" i="40"/>
  <c r="V131" i="40"/>
  <c r="P133" i="40"/>
  <c r="MB80" i="17"/>
  <c r="JT82" i="17"/>
  <c r="Q134" i="40"/>
  <c r="Q132" i="40"/>
  <c r="Q131" i="40"/>
  <c r="R135" i="40"/>
  <c r="Q133" i="40"/>
  <c r="Q130" i="40"/>
  <c r="R134" i="40"/>
  <c r="Q136" i="40"/>
  <c r="HN80" i="17"/>
  <c r="FG82" i="17"/>
  <c r="Q135" i="40"/>
  <c r="HN82" i="17"/>
  <c r="MA82" i="17"/>
  <c r="Q137" i="40"/>
  <c r="FG80" i="17"/>
  <c r="AQ80" i="17"/>
  <c r="CY80" i="17" s="1"/>
  <c r="S135" i="40"/>
  <c r="S134" i="40"/>
  <c r="P19" i="20"/>
  <c r="P13" i="20"/>
  <c r="P10" i="20"/>
  <c r="P16" i="22"/>
  <c r="P13" i="22"/>
  <c r="P19" i="22"/>
  <c r="P10" i="22"/>
  <c r="P19" i="21"/>
  <c r="P13" i="21"/>
  <c r="P16" i="21"/>
  <c r="P10" i="21"/>
  <c r="Q92" i="40"/>
  <c r="AE134" i="40"/>
  <c r="AG137" i="40"/>
  <c r="AE131" i="40"/>
  <c r="AE136" i="40"/>
  <c r="AE130" i="40"/>
  <c r="AE133" i="40"/>
  <c r="AE135" i="40"/>
  <c r="AE137" i="40"/>
  <c r="AE132" i="40"/>
  <c r="JS70" i="17"/>
  <c r="JS73" i="17"/>
  <c r="AG130" i="40"/>
  <c r="AG136" i="40"/>
  <c r="AG134" i="40"/>
  <c r="AG132" i="40"/>
  <c r="AG133" i="40"/>
  <c r="AG135" i="40"/>
  <c r="AG131" i="40"/>
  <c r="M121" i="40"/>
  <c r="M120" i="40"/>
  <c r="M126" i="40"/>
  <c r="M137" i="40"/>
  <c r="M132" i="40"/>
  <c r="M127" i="40"/>
  <c r="M134" i="40"/>
  <c r="M125" i="40"/>
  <c r="M124" i="40"/>
  <c r="M133" i="40"/>
  <c r="JT73" i="17"/>
  <c r="JT70" i="17"/>
  <c r="JS71" i="17"/>
  <c r="JS72" i="17"/>
  <c r="Q6" i="21"/>
  <c r="FF88" i="17"/>
  <c r="FF85" i="17"/>
  <c r="HM88" i="17"/>
  <c r="FF86" i="17"/>
  <c r="FF87" i="17"/>
  <c r="HM86" i="17"/>
  <c r="HM85" i="17"/>
  <c r="HM87" i="17"/>
  <c r="JT72" i="17"/>
  <c r="JR71" i="17"/>
  <c r="JT71" i="17"/>
  <c r="JV76" i="17"/>
  <c r="JV78" i="17"/>
  <c r="Q20" i="19"/>
  <c r="Q32" i="19" s="1"/>
  <c r="JS78" i="17"/>
  <c r="JS77" i="17"/>
  <c r="JU77" i="17"/>
  <c r="JT80" i="17"/>
  <c r="JT77" i="17"/>
  <c r="JU76" i="17"/>
  <c r="JT76" i="17"/>
  <c r="JT78" i="17"/>
  <c r="JU78" i="17"/>
  <c r="P4" i="20"/>
  <c r="FF72" i="17"/>
  <c r="FF71" i="17"/>
  <c r="FF70" i="17"/>
  <c r="FF73" i="17"/>
  <c r="HM72" i="17"/>
  <c r="HM70" i="17"/>
  <c r="HM73" i="17"/>
  <c r="HM71" i="17"/>
  <c r="P4" i="22"/>
  <c r="HM91" i="17"/>
  <c r="HM94" i="17"/>
  <c r="HM92" i="17"/>
  <c r="HM93" i="17"/>
  <c r="P4" i="21"/>
  <c r="AN88" i="17"/>
  <c r="CV88" i="17" s="1"/>
  <c r="O19" i="1"/>
  <c r="AN85" i="17"/>
  <c r="CV85" i="17" s="1"/>
  <c r="AO87" i="17"/>
  <c r="AM88" i="17"/>
  <c r="CU87" i="17"/>
  <c r="AM87" i="17"/>
  <c r="CU85" i="17"/>
  <c r="CU88" i="17"/>
  <c r="CU86" i="17"/>
  <c r="AM86" i="17"/>
  <c r="O23" i="1"/>
  <c r="AM85" i="17"/>
  <c r="O20" i="1"/>
  <c r="O22" i="1"/>
  <c r="AO73" i="17"/>
  <c r="CW73" i="17" s="1"/>
  <c r="AO72" i="17"/>
  <c r="CW72" i="17" s="1"/>
  <c r="JT94" i="17"/>
  <c r="JT93" i="17"/>
  <c r="JT91" i="17"/>
  <c r="AO85" i="17"/>
  <c r="CW85" i="17" s="1"/>
  <c r="AO71" i="17"/>
  <c r="CW71" i="17" s="1"/>
  <c r="AO86" i="17"/>
  <c r="CW86" i="17" s="1"/>
  <c r="FF94" i="17"/>
  <c r="FF91" i="17"/>
  <c r="FF93" i="17"/>
  <c r="FF92" i="17"/>
  <c r="Q6" i="20"/>
  <c r="AO94" i="17"/>
  <c r="CW94" i="17" s="1"/>
  <c r="AO92" i="17"/>
  <c r="CW92" i="17" s="1"/>
  <c r="AO91" i="17"/>
  <c r="CW91" i="17" s="1"/>
  <c r="AO93" i="17"/>
  <c r="CW93" i="17" s="1"/>
  <c r="Q6" i="22"/>
  <c r="R22" i="19"/>
  <c r="Q7" i="17"/>
  <c r="E3" i="18"/>
  <c r="E3" i="11"/>
  <c r="E3" i="9"/>
  <c r="E3" i="8"/>
  <c r="E3" i="3"/>
  <c r="M22" i="3" s="1"/>
  <c r="N7" i="18"/>
  <c r="L7" i="18"/>
  <c r="K7" i="18" s="1"/>
  <c r="J7" i="18" s="1"/>
  <c r="I7" i="18" s="1"/>
  <c r="N6" i="18"/>
  <c r="K6" i="18"/>
  <c r="J6" i="18" s="1"/>
  <c r="I6" i="18" s="1"/>
  <c r="L27" i="11"/>
  <c r="L10" i="11"/>
  <c r="H425" i="1"/>
  <c r="H417" i="1"/>
  <c r="H409" i="1"/>
  <c r="H401" i="1"/>
  <c r="H393" i="1"/>
  <c r="H385" i="1"/>
  <c r="H377" i="1"/>
  <c r="H369" i="1"/>
  <c r="H361" i="1"/>
  <c r="H353" i="1"/>
  <c r="H345" i="1"/>
  <c r="H337" i="1"/>
  <c r="H329" i="1"/>
  <c r="H321" i="1"/>
  <c r="H313" i="1"/>
  <c r="H305" i="1"/>
  <c r="H297" i="1"/>
  <c r="H289" i="1"/>
  <c r="H281" i="1"/>
  <c r="H273" i="1"/>
  <c r="H265" i="1"/>
  <c r="H257" i="1"/>
  <c r="H249" i="1"/>
  <c r="H241" i="1"/>
  <c r="H233" i="1"/>
  <c r="H225" i="1"/>
  <c r="H217" i="1"/>
  <c r="H209" i="1"/>
  <c r="H201" i="1"/>
  <c r="H194" i="1"/>
  <c r="H193" i="1"/>
  <c r="H186" i="1"/>
  <c r="H185" i="1"/>
  <c r="H178" i="1"/>
  <c r="H177" i="1"/>
  <c r="H170" i="1"/>
  <c r="H169" i="1"/>
  <c r="H162" i="1"/>
  <c r="H161" i="1"/>
  <c r="H154" i="1"/>
  <c r="H153" i="1"/>
  <c r="H146" i="1"/>
  <c r="H145" i="1"/>
  <c r="H138" i="1"/>
  <c r="H137" i="1"/>
  <c r="H130" i="1"/>
  <c r="H129" i="1"/>
  <c r="H122" i="1"/>
  <c r="H121" i="1"/>
  <c r="H114" i="1"/>
  <c r="H113" i="1"/>
  <c r="H106" i="1"/>
  <c r="H105" i="1"/>
  <c r="H98" i="1"/>
  <c r="H97" i="1"/>
  <c r="H90" i="1"/>
  <c r="H89" i="1"/>
  <c r="H82" i="1"/>
  <c r="H81" i="1"/>
  <c r="H74" i="1"/>
  <c r="H73" i="1"/>
  <c r="H66" i="1"/>
  <c r="H65" i="1"/>
  <c r="H58" i="1"/>
  <c r="H57" i="1"/>
  <c r="H50" i="1"/>
  <c r="H49" i="1"/>
  <c r="H42" i="1"/>
  <c r="H41" i="1"/>
  <c r="H34" i="1"/>
  <c r="H33" i="1"/>
  <c r="H26" i="1"/>
  <c r="H25" i="1"/>
  <c r="I425" i="1"/>
  <c r="I417" i="1"/>
  <c r="I409" i="1"/>
  <c r="I401" i="1"/>
  <c r="I393" i="1"/>
  <c r="I385" i="1"/>
  <c r="I377" i="1"/>
  <c r="I369" i="1"/>
  <c r="I361" i="1"/>
  <c r="I353" i="1"/>
  <c r="I345" i="1"/>
  <c r="I337" i="1"/>
  <c r="I329" i="1"/>
  <c r="I321" i="1"/>
  <c r="I313" i="1"/>
  <c r="I305" i="1"/>
  <c r="I297" i="1"/>
  <c r="I289" i="1"/>
  <c r="I281" i="1"/>
  <c r="I273" i="1"/>
  <c r="I265" i="1"/>
  <c r="I257" i="1"/>
  <c r="I249" i="1"/>
  <c r="I241" i="1"/>
  <c r="I233" i="1"/>
  <c r="I225" i="1"/>
  <c r="I217" i="1"/>
  <c r="I209" i="1"/>
  <c r="I201" i="1"/>
  <c r="I194" i="1"/>
  <c r="I193" i="1"/>
  <c r="I186" i="1"/>
  <c r="I185" i="1"/>
  <c r="I178" i="1"/>
  <c r="I177" i="1"/>
  <c r="I170" i="1"/>
  <c r="I169" i="1"/>
  <c r="I162" i="1"/>
  <c r="I161" i="1"/>
  <c r="I154" i="1"/>
  <c r="I153" i="1"/>
  <c r="I146" i="1"/>
  <c r="I145" i="1"/>
  <c r="I138" i="1"/>
  <c r="I137" i="1"/>
  <c r="I130" i="1"/>
  <c r="I129" i="1"/>
  <c r="I122" i="1"/>
  <c r="I121" i="1"/>
  <c r="I114" i="1"/>
  <c r="I113" i="1"/>
  <c r="I106" i="1"/>
  <c r="I105" i="1"/>
  <c r="I98" i="1"/>
  <c r="I97" i="1"/>
  <c r="I90" i="1"/>
  <c r="I89" i="1"/>
  <c r="I82" i="1"/>
  <c r="I81" i="1"/>
  <c r="I74" i="1"/>
  <c r="I73" i="1"/>
  <c r="I66" i="1"/>
  <c r="I65" i="1"/>
  <c r="I58" i="1"/>
  <c r="I57" i="1"/>
  <c r="I50" i="1"/>
  <c r="I49" i="1"/>
  <c r="I42" i="1"/>
  <c r="I41" i="1"/>
  <c r="I34" i="1"/>
  <c r="I33" i="1"/>
  <c r="I26" i="1"/>
  <c r="I25" i="1"/>
  <c r="S425" i="1"/>
  <c r="R425" i="1"/>
  <c r="D425" i="1"/>
  <c r="L425" i="1"/>
  <c r="K425" i="1"/>
  <c r="J425" i="1"/>
  <c r="G425" i="1"/>
  <c r="Q425" i="1"/>
  <c r="F425" i="1"/>
  <c r="S417" i="1"/>
  <c r="R417" i="1"/>
  <c r="D417" i="1"/>
  <c r="L417" i="1"/>
  <c r="K417" i="1"/>
  <c r="J417" i="1"/>
  <c r="G417" i="1"/>
  <c r="Q417" i="1"/>
  <c r="F417" i="1"/>
  <c r="S409" i="1"/>
  <c r="R409" i="1"/>
  <c r="D409" i="1"/>
  <c r="L409" i="1"/>
  <c r="K409" i="1"/>
  <c r="J409" i="1"/>
  <c r="G409" i="1"/>
  <c r="Q409" i="1"/>
  <c r="F409" i="1"/>
  <c r="S401" i="1"/>
  <c r="R401" i="1"/>
  <c r="D401" i="1"/>
  <c r="L401" i="1"/>
  <c r="K401" i="1"/>
  <c r="J401" i="1"/>
  <c r="G401" i="1"/>
  <c r="Q401" i="1"/>
  <c r="F401" i="1"/>
  <c r="S393" i="1"/>
  <c r="R393" i="1"/>
  <c r="D393" i="1"/>
  <c r="L393" i="1"/>
  <c r="K393" i="1"/>
  <c r="J393" i="1"/>
  <c r="G393" i="1"/>
  <c r="Q393" i="1"/>
  <c r="F393" i="1"/>
  <c r="S385" i="1"/>
  <c r="R385" i="1"/>
  <c r="D385" i="1"/>
  <c r="L385" i="1"/>
  <c r="K385" i="1"/>
  <c r="J385" i="1"/>
  <c r="G385" i="1"/>
  <c r="Q385" i="1"/>
  <c r="F385" i="1"/>
  <c r="S377" i="1"/>
  <c r="R377" i="1"/>
  <c r="D377" i="1"/>
  <c r="L377" i="1"/>
  <c r="K377" i="1"/>
  <c r="J377" i="1"/>
  <c r="G377" i="1"/>
  <c r="Q377" i="1"/>
  <c r="F377" i="1"/>
  <c r="S369" i="1"/>
  <c r="R369" i="1"/>
  <c r="D369" i="1"/>
  <c r="L369" i="1"/>
  <c r="K369" i="1"/>
  <c r="J369" i="1"/>
  <c r="G369" i="1"/>
  <c r="Q369" i="1"/>
  <c r="F369" i="1"/>
  <c r="S361" i="1"/>
  <c r="R361" i="1"/>
  <c r="D361" i="1"/>
  <c r="L361" i="1"/>
  <c r="K361" i="1"/>
  <c r="J361" i="1"/>
  <c r="G361" i="1"/>
  <c r="Q361" i="1"/>
  <c r="F361" i="1"/>
  <c r="S353" i="1"/>
  <c r="R353" i="1"/>
  <c r="D353" i="1"/>
  <c r="L353" i="1"/>
  <c r="K353" i="1"/>
  <c r="J353" i="1"/>
  <c r="G353" i="1"/>
  <c r="Q353" i="1"/>
  <c r="F353" i="1"/>
  <c r="S345" i="1"/>
  <c r="R345" i="1"/>
  <c r="D345" i="1"/>
  <c r="L345" i="1"/>
  <c r="K345" i="1"/>
  <c r="J345" i="1"/>
  <c r="G345" i="1"/>
  <c r="Q345" i="1"/>
  <c r="F345" i="1"/>
  <c r="S337" i="1"/>
  <c r="R337" i="1"/>
  <c r="D337" i="1"/>
  <c r="L337" i="1"/>
  <c r="K337" i="1"/>
  <c r="J337" i="1"/>
  <c r="G337" i="1"/>
  <c r="Q337" i="1"/>
  <c r="F337" i="1"/>
  <c r="S329" i="1"/>
  <c r="R329" i="1"/>
  <c r="D329" i="1"/>
  <c r="L329" i="1"/>
  <c r="K329" i="1"/>
  <c r="J329" i="1"/>
  <c r="G329" i="1"/>
  <c r="Q329" i="1"/>
  <c r="F329" i="1"/>
  <c r="S321" i="1"/>
  <c r="R321" i="1"/>
  <c r="D321" i="1"/>
  <c r="L321" i="1"/>
  <c r="K321" i="1"/>
  <c r="J321" i="1"/>
  <c r="G321" i="1"/>
  <c r="Q321" i="1"/>
  <c r="F321" i="1"/>
  <c r="S313" i="1"/>
  <c r="R313" i="1"/>
  <c r="D313" i="1"/>
  <c r="L313" i="1"/>
  <c r="K313" i="1"/>
  <c r="J313" i="1"/>
  <c r="G313" i="1"/>
  <c r="Q313" i="1"/>
  <c r="F313" i="1"/>
  <c r="S305" i="1"/>
  <c r="R305" i="1"/>
  <c r="D305" i="1"/>
  <c r="L305" i="1"/>
  <c r="K305" i="1"/>
  <c r="J305" i="1"/>
  <c r="G305" i="1"/>
  <c r="Q305" i="1"/>
  <c r="F305" i="1"/>
  <c r="S297" i="1"/>
  <c r="R297" i="1"/>
  <c r="D297" i="1"/>
  <c r="L297" i="1"/>
  <c r="K297" i="1"/>
  <c r="J297" i="1"/>
  <c r="G297" i="1"/>
  <c r="Q297" i="1"/>
  <c r="F297" i="1"/>
  <c r="S289" i="1"/>
  <c r="R289" i="1"/>
  <c r="D289" i="1"/>
  <c r="L289" i="1"/>
  <c r="K289" i="1"/>
  <c r="J289" i="1"/>
  <c r="G289" i="1"/>
  <c r="Q289" i="1"/>
  <c r="F289" i="1"/>
  <c r="S281" i="1"/>
  <c r="R281" i="1"/>
  <c r="D281" i="1"/>
  <c r="L281" i="1"/>
  <c r="K281" i="1"/>
  <c r="J281" i="1"/>
  <c r="G281" i="1"/>
  <c r="Q281" i="1"/>
  <c r="F281" i="1"/>
  <c r="S273" i="1"/>
  <c r="R273" i="1"/>
  <c r="D273" i="1"/>
  <c r="L273" i="1"/>
  <c r="K273" i="1"/>
  <c r="J273" i="1"/>
  <c r="G273" i="1"/>
  <c r="Q273" i="1"/>
  <c r="F273" i="1"/>
  <c r="S265" i="1"/>
  <c r="R265" i="1"/>
  <c r="D265" i="1"/>
  <c r="L265" i="1"/>
  <c r="K265" i="1"/>
  <c r="J265" i="1"/>
  <c r="G265" i="1"/>
  <c r="Q265" i="1"/>
  <c r="F265" i="1"/>
  <c r="S257" i="1"/>
  <c r="R257" i="1"/>
  <c r="D257" i="1"/>
  <c r="L257" i="1"/>
  <c r="K257" i="1"/>
  <c r="J257" i="1"/>
  <c r="G257" i="1"/>
  <c r="Q257" i="1"/>
  <c r="F257" i="1"/>
  <c r="S249" i="1"/>
  <c r="R249" i="1"/>
  <c r="D249" i="1"/>
  <c r="L249" i="1"/>
  <c r="K249" i="1"/>
  <c r="J249" i="1"/>
  <c r="G249" i="1"/>
  <c r="Q249" i="1"/>
  <c r="F249" i="1"/>
  <c r="S241" i="1"/>
  <c r="R241" i="1"/>
  <c r="D241" i="1"/>
  <c r="L241" i="1"/>
  <c r="K241" i="1"/>
  <c r="J241" i="1"/>
  <c r="G241" i="1"/>
  <c r="Q241" i="1"/>
  <c r="F241" i="1"/>
  <c r="S233" i="1"/>
  <c r="R233" i="1"/>
  <c r="D233" i="1"/>
  <c r="L233" i="1"/>
  <c r="K233" i="1"/>
  <c r="J233" i="1"/>
  <c r="G233" i="1"/>
  <c r="Q233" i="1"/>
  <c r="F233" i="1"/>
  <c r="S225" i="1"/>
  <c r="R225" i="1"/>
  <c r="D225" i="1"/>
  <c r="L225" i="1"/>
  <c r="K225" i="1"/>
  <c r="J225" i="1"/>
  <c r="G225" i="1"/>
  <c r="Q225" i="1"/>
  <c r="F225" i="1"/>
  <c r="S217" i="1"/>
  <c r="R217" i="1"/>
  <c r="D217" i="1"/>
  <c r="L217" i="1"/>
  <c r="K217" i="1"/>
  <c r="J217" i="1"/>
  <c r="G217" i="1"/>
  <c r="Q217" i="1"/>
  <c r="F217" i="1"/>
  <c r="S209" i="1"/>
  <c r="R209" i="1"/>
  <c r="D209" i="1"/>
  <c r="L209" i="1"/>
  <c r="K209" i="1"/>
  <c r="J209" i="1"/>
  <c r="G209" i="1"/>
  <c r="Q209" i="1"/>
  <c r="F209" i="1"/>
  <c r="S201" i="1"/>
  <c r="R201" i="1"/>
  <c r="D201" i="1"/>
  <c r="L201" i="1"/>
  <c r="K201" i="1"/>
  <c r="J201" i="1"/>
  <c r="G201" i="1"/>
  <c r="Q201" i="1"/>
  <c r="F201" i="1"/>
  <c r="S193" i="1"/>
  <c r="R193" i="1"/>
  <c r="D193" i="1"/>
  <c r="L193" i="1"/>
  <c r="K193" i="1"/>
  <c r="J193" i="1"/>
  <c r="G193" i="1"/>
  <c r="Q193" i="1"/>
  <c r="F193" i="1"/>
  <c r="S185" i="1"/>
  <c r="R185" i="1"/>
  <c r="D185" i="1"/>
  <c r="L185" i="1"/>
  <c r="K185" i="1"/>
  <c r="J185" i="1"/>
  <c r="G185" i="1"/>
  <c r="Q185" i="1"/>
  <c r="F185" i="1"/>
  <c r="S177" i="1"/>
  <c r="R177" i="1"/>
  <c r="D177" i="1"/>
  <c r="L177" i="1"/>
  <c r="K177" i="1"/>
  <c r="J177" i="1"/>
  <c r="G177" i="1"/>
  <c r="Q177" i="1"/>
  <c r="F177" i="1"/>
  <c r="S169" i="1"/>
  <c r="R169" i="1"/>
  <c r="D169" i="1"/>
  <c r="L169" i="1"/>
  <c r="K169" i="1"/>
  <c r="J169" i="1"/>
  <c r="G169" i="1"/>
  <c r="Q169" i="1"/>
  <c r="F169" i="1"/>
  <c r="S161" i="1"/>
  <c r="R161" i="1"/>
  <c r="D161" i="1"/>
  <c r="L161" i="1"/>
  <c r="K161" i="1"/>
  <c r="J161" i="1"/>
  <c r="G161" i="1"/>
  <c r="Q161" i="1"/>
  <c r="F161" i="1"/>
  <c r="S153" i="1"/>
  <c r="R153" i="1"/>
  <c r="D153" i="1"/>
  <c r="L153" i="1"/>
  <c r="K153" i="1"/>
  <c r="J153" i="1"/>
  <c r="G153" i="1"/>
  <c r="Q153" i="1"/>
  <c r="F153" i="1"/>
  <c r="S145" i="1"/>
  <c r="R145" i="1"/>
  <c r="D145" i="1"/>
  <c r="L145" i="1"/>
  <c r="K145" i="1"/>
  <c r="J145" i="1"/>
  <c r="G145" i="1"/>
  <c r="Q145" i="1"/>
  <c r="F145" i="1"/>
  <c r="S137" i="1"/>
  <c r="R137" i="1"/>
  <c r="D137" i="1"/>
  <c r="L137" i="1"/>
  <c r="K137" i="1"/>
  <c r="J137" i="1"/>
  <c r="G137" i="1"/>
  <c r="Q137" i="1"/>
  <c r="F137" i="1"/>
  <c r="S129" i="1"/>
  <c r="R129" i="1"/>
  <c r="D129" i="1"/>
  <c r="L129" i="1"/>
  <c r="K129" i="1"/>
  <c r="J129" i="1"/>
  <c r="G129" i="1"/>
  <c r="Q129" i="1"/>
  <c r="F129" i="1"/>
  <c r="S121" i="1"/>
  <c r="R121" i="1"/>
  <c r="D121" i="1"/>
  <c r="L121" i="1"/>
  <c r="K121" i="1"/>
  <c r="J121" i="1"/>
  <c r="G121" i="1"/>
  <c r="Q121" i="1"/>
  <c r="F121" i="1"/>
  <c r="S113" i="1"/>
  <c r="R113" i="1"/>
  <c r="D113" i="1"/>
  <c r="L113" i="1"/>
  <c r="K113" i="1"/>
  <c r="J113" i="1"/>
  <c r="G113" i="1"/>
  <c r="Q113" i="1"/>
  <c r="F113" i="1"/>
  <c r="S105" i="1"/>
  <c r="R105" i="1"/>
  <c r="D105" i="1"/>
  <c r="L105" i="1"/>
  <c r="K105" i="1"/>
  <c r="J105" i="1"/>
  <c r="G105" i="1"/>
  <c r="Q105" i="1"/>
  <c r="F105" i="1"/>
  <c r="S97" i="1"/>
  <c r="R97" i="1"/>
  <c r="D97" i="1"/>
  <c r="L97" i="1"/>
  <c r="K97" i="1"/>
  <c r="J97" i="1"/>
  <c r="G97" i="1"/>
  <c r="Q97" i="1"/>
  <c r="F97" i="1"/>
  <c r="S89" i="1"/>
  <c r="R89" i="1"/>
  <c r="D89" i="1"/>
  <c r="L89" i="1"/>
  <c r="K89" i="1"/>
  <c r="J89" i="1"/>
  <c r="G89" i="1"/>
  <c r="Q89" i="1"/>
  <c r="F89" i="1"/>
  <c r="S81" i="1"/>
  <c r="R81" i="1"/>
  <c r="D81" i="1"/>
  <c r="L81" i="1"/>
  <c r="K81" i="1"/>
  <c r="J81" i="1"/>
  <c r="G81" i="1"/>
  <c r="Q81" i="1"/>
  <c r="F81" i="1"/>
  <c r="S73" i="1"/>
  <c r="R73" i="1"/>
  <c r="D73" i="1"/>
  <c r="L73" i="1"/>
  <c r="K73" i="1"/>
  <c r="J73" i="1"/>
  <c r="G73" i="1"/>
  <c r="Q73" i="1"/>
  <c r="F73" i="1"/>
  <c r="S65" i="1"/>
  <c r="R65" i="1"/>
  <c r="D65" i="1"/>
  <c r="L65" i="1"/>
  <c r="K65" i="1"/>
  <c r="J65" i="1"/>
  <c r="G65" i="1"/>
  <c r="Q65" i="1"/>
  <c r="F65" i="1"/>
  <c r="S57" i="1"/>
  <c r="R57" i="1"/>
  <c r="D57" i="1"/>
  <c r="L57" i="1"/>
  <c r="K57" i="1"/>
  <c r="J57" i="1"/>
  <c r="G57" i="1"/>
  <c r="Q57" i="1"/>
  <c r="F57" i="1"/>
  <c r="S49" i="1"/>
  <c r="R49" i="1"/>
  <c r="D49" i="1"/>
  <c r="L49" i="1"/>
  <c r="K49" i="1"/>
  <c r="J49" i="1"/>
  <c r="G49" i="1"/>
  <c r="Q49" i="1"/>
  <c r="F49" i="1"/>
  <c r="S41" i="1"/>
  <c r="R41" i="1"/>
  <c r="D41" i="1"/>
  <c r="L41" i="1"/>
  <c r="K41" i="1"/>
  <c r="J41" i="1"/>
  <c r="G41" i="1"/>
  <c r="Q41" i="1"/>
  <c r="F41" i="1"/>
  <c r="S33" i="1"/>
  <c r="R33" i="1"/>
  <c r="D33" i="1"/>
  <c r="L33" i="1"/>
  <c r="K33" i="1"/>
  <c r="J33" i="1"/>
  <c r="G33" i="1"/>
  <c r="Q33" i="1"/>
  <c r="F33" i="1"/>
  <c r="S25" i="1"/>
  <c r="R25" i="1"/>
  <c r="D25" i="1"/>
  <c r="L25" i="1"/>
  <c r="K25" i="1"/>
  <c r="J25" i="1"/>
  <c r="G25" i="1"/>
  <c r="Q25" i="1"/>
  <c r="F25" i="1"/>
  <c r="F17" i="1"/>
  <c r="Q17" i="1"/>
  <c r="G17" i="1"/>
  <c r="H17" i="1"/>
  <c r="I17" i="1"/>
  <c r="J17" i="1"/>
  <c r="K17" i="1"/>
  <c r="N17" i="1"/>
  <c r="L17" i="1"/>
  <c r="M17" i="1"/>
  <c r="O17" i="1"/>
  <c r="D17" i="1"/>
  <c r="R17" i="1"/>
  <c r="S17" i="1"/>
  <c r="P17" i="1"/>
  <c r="U17" i="1"/>
  <c r="E17" i="1"/>
  <c r="J194" i="1"/>
  <c r="J186" i="1"/>
  <c r="J178" i="1"/>
  <c r="J170" i="1"/>
  <c r="J162" i="1"/>
  <c r="J154" i="1"/>
  <c r="J146" i="1"/>
  <c r="J138" i="1"/>
  <c r="J130" i="1"/>
  <c r="J122" i="1"/>
  <c r="J114" i="1"/>
  <c r="J106" i="1"/>
  <c r="J98" i="1"/>
  <c r="J90" i="1"/>
  <c r="J82" i="1"/>
  <c r="J74" i="1"/>
  <c r="J66" i="1"/>
  <c r="J58" i="1"/>
  <c r="J50" i="1"/>
  <c r="J42" i="1"/>
  <c r="J34" i="1"/>
  <c r="J26" i="1"/>
  <c r="J18" i="1"/>
  <c r="I18" i="1"/>
  <c r="L19" i="3"/>
  <c r="K19" i="3"/>
  <c r="J19" i="3"/>
  <c r="I19" i="3"/>
  <c r="L16" i="3"/>
  <c r="K16" i="3"/>
  <c r="J16" i="3"/>
  <c r="I16" i="3"/>
  <c r="L13" i="3"/>
  <c r="K13" i="3"/>
  <c r="J13" i="3"/>
  <c r="L10" i="3"/>
  <c r="K10" i="3"/>
  <c r="J10" i="3"/>
  <c r="I10" i="3"/>
  <c r="I13" i="3"/>
  <c r="S194" i="1"/>
  <c r="R194" i="1"/>
  <c r="D194" i="1"/>
  <c r="L194" i="1"/>
  <c r="K194" i="1"/>
  <c r="G194" i="1"/>
  <c r="Q194" i="1"/>
  <c r="F194" i="1"/>
  <c r="S186" i="1"/>
  <c r="R186" i="1"/>
  <c r="D186" i="1"/>
  <c r="L186" i="1"/>
  <c r="K186" i="1"/>
  <c r="G186" i="1"/>
  <c r="Q186" i="1"/>
  <c r="F186" i="1"/>
  <c r="S178" i="1"/>
  <c r="R178" i="1"/>
  <c r="D178" i="1"/>
  <c r="L178" i="1"/>
  <c r="K178" i="1"/>
  <c r="G178" i="1"/>
  <c r="Q178" i="1"/>
  <c r="F178" i="1"/>
  <c r="S170" i="1"/>
  <c r="R170" i="1"/>
  <c r="D170" i="1"/>
  <c r="L170" i="1"/>
  <c r="K170" i="1"/>
  <c r="G170" i="1"/>
  <c r="Q170" i="1"/>
  <c r="F170" i="1"/>
  <c r="S162" i="1"/>
  <c r="R162" i="1"/>
  <c r="D162" i="1"/>
  <c r="L162" i="1"/>
  <c r="K162" i="1"/>
  <c r="G162" i="1"/>
  <c r="Q162" i="1"/>
  <c r="F162" i="1"/>
  <c r="S154" i="1"/>
  <c r="R154" i="1"/>
  <c r="D154" i="1"/>
  <c r="L154" i="1"/>
  <c r="K154" i="1"/>
  <c r="G154" i="1"/>
  <c r="Q154" i="1"/>
  <c r="F154" i="1"/>
  <c r="S146" i="1"/>
  <c r="R146" i="1"/>
  <c r="D146" i="1"/>
  <c r="L146" i="1"/>
  <c r="K146" i="1"/>
  <c r="G146" i="1"/>
  <c r="Q146" i="1"/>
  <c r="F146" i="1"/>
  <c r="S138" i="1"/>
  <c r="R138" i="1"/>
  <c r="D138" i="1"/>
  <c r="L138" i="1"/>
  <c r="K138" i="1"/>
  <c r="G138" i="1"/>
  <c r="Q138" i="1"/>
  <c r="F138" i="1"/>
  <c r="S130" i="1"/>
  <c r="R130" i="1"/>
  <c r="D130" i="1"/>
  <c r="L130" i="1"/>
  <c r="K130" i="1"/>
  <c r="G130" i="1"/>
  <c r="Q130" i="1"/>
  <c r="F130" i="1"/>
  <c r="S122" i="1"/>
  <c r="R122" i="1"/>
  <c r="D122" i="1"/>
  <c r="L122" i="1"/>
  <c r="K122" i="1"/>
  <c r="G122" i="1"/>
  <c r="Q122" i="1"/>
  <c r="F122" i="1"/>
  <c r="S114" i="1"/>
  <c r="R114" i="1"/>
  <c r="D114" i="1"/>
  <c r="L114" i="1"/>
  <c r="K114" i="1"/>
  <c r="G114" i="1"/>
  <c r="Q114" i="1"/>
  <c r="F114" i="1"/>
  <c r="S106" i="1"/>
  <c r="R106" i="1"/>
  <c r="D106" i="1"/>
  <c r="L106" i="1"/>
  <c r="K106" i="1"/>
  <c r="G106" i="1"/>
  <c r="Q106" i="1"/>
  <c r="F106" i="1"/>
  <c r="S98" i="1"/>
  <c r="R98" i="1"/>
  <c r="D98" i="1"/>
  <c r="L98" i="1"/>
  <c r="K98" i="1"/>
  <c r="G98" i="1"/>
  <c r="Q98" i="1"/>
  <c r="F98" i="1"/>
  <c r="S90" i="1"/>
  <c r="R90" i="1"/>
  <c r="D90" i="1"/>
  <c r="L90" i="1"/>
  <c r="K90" i="1"/>
  <c r="G90" i="1"/>
  <c r="Q90" i="1"/>
  <c r="F90" i="1"/>
  <c r="S82" i="1"/>
  <c r="R82" i="1"/>
  <c r="D82" i="1"/>
  <c r="L82" i="1"/>
  <c r="K82" i="1"/>
  <c r="G82" i="1"/>
  <c r="Q82" i="1"/>
  <c r="F82" i="1"/>
  <c r="S74" i="1"/>
  <c r="R74" i="1"/>
  <c r="D74" i="1"/>
  <c r="L74" i="1"/>
  <c r="K74" i="1"/>
  <c r="G74" i="1"/>
  <c r="Q74" i="1"/>
  <c r="F74" i="1"/>
  <c r="S66" i="1"/>
  <c r="R66" i="1"/>
  <c r="D66" i="1"/>
  <c r="L66" i="1"/>
  <c r="K66" i="1"/>
  <c r="G66" i="1"/>
  <c r="Q66" i="1"/>
  <c r="F66" i="1"/>
  <c r="S58" i="1"/>
  <c r="R58" i="1"/>
  <c r="D58" i="1"/>
  <c r="L58" i="1"/>
  <c r="K58" i="1"/>
  <c r="G58" i="1"/>
  <c r="Q58" i="1"/>
  <c r="F58" i="1"/>
  <c r="S50" i="1"/>
  <c r="R50" i="1"/>
  <c r="D50" i="1"/>
  <c r="L50" i="1"/>
  <c r="K50" i="1"/>
  <c r="G50" i="1"/>
  <c r="Q50" i="1"/>
  <c r="F50" i="1"/>
  <c r="S42" i="1"/>
  <c r="R42" i="1"/>
  <c r="D42" i="1"/>
  <c r="L42" i="1"/>
  <c r="K42" i="1"/>
  <c r="G42" i="1"/>
  <c r="Q42" i="1"/>
  <c r="F42" i="1"/>
  <c r="S34" i="1"/>
  <c r="R34" i="1"/>
  <c r="D34" i="1"/>
  <c r="L34" i="1"/>
  <c r="K34" i="1"/>
  <c r="G34" i="1"/>
  <c r="Q34" i="1"/>
  <c r="F34" i="1"/>
  <c r="S26" i="1"/>
  <c r="R26" i="1"/>
  <c r="D26" i="1"/>
  <c r="L26" i="1"/>
  <c r="K26" i="1"/>
  <c r="G26" i="1"/>
  <c r="Q26" i="1"/>
  <c r="F26" i="1"/>
  <c r="U18" i="1"/>
  <c r="P18" i="1"/>
  <c r="S18" i="1"/>
  <c r="R18" i="1"/>
  <c r="D18" i="1"/>
  <c r="O18" i="1"/>
  <c r="M18" i="1"/>
  <c r="L18" i="1"/>
  <c r="N18" i="1"/>
  <c r="K18" i="1"/>
  <c r="H18" i="1"/>
  <c r="G18" i="1"/>
  <c r="Q18" i="1"/>
  <c r="F18" i="1"/>
  <c r="E18" i="1"/>
  <c r="JW81" i="17" l="1"/>
  <c r="AR81" i="17"/>
  <c r="Q16" i="20"/>
  <c r="Q30" i="20"/>
  <c r="MB81" i="17"/>
  <c r="MC81" i="17"/>
  <c r="HN86" i="17"/>
  <c r="HO81" i="17"/>
  <c r="MB82" i="17"/>
  <c r="JV80" i="17"/>
  <c r="AQ82" i="17"/>
  <c r="CY82" i="17" s="1"/>
  <c r="CY81" i="17"/>
  <c r="MC82" i="17"/>
  <c r="AM15" i="17"/>
  <c r="FH82" i="17"/>
  <c r="JW82" i="17" s="1"/>
  <c r="JV82" i="17"/>
  <c r="MC80" i="17"/>
  <c r="HO82" i="17"/>
  <c r="HO80" i="17"/>
  <c r="BN11" i="3"/>
  <c r="FH80" i="17"/>
  <c r="AR80" i="17"/>
  <c r="CZ80" i="17" s="1"/>
  <c r="HN88" i="17"/>
  <c r="Q19" i="21"/>
  <c r="Q13" i="21"/>
  <c r="Q16" i="21"/>
  <c r="Q10" i="21"/>
  <c r="HN87" i="17"/>
  <c r="M16" i="9"/>
  <c r="M10" i="9"/>
  <c r="M19" i="9"/>
  <c r="M13" i="9"/>
  <c r="BN14" i="18"/>
  <c r="M13" i="18"/>
  <c r="AM19" i="17" s="1"/>
  <c r="M16" i="18"/>
  <c r="AM20" i="17" s="1"/>
  <c r="M19" i="18"/>
  <c r="AM21" i="17" s="1"/>
  <c r="M10" i="18"/>
  <c r="AM18" i="17" s="1"/>
  <c r="N14" i="18"/>
  <c r="HK20" i="17" s="1"/>
  <c r="N19" i="18"/>
  <c r="AN21" i="17" s="1"/>
  <c r="CV21" i="17" s="1"/>
  <c r="Q19" i="20"/>
  <c r="AQ73" i="17" s="1"/>
  <c r="CY73" i="17" s="1"/>
  <c r="Q10" i="20"/>
  <c r="AQ72" i="17"/>
  <c r="CY72" i="17" s="1"/>
  <c r="Q13" i="20"/>
  <c r="FG88" i="17"/>
  <c r="JV88" i="17" s="1"/>
  <c r="BN17" i="8"/>
  <c r="M13" i="8"/>
  <c r="AM53" i="17" s="1"/>
  <c r="M10" i="8"/>
  <c r="CU52" i="17" s="1"/>
  <c r="M16" i="8"/>
  <c r="CU54" i="17" s="1"/>
  <c r="M19" i="8"/>
  <c r="R6" i="21"/>
  <c r="FG85" i="17"/>
  <c r="JV85" i="17" s="1"/>
  <c r="BN14" i="3"/>
  <c r="BN8" i="3"/>
  <c r="M13" i="3"/>
  <c r="AM12" i="17" s="1"/>
  <c r="M19" i="3"/>
  <c r="M16" i="3"/>
  <c r="AM13" i="17" s="1"/>
  <c r="M10" i="3"/>
  <c r="Q16" i="22"/>
  <c r="Q13" i="22"/>
  <c r="Q19" i="22"/>
  <c r="Q10" i="22"/>
  <c r="CW87" i="17"/>
  <c r="CV87" i="17"/>
  <c r="Q4" i="20"/>
  <c r="Q4" i="22"/>
  <c r="FG87" i="17"/>
  <c r="JV87" i="17" s="1"/>
  <c r="M8" i="11"/>
  <c r="JU87" i="17"/>
  <c r="JU88" i="17"/>
  <c r="JU86" i="17"/>
  <c r="Q4" i="21"/>
  <c r="HN85" i="17"/>
  <c r="JU85" i="17"/>
  <c r="FG86" i="17"/>
  <c r="AP86" i="17"/>
  <c r="CX86" i="17" s="1"/>
  <c r="JV77" i="17"/>
  <c r="JW78" i="17"/>
  <c r="R20" i="19"/>
  <c r="R32" i="19" s="1"/>
  <c r="HK18" i="17"/>
  <c r="HK21" i="17"/>
  <c r="FD19" i="17"/>
  <c r="FD21" i="17"/>
  <c r="HK19" i="17"/>
  <c r="FD20" i="17"/>
  <c r="FD18" i="17"/>
  <c r="O7" i="18"/>
  <c r="N2" i="18"/>
  <c r="HN93" i="17"/>
  <c r="HN92" i="17"/>
  <c r="HN71" i="17"/>
  <c r="JU73" i="17"/>
  <c r="JU72" i="17"/>
  <c r="HN72" i="17"/>
  <c r="FG72" i="17"/>
  <c r="JU70" i="17"/>
  <c r="JU71" i="17"/>
  <c r="HN94" i="17"/>
  <c r="HN73" i="17"/>
  <c r="FG70" i="17"/>
  <c r="FG71" i="17"/>
  <c r="JV71" i="17" s="1"/>
  <c r="HN91" i="17"/>
  <c r="HN70" i="17"/>
  <c r="FG73" i="17"/>
  <c r="N4" i="18"/>
  <c r="N13" i="18" s="1"/>
  <c r="M4" i="18"/>
  <c r="B4" i="3"/>
  <c r="M4" i="3"/>
  <c r="M4" i="8"/>
  <c r="M4" i="11"/>
  <c r="M21" i="11" s="1"/>
  <c r="M4" i="9"/>
  <c r="JU94" i="17"/>
  <c r="JU93" i="17"/>
  <c r="JU92" i="17"/>
  <c r="JU91" i="17"/>
  <c r="B4" i="11"/>
  <c r="B4" i="10"/>
  <c r="B4" i="18"/>
  <c r="B4" i="8"/>
  <c r="B4" i="9"/>
  <c r="FG92" i="17"/>
  <c r="FG93" i="17"/>
  <c r="JV93" i="17" s="1"/>
  <c r="FG94" i="17"/>
  <c r="AP71" i="17"/>
  <c r="CX71" i="17" s="1"/>
  <c r="AP73" i="17"/>
  <c r="CX73" i="17" s="1"/>
  <c r="AP72" i="17"/>
  <c r="CX72" i="17" s="1"/>
  <c r="AP70" i="17"/>
  <c r="CX70" i="17" s="1"/>
  <c r="AM105" i="17"/>
  <c r="AM104" i="17"/>
  <c r="AM103" i="17"/>
  <c r="CU24" i="17" a="1"/>
  <c r="CU24" i="17" s="1"/>
  <c r="CU28" i="17" a="1"/>
  <c r="CU28" i="17" s="1"/>
  <c r="FG91" i="17"/>
  <c r="R6" i="20"/>
  <c r="S7" i="17"/>
  <c r="FA44" i="17"/>
  <c r="HH44" i="17"/>
  <c r="HH102" i="17"/>
  <c r="FA102" i="17"/>
  <c r="HH57" i="17"/>
  <c r="FA57" i="17"/>
  <c r="HH63" i="17"/>
  <c r="FA63" i="17"/>
  <c r="FA23" i="17"/>
  <c r="HH23" i="17"/>
  <c r="FA51" i="17"/>
  <c r="HH51" i="17"/>
  <c r="HH115" i="17"/>
  <c r="FA115" i="17"/>
  <c r="HH10" i="17"/>
  <c r="FA10" i="17"/>
  <c r="FA108" i="17"/>
  <c r="HH108" i="17"/>
  <c r="HH30" i="17"/>
  <c r="FA30" i="17"/>
  <c r="FA96" i="17"/>
  <c r="HH96" i="17"/>
  <c r="HH37" i="17"/>
  <c r="FA37" i="17"/>
  <c r="CS96" i="17"/>
  <c r="AI57" i="17"/>
  <c r="CP57" i="17"/>
  <c r="AI96" i="17"/>
  <c r="CP96" i="17"/>
  <c r="AI37" i="17"/>
  <c r="CP37" i="17"/>
  <c r="AI10" i="17"/>
  <c r="CP10" i="17"/>
  <c r="CS63" i="17"/>
  <c r="AI102" i="17"/>
  <c r="CP102" i="17"/>
  <c r="AI63" i="17"/>
  <c r="CP63" i="17"/>
  <c r="CP23" i="17"/>
  <c r="AI44" i="17"/>
  <c r="CP44" i="17"/>
  <c r="CP30" i="17"/>
  <c r="AI51" i="17"/>
  <c r="CP51" i="17"/>
  <c r="AL115" i="17"/>
  <c r="CS115" i="17"/>
  <c r="AL44" i="17"/>
  <c r="CS44" i="17"/>
  <c r="AL37" i="17"/>
  <c r="CS37" i="17"/>
  <c r="CS30" i="17"/>
  <c r="AL108" i="17"/>
  <c r="CS108" i="17"/>
  <c r="AL57" i="17"/>
  <c r="CS57" i="17"/>
  <c r="AL51" i="17"/>
  <c r="CS51" i="17"/>
  <c r="CS23" i="17"/>
  <c r="AL102" i="17"/>
  <c r="CS102" i="17"/>
  <c r="AL10" i="17"/>
  <c r="CS10" i="17"/>
  <c r="AP94" i="17"/>
  <c r="CX94" i="17" s="1"/>
  <c r="AP92" i="17"/>
  <c r="CX92" i="17" s="1"/>
  <c r="AP91" i="17"/>
  <c r="CX91" i="17" s="1"/>
  <c r="AP93" i="17"/>
  <c r="CX93" i="17" s="1"/>
  <c r="AL63" i="17"/>
  <c r="AL96" i="17"/>
  <c r="R6" i="22"/>
  <c r="S22" i="19"/>
  <c r="O6" i="18"/>
  <c r="L16" i="12"/>
  <c r="K16" i="12"/>
  <c r="J16" i="12"/>
  <c r="I16" i="12"/>
  <c r="W14" i="14"/>
  <c r="V14" i="14"/>
  <c r="U14" i="14"/>
  <c r="T14" i="14"/>
  <c r="S14" i="14"/>
  <c r="R14" i="14"/>
  <c r="Q14" i="14"/>
  <c r="P14" i="14"/>
  <c r="O14" i="14"/>
  <c r="N14" i="14"/>
  <c r="W12" i="14"/>
  <c r="U12" i="14"/>
  <c r="T12" i="14"/>
  <c r="S12" i="14"/>
  <c r="R12" i="14"/>
  <c r="P12" i="14"/>
  <c r="O12" i="14"/>
  <c r="N12" i="14"/>
  <c r="W11" i="14"/>
  <c r="V11" i="14"/>
  <c r="U11" i="14"/>
  <c r="T11" i="14"/>
  <c r="S11" i="14"/>
  <c r="R11" i="14"/>
  <c r="Q11" i="14"/>
  <c r="P11" i="14"/>
  <c r="O11" i="14"/>
  <c r="N11" i="14"/>
  <c r="N14" i="13"/>
  <c r="W14" i="13"/>
  <c r="V14" i="13"/>
  <c r="U14" i="13"/>
  <c r="T14" i="13"/>
  <c r="S14" i="13"/>
  <c r="R14" i="13"/>
  <c r="Q14" i="13"/>
  <c r="P14" i="13"/>
  <c r="O14" i="13"/>
  <c r="W12" i="13"/>
  <c r="V12" i="13"/>
  <c r="U12" i="13"/>
  <c r="T12" i="13"/>
  <c r="S12" i="13"/>
  <c r="R12" i="13"/>
  <c r="P12" i="13"/>
  <c r="O12" i="13"/>
  <c r="N12" i="13"/>
  <c r="W11" i="13"/>
  <c r="V11" i="13"/>
  <c r="U11" i="13"/>
  <c r="T11" i="13"/>
  <c r="S11" i="13"/>
  <c r="R11" i="13"/>
  <c r="Q11" i="13"/>
  <c r="P11" i="13"/>
  <c r="O11" i="13"/>
  <c r="N11" i="13"/>
  <c r="L16" i="13"/>
  <c r="K16" i="13"/>
  <c r="J16" i="13"/>
  <c r="I16" i="13"/>
  <c r="L16" i="14"/>
  <c r="K16" i="14"/>
  <c r="J16" i="14"/>
  <c r="I16" i="14"/>
  <c r="W9" i="13"/>
  <c r="V9" i="13"/>
  <c r="U9" i="13"/>
  <c r="T9" i="13"/>
  <c r="S9" i="13"/>
  <c r="R9" i="13"/>
  <c r="P9" i="13"/>
  <c r="O9" i="13"/>
  <c r="N9" i="13"/>
  <c r="W8" i="13"/>
  <c r="V8" i="13"/>
  <c r="U8" i="13"/>
  <c r="T8" i="13"/>
  <c r="S8" i="13"/>
  <c r="R8" i="13"/>
  <c r="Q8" i="13"/>
  <c r="P8" i="13"/>
  <c r="O8" i="13"/>
  <c r="N8" i="13"/>
  <c r="W9" i="14"/>
  <c r="V9" i="14"/>
  <c r="U9" i="14"/>
  <c r="T9" i="14"/>
  <c r="S9" i="14"/>
  <c r="R9" i="14"/>
  <c r="Q9" i="14"/>
  <c r="P9" i="14"/>
  <c r="O9" i="14"/>
  <c r="N9" i="14"/>
  <c r="W8" i="14"/>
  <c r="V8" i="14"/>
  <c r="V3" i="14" s="1"/>
  <c r="U8" i="14"/>
  <c r="T8" i="14"/>
  <c r="S8" i="14"/>
  <c r="R8" i="14"/>
  <c r="Q8" i="14"/>
  <c r="P8" i="14"/>
  <c r="O8" i="14"/>
  <c r="N8" i="14"/>
  <c r="L22" i="14"/>
  <c r="K22" i="14"/>
  <c r="J22" i="14"/>
  <c r="I22" i="14"/>
  <c r="L19" i="14"/>
  <c r="K19" i="14"/>
  <c r="J19" i="14"/>
  <c r="I19" i="14"/>
  <c r="L13" i="14"/>
  <c r="K13" i="14"/>
  <c r="J13" i="14"/>
  <c r="I13" i="14"/>
  <c r="L10" i="14"/>
  <c r="K10" i="14"/>
  <c r="J10" i="14"/>
  <c r="I10" i="14"/>
  <c r="N7" i="14"/>
  <c r="O7" i="14" s="1"/>
  <c r="P7" i="14" s="1"/>
  <c r="Q7" i="14" s="1"/>
  <c r="R7" i="14" s="1"/>
  <c r="S7" i="14" s="1"/>
  <c r="T7" i="14" s="1"/>
  <c r="U7" i="14" s="1"/>
  <c r="V7" i="14" s="1"/>
  <c r="W7" i="14" s="1"/>
  <c r="X7" i="14" s="1"/>
  <c r="L7" i="14"/>
  <c r="K7" i="14" s="1"/>
  <c r="J7" i="14" s="1"/>
  <c r="I7" i="14" s="1"/>
  <c r="N6" i="14"/>
  <c r="K6" i="14"/>
  <c r="J6" i="14" s="1"/>
  <c r="I6" i="14" s="1"/>
  <c r="L22" i="13"/>
  <c r="K22" i="13"/>
  <c r="J22" i="13"/>
  <c r="I22" i="13"/>
  <c r="L19" i="13"/>
  <c r="K19" i="13"/>
  <c r="J19" i="13"/>
  <c r="I19" i="13"/>
  <c r="L13" i="13"/>
  <c r="K13" i="13"/>
  <c r="J13" i="13"/>
  <c r="I13" i="13"/>
  <c r="L10" i="13"/>
  <c r="K10" i="13"/>
  <c r="J10" i="13"/>
  <c r="I10" i="13"/>
  <c r="N7" i="13"/>
  <c r="O7" i="13" s="1"/>
  <c r="P7" i="13" s="1"/>
  <c r="Q7" i="13" s="1"/>
  <c r="R7" i="13" s="1"/>
  <c r="S7" i="13" s="1"/>
  <c r="T7" i="13" s="1"/>
  <c r="U7" i="13" s="1"/>
  <c r="V7" i="13" s="1"/>
  <c r="W7" i="13" s="1"/>
  <c r="X7" i="13" s="1"/>
  <c r="Y7" i="13" s="1"/>
  <c r="Z7" i="13" s="1"/>
  <c r="AA7" i="13" s="1"/>
  <c r="AB7" i="13" s="1"/>
  <c r="AC7" i="13" s="1"/>
  <c r="AD7" i="13" s="1"/>
  <c r="AE7" i="13" s="1"/>
  <c r="AF7" i="13" s="1"/>
  <c r="AG7" i="13" s="1"/>
  <c r="AH7" i="13" s="1"/>
  <c r="AI7" i="13" s="1"/>
  <c r="AJ7" i="13" s="1"/>
  <c r="AK7" i="13" s="1"/>
  <c r="AL7" i="13" s="1"/>
  <c r="AM7" i="13" s="1"/>
  <c r="AN7" i="13" s="1"/>
  <c r="AO7" i="13" s="1"/>
  <c r="AP7" i="13" s="1"/>
  <c r="AQ7" i="13" s="1"/>
  <c r="AR7" i="13" s="1"/>
  <c r="AS7" i="13" s="1"/>
  <c r="AT7" i="13" s="1"/>
  <c r="AU7" i="13" s="1"/>
  <c r="AV7" i="13" s="1"/>
  <c r="AW7" i="13" s="1"/>
  <c r="AX7" i="13" s="1"/>
  <c r="AY7" i="13" s="1"/>
  <c r="AZ7" i="13" s="1"/>
  <c r="BA7" i="13" s="1"/>
  <c r="BB7" i="13" s="1"/>
  <c r="BC7" i="13" s="1"/>
  <c r="BD7" i="13" s="1"/>
  <c r="BE7" i="13" s="1"/>
  <c r="BF7" i="13" s="1"/>
  <c r="BG7" i="13" s="1"/>
  <c r="BH7" i="13" s="1"/>
  <c r="BI7" i="13" s="1"/>
  <c r="BJ7" i="13" s="1"/>
  <c r="BK7" i="13" s="1"/>
  <c r="BL7" i="13" s="1"/>
  <c r="BM7" i="13" s="1"/>
  <c r="L7" i="13"/>
  <c r="K7" i="13" s="1"/>
  <c r="J7" i="13" s="1"/>
  <c r="I7" i="13" s="1"/>
  <c r="N6" i="13"/>
  <c r="K6" i="13"/>
  <c r="J6" i="13" s="1"/>
  <c r="I6" i="13" s="1"/>
  <c r="L22" i="12"/>
  <c r="K22" i="12"/>
  <c r="J22" i="12"/>
  <c r="I22" i="12"/>
  <c r="L19" i="12"/>
  <c r="K19" i="12"/>
  <c r="J19" i="12"/>
  <c r="I19" i="12"/>
  <c r="L13" i="12"/>
  <c r="K13" i="12"/>
  <c r="J13" i="12"/>
  <c r="I13" i="12"/>
  <c r="L10" i="12"/>
  <c r="K10" i="12"/>
  <c r="J10" i="12"/>
  <c r="I10" i="12"/>
  <c r="N7" i="12"/>
  <c r="O7" i="12" s="1"/>
  <c r="P7" i="12" s="1"/>
  <c r="Q7" i="12" s="1"/>
  <c r="R7" i="12" s="1"/>
  <c r="S7" i="12" s="1"/>
  <c r="T7" i="12" s="1"/>
  <c r="U7" i="12" s="1"/>
  <c r="V7" i="12" s="1"/>
  <c r="W7" i="12" s="1"/>
  <c r="X7" i="12" s="1"/>
  <c r="Y7" i="12" s="1"/>
  <c r="Z7" i="12" s="1"/>
  <c r="AA7" i="12" s="1"/>
  <c r="AB7" i="12" s="1"/>
  <c r="AC7" i="12" s="1"/>
  <c r="AD7" i="12" s="1"/>
  <c r="AE7" i="12" s="1"/>
  <c r="AF7" i="12" s="1"/>
  <c r="AG7" i="12" s="1"/>
  <c r="AH7" i="12" s="1"/>
  <c r="AI7" i="12" s="1"/>
  <c r="AJ7" i="12" s="1"/>
  <c r="AK7" i="12" s="1"/>
  <c r="AL7" i="12" s="1"/>
  <c r="AM7" i="12" s="1"/>
  <c r="AN7" i="12" s="1"/>
  <c r="AO7" i="12" s="1"/>
  <c r="AP7" i="12" s="1"/>
  <c r="AQ7" i="12" s="1"/>
  <c r="AR7" i="12" s="1"/>
  <c r="AS7" i="12" s="1"/>
  <c r="AT7" i="12" s="1"/>
  <c r="AU7" i="12" s="1"/>
  <c r="AV7" i="12" s="1"/>
  <c r="AW7" i="12" s="1"/>
  <c r="AX7" i="12" s="1"/>
  <c r="AY7" i="12" s="1"/>
  <c r="AZ7" i="12" s="1"/>
  <c r="BA7" i="12" s="1"/>
  <c r="BB7" i="12" s="1"/>
  <c r="BC7" i="12" s="1"/>
  <c r="BD7" i="12" s="1"/>
  <c r="BE7" i="12" s="1"/>
  <c r="BF7" i="12" s="1"/>
  <c r="BG7" i="12" s="1"/>
  <c r="BH7" i="12" s="1"/>
  <c r="BI7" i="12" s="1"/>
  <c r="BJ7" i="12" s="1"/>
  <c r="BK7" i="12" s="1"/>
  <c r="BL7" i="12" s="1"/>
  <c r="BM7" i="12" s="1"/>
  <c r="L7" i="12"/>
  <c r="K7" i="12" s="1"/>
  <c r="J7" i="12" s="1"/>
  <c r="I7" i="12" s="1"/>
  <c r="N6" i="12"/>
  <c r="K6" i="12"/>
  <c r="J6" i="12" s="1"/>
  <c r="I6" i="12" s="1"/>
  <c r="IY109" i="17" l="1"/>
  <c r="GR109" i="17"/>
  <c r="GR104" i="17"/>
  <c r="IY106" i="17"/>
  <c r="IY104" i="17"/>
  <c r="IY103" i="17"/>
  <c r="GR105" i="17"/>
  <c r="IY105" i="17"/>
  <c r="GR103" i="17"/>
  <c r="GR106" i="17"/>
  <c r="GR99" i="17"/>
  <c r="GR97" i="17"/>
  <c r="IY97" i="17"/>
  <c r="IY98" i="17"/>
  <c r="GR100" i="17"/>
  <c r="IY99" i="17"/>
  <c r="GR98" i="17"/>
  <c r="IY100" i="17"/>
  <c r="GR65" i="17"/>
  <c r="GR64" i="17"/>
  <c r="IY66" i="17"/>
  <c r="IY64" i="17"/>
  <c r="GR66" i="17"/>
  <c r="IY65" i="17"/>
  <c r="GR67" i="17"/>
  <c r="IY67" i="17"/>
  <c r="GR58" i="17"/>
  <c r="IY60" i="17"/>
  <c r="GR60" i="17"/>
  <c r="GR59" i="17"/>
  <c r="IY58" i="17"/>
  <c r="IY59" i="17"/>
  <c r="GR49" i="17"/>
  <c r="IY49" i="17"/>
  <c r="GR47" i="17"/>
  <c r="IY46" i="17"/>
  <c r="IY47" i="17"/>
  <c r="IY48" i="17"/>
  <c r="GR46" i="17"/>
  <c r="IY45" i="17"/>
  <c r="GR48" i="17"/>
  <c r="GR45" i="17"/>
  <c r="GR42" i="17"/>
  <c r="GR38" i="17"/>
  <c r="GR39" i="17"/>
  <c r="IY38" i="17"/>
  <c r="GR40" i="17"/>
  <c r="IY40" i="17"/>
  <c r="IY42" i="17"/>
  <c r="IY39" i="17"/>
  <c r="GR41" i="17"/>
  <c r="IY41" i="17"/>
  <c r="GR35" i="17"/>
  <c r="IY35" i="17"/>
  <c r="IY34" i="17"/>
  <c r="IY33" i="17"/>
  <c r="IY31" i="17"/>
  <c r="GR33" i="17"/>
  <c r="GR34" i="17"/>
  <c r="GR31" i="17"/>
  <c r="IY32" i="17"/>
  <c r="GR32" i="17"/>
  <c r="IY53" i="17"/>
  <c r="GR53" i="17"/>
  <c r="IY55" i="17"/>
  <c r="GR54" i="17"/>
  <c r="IY52" i="17"/>
  <c r="IY54" i="17"/>
  <c r="GR52" i="17"/>
  <c r="GR55" i="17"/>
  <c r="GR25" i="17"/>
  <c r="GR27" i="17"/>
  <c r="IY24" i="17"/>
  <c r="GR24" i="17"/>
  <c r="IY28" i="17"/>
  <c r="GR28" i="17"/>
  <c r="IY25" i="17"/>
  <c r="IY27" i="17"/>
  <c r="IY15" i="17"/>
  <c r="GR13" i="17"/>
  <c r="IY13" i="17"/>
  <c r="GR12" i="17"/>
  <c r="GR15" i="17"/>
  <c r="IY12" i="17"/>
  <c r="IY11" i="17"/>
  <c r="GR11" i="17"/>
  <c r="HP81" i="17"/>
  <c r="R16" i="20"/>
  <c r="R30" i="20"/>
  <c r="MD81" i="17"/>
  <c r="FI81" i="17"/>
  <c r="ME81" i="17"/>
  <c r="AS81" i="17"/>
  <c r="IX27" i="17"/>
  <c r="GQ25" i="17"/>
  <c r="GQ28" i="17"/>
  <c r="IX28" i="17"/>
  <c r="IX25" i="17"/>
  <c r="IX24" i="17"/>
  <c r="GQ24" i="17"/>
  <c r="GQ27" i="17"/>
  <c r="IW28" i="17"/>
  <c r="GP25" i="17"/>
  <c r="GP24" i="17"/>
  <c r="IW27" i="17"/>
  <c r="IW24" i="17"/>
  <c r="GP28" i="17"/>
  <c r="IW25" i="17"/>
  <c r="GP27" i="17"/>
  <c r="GO25" i="17"/>
  <c r="IV25" i="17"/>
  <c r="IV27" i="17"/>
  <c r="GO24" i="17"/>
  <c r="IV24" i="17"/>
  <c r="GO28" i="17"/>
  <c r="IV28" i="17"/>
  <c r="GO27" i="17"/>
  <c r="IU28" i="17"/>
  <c r="GN25" i="17"/>
  <c r="IU25" i="17"/>
  <c r="GN24" i="17"/>
  <c r="IU24" i="17"/>
  <c r="IU27" i="17"/>
  <c r="GN28" i="17"/>
  <c r="GN27" i="17"/>
  <c r="AR82" i="17"/>
  <c r="CZ82" i="17" s="1"/>
  <c r="CZ81" i="17"/>
  <c r="FC15" i="17"/>
  <c r="HJ15" i="17"/>
  <c r="IT24" i="17"/>
  <c r="GL24" i="17"/>
  <c r="GM28" i="17"/>
  <c r="IT25" i="17"/>
  <c r="IT27" i="17"/>
  <c r="IT28" i="17"/>
  <c r="GM24" i="17"/>
  <c r="GL25" i="17"/>
  <c r="GM25" i="17"/>
  <c r="GL27" i="17"/>
  <c r="GM27" i="17"/>
  <c r="GL28" i="17"/>
  <c r="IS25" i="17"/>
  <c r="IS24" i="17"/>
  <c r="IS28" i="17"/>
  <c r="IS27" i="17"/>
  <c r="CU14" i="17"/>
  <c r="AM14" i="17"/>
  <c r="GK25" i="17"/>
  <c r="GK28" i="17"/>
  <c r="GK24" i="17"/>
  <c r="GK27" i="17"/>
  <c r="IR24" i="17"/>
  <c r="IR27" i="17"/>
  <c r="IR25" i="17"/>
  <c r="IR28" i="17"/>
  <c r="IQ28" i="17"/>
  <c r="IQ25" i="17"/>
  <c r="IQ27" i="17"/>
  <c r="GJ27" i="17"/>
  <c r="GJ25" i="17"/>
  <c r="IQ24" i="17"/>
  <c r="GJ24" i="17"/>
  <c r="GJ28" i="17"/>
  <c r="GI24" i="17"/>
  <c r="GI27" i="17"/>
  <c r="IP28" i="17"/>
  <c r="IP24" i="17"/>
  <c r="GI25" i="17"/>
  <c r="GI28" i="17"/>
  <c r="IP25" i="17"/>
  <c r="IP27" i="17"/>
  <c r="HP80" i="17"/>
  <c r="MD80" i="17"/>
  <c r="HP82" i="17"/>
  <c r="MD82" i="17"/>
  <c r="FI82" i="17"/>
  <c r="IO27" i="17"/>
  <c r="IO28" i="17"/>
  <c r="GH27" i="17"/>
  <c r="GH28" i="17"/>
  <c r="GH24" i="17"/>
  <c r="IO25" i="17"/>
  <c r="IO24" i="17"/>
  <c r="GH25" i="17"/>
  <c r="GG28" i="17"/>
  <c r="IN24" i="17"/>
  <c r="IN27" i="17"/>
  <c r="GG25" i="17"/>
  <c r="IN25" i="17"/>
  <c r="GG27" i="17"/>
  <c r="GG24" i="17"/>
  <c r="IN28" i="17"/>
  <c r="IM27" i="17"/>
  <c r="IM28" i="17"/>
  <c r="IM24" i="17"/>
  <c r="GF28" i="17"/>
  <c r="GF27" i="17"/>
  <c r="GF25" i="17"/>
  <c r="GF24" i="17"/>
  <c r="IM25" i="17"/>
  <c r="CU12" i="17"/>
  <c r="FH86" i="17"/>
  <c r="JW86" i="17" s="1"/>
  <c r="AS80" i="17"/>
  <c r="DA80" i="17" s="1"/>
  <c r="FI80" i="17"/>
  <c r="FH88" i="17"/>
  <c r="JW88" i="17" s="1"/>
  <c r="IL25" i="17"/>
  <c r="IL27" i="17"/>
  <c r="GE24" i="17"/>
  <c r="GE25" i="17"/>
  <c r="GE27" i="17"/>
  <c r="GE28" i="17"/>
  <c r="IL24" i="17"/>
  <c r="IL28" i="17"/>
  <c r="IK24" i="17"/>
  <c r="GD27" i="17"/>
  <c r="GD24" i="17"/>
  <c r="IK27" i="17"/>
  <c r="GD25" i="17"/>
  <c r="IK28" i="17"/>
  <c r="GD28" i="17"/>
  <c r="IK25" i="17"/>
  <c r="E23" i="1"/>
  <c r="IJ27" i="17"/>
  <c r="IJ28" i="17"/>
  <c r="GC24" i="17"/>
  <c r="IJ24" i="17"/>
  <c r="IJ25" i="17"/>
  <c r="GC25" i="17"/>
  <c r="GC27" i="17"/>
  <c r="GC28" i="17"/>
  <c r="GB28" i="17"/>
  <c r="II27" i="17"/>
  <c r="GB25" i="17"/>
  <c r="II25" i="17"/>
  <c r="II24" i="17"/>
  <c r="II28" i="17"/>
  <c r="GB27" i="17"/>
  <c r="GB24" i="17"/>
  <c r="IH24" i="17"/>
  <c r="GA24" i="17"/>
  <c r="GA27" i="17"/>
  <c r="IH28" i="17"/>
  <c r="IH25" i="17"/>
  <c r="IH27" i="17"/>
  <c r="GA25" i="17"/>
  <c r="GA28" i="17"/>
  <c r="N10" i="18"/>
  <c r="N22" i="12"/>
  <c r="N19" i="14"/>
  <c r="S68" i="1"/>
  <c r="S44" i="1"/>
  <c r="S60" i="1"/>
  <c r="S20" i="1"/>
  <c r="S76" i="1"/>
  <c r="S28" i="1"/>
  <c r="S36" i="1"/>
  <c r="S52" i="1"/>
  <c r="FH85" i="17"/>
  <c r="JW85" i="17" s="1"/>
  <c r="N16" i="18"/>
  <c r="AN20" i="17" s="1"/>
  <c r="CV20" i="17" s="1"/>
  <c r="O4" i="18"/>
  <c r="O13" i="18" s="1"/>
  <c r="AO19" i="17" s="1"/>
  <c r="CW19" i="17" s="1"/>
  <c r="O14" i="18"/>
  <c r="HL20" i="17" s="1"/>
  <c r="O19" i="18"/>
  <c r="AO21" i="17" s="1"/>
  <c r="CW21" i="17" s="1"/>
  <c r="S6" i="21"/>
  <c r="CU13" i="17"/>
  <c r="HO86" i="17"/>
  <c r="FH87" i="17"/>
  <c r="JW87" i="17" s="1"/>
  <c r="R16" i="22"/>
  <c r="R19" i="22"/>
  <c r="R13" i="22"/>
  <c r="R10" i="22"/>
  <c r="CU15" i="17"/>
  <c r="HO85" i="17"/>
  <c r="N19" i="13"/>
  <c r="R19" i="20"/>
  <c r="R10" i="20"/>
  <c r="R13" i="20"/>
  <c r="HO88" i="17"/>
  <c r="HO87" i="17"/>
  <c r="R4" i="21"/>
  <c r="R13" i="21"/>
  <c r="AR86" i="17" s="1"/>
  <c r="CZ86" i="17" s="1"/>
  <c r="R16" i="21"/>
  <c r="AR87" i="17" s="1"/>
  <c r="R19" i="21"/>
  <c r="AR88" i="17" s="1"/>
  <c r="CZ88" i="17" s="1"/>
  <c r="R10" i="21"/>
  <c r="AR85" i="17" s="1"/>
  <c r="CZ85" i="17" s="1"/>
  <c r="CU11" i="17"/>
  <c r="AM11" i="17"/>
  <c r="M10" i="11"/>
  <c r="AM109" i="17" s="1"/>
  <c r="CU109" i="17" s="1"/>
  <c r="V1" i="14"/>
  <c r="FZ27" i="17"/>
  <c r="FZ28" i="17"/>
  <c r="FZ25" i="17"/>
  <c r="FZ24" i="17"/>
  <c r="IG28" i="17"/>
  <c r="IG24" i="17"/>
  <c r="IG25" i="17"/>
  <c r="IG27" i="17"/>
  <c r="AQ86" i="17"/>
  <c r="CY86" i="17" s="1"/>
  <c r="JV86" i="17"/>
  <c r="AQ87" i="17"/>
  <c r="JW80" i="17"/>
  <c r="JW76" i="17"/>
  <c r="JW77" i="17"/>
  <c r="AP87" i="17"/>
  <c r="AP88" i="17"/>
  <c r="CX88" i="17" s="1"/>
  <c r="AP85" i="17"/>
  <c r="CX85" i="17" s="1"/>
  <c r="Y7" i="14"/>
  <c r="FE21" i="17"/>
  <c r="JT21" i="17" s="1"/>
  <c r="JS18" i="17"/>
  <c r="JS21" i="17"/>
  <c r="FE20" i="17"/>
  <c r="JT20" i="17" s="1"/>
  <c r="FE19" i="17"/>
  <c r="JT19" i="17" s="1"/>
  <c r="JS20" i="17"/>
  <c r="HL18" i="17"/>
  <c r="HL19" i="17"/>
  <c r="FE18" i="17"/>
  <c r="HL21" i="17"/>
  <c r="P7" i="18"/>
  <c r="O2" i="18"/>
  <c r="JS19" i="17"/>
  <c r="AN19" i="17"/>
  <c r="CV19" i="17" s="1"/>
  <c r="R4" i="20"/>
  <c r="HO72" i="17"/>
  <c r="HO73" i="17"/>
  <c r="FH70" i="17"/>
  <c r="JW70" i="17" s="1"/>
  <c r="HO70" i="17"/>
  <c r="FH72" i="17"/>
  <c r="JW72" i="17" s="1"/>
  <c r="FH73" i="17"/>
  <c r="JW73" i="17" s="1"/>
  <c r="FH71" i="17"/>
  <c r="JW71" i="17" s="1"/>
  <c r="HO71" i="17"/>
  <c r="S20" i="19"/>
  <c r="S32" i="19" s="1"/>
  <c r="N4" i="12"/>
  <c r="N16" i="12" s="1"/>
  <c r="R4" i="22"/>
  <c r="HO92" i="17"/>
  <c r="HO94" i="17"/>
  <c r="HO91" i="17"/>
  <c r="HO93" i="17"/>
  <c r="N4" i="14"/>
  <c r="N22" i="14" s="1"/>
  <c r="N4" i="13"/>
  <c r="N13" i="13" s="1"/>
  <c r="JV70" i="17"/>
  <c r="JV72" i="17"/>
  <c r="JV73" i="17"/>
  <c r="AM61" i="17"/>
  <c r="AM58" i="17"/>
  <c r="CU60" i="17"/>
  <c r="AM59" i="17"/>
  <c r="HJ13" i="17"/>
  <c r="HJ11" i="17"/>
  <c r="HJ12" i="17"/>
  <c r="HJ109" i="17"/>
  <c r="HJ99" i="17"/>
  <c r="HJ97" i="17"/>
  <c r="HJ98" i="17"/>
  <c r="HJ100" i="17"/>
  <c r="HJ67" i="17"/>
  <c r="HJ64" i="17"/>
  <c r="HJ66" i="17"/>
  <c r="HJ65" i="17"/>
  <c r="HK47" i="17"/>
  <c r="HK46" i="17"/>
  <c r="HK48" i="17"/>
  <c r="HK45" i="17"/>
  <c r="HK49" i="17"/>
  <c r="HK38" i="17"/>
  <c r="HK40" i="17"/>
  <c r="HK42" i="17"/>
  <c r="HK39" i="17"/>
  <c r="HK41" i="17"/>
  <c r="HK31" i="17"/>
  <c r="HK33" i="17"/>
  <c r="HK35" i="17"/>
  <c r="HK32" i="17"/>
  <c r="HK34" i="17"/>
  <c r="JV94" i="17"/>
  <c r="JV92" i="17"/>
  <c r="JV91" i="17"/>
  <c r="HJ103" i="17"/>
  <c r="HJ106" i="17"/>
  <c r="HJ105" i="17"/>
  <c r="HJ104" i="17"/>
  <c r="AM52" i="17"/>
  <c r="CU61" i="17"/>
  <c r="CU53" i="17"/>
  <c r="CU59" i="17"/>
  <c r="AM60" i="17"/>
  <c r="AQ70" i="17"/>
  <c r="CY70" i="17" s="1"/>
  <c r="AQ71" i="17"/>
  <c r="CY71" i="17" s="1"/>
  <c r="AM65" i="17"/>
  <c r="CU65" i="17" s="1"/>
  <c r="AM54" i="17"/>
  <c r="AM66" i="17"/>
  <c r="CU66" i="17" s="1"/>
  <c r="CU58" i="17"/>
  <c r="CU18" i="17"/>
  <c r="CU21" i="17"/>
  <c r="AM64" i="17"/>
  <c r="CU64" i="17" s="1"/>
  <c r="CU20" i="17"/>
  <c r="AM67" i="17"/>
  <c r="CU67" i="17" s="1"/>
  <c r="CU19" i="17"/>
  <c r="FH92" i="17"/>
  <c r="FH91" i="17"/>
  <c r="FH93" i="17"/>
  <c r="FH94" i="17"/>
  <c r="S6" i="20"/>
  <c r="O6" i="14"/>
  <c r="T7" i="17"/>
  <c r="FC58" i="17"/>
  <c r="FD42" i="17"/>
  <c r="FC42" i="17"/>
  <c r="FD35" i="17"/>
  <c r="FC35" i="17"/>
  <c r="FD49" i="17"/>
  <c r="FC49" i="17"/>
  <c r="FC59" i="17"/>
  <c r="FC60" i="17"/>
  <c r="FC100" i="17"/>
  <c r="FC99" i="17"/>
  <c r="FC98" i="17"/>
  <c r="FC97" i="17"/>
  <c r="FC34" i="17"/>
  <c r="FC33" i="17"/>
  <c r="FC32" i="17"/>
  <c r="FD31" i="17"/>
  <c r="FD33" i="17"/>
  <c r="FC31" i="17"/>
  <c r="FD32" i="17"/>
  <c r="FD34" i="17"/>
  <c r="FC103" i="17"/>
  <c r="FC104" i="17"/>
  <c r="FC106" i="17"/>
  <c r="FC105" i="17"/>
  <c r="FC54" i="17"/>
  <c r="FC52" i="17"/>
  <c r="FC55" i="17"/>
  <c r="FC53" i="17"/>
  <c r="FC109" i="17"/>
  <c r="FC28" i="17"/>
  <c r="FC27" i="17"/>
  <c r="FC25" i="17"/>
  <c r="FC24" i="17"/>
  <c r="FD48" i="17"/>
  <c r="FD46" i="17"/>
  <c r="FC46" i="17"/>
  <c r="FC45" i="17"/>
  <c r="FE47" i="17"/>
  <c r="FD47" i="17"/>
  <c r="FD45" i="17"/>
  <c r="FC48" i="17"/>
  <c r="FC47" i="17"/>
  <c r="FC40" i="17"/>
  <c r="FC39" i="17"/>
  <c r="FD38" i="17"/>
  <c r="FD40" i="17"/>
  <c r="FC38" i="17"/>
  <c r="FD39" i="17"/>
  <c r="FD41" i="17"/>
  <c r="FC41" i="17"/>
  <c r="FC64" i="17"/>
  <c r="FC66" i="17"/>
  <c r="FC65" i="17"/>
  <c r="FC67" i="17"/>
  <c r="FC11" i="17"/>
  <c r="FC13" i="17"/>
  <c r="FC12" i="17"/>
  <c r="AM106" i="17"/>
  <c r="AQ91" i="17"/>
  <c r="CY91" i="17" s="1"/>
  <c r="AQ93" i="17"/>
  <c r="CY93" i="17" s="1"/>
  <c r="AQ94" i="17"/>
  <c r="CY94" i="17" s="1"/>
  <c r="AQ92" i="17"/>
  <c r="CY92" i="17" s="1"/>
  <c r="S6" i="22"/>
  <c r="T22" i="19"/>
  <c r="O6" i="12"/>
  <c r="O6" i="13"/>
  <c r="P6" i="18"/>
  <c r="HQ81" i="17" l="1"/>
  <c r="S30" i="20"/>
  <c r="S16" i="20"/>
  <c r="JX81" i="17"/>
  <c r="ME82" i="17"/>
  <c r="ME80" i="17"/>
  <c r="AS82" i="17"/>
  <c r="DA82" i="17" s="1"/>
  <c r="DA81" i="17"/>
  <c r="FE48" i="17"/>
  <c r="JT48" i="17" s="1"/>
  <c r="T6" i="21"/>
  <c r="T16" i="21" s="1"/>
  <c r="HP88" i="17"/>
  <c r="FI87" i="17"/>
  <c r="JX87" i="17" s="1"/>
  <c r="FI86" i="17"/>
  <c r="JX86" i="17" s="1"/>
  <c r="HP87" i="17"/>
  <c r="FI85" i="17"/>
  <c r="JX85" i="17" s="1"/>
  <c r="S4" i="21"/>
  <c r="FI88" i="17"/>
  <c r="JX88" i="17" s="1"/>
  <c r="JX82" i="17"/>
  <c r="HP85" i="17"/>
  <c r="P92" i="40"/>
  <c r="N13" i="14"/>
  <c r="I20" i="1" s="1"/>
  <c r="O10" i="18"/>
  <c r="AO18" i="17" s="1"/>
  <c r="CW18" i="17" s="1"/>
  <c r="N16" i="13"/>
  <c r="J21" i="1" s="1"/>
  <c r="N16" i="14"/>
  <c r="AN47" i="17" s="1"/>
  <c r="CV47" i="17" s="1"/>
  <c r="N10" i="12"/>
  <c r="N19" i="12"/>
  <c r="O19" i="13"/>
  <c r="N22" i="13"/>
  <c r="N13" i="12"/>
  <c r="N10" i="14"/>
  <c r="O16" i="18"/>
  <c r="AO20" i="17" s="1"/>
  <c r="CW20" i="17" s="1"/>
  <c r="T13" i="21"/>
  <c r="O19" i="14"/>
  <c r="HP86" i="17"/>
  <c r="S13" i="21"/>
  <c r="AS86" i="17" s="1"/>
  <c r="DA86" i="17" s="1"/>
  <c r="S16" i="21"/>
  <c r="S19" i="21"/>
  <c r="S10" i="21"/>
  <c r="O22" i="12"/>
  <c r="AO35" i="17" s="1"/>
  <c r="CW35" i="17" s="1"/>
  <c r="S16" i="22"/>
  <c r="S19" i="22"/>
  <c r="S13" i="22"/>
  <c r="S10" i="22"/>
  <c r="S19" i="20"/>
  <c r="S13" i="20"/>
  <c r="S10" i="20"/>
  <c r="AS70" i="17" s="1"/>
  <c r="DA70" i="17" s="1"/>
  <c r="P14" i="18"/>
  <c r="HM20" i="17" s="1"/>
  <c r="P19" i="18"/>
  <c r="AP21" i="17" s="1"/>
  <c r="CX21" i="17" s="1"/>
  <c r="N10" i="13"/>
  <c r="CX87" i="17"/>
  <c r="CZ87" i="17"/>
  <c r="HQ86" i="17"/>
  <c r="HQ87" i="17"/>
  <c r="HQ85" i="17"/>
  <c r="AQ88" i="17"/>
  <c r="CY88" i="17" s="1"/>
  <c r="AQ85" i="17"/>
  <c r="CY85" i="17" s="1"/>
  <c r="FJ87" i="17"/>
  <c r="JX80" i="17"/>
  <c r="JX78" i="17"/>
  <c r="JX77" i="17"/>
  <c r="JX76" i="17"/>
  <c r="AN18" i="17"/>
  <c r="CV18" i="17" s="1"/>
  <c r="Z7" i="14"/>
  <c r="HM18" i="17"/>
  <c r="FF18" i="17"/>
  <c r="JU18" i="17" s="1"/>
  <c r="FF21" i="17"/>
  <c r="JT18" i="17"/>
  <c r="FF20" i="17"/>
  <c r="HM19" i="17"/>
  <c r="FF19" i="17"/>
  <c r="Q7" i="18"/>
  <c r="P2" i="18"/>
  <c r="HM21" i="17"/>
  <c r="E20" i="1"/>
  <c r="E19" i="1"/>
  <c r="E22" i="1"/>
  <c r="FE46" i="17"/>
  <c r="JT46" i="17" s="1"/>
  <c r="FE45" i="17"/>
  <c r="JT45" i="17" s="1"/>
  <c r="FE49" i="17"/>
  <c r="JT49" i="17" s="1"/>
  <c r="T20" i="19"/>
  <c r="T32" i="19" s="1"/>
  <c r="S4" i="22"/>
  <c r="HP92" i="17"/>
  <c r="HP93" i="17"/>
  <c r="HP91" i="17"/>
  <c r="HP94" i="17"/>
  <c r="O4" i="14"/>
  <c r="O10" i="14" s="1"/>
  <c r="HL49" i="17"/>
  <c r="HL46" i="17"/>
  <c r="HL45" i="17"/>
  <c r="HL48" i="17"/>
  <c r="HL47" i="17"/>
  <c r="P4" i="18"/>
  <c r="P10" i="18" s="1"/>
  <c r="T4" i="21"/>
  <c r="O4" i="13"/>
  <c r="O16" i="13" s="1"/>
  <c r="HL40" i="17"/>
  <c r="HL39" i="17"/>
  <c r="HL42" i="17"/>
  <c r="HL41" i="17"/>
  <c r="HL38" i="17"/>
  <c r="S4" i="20"/>
  <c r="FI71" i="17"/>
  <c r="FI73" i="17"/>
  <c r="HP71" i="17"/>
  <c r="FI72" i="17"/>
  <c r="HP70" i="17"/>
  <c r="HP72" i="17"/>
  <c r="HP73" i="17"/>
  <c r="FI70" i="17"/>
  <c r="JX70" i="17" s="1"/>
  <c r="O4" i="12"/>
  <c r="O13" i="12" s="1"/>
  <c r="HL34" i="17"/>
  <c r="HL31" i="17"/>
  <c r="HL35" i="17"/>
  <c r="HL33" i="17"/>
  <c r="HL32" i="17"/>
  <c r="JR12" i="17"/>
  <c r="JR11" i="17"/>
  <c r="H23" i="1"/>
  <c r="JR15" i="17"/>
  <c r="JR109" i="17"/>
  <c r="JR55" i="17"/>
  <c r="AN41" i="17"/>
  <c r="CV41" i="17" s="1"/>
  <c r="J22" i="1"/>
  <c r="JR53" i="17"/>
  <c r="JR52" i="17"/>
  <c r="JR13" i="17"/>
  <c r="AN48" i="17"/>
  <c r="I22" i="1"/>
  <c r="JR54" i="17"/>
  <c r="JR67" i="17"/>
  <c r="JR66" i="17"/>
  <c r="JR64" i="17"/>
  <c r="JR65" i="17"/>
  <c r="JS48" i="17"/>
  <c r="JR48" i="17"/>
  <c r="JR39" i="17"/>
  <c r="JS39" i="17"/>
  <c r="JS41" i="17"/>
  <c r="JR41" i="17"/>
  <c r="JS42" i="17"/>
  <c r="JR42" i="17"/>
  <c r="JR40" i="17"/>
  <c r="JS40" i="17"/>
  <c r="JR38" i="17"/>
  <c r="JS38" i="17"/>
  <c r="JS49" i="17"/>
  <c r="JR49" i="17"/>
  <c r="JT47" i="17"/>
  <c r="JR47" i="17"/>
  <c r="JS47" i="17"/>
  <c r="JR46" i="17"/>
  <c r="JS46" i="17"/>
  <c r="JS45" i="17"/>
  <c r="JR45" i="17"/>
  <c r="JR33" i="17"/>
  <c r="JS33" i="17"/>
  <c r="JS34" i="17"/>
  <c r="JR34" i="17"/>
  <c r="JR31" i="17"/>
  <c r="JS31" i="17"/>
  <c r="JS32" i="17"/>
  <c r="JR32" i="17"/>
  <c r="JS35" i="17"/>
  <c r="JR35" i="17"/>
  <c r="JW94" i="17"/>
  <c r="JW93" i="17"/>
  <c r="JW92" i="17"/>
  <c r="JW91" i="17"/>
  <c r="JR60" i="17"/>
  <c r="JR59" i="17"/>
  <c r="JR58" i="17"/>
  <c r="JR105" i="17"/>
  <c r="JR106" i="17"/>
  <c r="JR104" i="17"/>
  <c r="JR103" i="17"/>
  <c r="JR28" i="17"/>
  <c r="JR27" i="17"/>
  <c r="JR25" i="17"/>
  <c r="JR24" i="17"/>
  <c r="JR100" i="17"/>
  <c r="JR99" i="17"/>
  <c r="JR98" i="17"/>
  <c r="JR97" i="17"/>
  <c r="AN35" i="17"/>
  <c r="CV35" i="17" s="1"/>
  <c r="FI93" i="17"/>
  <c r="JX93" i="17" s="1"/>
  <c r="AR73" i="17"/>
  <c r="CZ73" i="17" s="1"/>
  <c r="AR72" i="17"/>
  <c r="CZ72" i="17" s="1"/>
  <c r="FE41" i="17"/>
  <c r="AR70" i="17"/>
  <c r="CZ70" i="17" s="1"/>
  <c r="FE35" i="17"/>
  <c r="AR71" i="17"/>
  <c r="CZ71" i="17" s="1"/>
  <c r="FI92" i="17"/>
  <c r="FI91" i="17"/>
  <c r="JX91" i="17" s="1"/>
  <c r="FI94" i="17"/>
  <c r="JX94" i="17" s="1"/>
  <c r="T6" i="20"/>
  <c r="P6" i="14"/>
  <c r="FE38" i="17"/>
  <c r="FE39" i="17"/>
  <c r="FE40" i="17"/>
  <c r="FE42" i="17"/>
  <c r="JT42" i="17" s="1"/>
  <c r="FE31" i="17"/>
  <c r="FE34" i="17"/>
  <c r="FE32" i="17"/>
  <c r="FE33" i="17"/>
  <c r="LY118" i="17"/>
  <c r="LY120" i="17"/>
  <c r="LY116" i="17"/>
  <c r="LY123" i="17"/>
  <c r="AR93" i="17"/>
  <c r="CZ93" i="17" s="1"/>
  <c r="AR92" i="17"/>
  <c r="CZ92" i="17" s="1"/>
  <c r="AR94" i="17"/>
  <c r="CZ94" i="17" s="1"/>
  <c r="AR91" i="17"/>
  <c r="CZ91" i="17" s="1"/>
  <c r="T6" i="22"/>
  <c r="U6" i="21"/>
  <c r="U22" i="19"/>
  <c r="P6" i="12"/>
  <c r="P6" i="13"/>
  <c r="Q6" i="18"/>
  <c r="N7" i="11"/>
  <c r="O7" i="11" s="1"/>
  <c r="P7" i="11" s="1"/>
  <c r="Q7" i="11" s="1"/>
  <c r="R7" i="11" s="1"/>
  <c r="S7" i="11" s="1"/>
  <c r="T7" i="11" s="1"/>
  <c r="U7" i="11" s="1"/>
  <c r="V7" i="11" s="1"/>
  <c r="W7" i="11" s="1"/>
  <c r="X7" i="11" s="1"/>
  <c r="Y7" i="11" s="1"/>
  <c r="Z7" i="11" s="1"/>
  <c r="AA7" i="11" s="1"/>
  <c r="AB7" i="11" s="1"/>
  <c r="AC7" i="11" s="1"/>
  <c r="AD7" i="11" s="1"/>
  <c r="AE7" i="11" s="1"/>
  <c r="AF7" i="11" s="1"/>
  <c r="AG7" i="11" s="1"/>
  <c r="AH7" i="11" s="1"/>
  <c r="AI7" i="11" s="1"/>
  <c r="AJ7" i="11" s="1"/>
  <c r="AK7" i="11" s="1"/>
  <c r="AL7" i="11" s="1"/>
  <c r="AM7" i="11" s="1"/>
  <c r="AN7" i="11" s="1"/>
  <c r="AO7" i="11" s="1"/>
  <c r="AP7" i="11" s="1"/>
  <c r="AQ7" i="11" s="1"/>
  <c r="AR7" i="11" s="1"/>
  <c r="AS7" i="11" s="1"/>
  <c r="AT7" i="11" s="1"/>
  <c r="AU7" i="11" s="1"/>
  <c r="AV7" i="11" s="1"/>
  <c r="AW7" i="11" s="1"/>
  <c r="AX7" i="11" s="1"/>
  <c r="AY7" i="11" s="1"/>
  <c r="AZ7" i="11" s="1"/>
  <c r="BA7" i="11" s="1"/>
  <c r="BB7" i="11" s="1"/>
  <c r="BC7" i="11" s="1"/>
  <c r="BD7" i="11" s="1"/>
  <c r="BE7" i="11" s="1"/>
  <c r="BF7" i="11" s="1"/>
  <c r="BG7" i="11" s="1"/>
  <c r="BH7" i="11" s="1"/>
  <c r="BI7" i="11" s="1"/>
  <c r="BJ7" i="11" s="1"/>
  <c r="BK7" i="11" s="1"/>
  <c r="BL7" i="11" s="1"/>
  <c r="BM7" i="11" s="1"/>
  <c r="L7" i="11"/>
  <c r="K7" i="11" s="1"/>
  <c r="J7" i="11" s="1"/>
  <c r="I7" i="11" s="1"/>
  <c r="N6" i="11"/>
  <c r="K6" i="11"/>
  <c r="L19" i="10"/>
  <c r="K19" i="10"/>
  <c r="J19" i="10"/>
  <c r="I19" i="10"/>
  <c r="L16" i="10"/>
  <c r="K16" i="10"/>
  <c r="J16" i="10"/>
  <c r="I16" i="10"/>
  <c r="L13" i="10"/>
  <c r="K13" i="10"/>
  <c r="J13" i="10"/>
  <c r="I13" i="10"/>
  <c r="L10" i="10"/>
  <c r="K10" i="10"/>
  <c r="J10" i="10"/>
  <c r="I10" i="10"/>
  <c r="N7" i="10"/>
  <c r="O7" i="10" s="1"/>
  <c r="P7" i="10" s="1"/>
  <c r="Q7" i="10" s="1"/>
  <c r="R7" i="10" s="1"/>
  <c r="S7" i="10" s="1"/>
  <c r="T7" i="10" s="1"/>
  <c r="U7" i="10" s="1"/>
  <c r="V7" i="10" s="1"/>
  <c r="W7" i="10" s="1"/>
  <c r="X7" i="10" s="1"/>
  <c r="Y7" i="10" s="1"/>
  <c r="Z7" i="10" s="1"/>
  <c r="AA7" i="10" s="1"/>
  <c r="AB7" i="10" s="1"/>
  <c r="AC7" i="10" s="1"/>
  <c r="AD7" i="10" s="1"/>
  <c r="AE7" i="10" s="1"/>
  <c r="AF7" i="10" s="1"/>
  <c r="AG7" i="10" s="1"/>
  <c r="AH7" i="10" s="1"/>
  <c r="AI7" i="10" s="1"/>
  <c r="AJ7" i="10" s="1"/>
  <c r="AK7" i="10" s="1"/>
  <c r="AL7" i="10" s="1"/>
  <c r="AM7" i="10" s="1"/>
  <c r="AN7" i="10" s="1"/>
  <c r="AO7" i="10" s="1"/>
  <c r="AP7" i="10" s="1"/>
  <c r="AQ7" i="10" s="1"/>
  <c r="AR7" i="10" s="1"/>
  <c r="AS7" i="10" s="1"/>
  <c r="AT7" i="10" s="1"/>
  <c r="AU7" i="10" s="1"/>
  <c r="AV7" i="10" s="1"/>
  <c r="AW7" i="10" s="1"/>
  <c r="AX7" i="10" s="1"/>
  <c r="AY7" i="10" s="1"/>
  <c r="AZ7" i="10" s="1"/>
  <c r="BA7" i="10" s="1"/>
  <c r="BB7" i="10" s="1"/>
  <c r="BC7" i="10" s="1"/>
  <c r="BD7" i="10" s="1"/>
  <c r="BE7" i="10" s="1"/>
  <c r="BF7" i="10" s="1"/>
  <c r="BG7" i="10" s="1"/>
  <c r="BH7" i="10" s="1"/>
  <c r="BI7" i="10" s="1"/>
  <c r="BJ7" i="10" s="1"/>
  <c r="BK7" i="10" s="1"/>
  <c r="BL7" i="10" s="1"/>
  <c r="BM7" i="10" s="1"/>
  <c r="L7" i="10"/>
  <c r="K7" i="10" s="1"/>
  <c r="J7" i="10" s="1"/>
  <c r="I7" i="10" s="1"/>
  <c r="N6" i="10"/>
  <c r="K6" i="10"/>
  <c r="J6" i="10" s="1"/>
  <c r="I6" i="10" s="1"/>
  <c r="T30" i="20" l="1"/>
  <c r="T16" i="20"/>
  <c r="T10" i="21"/>
  <c r="MF81" i="17"/>
  <c r="AT82" i="17"/>
  <c r="DB82" i="17" s="1"/>
  <c r="HQ88" i="17"/>
  <c r="FJ86" i="17"/>
  <c r="JY86" i="17" s="1"/>
  <c r="T19" i="21"/>
  <c r="FJ85" i="17"/>
  <c r="JY85" i="17" s="1"/>
  <c r="FJ88" i="17"/>
  <c r="JY88" i="17" s="1"/>
  <c r="O10" i="13"/>
  <c r="AO38" i="17" s="1"/>
  <c r="CW38" i="17" s="1"/>
  <c r="O22" i="13"/>
  <c r="P19" i="13"/>
  <c r="O13" i="13"/>
  <c r="AO39" i="17" s="1"/>
  <c r="CW39" i="17" s="1"/>
  <c r="P13" i="18"/>
  <c r="AP19" i="17" s="1"/>
  <c r="CX19" i="17" s="1"/>
  <c r="O10" i="12"/>
  <c r="O13" i="14"/>
  <c r="P22" i="12"/>
  <c r="AP35" i="17" s="1"/>
  <c r="CX35" i="17" s="1"/>
  <c r="O16" i="12"/>
  <c r="T4" i="20"/>
  <c r="T19" i="20"/>
  <c r="T13" i="20"/>
  <c r="T10" i="20"/>
  <c r="Q4" i="18"/>
  <c r="Q14" i="18"/>
  <c r="HN20" i="17" s="1"/>
  <c r="Q19" i="18"/>
  <c r="AQ21" i="17" s="1"/>
  <c r="CY21" i="17" s="1"/>
  <c r="P16" i="18"/>
  <c r="AP20" i="17" s="1"/>
  <c r="CX20" i="17" s="1"/>
  <c r="O19" i="12"/>
  <c r="AO34" i="17" s="1"/>
  <c r="CW34" i="17" s="1"/>
  <c r="N16" i="10"/>
  <c r="N23" i="10"/>
  <c r="N19" i="10"/>
  <c r="N13" i="10"/>
  <c r="U16" i="21"/>
  <c r="U19" i="21"/>
  <c r="U13" i="21"/>
  <c r="U10" i="21"/>
  <c r="O22" i="14"/>
  <c r="N24" i="11"/>
  <c r="N27" i="11"/>
  <c r="T4" i="22"/>
  <c r="T16" i="22"/>
  <c r="T19" i="22"/>
  <c r="T13" i="22"/>
  <c r="T10" i="22"/>
  <c r="O16" i="14"/>
  <c r="AO47" i="17" s="1"/>
  <c r="CW47" i="17" s="1"/>
  <c r="P19" i="14"/>
  <c r="AT86" i="17"/>
  <c r="DB86" i="17" s="1"/>
  <c r="CY87" i="17"/>
  <c r="N8" i="11"/>
  <c r="HK109" i="17" s="1"/>
  <c r="P4" i="13"/>
  <c r="P16" i="13" s="1"/>
  <c r="P4" i="12"/>
  <c r="P19" i="12" s="1"/>
  <c r="HR88" i="17"/>
  <c r="AO40" i="17"/>
  <c r="CW40" i="17" s="1"/>
  <c r="CV48" i="17"/>
  <c r="FK87" i="17"/>
  <c r="JZ87" i="17" s="1"/>
  <c r="HR86" i="17"/>
  <c r="U4" i="21"/>
  <c r="FK85" i="17"/>
  <c r="FK86" i="17"/>
  <c r="HR87" i="17"/>
  <c r="HR85" i="17"/>
  <c r="JY87" i="17"/>
  <c r="FK88" i="17"/>
  <c r="JZ78" i="17"/>
  <c r="JY77" i="17"/>
  <c r="U20" i="19"/>
  <c r="U32" i="19" s="1"/>
  <c r="JY76" i="17"/>
  <c r="JY78" i="17"/>
  <c r="AS85" i="17"/>
  <c r="DA85" i="17" s="1"/>
  <c r="AN34" i="17"/>
  <c r="CV34" i="17" s="1"/>
  <c r="AN42" i="17"/>
  <c r="CV42" i="17" s="1"/>
  <c r="AN39" i="17"/>
  <c r="CV39" i="17" s="1"/>
  <c r="AS87" i="17"/>
  <c r="J19" i="1"/>
  <c r="AS88" i="17"/>
  <c r="DA88" i="17" s="1"/>
  <c r="AA7" i="14"/>
  <c r="AN33" i="17"/>
  <c r="CV33" i="17" s="1"/>
  <c r="AN32" i="17"/>
  <c r="CV32" i="17" s="1"/>
  <c r="AN31" i="17"/>
  <c r="CV31" i="17" s="1"/>
  <c r="HN18" i="17"/>
  <c r="HN19" i="17"/>
  <c r="R7" i="18"/>
  <c r="Q2" i="18"/>
  <c r="FG19" i="17"/>
  <c r="JV19" i="17" s="1"/>
  <c r="FG18" i="17"/>
  <c r="JU21" i="17"/>
  <c r="HN21" i="17"/>
  <c r="JU19" i="17"/>
  <c r="FG21" i="17"/>
  <c r="FG20" i="17"/>
  <c r="JU20" i="17"/>
  <c r="AN46" i="17"/>
  <c r="FD109" i="17"/>
  <c r="H21" i="1"/>
  <c r="I21" i="1"/>
  <c r="AN38" i="17"/>
  <c r="CV38" i="17" s="1"/>
  <c r="H20" i="1"/>
  <c r="J20" i="1"/>
  <c r="AN40" i="17"/>
  <c r="CV40" i="17" s="1"/>
  <c r="H19" i="1"/>
  <c r="I19" i="1"/>
  <c r="AN45" i="17"/>
  <c r="CV45" i="17" s="1"/>
  <c r="JX72" i="17"/>
  <c r="HM32" i="17"/>
  <c r="HQ73" i="17"/>
  <c r="FJ73" i="17"/>
  <c r="JY73" i="17" s="1"/>
  <c r="HM46" i="17"/>
  <c r="HM31" i="17"/>
  <c r="HM35" i="17"/>
  <c r="JX71" i="17"/>
  <c r="HM41" i="17"/>
  <c r="HM40" i="17"/>
  <c r="FJ70" i="17"/>
  <c r="FJ71" i="17"/>
  <c r="HM33" i="17"/>
  <c r="HM34" i="17"/>
  <c r="HM39" i="17"/>
  <c r="HM48" i="17"/>
  <c r="HM45" i="17"/>
  <c r="P4" i="14"/>
  <c r="P22" i="14" s="1"/>
  <c r="FJ72" i="17"/>
  <c r="JX73" i="17"/>
  <c r="HM38" i="17"/>
  <c r="HM42" i="17"/>
  <c r="HM49" i="17"/>
  <c r="HM47" i="17"/>
  <c r="N4" i="11"/>
  <c r="N21" i="11" s="1"/>
  <c r="N4" i="10"/>
  <c r="HK66" i="17"/>
  <c r="HK64" i="17"/>
  <c r="HK65" i="17"/>
  <c r="HK67" i="17"/>
  <c r="AO41" i="17"/>
  <c r="CW41" i="17" s="1"/>
  <c r="AS72" i="17"/>
  <c r="DA72" i="17" s="1"/>
  <c r="JT39" i="17"/>
  <c r="JT41" i="17"/>
  <c r="JT40" i="17"/>
  <c r="JT38" i="17"/>
  <c r="JT33" i="17"/>
  <c r="JT32" i="17"/>
  <c r="JT34" i="17"/>
  <c r="JT35" i="17"/>
  <c r="JT31" i="17"/>
  <c r="JX92" i="17"/>
  <c r="FJ91" i="17"/>
  <c r="JY91" i="17" s="1"/>
  <c r="FF33" i="17"/>
  <c r="FF34" i="17"/>
  <c r="AS73" i="17"/>
  <c r="DA73" i="17" s="1"/>
  <c r="AO48" i="17"/>
  <c r="AS71" i="17"/>
  <c r="DA71" i="17" s="1"/>
  <c r="FJ94" i="17"/>
  <c r="JY94" i="17" s="1"/>
  <c r="FJ93" i="17"/>
  <c r="JY93" i="17" s="1"/>
  <c r="U6" i="20"/>
  <c r="Q6" i="14"/>
  <c r="FF47" i="17"/>
  <c r="FF48" i="17"/>
  <c r="FF49" i="17"/>
  <c r="FF45" i="17"/>
  <c r="FF46" i="17"/>
  <c r="FF41" i="17"/>
  <c r="JU41" i="17" s="1"/>
  <c r="FF38" i="17"/>
  <c r="FF40" i="17"/>
  <c r="JU40" i="17" s="1"/>
  <c r="FF42" i="17"/>
  <c r="FF39" i="17"/>
  <c r="FF32" i="17"/>
  <c r="FF31" i="17"/>
  <c r="FF35" i="17"/>
  <c r="JU35" i="17" s="1"/>
  <c r="O6" i="11"/>
  <c r="J6" i="11"/>
  <c r="K10" i="11"/>
  <c r="K27" i="11"/>
  <c r="O6" i="10"/>
  <c r="FD67" i="17"/>
  <c r="FD64" i="17"/>
  <c r="FD66" i="17"/>
  <c r="FD65" i="17"/>
  <c r="AS91" i="17"/>
  <c r="DA91" i="17" s="1"/>
  <c r="AS93" i="17"/>
  <c r="DA93" i="17" s="1"/>
  <c r="AS94" i="17"/>
  <c r="DA94" i="17" s="1"/>
  <c r="AS92" i="17"/>
  <c r="DA92" i="17" s="1"/>
  <c r="U6" i="22"/>
  <c r="V6" i="21"/>
  <c r="V22" i="19"/>
  <c r="Q6" i="12"/>
  <c r="Q6" i="13"/>
  <c r="R6" i="18"/>
  <c r="L19" i="9"/>
  <c r="K19" i="9"/>
  <c r="J19" i="9"/>
  <c r="I19" i="9"/>
  <c r="L16" i="9"/>
  <c r="K16" i="9"/>
  <c r="J16" i="9"/>
  <c r="I16" i="9"/>
  <c r="L13" i="9"/>
  <c r="K13" i="9"/>
  <c r="J13" i="9"/>
  <c r="I13" i="9"/>
  <c r="L10" i="9"/>
  <c r="K10" i="9"/>
  <c r="J10" i="9"/>
  <c r="I10" i="9"/>
  <c r="N7" i="9"/>
  <c r="O7" i="9" s="1"/>
  <c r="P7" i="9" s="1"/>
  <c r="Q7" i="9" s="1"/>
  <c r="R7" i="9" s="1"/>
  <c r="S7" i="9" s="1"/>
  <c r="T7" i="9" s="1"/>
  <c r="U7" i="9" s="1"/>
  <c r="V7" i="9" s="1"/>
  <c r="W7" i="9" s="1"/>
  <c r="X7" i="9" s="1"/>
  <c r="Y7" i="9" s="1"/>
  <c r="Z7" i="9" s="1"/>
  <c r="AA7" i="9" s="1"/>
  <c r="AB7" i="9" s="1"/>
  <c r="AC7" i="9" s="1"/>
  <c r="AD7" i="9" s="1"/>
  <c r="AE7" i="9" s="1"/>
  <c r="AF7" i="9" s="1"/>
  <c r="AG7" i="9" s="1"/>
  <c r="AH7" i="9" s="1"/>
  <c r="AI7" i="9" s="1"/>
  <c r="AJ7" i="9" s="1"/>
  <c r="AK7" i="9" s="1"/>
  <c r="AL7" i="9" s="1"/>
  <c r="AM7" i="9" s="1"/>
  <c r="AN7" i="9" s="1"/>
  <c r="AO7" i="9" s="1"/>
  <c r="AP7" i="9" s="1"/>
  <c r="AQ7" i="9" s="1"/>
  <c r="AR7" i="9" s="1"/>
  <c r="AS7" i="9" s="1"/>
  <c r="AT7" i="9" s="1"/>
  <c r="AU7" i="9" s="1"/>
  <c r="AV7" i="9" s="1"/>
  <c r="AW7" i="9" s="1"/>
  <c r="AX7" i="9" s="1"/>
  <c r="AY7" i="9" s="1"/>
  <c r="AZ7" i="9" s="1"/>
  <c r="BA7" i="9" s="1"/>
  <c r="BB7" i="9" s="1"/>
  <c r="BC7" i="9" s="1"/>
  <c r="BD7" i="9" s="1"/>
  <c r="BE7" i="9" s="1"/>
  <c r="BF7" i="9" s="1"/>
  <c r="BG7" i="9" s="1"/>
  <c r="BH7" i="9" s="1"/>
  <c r="BI7" i="9" s="1"/>
  <c r="BJ7" i="9" s="1"/>
  <c r="BK7" i="9" s="1"/>
  <c r="BL7" i="9" s="1"/>
  <c r="BM7" i="9" s="1"/>
  <c r="L7" i="9"/>
  <c r="K7" i="9" s="1"/>
  <c r="J7" i="9" s="1"/>
  <c r="I7" i="9" s="1"/>
  <c r="N6" i="9"/>
  <c r="K6" i="9"/>
  <c r="J6" i="9" s="1"/>
  <c r="I6" i="9" s="1"/>
  <c r="L19" i="8"/>
  <c r="K19" i="8"/>
  <c r="J19" i="8"/>
  <c r="I19" i="8"/>
  <c r="L16" i="8"/>
  <c r="K16" i="8"/>
  <c r="L13" i="8"/>
  <c r="K13" i="8"/>
  <c r="I12" i="8"/>
  <c r="L10" i="8"/>
  <c r="K10" i="8"/>
  <c r="N7" i="8"/>
  <c r="O7" i="8" s="1"/>
  <c r="P7" i="8" s="1"/>
  <c r="Q7" i="8" s="1"/>
  <c r="R7" i="8" s="1"/>
  <c r="S7" i="8" s="1"/>
  <c r="T7" i="8" s="1"/>
  <c r="U7" i="8" s="1"/>
  <c r="V7" i="8" s="1"/>
  <c r="W7" i="8" s="1"/>
  <c r="X7" i="8" s="1"/>
  <c r="Y7" i="8" s="1"/>
  <c r="Z7" i="8" s="1"/>
  <c r="AA7" i="8" s="1"/>
  <c r="AB7" i="8" s="1"/>
  <c r="AC7" i="8" s="1"/>
  <c r="AD7" i="8" s="1"/>
  <c r="AE7" i="8" s="1"/>
  <c r="AF7" i="8" s="1"/>
  <c r="AG7" i="8" s="1"/>
  <c r="AH7" i="8" s="1"/>
  <c r="AI7" i="8" s="1"/>
  <c r="AJ7" i="8" s="1"/>
  <c r="AK7" i="8" s="1"/>
  <c r="AL7" i="8" s="1"/>
  <c r="AM7" i="8" s="1"/>
  <c r="AN7" i="8" s="1"/>
  <c r="AO7" i="8" s="1"/>
  <c r="AP7" i="8" s="1"/>
  <c r="AQ7" i="8" s="1"/>
  <c r="AR7" i="8" s="1"/>
  <c r="AS7" i="8" s="1"/>
  <c r="AT7" i="8" s="1"/>
  <c r="AU7" i="8" s="1"/>
  <c r="AV7" i="8" s="1"/>
  <c r="AW7" i="8" s="1"/>
  <c r="AX7" i="8" s="1"/>
  <c r="AY7" i="8" s="1"/>
  <c r="AZ7" i="8" s="1"/>
  <c r="BA7" i="8" s="1"/>
  <c r="BB7" i="8" s="1"/>
  <c r="BC7" i="8" s="1"/>
  <c r="BD7" i="8" s="1"/>
  <c r="BE7" i="8" s="1"/>
  <c r="BF7" i="8" s="1"/>
  <c r="BG7" i="8" s="1"/>
  <c r="BH7" i="8" s="1"/>
  <c r="BI7" i="8" s="1"/>
  <c r="BJ7" i="8" s="1"/>
  <c r="BK7" i="8" s="1"/>
  <c r="BL7" i="8" s="1"/>
  <c r="BM7" i="8" s="1"/>
  <c r="L7" i="8"/>
  <c r="K7" i="8" s="1"/>
  <c r="J7" i="8" s="1"/>
  <c r="I7" i="8" s="1"/>
  <c r="N6" i="8"/>
  <c r="K6" i="8"/>
  <c r="J6" i="8" s="1"/>
  <c r="I6" i="8" s="1"/>
  <c r="U30" i="20" l="1"/>
  <c r="U16" i="20"/>
  <c r="AU72" i="17" s="1"/>
  <c r="DC72" i="17" s="1"/>
  <c r="JZ86" i="17"/>
  <c r="JZ85" i="17"/>
  <c r="AU82" i="17"/>
  <c r="DC82" i="17" s="1"/>
  <c r="Q16" i="18"/>
  <c r="AQ20" i="17" s="1"/>
  <c r="CY20" i="17" s="1"/>
  <c r="Q10" i="18"/>
  <c r="AQ18" i="17" s="1"/>
  <c r="CY18" i="17" s="1"/>
  <c r="Q13" i="18"/>
  <c r="AQ19" i="17" s="1"/>
  <c r="CY19" i="17" s="1"/>
  <c r="P13" i="13"/>
  <c r="AP39" i="17" s="1"/>
  <c r="CX39" i="17" s="1"/>
  <c r="P10" i="13"/>
  <c r="AP38" i="17" s="1"/>
  <c r="CX38" i="17" s="1"/>
  <c r="P10" i="12"/>
  <c r="AP31" i="17" s="1"/>
  <c r="CX31" i="17" s="1"/>
  <c r="Q22" i="12"/>
  <c r="AQ35" i="17" s="1"/>
  <c r="CY35" i="17" s="1"/>
  <c r="HS87" i="17"/>
  <c r="V16" i="21"/>
  <c r="V19" i="21"/>
  <c r="V13" i="21"/>
  <c r="V10" i="21"/>
  <c r="P22" i="13"/>
  <c r="AP42" i="17" s="1"/>
  <c r="U16" i="22"/>
  <c r="U10" i="22"/>
  <c r="U19" i="22"/>
  <c r="U13" i="22"/>
  <c r="P13" i="12"/>
  <c r="AP32" i="17" s="1"/>
  <c r="CX32" i="17" s="1"/>
  <c r="O23" i="10"/>
  <c r="O16" i="10"/>
  <c r="O13" i="10"/>
  <c r="O19" i="10"/>
  <c r="P10" i="14"/>
  <c r="AP45" i="17" s="1"/>
  <c r="CX45" i="17" s="1"/>
  <c r="P16" i="12"/>
  <c r="AP33" i="17" s="1"/>
  <c r="CX33" i="17" s="1"/>
  <c r="O27" i="11"/>
  <c r="O24" i="11"/>
  <c r="S142" i="1" s="1"/>
  <c r="P16" i="14"/>
  <c r="AP47" i="17" s="1"/>
  <c r="CX47" i="17" s="1"/>
  <c r="N10" i="11"/>
  <c r="AN109" i="17" s="1"/>
  <c r="CV109" i="17" s="1"/>
  <c r="R14" i="18"/>
  <c r="HO20" i="17" s="1"/>
  <c r="R19" i="18"/>
  <c r="AR21" i="17" s="1"/>
  <c r="CZ21" i="17" s="1"/>
  <c r="Q19" i="14"/>
  <c r="P13" i="14"/>
  <c r="Q19" i="13"/>
  <c r="U19" i="20"/>
  <c r="U13" i="20"/>
  <c r="U10" i="20"/>
  <c r="AU85" i="17"/>
  <c r="DC85" i="17" s="1"/>
  <c r="DA87" i="17"/>
  <c r="AP34" i="17"/>
  <c r="CX34" i="17" s="1"/>
  <c r="Q4" i="12"/>
  <c r="Q13" i="12" s="1"/>
  <c r="S108" i="1"/>
  <c r="S84" i="1"/>
  <c r="S100" i="1"/>
  <c r="S92" i="1"/>
  <c r="U4" i="20"/>
  <c r="U4" i="22"/>
  <c r="O8" i="11"/>
  <c r="HL109" i="17" s="1"/>
  <c r="R4" i="18"/>
  <c r="R10" i="18" s="1"/>
  <c r="AR18" i="17" s="1"/>
  <c r="CZ18" i="17" s="1"/>
  <c r="AP40" i="17"/>
  <c r="CX40" i="17" s="1"/>
  <c r="Q4" i="13"/>
  <c r="Q10" i="13" s="1"/>
  <c r="AU88" i="17"/>
  <c r="DC88" i="17" s="1"/>
  <c r="CW48" i="17"/>
  <c r="H22" i="1"/>
  <c r="CV46" i="17"/>
  <c r="AU87" i="17"/>
  <c r="FL86" i="17"/>
  <c r="KA86" i="17" s="1"/>
  <c r="HS88" i="17"/>
  <c r="V4" i="21"/>
  <c r="FL87" i="17"/>
  <c r="JZ88" i="17"/>
  <c r="V20" i="19"/>
  <c r="V32" i="19" s="1"/>
  <c r="AT85" i="17"/>
  <c r="DB85" i="17" s="1"/>
  <c r="AT88" i="17"/>
  <c r="DB88" i="17" s="1"/>
  <c r="J23" i="1"/>
  <c r="AO45" i="17"/>
  <c r="CW45" i="17" s="1"/>
  <c r="I23" i="1"/>
  <c r="AN49" i="17"/>
  <c r="CV49" i="17" s="1"/>
  <c r="AP18" i="17"/>
  <c r="CX18" i="17" s="1"/>
  <c r="AB7" i="14"/>
  <c r="Q4" i="14"/>
  <c r="Q22" i="14" s="1"/>
  <c r="AO46" i="17"/>
  <c r="AO31" i="17"/>
  <c r="CW31" i="17" s="1"/>
  <c r="AO33" i="17"/>
  <c r="CW33" i="17" s="1"/>
  <c r="AO32" i="17"/>
  <c r="CW32" i="17" s="1"/>
  <c r="S110" i="1"/>
  <c r="S86" i="1"/>
  <c r="S94" i="1"/>
  <c r="S102" i="1"/>
  <c r="S87" i="1"/>
  <c r="S103" i="1"/>
  <c r="S95" i="1"/>
  <c r="S111" i="1"/>
  <c r="FH19" i="17"/>
  <c r="JV21" i="17"/>
  <c r="HO21" i="17"/>
  <c r="FH21" i="17"/>
  <c r="JW21" i="17" s="1"/>
  <c r="FH18" i="17"/>
  <c r="JW18" i="17" s="1"/>
  <c r="HO18" i="17"/>
  <c r="HO19" i="17"/>
  <c r="S7" i="18"/>
  <c r="R2" i="18"/>
  <c r="JV20" i="17"/>
  <c r="JV18" i="17"/>
  <c r="FH20" i="17"/>
  <c r="JS109" i="17"/>
  <c r="FE109" i="17"/>
  <c r="AO42" i="17"/>
  <c r="CW42" i="17" s="1"/>
  <c r="AO49" i="17"/>
  <c r="CW49" i="17" s="1"/>
  <c r="AT87" i="17"/>
  <c r="HR73" i="17"/>
  <c r="N4" i="8"/>
  <c r="N10" i="8" s="1"/>
  <c r="HK53" i="17"/>
  <c r="HK55" i="17"/>
  <c r="HK54" i="17"/>
  <c r="HK52" i="17"/>
  <c r="HN41" i="17"/>
  <c r="HN34" i="17"/>
  <c r="HN31" i="17"/>
  <c r="HN40" i="17"/>
  <c r="HN33" i="17"/>
  <c r="JY72" i="17"/>
  <c r="HN48" i="17"/>
  <c r="JY71" i="17"/>
  <c r="JY70" i="17"/>
  <c r="HN49" i="17"/>
  <c r="HN45" i="17"/>
  <c r="HN46" i="17"/>
  <c r="HN35" i="17"/>
  <c r="HN42" i="17"/>
  <c r="HN39" i="17"/>
  <c r="N35" i="9"/>
  <c r="HK61" i="17"/>
  <c r="N4" i="9"/>
  <c r="N19" i="9" s="1"/>
  <c r="HK60" i="17"/>
  <c r="HK58" i="17"/>
  <c r="HK59" i="17"/>
  <c r="HN32" i="17"/>
  <c r="HN47" i="17"/>
  <c r="HN38" i="17"/>
  <c r="AR113" i="17"/>
  <c r="CZ113" i="17" s="1"/>
  <c r="AU113" i="17"/>
  <c r="DC113" i="17" s="1"/>
  <c r="AT113" i="17"/>
  <c r="DB113" i="17" s="1"/>
  <c r="AS113" i="17"/>
  <c r="DA113" i="17" s="1"/>
  <c r="AS112" i="17"/>
  <c r="DA112" i="17" s="1"/>
  <c r="AR112" i="17"/>
  <c r="CZ112" i="17" s="1"/>
  <c r="AT112" i="17"/>
  <c r="DB112" i="17" s="1"/>
  <c r="AU112" i="17"/>
  <c r="DC112" i="17" s="1"/>
  <c r="O4" i="11"/>
  <c r="O21" i="11" s="1"/>
  <c r="HL66" i="17"/>
  <c r="HL67" i="17"/>
  <c r="O4" i="10"/>
  <c r="FE64" i="17"/>
  <c r="JT64" i="17" s="1"/>
  <c r="HL64" i="17"/>
  <c r="HL65" i="17"/>
  <c r="AT71" i="17"/>
  <c r="DB71" i="17" s="1"/>
  <c r="JS67" i="17"/>
  <c r="JS64" i="17"/>
  <c r="JS66" i="17"/>
  <c r="JS65" i="17"/>
  <c r="JU48" i="17"/>
  <c r="JU39" i="17"/>
  <c r="JU42" i="17"/>
  <c r="JU38" i="17"/>
  <c r="JU49" i="17"/>
  <c r="JU47" i="17"/>
  <c r="JU46" i="17"/>
  <c r="JU45" i="17"/>
  <c r="JU34" i="17"/>
  <c r="JU31" i="17"/>
  <c r="JU33" i="17"/>
  <c r="JU32" i="17"/>
  <c r="FK91" i="17"/>
  <c r="JZ91" i="17" s="1"/>
  <c r="AT73" i="17"/>
  <c r="DB73" i="17" s="1"/>
  <c r="FG46" i="17"/>
  <c r="AP41" i="17"/>
  <c r="CX41" i="17" s="1"/>
  <c r="AP48" i="17"/>
  <c r="FE65" i="17"/>
  <c r="FG45" i="17"/>
  <c r="FG49" i="17"/>
  <c r="FE66" i="17"/>
  <c r="FG47" i="17"/>
  <c r="AT70" i="17"/>
  <c r="DB70" i="17" s="1"/>
  <c r="FE67" i="17"/>
  <c r="FG48" i="17"/>
  <c r="AT72" i="17"/>
  <c r="DB72" i="17" s="1"/>
  <c r="FK92" i="17"/>
  <c r="V6" i="20"/>
  <c r="R6" i="14"/>
  <c r="FG40" i="17"/>
  <c r="FG38" i="17"/>
  <c r="FG39" i="17"/>
  <c r="FG42" i="17"/>
  <c r="FG41" i="17"/>
  <c r="FG34" i="17"/>
  <c r="JV34" i="17" s="1"/>
  <c r="FG35" i="17"/>
  <c r="FG32" i="17"/>
  <c r="FG31" i="17"/>
  <c r="FG33" i="17"/>
  <c r="I6" i="11"/>
  <c r="J10" i="11"/>
  <c r="J27" i="11"/>
  <c r="P6" i="11"/>
  <c r="P6" i="10"/>
  <c r="O6" i="9"/>
  <c r="FD61" i="17"/>
  <c r="FD58" i="17"/>
  <c r="FD59" i="17"/>
  <c r="FD60" i="17"/>
  <c r="O6" i="8"/>
  <c r="FD55" i="17"/>
  <c r="FD53" i="17"/>
  <c r="FD54" i="17"/>
  <c r="FD52" i="17"/>
  <c r="AM55" i="17"/>
  <c r="CU55" i="17"/>
  <c r="AT92" i="17"/>
  <c r="DB92" i="17" s="1"/>
  <c r="AU86" i="17"/>
  <c r="DC86" i="17" s="1"/>
  <c r="AT91" i="17"/>
  <c r="DB91" i="17" s="1"/>
  <c r="AT93" i="17"/>
  <c r="DB93" i="17" s="1"/>
  <c r="AT94" i="17"/>
  <c r="DB94" i="17" s="1"/>
  <c r="V6" i="22"/>
  <c r="W6" i="21"/>
  <c r="W22" i="19"/>
  <c r="R6" i="12"/>
  <c r="R6" i="13"/>
  <c r="S6" i="18"/>
  <c r="I19" i="5"/>
  <c r="L16" i="5"/>
  <c r="K16" i="5"/>
  <c r="J16" i="5"/>
  <c r="I16" i="5"/>
  <c r="L13" i="5"/>
  <c r="K13" i="5"/>
  <c r="J13" i="5"/>
  <c r="L10" i="5"/>
  <c r="K10" i="5"/>
  <c r="J10" i="5"/>
  <c r="N7" i="5"/>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L7" i="5"/>
  <c r="K7" i="5" s="1"/>
  <c r="J7" i="5" s="1"/>
  <c r="I7" i="5" s="1"/>
  <c r="N6" i="5"/>
  <c r="K6" i="5"/>
  <c r="J6" i="5" s="1"/>
  <c r="I6" i="5" s="1"/>
  <c r="V16" i="20" l="1"/>
  <c r="V30" i="20"/>
  <c r="AV82" i="17"/>
  <c r="DD82" i="17" s="1"/>
  <c r="FE58" i="17"/>
  <c r="JT58" i="17" s="1"/>
  <c r="S19" i="1"/>
  <c r="N16" i="8"/>
  <c r="N16" i="9"/>
  <c r="Q13" i="13"/>
  <c r="AQ39" i="17" s="1"/>
  <c r="CY39" i="17" s="1"/>
  <c r="N19" i="8"/>
  <c r="N13" i="8"/>
  <c r="O10" i="11"/>
  <c r="AO109" i="17" s="1"/>
  <c r="CW109" i="17" s="1"/>
  <c r="Q19" i="12"/>
  <c r="AQ34" i="17" s="1"/>
  <c r="CY34" i="17" s="1"/>
  <c r="Q16" i="14"/>
  <c r="AQ47" i="17" s="1"/>
  <c r="CY47" i="17" s="1"/>
  <c r="R16" i="18"/>
  <c r="AR20" i="17" s="1"/>
  <c r="CZ20" i="17" s="1"/>
  <c r="AQ38" i="17"/>
  <c r="CY38" i="17" s="1"/>
  <c r="Q16" i="13"/>
  <c r="AQ40" i="17" s="1"/>
  <c r="CY40" i="17" s="1"/>
  <c r="Q10" i="14"/>
  <c r="AQ45" i="17" s="1"/>
  <c r="CY45" i="17" s="1"/>
  <c r="R13" i="18"/>
  <c r="AR19" i="17" s="1"/>
  <c r="CZ19" i="17" s="1"/>
  <c r="R22" i="12"/>
  <c r="V4" i="22"/>
  <c r="V16" i="22"/>
  <c r="V10" i="22"/>
  <c r="V13" i="22"/>
  <c r="V19" i="22"/>
  <c r="R19" i="14"/>
  <c r="Q22" i="13"/>
  <c r="Q13" i="14"/>
  <c r="N10" i="9"/>
  <c r="Q16" i="12"/>
  <c r="AQ33" i="17" s="1"/>
  <c r="CY33" i="17" s="1"/>
  <c r="HT85" i="17"/>
  <c r="W19" i="21"/>
  <c r="W13" i="21"/>
  <c r="W16" i="21"/>
  <c r="W10" i="21"/>
  <c r="S14" i="18"/>
  <c r="S19" i="18"/>
  <c r="P16" i="10"/>
  <c r="P23" i="10"/>
  <c r="P19" i="10"/>
  <c r="P13" i="10"/>
  <c r="V19" i="20"/>
  <c r="V13" i="20"/>
  <c r="V10" i="20"/>
  <c r="N13" i="9"/>
  <c r="Q10" i="12"/>
  <c r="AQ31" i="17" s="1"/>
  <c r="CY31" i="17" s="1"/>
  <c r="R19" i="13"/>
  <c r="O4" i="8"/>
  <c r="O13" i="8" s="1"/>
  <c r="P27" i="11"/>
  <c r="P24" i="11"/>
  <c r="S134" i="1"/>
  <c r="S126" i="1"/>
  <c r="S118" i="1"/>
  <c r="AQ32" i="17"/>
  <c r="CY32" i="17" s="1"/>
  <c r="AV86" i="17"/>
  <c r="DD86" i="17" s="1"/>
  <c r="DC87" i="17"/>
  <c r="DB87" i="17"/>
  <c r="P8" i="11"/>
  <c r="HM109" i="17" s="1"/>
  <c r="S124" i="1"/>
  <c r="S132" i="1"/>
  <c r="S140" i="1"/>
  <c r="S116" i="1"/>
  <c r="HT88" i="17"/>
  <c r="HK26" i="17"/>
  <c r="FD26" i="17"/>
  <c r="R4" i="13"/>
  <c r="R10" i="13" s="1"/>
  <c r="R4" i="12"/>
  <c r="R19" i="12" s="1"/>
  <c r="AN26" i="17"/>
  <c r="CV26" i="17" s="1" a="1"/>
  <c r="CV26" i="17" s="1"/>
  <c r="V4" i="20"/>
  <c r="AQ49" i="17"/>
  <c r="CY49" i="17" s="1"/>
  <c r="CX42" i="17"/>
  <c r="CW46" i="17"/>
  <c r="CX48" i="17"/>
  <c r="AN28" i="17"/>
  <c r="CV28" i="17" s="1" a="1"/>
  <c r="CV28" i="17" s="1"/>
  <c r="AN27" i="17"/>
  <c r="CV27" i="17" s="1"/>
  <c r="AN24" i="17"/>
  <c r="CV24" i="17" s="1" a="1"/>
  <c r="CV24" i="17" s="1"/>
  <c r="KA87" i="17"/>
  <c r="W4" i="21"/>
  <c r="FM85" i="17"/>
  <c r="W20" i="19"/>
  <c r="W32" i="19" s="1"/>
  <c r="AP49" i="17"/>
  <c r="CX49" i="17" s="1"/>
  <c r="AP46" i="17"/>
  <c r="CX46" i="17" s="1"/>
  <c r="AC7" i="14"/>
  <c r="R4" i="14"/>
  <c r="R22" i="14" s="1"/>
  <c r="S127" i="1"/>
  <c r="S143" i="1"/>
  <c r="S119" i="1"/>
  <c r="S135" i="1"/>
  <c r="S4" i="18"/>
  <c r="S10" i="18" s="1"/>
  <c r="T7" i="18"/>
  <c r="S2" i="18"/>
  <c r="JW20" i="17"/>
  <c r="JW19" i="17"/>
  <c r="JT109" i="17"/>
  <c r="FF109" i="17"/>
  <c r="FE54" i="17"/>
  <c r="JT54" i="17" s="1"/>
  <c r="HO46" i="17"/>
  <c r="HO40" i="17"/>
  <c r="HO48" i="17"/>
  <c r="HO38" i="17"/>
  <c r="HL54" i="17"/>
  <c r="O35" i="9"/>
  <c r="O4" i="9"/>
  <c r="O10" i="9" s="1"/>
  <c r="HL58" i="17"/>
  <c r="HO31" i="17"/>
  <c r="HO47" i="17"/>
  <c r="HO33" i="17"/>
  <c r="HO45" i="17"/>
  <c r="HO49" i="17"/>
  <c r="HO41" i="17"/>
  <c r="HO35" i="17"/>
  <c r="HL52" i="17"/>
  <c r="HM67" i="17"/>
  <c r="HO32" i="17"/>
  <c r="HK24" i="17"/>
  <c r="HK25" i="17"/>
  <c r="HK27" i="17"/>
  <c r="HK28" i="17"/>
  <c r="FE55" i="17"/>
  <c r="JT55" i="17" s="1"/>
  <c r="HL61" i="17"/>
  <c r="HL53" i="17"/>
  <c r="N4" i="5"/>
  <c r="N19" i="5" s="1"/>
  <c r="HK105" i="17"/>
  <c r="HK104" i="17"/>
  <c r="HK103" i="17"/>
  <c r="HK106" i="17"/>
  <c r="HL60" i="17"/>
  <c r="HL59" i="17"/>
  <c r="HO34" i="17"/>
  <c r="HL55" i="17"/>
  <c r="HO42" i="17"/>
  <c r="HO39" i="17"/>
  <c r="AX113" i="17"/>
  <c r="DF113" i="17" s="1"/>
  <c r="AW113" i="17"/>
  <c r="DE113" i="17" s="1"/>
  <c r="AV113" i="17"/>
  <c r="AY113" i="17"/>
  <c r="DG113" i="17" s="1"/>
  <c r="BC113" i="17"/>
  <c r="DK113" i="17" s="1"/>
  <c r="AZ113" i="17"/>
  <c r="BB113" i="17"/>
  <c r="DJ113" i="17" s="1"/>
  <c r="BA113" i="17"/>
  <c r="DI113" i="17" s="1"/>
  <c r="BA112" i="17"/>
  <c r="DI112" i="17" s="1"/>
  <c r="AZ112" i="17"/>
  <c r="AW112" i="17"/>
  <c r="DE112" i="17" s="1"/>
  <c r="AY112" i="17"/>
  <c r="DG112" i="17" s="1"/>
  <c r="AX112" i="17"/>
  <c r="DF112" i="17" s="1"/>
  <c r="BB112" i="17"/>
  <c r="DJ112" i="17" s="1"/>
  <c r="AV112" i="17"/>
  <c r="BC112" i="17"/>
  <c r="DK112" i="17" s="1"/>
  <c r="AO66" i="17"/>
  <c r="CW66" i="17" s="1"/>
  <c r="AO67" i="17"/>
  <c r="CW67" i="17" s="1"/>
  <c r="AO64" i="17"/>
  <c r="CW64" i="17" s="1"/>
  <c r="AO65" i="17"/>
  <c r="CW65" i="17" s="1"/>
  <c r="AN67" i="17"/>
  <c r="CV67" i="17" s="1"/>
  <c r="L22" i="1"/>
  <c r="AN65" i="17"/>
  <c r="CV65" i="17" s="1"/>
  <c r="AN64" i="17"/>
  <c r="CV64" i="17" s="1"/>
  <c r="AN66" i="17"/>
  <c r="CV66" i="17" s="1"/>
  <c r="L20" i="1"/>
  <c r="L23" i="1"/>
  <c r="L19" i="1"/>
  <c r="P4" i="11"/>
  <c r="P21" i="11" s="1"/>
  <c r="P4" i="10"/>
  <c r="HM65" i="17"/>
  <c r="HM66" i="17"/>
  <c r="HM64" i="17"/>
  <c r="AQ41" i="17"/>
  <c r="CY41" i="17" s="1"/>
  <c r="JS53" i="17"/>
  <c r="JS52" i="17"/>
  <c r="JS55" i="17"/>
  <c r="JS54" i="17"/>
  <c r="JT66" i="17"/>
  <c r="JT67" i="17"/>
  <c r="JT65" i="17"/>
  <c r="JV48" i="17"/>
  <c r="JV41" i="17"/>
  <c r="JV39" i="17"/>
  <c r="JV42" i="17"/>
  <c r="JV40" i="17"/>
  <c r="JV38" i="17"/>
  <c r="JV49" i="17"/>
  <c r="JV47" i="17"/>
  <c r="JV46" i="17"/>
  <c r="JV45" i="17"/>
  <c r="JV35" i="17"/>
  <c r="JV33" i="17"/>
  <c r="JV31" i="17"/>
  <c r="JV32" i="17"/>
  <c r="JS61" i="17"/>
  <c r="JS60" i="17"/>
  <c r="JS59" i="17"/>
  <c r="JS58" i="17"/>
  <c r="FL93" i="17"/>
  <c r="FE59" i="17"/>
  <c r="JT59" i="17" s="1"/>
  <c r="FE60" i="17"/>
  <c r="FE61" i="17"/>
  <c r="FE53" i="17"/>
  <c r="FH38" i="17"/>
  <c r="FE52" i="17"/>
  <c r="JT52" i="17" s="1"/>
  <c r="AQ48" i="17"/>
  <c r="AU71" i="17"/>
  <c r="DC71" i="17" s="1"/>
  <c r="F22" i="1"/>
  <c r="F23" i="1"/>
  <c r="FH35" i="17"/>
  <c r="AU70" i="17"/>
  <c r="DC70" i="17" s="1"/>
  <c r="AU73" i="17"/>
  <c r="DC73" i="17" s="1"/>
  <c r="FH39" i="17"/>
  <c r="W6" i="20"/>
  <c r="S6" i="14"/>
  <c r="FH47" i="17"/>
  <c r="FH48" i="17"/>
  <c r="JW48" i="17" s="1"/>
  <c r="FH45" i="17"/>
  <c r="FH46" i="17"/>
  <c r="FH49" i="17"/>
  <c r="FH42" i="17"/>
  <c r="FH40" i="17"/>
  <c r="FH41" i="17"/>
  <c r="FH31" i="17"/>
  <c r="FH33" i="17"/>
  <c r="FH34" i="17"/>
  <c r="FH32" i="17"/>
  <c r="I10" i="11"/>
  <c r="I27" i="11"/>
  <c r="Q6" i="11"/>
  <c r="Q6" i="10"/>
  <c r="FF67" i="17"/>
  <c r="FF65" i="17"/>
  <c r="FF66" i="17"/>
  <c r="FF64" i="17"/>
  <c r="P6" i="9"/>
  <c r="P6" i="8"/>
  <c r="FD24" i="17"/>
  <c r="FD25" i="17"/>
  <c r="FD27" i="17"/>
  <c r="FD28" i="17"/>
  <c r="I13" i="5"/>
  <c r="I10" i="5"/>
  <c r="O6" i="5"/>
  <c r="FD106" i="17"/>
  <c r="FD105" i="17"/>
  <c r="FD104" i="17"/>
  <c r="FD103" i="17"/>
  <c r="AU91" i="17"/>
  <c r="DC91" i="17" s="1"/>
  <c r="AU93" i="17"/>
  <c r="DC93" i="17" s="1"/>
  <c r="AV88" i="17"/>
  <c r="DD88" i="17" s="1"/>
  <c r="AV85" i="17"/>
  <c r="DD85" i="17" s="1"/>
  <c r="AV87" i="17"/>
  <c r="AU92" i="17"/>
  <c r="DC92" i="17" s="1"/>
  <c r="AU94" i="17"/>
  <c r="DC94" i="17" s="1"/>
  <c r="W6" i="22"/>
  <c r="X6" i="21"/>
  <c r="X22" i="19"/>
  <c r="X20" i="19" s="1"/>
  <c r="X32" i="19" s="1"/>
  <c r="S6" i="12"/>
  <c r="S6" i="13"/>
  <c r="T6" i="18"/>
  <c r="P18" i="4"/>
  <c r="L19" i="4"/>
  <c r="K19" i="4"/>
  <c r="J19" i="4"/>
  <c r="I19" i="4"/>
  <c r="L10" i="4"/>
  <c r="K10" i="4"/>
  <c r="J10" i="4"/>
  <c r="I10" i="4"/>
  <c r="N7" i="4"/>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O7" i="4" s="1"/>
  <c r="AP7" i="4" s="1"/>
  <c r="AQ7" i="4" s="1"/>
  <c r="AR7" i="4" s="1"/>
  <c r="AS7" i="4" s="1"/>
  <c r="AT7" i="4" s="1"/>
  <c r="AU7" i="4" s="1"/>
  <c r="AV7" i="4" s="1"/>
  <c r="AW7" i="4" s="1"/>
  <c r="AX7" i="4" s="1"/>
  <c r="AY7" i="4" s="1"/>
  <c r="AZ7" i="4" s="1"/>
  <c r="BA7" i="4" s="1"/>
  <c r="BB7" i="4" s="1"/>
  <c r="BC7" i="4" s="1"/>
  <c r="BD7" i="4" s="1"/>
  <c r="BE7" i="4" s="1"/>
  <c r="BF7" i="4" s="1"/>
  <c r="BG7" i="4" s="1"/>
  <c r="BH7" i="4" s="1"/>
  <c r="BI7" i="4" s="1"/>
  <c r="BJ7" i="4" s="1"/>
  <c r="BK7" i="4" s="1"/>
  <c r="BL7" i="4" s="1"/>
  <c r="BM7" i="4" s="1"/>
  <c r="L7" i="4"/>
  <c r="K7" i="4" s="1"/>
  <c r="J7" i="4" s="1"/>
  <c r="I7" i="4" s="1"/>
  <c r="N6" i="4"/>
  <c r="K6" i="4"/>
  <c r="J6" i="4" s="1"/>
  <c r="I6" i="4" s="1"/>
  <c r="N7" i="3"/>
  <c r="O7" i="3" s="1"/>
  <c r="P7" i="3" s="1"/>
  <c r="Q7" i="3" s="1"/>
  <c r="R7" i="3" s="1"/>
  <c r="S7" i="3" s="1"/>
  <c r="T7" i="3" s="1"/>
  <c r="U7" i="3" s="1"/>
  <c r="V7" i="3" s="1"/>
  <c r="W7" i="3" s="1"/>
  <c r="X7" i="3" s="1"/>
  <c r="Y7" i="3" s="1"/>
  <c r="Z7" i="3" s="1"/>
  <c r="AA7" i="3" s="1"/>
  <c r="AB7" i="3" s="1"/>
  <c r="AC7" i="3" s="1"/>
  <c r="AD7" i="3" s="1"/>
  <c r="AE7" i="3" s="1"/>
  <c r="AF7" i="3" s="1"/>
  <c r="AG7" i="3" s="1"/>
  <c r="AH7" i="3" s="1"/>
  <c r="AI7" i="3" s="1"/>
  <c r="AJ7" i="3" s="1"/>
  <c r="AK7" i="3" s="1"/>
  <c r="AL7" i="3" s="1"/>
  <c r="AM7" i="3" s="1"/>
  <c r="AN7" i="3" s="1"/>
  <c r="AO7" i="3" s="1"/>
  <c r="AP7" i="3" s="1"/>
  <c r="AQ7" i="3" s="1"/>
  <c r="AR7" i="3" s="1"/>
  <c r="AS7" i="3" s="1"/>
  <c r="AT7" i="3" s="1"/>
  <c r="AU7" i="3" s="1"/>
  <c r="AV7" i="3" s="1"/>
  <c r="AW7" i="3" s="1"/>
  <c r="AX7" i="3" s="1"/>
  <c r="AY7" i="3" s="1"/>
  <c r="AZ7" i="3" s="1"/>
  <c r="BA7" i="3" s="1"/>
  <c r="BB7" i="3" s="1"/>
  <c r="BC7" i="3" s="1"/>
  <c r="BD7" i="3" s="1"/>
  <c r="BE7" i="3" s="1"/>
  <c r="BF7" i="3" s="1"/>
  <c r="BG7" i="3" s="1"/>
  <c r="BH7" i="3" s="1"/>
  <c r="BI7" i="3" s="1"/>
  <c r="BJ7" i="3" s="1"/>
  <c r="BK7" i="3" s="1"/>
  <c r="BL7" i="3" s="1"/>
  <c r="BM7" i="3" s="1"/>
  <c r="L7" i="3"/>
  <c r="K7" i="3" s="1"/>
  <c r="J7" i="3" s="1"/>
  <c r="I7" i="3" s="1"/>
  <c r="N6" i="3"/>
  <c r="K6" i="3"/>
  <c r="J6" i="3" s="1"/>
  <c r="I6" i="3" s="1"/>
  <c r="B26" i="1"/>
  <c r="C26" i="1"/>
  <c r="C34" i="1" s="1"/>
  <c r="C42" i="1" s="1"/>
  <c r="C50" i="1" s="1"/>
  <c r="C58" i="1" s="1"/>
  <c r="C66" i="1" s="1"/>
  <c r="C74" i="1" s="1"/>
  <c r="C82" i="1" s="1"/>
  <c r="C90" i="1" s="1"/>
  <c r="C98" i="1" s="1"/>
  <c r="C106" i="1" s="1"/>
  <c r="C114" i="1" s="1"/>
  <c r="C122" i="1" s="1"/>
  <c r="C130" i="1" s="1"/>
  <c r="C138" i="1" s="1"/>
  <c r="C146" i="1" s="1"/>
  <c r="C154" i="1" s="1"/>
  <c r="C162" i="1" s="1"/>
  <c r="C170" i="1" s="1"/>
  <c r="C178" i="1" s="1"/>
  <c r="C186" i="1" s="1"/>
  <c r="C194" i="1" s="1"/>
  <c r="C202" i="1" s="1"/>
  <c r="W16" i="20" l="1"/>
  <c r="W30" i="20"/>
  <c r="FD15" i="17"/>
  <c r="FE15" i="17"/>
  <c r="HK15" i="17"/>
  <c r="AW82" i="17"/>
  <c r="DE82" i="17" s="1"/>
  <c r="AX82" i="17"/>
  <c r="DF82" i="17" s="1"/>
  <c r="FD14" i="17"/>
  <c r="HK14" i="17"/>
  <c r="N22" i="3"/>
  <c r="R22" i="13"/>
  <c r="AR42" i="17" s="1"/>
  <c r="O19" i="9"/>
  <c r="AO61" i="17" s="1"/>
  <c r="CW61" i="17" s="1"/>
  <c r="O16" i="8"/>
  <c r="AO54" i="17" s="1"/>
  <c r="CW54" i="17" s="1"/>
  <c r="O19" i="8"/>
  <c r="AO55" i="17" s="1"/>
  <c r="CW55" i="17" s="1" a="1"/>
  <c r="CW55" i="17" s="1"/>
  <c r="O13" i="9"/>
  <c r="K28" i="1" s="1"/>
  <c r="R13" i="12"/>
  <c r="AR32" i="17" s="1"/>
  <c r="CZ32" i="17" s="1"/>
  <c r="N16" i="5"/>
  <c r="R22" i="1" s="1"/>
  <c r="S27" i="1"/>
  <c r="R13" i="13"/>
  <c r="AR39" i="17" s="1"/>
  <c r="CZ39" i="17" s="1"/>
  <c r="R10" i="12"/>
  <c r="AR31" i="17" s="1"/>
  <c r="CZ31" i="17" s="1"/>
  <c r="S19" i="14"/>
  <c r="AS48" i="17" s="1"/>
  <c r="Q24" i="11"/>
  <c r="Q27" i="11"/>
  <c r="W4" i="20"/>
  <c r="W19" i="20"/>
  <c r="W13" i="20"/>
  <c r="W10" i="20"/>
  <c r="R10" i="14"/>
  <c r="AR45" i="17" s="1"/>
  <c r="CZ45" i="17" s="1"/>
  <c r="O16" i="9"/>
  <c r="K30" i="1" s="1"/>
  <c r="R16" i="12"/>
  <c r="AR33" i="17" s="1"/>
  <c r="CZ33" i="17" s="1"/>
  <c r="N19" i="3"/>
  <c r="T14" i="18"/>
  <c r="T19" i="18"/>
  <c r="S13" i="18"/>
  <c r="AS19" i="17" s="1"/>
  <c r="DA19" i="17" s="1"/>
  <c r="R16" i="14"/>
  <c r="AR47" i="17" s="1"/>
  <c r="CZ47" i="17" s="1"/>
  <c r="P10" i="11"/>
  <c r="AP109" i="17" s="1"/>
  <c r="CX109" i="17" s="1"/>
  <c r="R13" i="14"/>
  <c r="S22" i="12"/>
  <c r="AS35" i="17" s="1"/>
  <c r="DA35" i="17" s="1"/>
  <c r="R16" i="13"/>
  <c r="AR40" i="17" s="1"/>
  <c r="CZ40" i="17" s="1"/>
  <c r="S16" i="18"/>
  <c r="AS20" i="17" s="1"/>
  <c r="DA20" i="17" s="1"/>
  <c r="N13" i="5"/>
  <c r="O10" i="8"/>
  <c r="G27" i="1" s="1"/>
  <c r="N10" i="5"/>
  <c r="W4" i="22"/>
  <c r="W16" i="22"/>
  <c r="W10" i="22"/>
  <c r="W19" i="22"/>
  <c r="W13" i="22"/>
  <c r="Q16" i="10"/>
  <c r="Q23" i="10"/>
  <c r="Q19" i="10"/>
  <c r="Q13" i="10"/>
  <c r="S19" i="13"/>
  <c r="AS41" i="17" s="1"/>
  <c r="DA41" i="17" s="1"/>
  <c r="O4" i="5"/>
  <c r="O16" i="5" s="1"/>
  <c r="R30" i="1" s="1"/>
  <c r="N10" i="4"/>
  <c r="N13" i="4"/>
  <c r="N16" i="4"/>
  <c r="X19" i="21"/>
  <c r="X13" i="21"/>
  <c r="X16" i="21"/>
  <c r="X10" i="21"/>
  <c r="DD87" i="17"/>
  <c r="S4" i="12"/>
  <c r="S19" i="12" s="1"/>
  <c r="AR38" i="17"/>
  <c r="CZ38" i="17" s="1"/>
  <c r="Q8" i="11"/>
  <c r="HN109" i="17" s="1"/>
  <c r="P4" i="8"/>
  <c r="P19" i="8" s="1"/>
  <c r="AP55" i="17" s="1"/>
  <c r="CX55" i="17" s="1" a="1"/>
  <c r="CX55" i="17" s="1"/>
  <c r="FE26" i="17"/>
  <c r="JT26" i="17" s="1"/>
  <c r="F21" i="1"/>
  <c r="JS26" i="17"/>
  <c r="HL26" i="17"/>
  <c r="MA26" i="17" s="1"/>
  <c r="S4" i="13"/>
  <c r="S22" i="13" s="1"/>
  <c r="T4" i="18"/>
  <c r="T13" i="18" s="1"/>
  <c r="LZ26" i="17"/>
  <c r="BH111" i="17"/>
  <c r="DP111" i="17" s="1"/>
  <c r="BG111" i="17"/>
  <c r="DO111" i="17" s="1"/>
  <c r="BF111" i="17"/>
  <c r="DN111" i="17" s="1"/>
  <c r="BE111" i="17"/>
  <c r="DM111" i="17" s="1"/>
  <c r="AW88" i="17"/>
  <c r="DE88" i="17" s="1"/>
  <c r="AW86" i="17"/>
  <c r="DE86" i="17" s="1"/>
  <c r="CY48" i="17"/>
  <c r="BF113" i="17"/>
  <c r="DN113" i="17" s="1"/>
  <c r="BG113" i="17"/>
  <c r="DO113" i="17" s="1"/>
  <c r="BH113" i="17"/>
  <c r="DP113" i="17" s="1"/>
  <c r="BF112" i="17"/>
  <c r="DN112" i="17" s="1"/>
  <c r="BH112" i="17"/>
  <c r="DP112" i="17" s="1"/>
  <c r="BG112" i="17"/>
  <c r="DO112" i="17" s="1"/>
  <c r="F20" i="1"/>
  <c r="AN25" i="17"/>
  <c r="CV25" i="17" s="1" a="1"/>
  <c r="CV25" i="17" s="1"/>
  <c r="DH113" i="17"/>
  <c r="DD113" i="17"/>
  <c r="DH112" i="17"/>
  <c r="DD112" i="17"/>
  <c r="AO27" i="17"/>
  <c r="CW27" i="17" s="1"/>
  <c r="AO24" i="17"/>
  <c r="CW24" i="17" s="1" a="1"/>
  <c r="CW24" i="17" s="1"/>
  <c r="AO28" i="17"/>
  <c r="CW28" i="17" s="1" a="1"/>
  <c r="CW28" i="17" s="1"/>
  <c r="AO25" i="17"/>
  <c r="CW25" i="17" s="1" a="1"/>
  <c r="CW25" i="17" s="1"/>
  <c r="X4" i="21"/>
  <c r="AS18" i="17"/>
  <c r="DA18" i="17" s="1"/>
  <c r="AQ46" i="17"/>
  <c r="CY46" i="17" s="1"/>
  <c r="BE112" i="17"/>
  <c r="BE113" i="17"/>
  <c r="AN61" i="17"/>
  <c r="CV61" i="17" s="1"/>
  <c r="AN60" i="17"/>
  <c r="CV60" i="17" s="1"/>
  <c r="AR34" i="17"/>
  <c r="CZ34" i="17" s="1"/>
  <c r="K19" i="1"/>
  <c r="AQ42" i="17"/>
  <c r="CY42" i="17" s="1"/>
  <c r="G22" i="1"/>
  <c r="AN59" i="17"/>
  <c r="CV59" i="17" s="1"/>
  <c r="AN52" i="17"/>
  <c r="CV52" i="17" s="1" a="1"/>
  <c r="CV52" i="17" s="1"/>
  <c r="AN53" i="17"/>
  <c r="CV53" i="17" s="1" a="1"/>
  <c r="CV53" i="17" s="1"/>
  <c r="AD7" i="14"/>
  <c r="U7" i="18"/>
  <c r="T2" i="18"/>
  <c r="K23" i="1"/>
  <c r="S167" i="1"/>
  <c r="S159" i="1"/>
  <c r="S151" i="1"/>
  <c r="BD113" i="17"/>
  <c r="DL113" i="17" s="1"/>
  <c r="S164" i="1"/>
  <c r="S156" i="1"/>
  <c r="S148" i="1"/>
  <c r="BD111" i="17"/>
  <c r="DL111" i="17" s="1"/>
  <c r="S150" i="1"/>
  <c r="S166" i="1"/>
  <c r="S158" i="1"/>
  <c r="BD112" i="17"/>
  <c r="DL112" i="17" s="1"/>
  <c r="FG109" i="17"/>
  <c r="JU109" i="17"/>
  <c r="FG67" i="17"/>
  <c r="JV67" i="17" s="1"/>
  <c r="FE105" i="17"/>
  <c r="JT105" i="17" s="1"/>
  <c r="FI47" i="17"/>
  <c r="JX47" i="17" s="1"/>
  <c r="N4" i="4"/>
  <c r="N19" i="4" s="1"/>
  <c r="HK98" i="17"/>
  <c r="HK99" i="17"/>
  <c r="HK100" i="17"/>
  <c r="HK97" i="17"/>
  <c r="FE28" i="17"/>
  <c r="JT28" i="17" s="1"/>
  <c r="FI49" i="17"/>
  <c r="JX49" i="17" s="1"/>
  <c r="S4" i="14"/>
  <c r="S10" i="14" s="1"/>
  <c r="HP47" i="17"/>
  <c r="HL103" i="17"/>
  <c r="HP42" i="17"/>
  <c r="HP39" i="17"/>
  <c r="HM60" i="17"/>
  <c r="HM61" i="17"/>
  <c r="HP49" i="17"/>
  <c r="HL106" i="17"/>
  <c r="HL28" i="17"/>
  <c r="HM54" i="17"/>
  <c r="AN9" i="17"/>
  <c r="N4" i="3"/>
  <c r="N10" i="3" s="1"/>
  <c r="HK13" i="17"/>
  <c r="HK11" i="17"/>
  <c r="HK12" i="17"/>
  <c r="HL104" i="17"/>
  <c r="HP46" i="17"/>
  <c r="K22" i="1"/>
  <c r="HM59" i="17"/>
  <c r="HP45" i="17"/>
  <c r="HP33" i="17"/>
  <c r="HP48" i="17"/>
  <c r="HM55" i="17"/>
  <c r="AN58" i="17"/>
  <c r="CV58" i="17" s="1"/>
  <c r="HP31" i="17"/>
  <c r="HP32" i="17"/>
  <c r="P35" i="9"/>
  <c r="P4" i="9"/>
  <c r="P10" i="9" s="1"/>
  <c r="HP41" i="17"/>
  <c r="HL25" i="17"/>
  <c r="K20" i="1"/>
  <c r="HP40" i="17"/>
  <c r="HM53" i="17"/>
  <c r="HM52" i="17"/>
  <c r="HL105" i="17"/>
  <c r="HL27" i="17"/>
  <c r="AN54" i="17"/>
  <c r="CV54" i="17" s="1"/>
  <c r="HL24" i="17"/>
  <c r="HP35" i="17"/>
  <c r="G19" i="1"/>
  <c r="HP34" i="17"/>
  <c r="K27" i="1"/>
  <c r="FE103" i="17"/>
  <c r="JT103" i="17" s="1"/>
  <c r="HP38" i="17"/>
  <c r="G20" i="1"/>
  <c r="HM58" i="17"/>
  <c r="AP64" i="17"/>
  <c r="CX64" i="17" s="1"/>
  <c r="Q4" i="11"/>
  <c r="P31" i="1"/>
  <c r="N30" i="1"/>
  <c r="O28" i="1"/>
  <c r="O31" i="1"/>
  <c r="O30" i="1"/>
  <c r="O27" i="1"/>
  <c r="N31" i="1"/>
  <c r="P28" i="1"/>
  <c r="P30" i="1"/>
  <c r="N28" i="1"/>
  <c r="N27" i="1"/>
  <c r="M31" i="1"/>
  <c r="P27" i="1"/>
  <c r="M30" i="1"/>
  <c r="M28" i="1"/>
  <c r="M27" i="1"/>
  <c r="E30" i="1"/>
  <c r="E27" i="1"/>
  <c r="E28" i="1"/>
  <c r="E31" i="1"/>
  <c r="HN66" i="17"/>
  <c r="HN67" i="17"/>
  <c r="Q4" i="10"/>
  <c r="FG65" i="17"/>
  <c r="JV65" i="17" s="1"/>
  <c r="HN64" i="17"/>
  <c r="HN65" i="17"/>
  <c r="JT53" i="17"/>
  <c r="AV73" i="17"/>
  <c r="DD73" i="17" s="1"/>
  <c r="AV71" i="17"/>
  <c r="DD71" i="17" s="1"/>
  <c r="AV70" i="17"/>
  <c r="DD70" i="17" s="1"/>
  <c r="JU67" i="17"/>
  <c r="JU64" i="17"/>
  <c r="JU66" i="17"/>
  <c r="JU65" i="17"/>
  <c r="JW39" i="17"/>
  <c r="JW41" i="17"/>
  <c r="JW42" i="17"/>
  <c r="JW40" i="17"/>
  <c r="JW38" i="17"/>
  <c r="JW49" i="17"/>
  <c r="JW47" i="17"/>
  <c r="JW46" i="17"/>
  <c r="JW45" i="17"/>
  <c r="JW32" i="17"/>
  <c r="JW35" i="17"/>
  <c r="JW33" i="17"/>
  <c r="JW31" i="17"/>
  <c r="JW34" i="17"/>
  <c r="JT61" i="17"/>
  <c r="JT60" i="17"/>
  <c r="JS105" i="17"/>
  <c r="JS106" i="17"/>
  <c r="JS104" i="17"/>
  <c r="JS103" i="17"/>
  <c r="J31" i="1"/>
  <c r="I31" i="1"/>
  <c r="H31" i="1"/>
  <c r="J30" i="1"/>
  <c r="H30" i="1"/>
  <c r="I30" i="1"/>
  <c r="JS28" i="17"/>
  <c r="JS27" i="17"/>
  <c r="JS25" i="17"/>
  <c r="JS24" i="17"/>
  <c r="FI46" i="17"/>
  <c r="AR41" i="17"/>
  <c r="CZ41" i="17" s="1"/>
  <c r="AR35" i="17"/>
  <c r="CZ35" i="17" s="1"/>
  <c r="FG64" i="17"/>
  <c r="FE27" i="17"/>
  <c r="FE25" i="17"/>
  <c r="FE104" i="17"/>
  <c r="LZ9" i="17"/>
  <c r="HK9" i="17"/>
  <c r="F19" i="1"/>
  <c r="AR48" i="17"/>
  <c r="AV72" i="17"/>
  <c r="DD72" i="17" s="1"/>
  <c r="FE106" i="17"/>
  <c r="JT106" i="17" s="1"/>
  <c r="FE24" i="17"/>
  <c r="FG66" i="17"/>
  <c r="FI45" i="17"/>
  <c r="X6" i="20"/>
  <c r="T6" i="14"/>
  <c r="FI48" i="17"/>
  <c r="FI39" i="17"/>
  <c r="FI41" i="17"/>
  <c r="FI40" i="17"/>
  <c r="JX40" i="17" s="1"/>
  <c r="FI38" i="17"/>
  <c r="FI42" i="17"/>
  <c r="FI35" i="17"/>
  <c r="FI32" i="17"/>
  <c r="FI31" i="17"/>
  <c r="JX31" i="17" s="1"/>
  <c r="FI34" i="17"/>
  <c r="FI33" i="17"/>
  <c r="JX33" i="17" s="1"/>
  <c r="R6" i="11"/>
  <c r="R6" i="10"/>
  <c r="Q6" i="9"/>
  <c r="FF58" i="17"/>
  <c r="FF61" i="17"/>
  <c r="JU61" i="17" s="1"/>
  <c r="FF60" i="17"/>
  <c r="FF59" i="17"/>
  <c r="AO53" i="17"/>
  <c r="CW53" i="17" s="1" a="1"/>
  <c r="CW53" i="17" s="1"/>
  <c r="Q6" i="8"/>
  <c r="FF55" i="17"/>
  <c r="FF52" i="17"/>
  <c r="FF54" i="17"/>
  <c r="FF53" i="17"/>
  <c r="P6" i="5"/>
  <c r="O6" i="4"/>
  <c r="FD98" i="17"/>
  <c r="FD97" i="17"/>
  <c r="FD99" i="17"/>
  <c r="FD100" i="17"/>
  <c r="JS9" i="17"/>
  <c r="FD9" i="17"/>
  <c r="CV9" i="17"/>
  <c r="FD12" i="17"/>
  <c r="FD13" i="17"/>
  <c r="FD11" i="17"/>
  <c r="AW87" i="17"/>
  <c r="AV94" i="17"/>
  <c r="DD94" i="17" s="1"/>
  <c r="AV93" i="17"/>
  <c r="DD93" i="17" s="1"/>
  <c r="AV91" i="17"/>
  <c r="DD91" i="17" s="1"/>
  <c r="AV92" i="17"/>
  <c r="DD92" i="17" s="1"/>
  <c r="X6" i="22"/>
  <c r="Y6" i="21"/>
  <c r="Y22" i="19"/>
  <c r="Y20" i="19" s="1"/>
  <c r="Y32" i="19" s="1"/>
  <c r="T6" i="12"/>
  <c r="T6" i="13"/>
  <c r="U6" i="18"/>
  <c r="G28" i="1"/>
  <c r="L30" i="1"/>
  <c r="L28" i="1"/>
  <c r="H29" i="1"/>
  <c r="H27" i="1"/>
  <c r="L31" i="1"/>
  <c r="H28" i="1"/>
  <c r="L27" i="1"/>
  <c r="J27" i="1"/>
  <c r="I29" i="1"/>
  <c r="I28" i="1"/>
  <c r="I27" i="1"/>
  <c r="J29" i="1"/>
  <c r="J28" i="1"/>
  <c r="B34" i="1"/>
  <c r="O6" i="3"/>
  <c r="O22" i="3" s="1"/>
  <c r="AO15" i="17" s="1"/>
  <c r="CW15" i="17" s="1"/>
  <c r="C210" i="1"/>
  <c r="C218" i="1" s="1"/>
  <c r="C226" i="1" s="1"/>
  <c r="C234" i="1" s="1"/>
  <c r="C242" i="1" s="1"/>
  <c r="C250" i="1" s="1"/>
  <c r="C258" i="1" s="1"/>
  <c r="C266" i="1" s="1"/>
  <c r="C274" i="1" s="1"/>
  <c r="C282" i="1" s="1"/>
  <c r="C290" i="1" s="1"/>
  <c r="C298" i="1" s="1"/>
  <c r="C306" i="1" s="1"/>
  <c r="C314" i="1" s="1"/>
  <c r="C322" i="1" s="1"/>
  <c r="C330" i="1" s="1"/>
  <c r="C338" i="1" s="1"/>
  <c r="C346" i="1" s="1"/>
  <c r="C354" i="1" s="1"/>
  <c r="C362" i="1" s="1"/>
  <c r="C370" i="1" s="1"/>
  <c r="C378" i="1" s="1"/>
  <c r="C386" i="1" s="1"/>
  <c r="C394" i="1" s="1"/>
  <c r="C402" i="1" s="1"/>
  <c r="C410" i="1" s="1"/>
  <c r="C418" i="1" s="1"/>
  <c r="C426" i="1" s="1"/>
  <c r="HL15" i="17" l="1"/>
  <c r="X30" i="20"/>
  <c r="X16" i="20"/>
  <c r="AY82" i="17"/>
  <c r="DG82" i="17" s="1"/>
  <c r="AN15" i="17"/>
  <c r="CV15" i="17" s="1"/>
  <c r="HL14" i="17"/>
  <c r="MA14" i="17" s="1"/>
  <c r="JS14" i="17"/>
  <c r="LZ14" i="17"/>
  <c r="AN14" i="17"/>
  <c r="CV14" i="17" s="1"/>
  <c r="FE14" i="17"/>
  <c r="G30" i="1"/>
  <c r="G31" i="1"/>
  <c r="BK113" i="17"/>
  <c r="DS113" i="17" s="1"/>
  <c r="BL113" i="17"/>
  <c r="DT113" i="17" s="1"/>
  <c r="BK112" i="17"/>
  <c r="DS112" i="17" s="1"/>
  <c r="BL112" i="17"/>
  <c r="DT112" i="17" s="1"/>
  <c r="O13" i="5"/>
  <c r="AO104" i="17" s="1"/>
  <c r="CW104" i="17" s="1"/>
  <c r="O10" i="5"/>
  <c r="R27" i="1" s="1"/>
  <c r="S16" i="12"/>
  <c r="AS33" i="17" s="1"/>
  <c r="DA33" i="17" s="1"/>
  <c r="Q10" i="11"/>
  <c r="AQ109" i="17" s="1"/>
  <c r="CY109" i="17" s="1"/>
  <c r="Q21" i="11"/>
  <c r="BL111" i="17" s="1"/>
  <c r="DT111" i="17" s="1"/>
  <c r="O19" i="5"/>
  <c r="R31" i="1" s="1"/>
  <c r="P16" i="9"/>
  <c r="AP60" i="17" s="1"/>
  <c r="CX60" i="17" s="1"/>
  <c r="AO52" i="17"/>
  <c r="CW52" i="17" s="1" a="1"/>
  <c r="CW52" i="17" s="1"/>
  <c r="T10" i="18"/>
  <c r="AT18" i="17" s="1"/>
  <c r="DB18" i="17" s="1"/>
  <c r="N16" i="3"/>
  <c r="S35" i="1"/>
  <c r="S16" i="14"/>
  <c r="AS47" i="17" s="1"/>
  <c r="DA47" i="17" s="1"/>
  <c r="X4" i="22"/>
  <c r="X13" i="22" s="1"/>
  <c r="R16" i="10"/>
  <c r="R23" i="10"/>
  <c r="R13" i="10"/>
  <c r="R19" i="10"/>
  <c r="O13" i="4"/>
  <c r="O10" i="4"/>
  <c r="O16" i="4"/>
  <c r="R27" i="11"/>
  <c r="BQ113" i="17" s="1"/>
  <c r="DY113" i="17" s="1"/>
  <c r="R24" i="11"/>
  <c r="BQ112" i="17" s="1"/>
  <c r="DY112" i="17" s="1"/>
  <c r="S10" i="12"/>
  <c r="AS31" i="17" s="1"/>
  <c r="DA31" i="17" s="1"/>
  <c r="T16" i="18"/>
  <c r="AT20" i="17" s="1"/>
  <c r="DB20" i="17" s="1"/>
  <c r="S22" i="14"/>
  <c r="T19" i="14"/>
  <c r="AT48" i="17" s="1"/>
  <c r="O19" i="3"/>
  <c r="AO14" i="17" s="1"/>
  <c r="CW14" i="17" s="1"/>
  <c r="S10" i="13"/>
  <c r="AS38" i="17" s="1"/>
  <c r="DA38" i="17" s="1"/>
  <c r="S13" i="12"/>
  <c r="AS32" i="17" s="1"/>
  <c r="DA32" i="17" s="1"/>
  <c r="P10" i="8"/>
  <c r="AP52" i="17" s="1"/>
  <c r="CX52" i="17" s="1" a="1"/>
  <c r="CX52" i="17" s="1"/>
  <c r="S16" i="13"/>
  <c r="AS40" i="17" s="1"/>
  <c r="DA40" i="17" s="1"/>
  <c r="P13" i="8"/>
  <c r="AP53" i="17" s="1"/>
  <c r="CX53" i="17" s="1" a="1"/>
  <c r="CX53" i="17" s="1"/>
  <c r="Y4" i="21"/>
  <c r="Y19" i="21"/>
  <c r="Y13" i="21"/>
  <c r="Y16" i="21"/>
  <c r="Y10" i="21"/>
  <c r="U4" i="18"/>
  <c r="U13" i="18" s="1"/>
  <c r="AU19" i="17" s="1"/>
  <c r="DC19" i="17" s="1"/>
  <c r="U14" i="18"/>
  <c r="U19" i="18"/>
  <c r="S13" i="13"/>
  <c r="AS39" i="17" s="1"/>
  <c r="DA39" i="17" s="1"/>
  <c r="P19" i="9"/>
  <c r="P16" i="8"/>
  <c r="AP54" i="17" s="1"/>
  <c r="CX54" i="17" s="1"/>
  <c r="T19" i="13"/>
  <c r="T22" i="12"/>
  <c r="P13" i="9"/>
  <c r="AP59" i="17" s="1"/>
  <c r="CX59" i="17" s="1"/>
  <c r="N13" i="3"/>
  <c r="S13" i="14"/>
  <c r="AS46" i="17" s="1"/>
  <c r="X4" i="20"/>
  <c r="X19" i="20"/>
  <c r="X13" i="20"/>
  <c r="X10" i="20"/>
  <c r="Q23" i="1"/>
  <c r="BI112" i="17"/>
  <c r="BJ112" i="17"/>
  <c r="BI113" i="17"/>
  <c r="BJ113" i="17"/>
  <c r="AT19" i="17"/>
  <c r="DB19" i="17" s="1"/>
  <c r="AS42" i="17"/>
  <c r="DA42" i="17" s="1"/>
  <c r="AW85" i="17"/>
  <c r="DE85" i="17" s="1"/>
  <c r="Q4" i="8"/>
  <c r="Q19" i="8" s="1"/>
  <c r="F29" i="1"/>
  <c r="AO26" i="17"/>
  <c r="CW26" i="17" s="1" a="1"/>
  <c r="CW26" i="17" s="1"/>
  <c r="O4" i="3"/>
  <c r="O16" i="3" s="1"/>
  <c r="AP26" i="17"/>
  <c r="CX26" i="17" s="1" a="1"/>
  <c r="CX26" i="17" s="1"/>
  <c r="T4" i="12"/>
  <c r="T10" i="12" s="1"/>
  <c r="FE100" i="17"/>
  <c r="JT100" i="17" s="1"/>
  <c r="R8" i="11"/>
  <c r="HO109" i="17" s="1"/>
  <c r="P4" i="5"/>
  <c r="P13" i="5" s="1"/>
  <c r="AP25" i="17"/>
  <c r="CX25" i="17" s="1" a="1"/>
  <c r="CX25" i="17" s="1"/>
  <c r="HM26" i="17"/>
  <c r="FF26" i="17"/>
  <c r="T4" i="13"/>
  <c r="T16" i="13" s="1"/>
  <c r="AS45" i="17"/>
  <c r="DA45" i="17" s="1"/>
  <c r="N77" i="26"/>
  <c r="DM113" i="17"/>
  <c r="CZ42" i="17"/>
  <c r="CZ48" i="17"/>
  <c r="DM112" i="17"/>
  <c r="AP24" i="17"/>
  <c r="CX24" i="17" s="1" a="1"/>
  <c r="CX24" i="17" s="1"/>
  <c r="AP27" i="17"/>
  <c r="CX27" i="17" s="1"/>
  <c r="AP28" i="17"/>
  <c r="CX28" i="17" s="1" a="1"/>
  <c r="CX28" i="17" s="1"/>
  <c r="T77" i="26"/>
  <c r="L77" i="26"/>
  <c r="O77" i="26"/>
  <c r="J77" i="26"/>
  <c r="P77" i="26"/>
  <c r="S77" i="26"/>
  <c r="M77" i="26"/>
  <c r="R77" i="26"/>
  <c r="Q77" i="26"/>
  <c r="K77" i="26"/>
  <c r="R23" i="1"/>
  <c r="AN103" i="17"/>
  <c r="CV103" i="17" s="1"/>
  <c r="AP66" i="17"/>
  <c r="CX66" i="17" s="1"/>
  <c r="AE7" i="14"/>
  <c r="T4" i="14"/>
  <c r="T13" i="14" s="1"/>
  <c r="AR49" i="17"/>
  <c r="CZ49" i="17" s="1"/>
  <c r="AR46" i="17"/>
  <c r="CZ46" i="17" s="1"/>
  <c r="V7" i="18"/>
  <c r="U2" i="18"/>
  <c r="AO60" i="17"/>
  <c r="CW60" i="17" s="1"/>
  <c r="AO58" i="17"/>
  <c r="CW58" i="17" s="1"/>
  <c r="FH109" i="17"/>
  <c r="JV109" i="17"/>
  <c r="R19" i="1"/>
  <c r="AO59" i="17"/>
  <c r="CW59" i="17" s="1"/>
  <c r="FG60" i="17"/>
  <c r="JV60" i="17" s="1"/>
  <c r="K31" i="1"/>
  <c r="FG54" i="17"/>
  <c r="JV54" i="17" s="1"/>
  <c r="O4" i="4"/>
  <c r="O19" i="4" s="1"/>
  <c r="HN59" i="17"/>
  <c r="HM104" i="17"/>
  <c r="HN52" i="17"/>
  <c r="HM28" i="17"/>
  <c r="HN55" i="17"/>
  <c r="HN60" i="17"/>
  <c r="HM27" i="17"/>
  <c r="AN55" i="17"/>
  <c r="CV55" i="17" s="1" a="1"/>
  <c r="CV55" i="17" s="1"/>
  <c r="G23" i="1"/>
  <c r="AP58" i="17"/>
  <c r="CX58" i="17" s="1"/>
  <c r="HL100" i="17"/>
  <c r="HN54" i="17"/>
  <c r="HM103" i="17"/>
  <c r="HN53" i="17"/>
  <c r="HN61" i="17"/>
  <c r="HL97" i="17"/>
  <c r="HN58" i="17"/>
  <c r="HL98" i="17"/>
  <c r="FE97" i="17"/>
  <c r="JT97" i="17" s="1"/>
  <c r="Q35" i="9"/>
  <c r="Q4" i="9"/>
  <c r="Q10" i="9" s="1"/>
  <c r="HM105" i="17"/>
  <c r="HM25" i="17"/>
  <c r="AN104" i="17"/>
  <c r="CV104" i="17" s="1"/>
  <c r="R20" i="1"/>
  <c r="HL13" i="17"/>
  <c r="HL11" i="17"/>
  <c r="HL99" i="17"/>
  <c r="HM106" i="17"/>
  <c r="AN106" i="17"/>
  <c r="CV106" i="17" s="1"/>
  <c r="AO9" i="17"/>
  <c r="FE99" i="17"/>
  <c r="JT99" i="17" s="1"/>
  <c r="HM24" i="17"/>
  <c r="AN105" i="17"/>
  <c r="CV105" i="17" s="1"/>
  <c r="HL12" i="17"/>
  <c r="AQ64" i="17"/>
  <c r="CY64" i="17" s="1"/>
  <c r="AQ67" i="17"/>
  <c r="CY67" i="17" s="1"/>
  <c r="AQ65" i="17"/>
  <c r="CY65" i="17" s="1"/>
  <c r="AQ66" i="17"/>
  <c r="CY66" i="17" s="1"/>
  <c r="AP65" i="17"/>
  <c r="CX65" i="17" s="1"/>
  <c r="AP67" i="17"/>
  <c r="CX67" i="17" s="1"/>
  <c r="R4" i="11"/>
  <c r="P39" i="1"/>
  <c r="O39" i="1"/>
  <c r="O36" i="1"/>
  <c r="O38" i="1"/>
  <c r="O35" i="1"/>
  <c r="N38" i="1"/>
  <c r="N35" i="1"/>
  <c r="P35" i="1"/>
  <c r="P36" i="1"/>
  <c r="N39" i="1"/>
  <c r="N36" i="1"/>
  <c r="M39" i="1"/>
  <c r="M36" i="1"/>
  <c r="M35" i="1"/>
  <c r="P38" i="1"/>
  <c r="E38" i="1"/>
  <c r="M38" i="1"/>
  <c r="E35" i="1"/>
  <c r="E39" i="1"/>
  <c r="E36" i="1"/>
  <c r="HO66" i="17"/>
  <c r="R4" i="10"/>
  <c r="HO65" i="17"/>
  <c r="HO67" i="17"/>
  <c r="HO64" i="17"/>
  <c r="JU55" i="17"/>
  <c r="JS13" i="17"/>
  <c r="JU53" i="17"/>
  <c r="JS15" i="17"/>
  <c r="JU52" i="17"/>
  <c r="JS12" i="17"/>
  <c r="JU54" i="17"/>
  <c r="JS11" i="17"/>
  <c r="JV66" i="17"/>
  <c r="JV64" i="17"/>
  <c r="JX48" i="17"/>
  <c r="JX41" i="17"/>
  <c r="JX39" i="17"/>
  <c r="JX42" i="17"/>
  <c r="JX38" i="17"/>
  <c r="JX46" i="17"/>
  <c r="JX45" i="17"/>
  <c r="JX35" i="17"/>
  <c r="JX34" i="17"/>
  <c r="JX32" i="17"/>
  <c r="JU59" i="17"/>
  <c r="JU60" i="17"/>
  <c r="JU58" i="17"/>
  <c r="JT104" i="17"/>
  <c r="J39" i="1"/>
  <c r="I39" i="1"/>
  <c r="H39" i="1"/>
  <c r="G39" i="1"/>
  <c r="J38" i="1"/>
  <c r="H38" i="1"/>
  <c r="I38" i="1"/>
  <c r="JT27" i="17"/>
  <c r="JT25" i="17"/>
  <c r="JT24" i="17"/>
  <c r="JS100" i="17"/>
  <c r="JS99" i="17"/>
  <c r="JS98" i="17"/>
  <c r="JS97" i="17"/>
  <c r="F30" i="1"/>
  <c r="FG53" i="17"/>
  <c r="FG52" i="17"/>
  <c r="F27" i="1"/>
  <c r="F31" i="1"/>
  <c r="FE98" i="17"/>
  <c r="CW9" i="17"/>
  <c r="MA9" i="17"/>
  <c r="T123" i="17"/>
  <c r="HL9" i="17"/>
  <c r="F28" i="1"/>
  <c r="AW70" i="17"/>
  <c r="DE70" i="17" s="1"/>
  <c r="FG58" i="17"/>
  <c r="AW73" i="17"/>
  <c r="DE73" i="17" s="1"/>
  <c r="AW72" i="17"/>
  <c r="DE72" i="17" s="1"/>
  <c r="AW71" i="17"/>
  <c r="DE71" i="17" s="1"/>
  <c r="FG55" i="17"/>
  <c r="FG61" i="17"/>
  <c r="FG59" i="17"/>
  <c r="FJ33" i="17"/>
  <c r="AN98" i="17"/>
  <c r="CV98" i="17" s="1" a="1"/>
  <c r="CV98" i="17" s="1"/>
  <c r="AN99" i="17"/>
  <c r="CV99" i="17" s="1" a="1"/>
  <c r="CV99" i="17" s="1"/>
  <c r="AN100" i="17"/>
  <c r="CV100" i="17" s="1"/>
  <c r="Q22" i="1"/>
  <c r="Y6" i="20"/>
  <c r="FJ46" i="17"/>
  <c r="U6" i="14"/>
  <c r="FJ47" i="17"/>
  <c r="FJ49" i="17"/>
  <c r="FJ48" i="17"/>
  <c r="FJ45" i="17"/>
  <c r="FJ39" i="17"/>
  <c r="JY39" i="17" s="1"/>
  <c r="FJ42" i="17"/>
  <c r="FJ40" i="17"/>
  <c r="JY40" i="17" s="1"/>
  <c r="FJ32" i="17"/>
  <c r="JY32" i="17" s="1"/>
  <c r="FJ34" i="17"/>
  <c r="JY34" i="17" s="1"/>
  <c r="FJ31" i="17"/>
  <c r="JY31" i="17" s="1"/>
  <c r="S6" i="11"/>
  <c r="S6" i="10"/>
  <c r="FH66" i="17"/>
  <c r="FH65" i="17"/>
  <c r="FH64" i="17"/>
  <c r="JW64" i="17" s="1"/>
  <c r="FH67" i="17"/>
  <c r="R6" i="9"/>
  <c r="R6" i="8"/>
  <c r="FG26" i="17"/>
  <c r="FF27" i="17"/>
  <c r="FF24" i="17"/>
  <c r="FF25" i="17"/>
  <c r="FF28" i="17"/>
  <c r="Q6" i="5"/>
  <c r="FF106" i="17"/>
  <c r="FF105" i="17"/>
  <c r="FF103" i="17"/>
  <c r="FF104" i="17"/>
  <c r="AO105" i="17"/>
  <c r="CW105" i="17" s="1"/>
  <c r="Q20" i="1"/>
  <c r="Q19" i="1"/>
  <c r="AN97" i="17"/>
  <c r="CV97" i="17" s="1"/>
  <c r="P6" i="4"/>
  <c r="JT9" i="17"/>
  <c r="FE9" i="17"/>
  <c r="FE13" i="17"/>
  <c r="FE12" i="17"/>
  <c r="FE11" i="17"/>
  <c r="AX85" i="17"/>
  <c r="DF85" i="17" s="1"/>
  <c r="AW94" i="17"/>
  <c r="DE94" i="17" s="1"/>
  <c r="AX87" i="17"/>
  <c r="AW92" i="17"/>
  <c r="DE92" i="17" s="1"/>
  <c r="AX86" i="17"/>
  <c r="DF86" i="17" s="1"/>
  <c r="AW91" i="17"/>
  <c r="DE91" i="17" s="1"/>
  <c r="AX88" i="17"/>
  <c r="DF88" i="17" s="1"/>
  <c r="AW93" i="17"/>
  <c r="DE93" i="17" s="1"/>
  <c r="Y6" i="22"/>
  <c r="Z6" i="21"/>
  <c r="Z22" i="19"/>
  <c r="Z20" i="19" s="1"/>
  <c r="Z32" i="19" s="1"/>
  <c r="U6" i="12"/>
  <c r="U6" i="13"/>
  <c r="V6" i="18"/>
  <c r="L39" i="1"/>
  <c r="H37" i="1"/>
  <c r="H36" i="1"/>
  <c r="L38" i="1"/>
  <c r="H35" i="1"/>
  <c r="L35" i="1"/>
  <c r="L36" i="1"/>
  <c r="I36" i="1"/>
  <c r="I35" i="1"/>
  <c r="I37" i="1"/>
  <c r="J37" i="1"/>
  <c r="J36" i="1"/>
  <c r="J35" i="1"/>
  <c r="B42" i="1"/>
  <c r="P6" i="3"/>
  <c r="Y16" i="20" l="1"/>
  <c r="Y30" i="20"/>
  <c r="HM15" i="17"/>
  <c r="FF15" i="17"/>
  <c r="AZ82" i="17"/>
  <c r="DH82" i="17" s="1"/>
  <c r="HM14" i="17"/>
  <c r="JT14" i="17"/>
  <c r="FF14" i="17"/>
  <c r="BO112" i="17"/>
  <c r="DW112" i="17" s="1"/>
  <c r="BP112" i="17"/>
  <c r="DX112" i="17" s="1"/>
  <c r="BO113" i="17"/>
  <c r="DW113" i="17" s="1"/>
  <c r="BP113" i="17"/>
  <c r="DX113" i="17" s="1"/>
  <c r="R10" i="11"/>
  <c r="AR109" i="17" s="1"/>
  <c r="CZ109" i="17" s="1"/>
  <c r="R21" i="11"/>
  <c r="R28" i="1"/>
  <c r="BM112" i="17"/>
  <c r="DU112" i="17" s="1"/>
  <c r="BN112" i="17"/>
  <c r="BM113" i="17"/>
  <c r="BN113" i="17"/>
  <c r="G38" i="1"/>
  <c r="S43" i="1"/>
  <c r="AO103" i="17"/>
  <c r="CW103" i="17" s="1"/>
  <c r="DR112" i="17"/>
  <c r="DR113" i="17"/>
  <c r="AO106" i="17"/>
  <c r="CW106" i="17" s="1"/>
  <c r="X16" i="22"/>
  <c r="AX93" i="17" s="1"/>
  <c r="DF93" i="17" s="1"/>
  <c r="P10" i="5"/>
  <c r="AP103" i="17" s="1"/>
  <c r="CX103" i="17" s="1"/>
  <c r="BK111" i="17"/>
  <c r="DS111" i="17" s="1"/>
  <c r="BJ111" i="17"/>
  <c r="O10" i="3"/>
  <c r="T10" i="14"/>
  <c r="AT45" i="17" s="1"/>
  <c r="DB45" i="17" s="1"/>
  <c r="T10" i="13"/>
  <c r="AT38" i="17" s="1"/>
  <c r="DB38" i="17" s="1"/>
  <c r="Q13" i="9"/>
  <c r="AQ59" i="17" s="1"/>
  <c r="CY59" i="17" s="1"/>
  <c r="Q16" i="9"/>
  <c r="K46" i="1" s="1"/>
  <c r="T22" i="14"/>
  <c r="BI111" i="17"/>
  <c r="Q13" i="8"/>
  <c r="G44" i="1" s="1"/>
  <c r="T13" i="12"/>
  <c r="AT32" i="17" s="1"/>
  <c r="DB32" i="17" s="1"/>
  <c r="DQ113" i="17"/>
  <c r="Q16" i="8"/>
  <c r="G46" i="1" s="1"/>
  <c r="T16" i="12"/>
  <c r="AT33" i="17" s="1"/>
  <c r="DB33" i="17" s="1"/>
  <c r="T22" i="13"/>
  <c r="O13" i="3"/>
  <c r="AO12" i="17" s="1"/>
  <c r="CW12" i="17" s="1"/>
  <c r="T16" i="14"/>
  <c r="AT47" i="17" s="1"/>
  <c r="DB47" i="17" s="1"/>
  <c r="G36" i="1"/>
  <c r="Z4" i="21"/>
  <c r="Z13" i="21" s="1"/>
  <c r="P10" i="4"/>
  <c r="Q35" i="1" s="1"/>
  <c r="P13" i="4"/>
  <c r="AP98" i="17" s="1"/>
  <c r="CX98" i="17" s="1" a="1"/>
  <c r="CX98" i="17" s="1"/>
  <c r="P16" i="4"/>
  <c r="AP99" i="17" s="1"/>
  <c r="CX99" i="17" s="1" a="1"/>
  <c r="CX99" i="17" s="1"/>
  <c r="Y4" i="20"/>
  <c r="Y19" i="20"/>
  <c r="Y10" i="20"/>
  <c r="Y13" i="20"/>
  <c r="Q10" i="8"/>
  <c r="AQ52" i="17" s="1"/>
  <c r="CY52" i="17" s="1" a="1"/>
  <c r="CY52" i="17" s="1"/>
  <c r="T19" i="12"/>
  <c r="Y4" i="22"/>
  <c r="Y16" i="22" s="1"/>
  <c r="U10" i="18"/>
  <c r="AU18" i="17" s="1"/>
  <c r="DC18" i="17" s="1"/>
  <c r="U19" i="14"/>
  <c r="AU48" i="17" s="1"/>
  <c r="U4" i="13"/>
  <c r="U10" i="13" s="1"/>
  <c r="U19" i="13"/>
  <c r="U4" i="12"/>
  <c r="U10" i="12" s="1"/>
  <c r="U22" i="12"/>
  <c r="HP66" i="17"/>
  <c r="S23" i="10"/>
  <c r="S16" i="10"/>
  <c r="S13" i="10"/>
  <c r="S19" i="10"/>
  <c r="X19" i="22"/>
  <c r="AX94" i="17" s="1"/>
  <c r="DF94" i="17" s="1"/>
  <c r="S24" i="11"/>
  <c r="S27" i="11"/>
  <c r="R36" i="1"/>
  <c r="T13" i="13"/>
  <c r="AT39" i="17" s="1"/>
  <c r="DB39" i="17" s="1"/>
  <c r="U16" i="18"/>
  <c r="AU20" i="17" s="1"/>
  <c r="DC20" i="17" s="1"/>
  <c r="Q19" i="9"/>
  <c r="K47" i="1" s="1"/>
  <c r="P19" i="5"/>
  <c r="AP106" i="17" s="1"/>
  <c r="CX106" i="17" s="1"/>
  <c r="X10" i="22"/>
  <c r="AX91" i="17" s="1"/>
  <c r="DF91" i="17" s="1"/>
  <c r="V4" i="18"/>
  <c r="V10" i="18" s="1"/>
  <c r="AV18" i="17" s="1"/>
  <c r="DD18" i="17" s="1"/>
  <c r="V14" i="18"/>
  <c r="V19" i="18"/>
  <c r="R4" i="8"/>
  <c r="R10" i="8" s="1"/>
  <c r="AR52" i="17" s="1"/>
  <c r="CZ52" i="17" s="1" a="1"/>
  <c r="CZ52" i="17" s="1"/>
  <c r="P16" i="5"/>
  <c r="R38" i="1" s="1"/>
  <c r="DQ112" i="17"/>
  <c r="AT31" i="17"/>
  <c r="DB31" i="17" s="1"/>
  <c r="G35" i="1"/>
  <c r="AT40" i="17"/>
  <c r="DB40" i="17" s="1"/>
  <c r="DF87" i="17"/>
  <c r="DE87" i="17"/>
  <c r="AO13" i="17"/>
  <c r="CW13" i="17" s="1"/>
  <c r="P4" i="4"/>
  <c r="P19" i="4" s="1"/>
  <c r="AP100" i="17" s="1"/>
  <c r="CX100" i="17" s="1"/>
  <c r="MB26" i="17"/>
  <c r="HN26" i="17"/>
  <c r="F37" i="1"/>
  <c r="Q4" i="5"/>
  <c r="Q16" i="5" s="1"/>
  <c r="FI109" i="17"/>
  <c r="JX109" i="17" s="1"/>
  <c r="S8" i="11"/>
  <c r="HP109" i="17" s="1"/>
  <c r="JV26" i="17"/>
  <c r="JU26" i="17"/>
  <c r="DA46" i="17"/>
  <c r="DA48" i="17"/>
  <c r="V77" i="26"/>
  <c r="AP61" i="17"/>
  <c r="CX61" i="17" s="1"/>
  <c r="D23" i="1"/>
  <c r="AN11" i="17"/>
  <c r="CV11" i="17" s="1"/>
  <c r="D31" i="1"/>
  <c r="AN13" i="17"/>
  <c r="CV13" i="17" s="1"/>
  <c r="AN12" i="17"/>
  <c r="CV12" i="17" s="1"/>
  <c r="AS49" i="17"/>
  <c r="DA49" i="17" s="1"/>
  <c r="AF7" i="14"/>
  <c r="W7" i="18"/>
  <c r="V2" i="18"/>
  <c r="K39" i="1"/>
  <c r="K35" i="1"/>
  <c r="K38" i="1"/>
  <c r="JW109" i="17"/>
  <c r="K36" i="1"/>
  <c r="FI64" i="17"/>
  <c r="JX64" i="17" s="1"/>
  <c r="FG25" i="17"/>
  <c r="JV25" i="17" s="1"/>
  <c r="FI65" i="17"/>
  <c r="JX65" i="17" s="1"/>
  <c r="FI66" i="17"/>
  <c r="JX66" i="17" s="1"/>
  <c r="D19" i="1"/>
  <c r="FG28" i="17"/>
  <c r="JV28" i="17" s="1"/>
  <c r="R35" i="9"/>
  <c r="R4" i="9"/>
  <c r="R13" i="9" s="1"/>
  <c r="HO59" i="17"/>
  <c r="HM12" i="17"/>
  <c r="HO55" i="17"/>
  <c r="HM99" i="17"/>
  <c r="HN103" i="17"/>
  <c r="D22" i="1"/>
  <c r="HM98" i="17"/>
  <c r="HM97" i="17"/>
  <c r="HN106" i="17"/>
  <c r="HN27" i="17"/>
  <c r="HO58" i="17"/>
  <c r="D20" i="1"/>
  <c r="HN105" i="17"/>
  <c r="HM11" i="17"/>
  <c r="CX9" i="17"/>
  <c r="P4" i="3"/>
  <c r="P13" i="3" s="1"/>
  <c r="HN25" i="17"/>
  <c r="HN104" i="17"/>
  <c r="HO53" i="17"/>
  <c r="AP9" i="17"/>
  <c r="HN28" i="17"/>
  <c r="HO52" i="17"/>
  <c r="FG24" i="17"/>
  <c r="JV24" i="17" s="1"/>
  <c r="HM100" i="17"/>
  <c r="HM13" i="17"/>
  <c r="FK46" i="17"/>
  <c r="JZ46" i="17" s="1"/>
  <c r="U4" i="14"/>
  <c r="U10" i="14" s="1"/>
  <c r="HO61" i="17"/>
  <c r="HO54" i="17"/>
  <c r="AQ58" i="17"/>
  <c r="CY58" i="17" s="1"/>
  <c r="HN24" i="17"/>
  <c r="AR64" i="17"/>
  <c r="CZ64" i="17" s="1"/>
  <c r="AR66" i="17"/>
  <c r="CZ66" i="17" s="1"/>
  <c r="AR67" i="17"/>
  <c r="CZ67" i="17" s="1"/>
  <c r="S4" i="11"/>
  <c r="S21" i="11" s="1"/>
  <c r="P47" i="1"/>
  <c r="O44" i="1"/>
  <c r="O43" i="1"/>
  <c r="O47" i="1"/>
  <c r="O46" i="1"/>
  <c r="N43" i="1"/>
  <c r="N47" i="1"/>
  <c r="N46" i="1"/>
  <c r="M46" i="1"/>
  <c r="N44" i="1"/>
  <c r="E46" i="1"/>
  <c r="P43" i="1"/>
  <c r="P46" i="1"/>
  <c r="M47" i="1"/>
  <c r="P44" i="1"/>
  <c r="M43" i="1"/>
  <c r="M44" i="1"/>
  <c r="E47" i="1"/>
  <c r="E44" i="1"/>
  <c r="E43" i="1"/>
  <c r="S4" i="10"/>
  <c r="HP65" i="17"/>
  <c r="JT12" i="17"/>
  <c r="JT15" i="17"/>
  <c r="JT13" i="17"/>
  <c r="JV52" i="17"/>
  <c r="JV55" i="17"/>
  <c r="JT11" i="17"/>
  <c r="JV53" i="17"/>
  <c r="AX70" i="17"/>
  <c r="DF70" i="17" s="1"/>
  <c r="JW66" i="17"/>
  <c r="JW67" i="17"/>
  <c r="JW65" i="17"/>
  <c r="JY48" i="17"/>
  <c r="JY42" i="17"/>
  <c r="JY49" i="17"/>
  <c r="JY47" i="17"/>
  <c r="JY46" i="17"/>
  <c r="JY45" i="17"/>
  <c r="JY33" i="17"/>
  <c r="JV61" i="17"/>
  <c r="JV59" i="17"/>
  <c r="JV58" i="17"/>
  <c r="JU106" i="17"/>
  <c r="JU105" i="17"/>
  <c r="JU104" i="17"/>
  <c r="JU103" i="17"/>
  <c r="J47" i="1"/>
  <c r="I47" i="1"/>
  <c r="H47" i="1"/>
  <c r="J46" i="1"/>
  <c r="H46" i="1"/>
  <c r="I46" i="1"/>
  <c r="JS122" i="17"/>
  <c r="JU28" i="17"/>
  <c r="JU27" i="17"/>
  <c r="JU25" i="17"/>
  <c r="JU24" i="17"/>
  <c r="JT98" i="17"/>
  <c r="FK48" i="17"/>
  <c r="JZ48" i="17" s="1"/>
  <c r="FK47" i="17"/>
  <c r="JZ47" i="17" s="1"/>
  <c r="FG27" i="17"/>
  <c r="LZ121" i="17"/>
  <c r="T118" i="17"/>
  <c r="T117" i="17"/>
  <c r="T116" i="17"/>
  <c r="T122" i="17"/>
  <c r="LZ117" i="17"/>
  <c r="T119" i="17"/>
  <c r="HM9" i="17"/>
  <c r="T120" i="17"/>
  <c r="LZ120" i="17"/>
  <c r="R122" i="17"/>
  <c r="R116" i="17"/>
  <c r="R121" i="17"/>
  <c r="T121" i="17"/>
  <c r="MB9" i="17"/>
  <c r="F39" i="1"/>
  <c r="F38" i="1"/>
  <c r="F35" i="1"/>
  <c r="F36" i="1"/>
  <c r="AX73" i="17"/>
  <c r="DF73" i="17" s="1"/>
  <c r="AX71" i="17"/>
  <c r="DF71" i="17" s="1"/>
  <c r="FI67" i="17"/>
  <c r="JX67" i="17" s="1"/>
  <c r="FK49" i="17"/>
  <c r="JZ49" i="17" s="1"/>
  <c r="AX72" i="17"/>
  <c r="DF72" i="17" s="1"/>
  <c r="FK45" i="17"/>
  <c r="JZ45" i="17" s="1"/>
  <c r="Z6" i="20"/>
  <c r="Z16" i="20" s="1"/>
  <c r="V6" i="14"/>
  <c r="FK40" i="17"/>
  <c r="JZ40" i="17" s="1"/>
  <c r="FK41" i="17"/>
  <c r="FK39" i="17"/>
  <c r="JZ39" i="17" s="1"/>
  <c r="FK42" i="17"/>
  <c r="T6" i="11"/>
  <c r="T6" i="10"/>
  <c r="S6" i="9"/>
  <c r="FH58" i="17"/>
  <c r="FH60" i="17"/>
  <c r="FH59" i="17"/>
  <c r="FH61" i="17"/>
  <c r="S6" i="8"/>
  <c r="FH52" i="17"/>
  <c r="JW52" i="17" s="1"/>
  <c r="FH55" i="17"/>
  <c r="FH54" i="17"/>
  <c r="FH53" i="17"/>
  <c r="JW53" i="17" s="1"/>
  <c r="R6" i="5"/>
  <c r="FG103" i="17"/>
  <c r="FG106" i="17"/>
  <c r="FG104" i="17"/>
  <c r="FG105" i="17"/>
  <c r="AP104" i="17"/>
  <c r="CX104" i="17" s="1"/>
  <c r="Q30" i="1"/>
  <c r="AO99" i="17"/>
  <c r="CW99" i="17" s="1" a="1"/>
  <c r="CW99" i="17" s="1"/>
  <c r="AO98" i="17"/>
  <c r="CW98" i="17" s="1" a="1"/>
  <c r="CW98" i="17" s="1"/>
  <c r="Q28" i="1"/>
  <c r="Q27" i="1"/>
  <c r="AO97" i="17"/>
  <c r="CW97" i="17" s="1"/>
  <c r="Q31" i="1"/>
  <c r="AO100" i="17"/>
  <c r="CW100" i="17" s="1"/>
  <c r="Q6" i="4"/>
  <c r="FF99" i="17"/>
  <c r="FF97" i="17"/>
  <c r="FF100" i="17"/>
  <c r="FF98" i="17"/>
  <c r="FF13" i="17"/>
  <c r="JU13" i="17" s="1"/>
  <c r="JU9" i="17"/>
  <c r="FF9" i="17"/>
  <c r="FF11" i="17"/>
  <c r="FF12" i="17"/>
  <c r="D30" i="1"/>
  <c r="AX92" i="17"/>
  <c r="DF92" i="17" s="1"/>
  <c r="Z6" i="22"/>
  <c r="AA6" i="21"/>
  <c r="AA22" i="19"/>
  <c r="AA20" i="19" s="1"/>
  <c r="AA32" i="19" s="1"/>
  <c r="V6" i="12"/>
  <c r="V6" i="13"/>
  <c r="W6" i="18"/>
  <c r="L47" i="1"/>
  <c r="L46" i="1"/>
  <c r="L44" i="1"/>
  <c r="H45" i="1"/>
  <c r="H44" i="1"/>
  <c r="L43" i="1"/>
  <c r="H43" i="1"/>
  <c r="J45" i="1"/>
  <c r="J44" i="1"/>
  <c r="I43" i="1"/>
  <c r="J43" i="1"/>
  <c r="I45" i="1"/>
  <c r="I44" i="1"/>
  <c r="B50" i="1"/>
  <c r="Q6" i="3"/>
  <c r="FG15" i="17" l="1"/>
  <c r="HN15" i="17"/>
  <c r="BA82" i="17"/>
  <c r="DI82" i="17" s="1"/>
  <c r="AO11" i="17"/>
  <c r="CW11" i="17" s="1"/>
  <c r="HN14" i="17"/>
  <c r="MB14" i="17"/>
  <c r="JU14" i="17"/>
  <c r="FG14" i="17"/>
  <c r="JV14" i="17" s="1"/>
  <c r="P22" i="3"/>
  <c r="BT113" i="17"/>
  <c r="EB113" i="17" s="1"/>
  <c r="BU113" i="17"/>
  <c r="EC113" i="17" s="1"/>
  <c r="BT112" i="17"/>
  <c r="EB112" i="17" s="1"/>
  <c r="BU112" i="17"/>
  <c r="EC112" i="17" s="1"/>
  <c r="BT111" i="17"/>
  <c r="EB111" i="17" s="1"/>
  <c r="BU111" i="17"/>
  <c r="EC111" i="17" s="1"/>
  <c r="BS111" i="17"/>
  <c r="BR111" i="17"/>
  <c r="DZ111" i="17" s="1"/>
  <c r="BR113" i="17"/>
  <c r="DZ113" i="17" s="1"/>
  <c r="BS113" i="17"/>
  <c r="EA113" i="17" s="1"/>
  <c r="BR112" i="17"/>
  <c r="BS112" i="17"/>
  <c r="EA112" i="17" s="1"/>
  <c r="DV112" i="17"/>
  <c r="DV113" i="17"/>
  <c r="BP111" i="17"/>
  <c r="DX111" i="17" s="1"/>
  <c r="BQ111" i="17"/>
  <c r="DY111" i="17" s="1"/>
  <c r="BO111" i="17"/>
  <c r="BM111" i="17"/>
  <c r="DU111" i="17" s="1"/>
  <c r="BN111" i="17"/>
  <c r="DU113" i="17"/>
  <c r="Z16" i="21"/>
  <c r="Z10" i="21"/>
  <c r="S10" i="11"/>
  <c r="AS109" i="17" s="1"/>
  <c r="DA109" i="17" s="1"/>
  <c r="U13" i="12"/>
  <c r="AU32" i="17" s="1"/>
  <c r="DC32" i="17" s="1"/>
  <c r="DR111" i="17"/>
  <c r="G43" i="1"/>
  <c r="AQ54" i="17"/>
  <c r="CY54" i="17" s="1"/>
  <c r="U13" i="13"/>
  <c r="AU39" i="17" s="1"/>
  <c r="DC39" i="17" s="1"/>
  <c r="U16" i="13"/>
  <c r="AU40" i="17" s="1"/>
  <c r="DC40" i="17" s="1"/>
  <c r="U22" i="13"/>
  <c r="U19" i="12"/>
  <c r="U16" i="12"/>
  <c r="AU33" i="17" s="1"/>
  <c r="DC33" i="17" s="1"/>
  <c r="U16" i="14"/>
  <c r="AU47" i="17" s="1"/>
  <c r="DC47" i="17" s="1"/>
  <c r="AQ53" i="17"/>
  <c r="CY53" i="17" s="1" a="1"/>
  <c r="CY53" i="17" s="1"/>
  <c r="U13" i="14"/>
  <c r="DQ111" i="17"/>
  <c r="V16" i="18"/>
  <c r="AV20" i="17" s="1"/>
  <c r="DD20" i="17" s="1"/>
  <c r="V13" i="18"/>
  <c r="AV19" i="17" s="1"/>
  <c r="DD19" i="17" s="1"/>
  <c r="P10" i="3"/>
  <c r="R10" i="9"/>
  <c r="AR58" i="17" s="1"/>
  <c r="CZ58" i="17" s="1"/>
  <c r="R19" i="9"/>
  <c r="AR61" i="17" s="1"/>
  <c r="CZ61" i="17" s="1"/>
  <c r="V19" i="14"/>
  <c r="Q10" i="5"/>
  <c r="R43" i="1" s="1"/>
  <c r="U22" i="14"/>
  <c r="AU49" i="17" s="1"/>
  <c r="DC49" i="17" s="1"/>
  <c r="Z19" i="21"/>
  <c r="R16" i="9"/>
  <c r="AR60" i="17" s="1"/>
  <c r="CZ60" i="17" s="1"/>
  <c r="Q13" i="5"/>
  <c r="AQ104" i="17" s="1"/>
  <c r="CY104" i="17" s="1"/>
  <c r="AA4" i="21"/>
  <c r="AA13" i="21" s="1"/>
  <c r="Z4" i="22"/>
  <c r="Z16" i="22" s="1"/>
  <c r="T23" i="10"/>
  <c r="T16" i="10"/>
  <c r="T19" i="10"/>
  <c r="T13" i="10"/>
  <c r="R13" i="8"/>
  <c r="AR53" i="17" s="1"/>
  <c r="CZ53" i="17" s="1" a="1"/>
  <c r="CZ53" i="17" s="1"/>
  <c r="Q19" i="5"/>
  <c r="R47" i="1" s="1"/>
  <c r="Y10" i="22"/>
  <c r="Z4" i="20"/>
  <c r="Z19" i="20"/>
  <c r="R19" i="8"/>
  <c r="AR55" i="17" s="1"/>
  <c r="CZ55" i="17" s="1" a="1"/>
  <c r="CZ55" i="17" s="1"/>
  <c r="Y19" i="22"/>
  <c r="Q4" i="4"/>
  <c r="Q19" i="4" s="1"/>
  <c r="Q13" i="4"/>
  <c r="Q16" i="4"/>
  <c r="AQ99" i="17" s="1"/>
  <c r="CY99" i="17" s="1" a="1"/>
  <c r="CY99" i="17" s="1"/>
  <c r="Q10" i="4"/>
  <c r="V22" i="12"/>
  <c r="P16" i="3"/>
  <c r="R16" i="8"/>
  <c r="AR54" i="17" s="1"/>
  <c r="CZ54" i="17" s="1"/>
  <c r="P19" i="3"/>
  <c r="Y13" i="22"/>
  <c r="V19" i="13"/>
  <c r="T24" i="11"/>
  <c r="T27" i="11"/>
  <c r="W4" i="18"/>
  <c r="W13" i="18" s="1"/>
  <c r="AW19" i="17" s="1"/>
  <c r="DE19" i="17" s="1"/>
  <c r="W14" i="18"/>
  <c r="W19" i="18"/>
  <c r="D28" i="1"/>
  <c r="D27" i="1"/>
  <c r="S51" i="1"/>
  <c r="R35" i="1"/>
  <c r="AP105" i="17"/>
  <c r="CX105" i="17" s="1"/>
  <c r="R46" i="1"/>
  <c r="R4" i="5"/>
  <c r="R19" i="5" s="1"/>
  <c r="HO26" i="17"/>
  <c r="AQ26" i="17"/>
  <c r="CY26" i="17" s="1" a="1"/>
  <c r="CY26" i="17" s="1"/>
  <c r="R39" i="1"/>
  <c r="T8" i="11"/>
  <c r="AQ27" i="17"/>
  <c r="CY27" i="17" s="1"/>
  <c r="F45" i="1"/>
  <c r="AR25" i="17"/>
  <c r="CZ25" i="17" s="1" a="1"/>
  <c r="CZ25" i="17" s="1"/>
  <c r="V4" i="13"/>
  <c r="V22" i="13" s="1"/>
  <c r="FI60" i="17"/>
  <c r="JX60" i="17" s="1"/>
  <c r="MC26" i="17"/>
  <c r="V4" i="12"/>
  <c r="AQ25" i="17"/>
  <c r="CY25" i="17" s="1" a="1"/>
  <c r="CY25" i="17" s="1"/>
  <c r="F43" i="1"/>
  <c r="F47" i="1"/>
  <c r="DB48" i="17"/>
  <c r="G47" i="1"/>
  <c r="AT49" i="17"/>
  <c r="DB49" i="17" s="1"/>
  <c r="AT46" i="17"/>
  <c r="DB46" i="17" s="1"/>
  <c r="V4" i="14"/>
  <c r="V22" i="14" s="1"/>
  <c r="AG7" i="14"/>
  <c r="AU31" i="17"/>
  <c r="DC31" i="17" s="1"/>
  <c r="X7" i="18"/>
  <c r="W2" i="18"/>
  <c r="AQ60" i="17"/>
  <c r="CY60" i="17" s="1"/>
  <c r="K43" i="1"/>
  <c r="K44" i="1"/>
  <c r="AQ61" i="17"/>
  <c r="CY61" i="17" s="1"/>
  <c r="HN97" i="17"/>
  <c r="HO103" i="17"/>
  <c r="AQ9" i="17"/>
  <c r="K52" i="1"/>
  <c r="FI52" i="17"/>
  <c r="JX52" i="17" s="1"/>
  <c r="S4" i="8"/>
  <c r="S16" i="8" s="1"/>
  <c r="HN99" i="17"/>
  <c r="HO104" i="17"/>
  <c r="HN13" i="17"/>
  <c r="HN11" i="17"/>
  <c r="AQ55" i="17"/>
  <c r="CY55" i="17" s="1" a="1"/>
  <c r="CY55" i="17" s="1"/>
  <c r="FI53" i="17"/>
  <c r="JX53" i="17" s="1"/>
  <c r="HO24" i="17"/>
  <c r="CY9" i="17"/>
  <c r="Q4" i="3"/>
  <c r="Q10" i="3" s="1"/>
  <c r="HO106" i="17"/>
  <c r="HO28" i="17"/>
  <c r="HO25" i="17"/>
  <c r="HO105" i="17"/>
  <c r="HN98" i="17"/>
  <c r="HN100" i="17"/>
  <c r="S35" i="9"/>
  <c r="S4" i="9"/>
  <c r="S10" i="9" s="1"/>
  <c r="HO27" i="17"/>
  <c r="HN12" i="17"/>
  <c r="AS66" i="17"/>
  <c r="DA66" i="17" s="1"/>
  <c r="AS67" i="17"/>
  <c r="DA67" i="17" s="1"/>
  <c r="AS64" i="17"/>
  <c r="DA64" i="17" s="1"/>
  <c r="AS65" i="17"/>
  <c r="DA65" i="17" s="1"/>
  <c r="AR65" i="17"/>
  <c r="CZ65" i="17" s="1"/>
  <c r="T4" i="11"/>
  <c r="T21" i="11" s="1"/>
  <c r="P55" i="1"/>
  <c r="O55" i="1"/>
  <c r="O52" i="1"/>
  <c r="O51" i="1"/>
  <c r="O54" i="1"/>
  <c r="N51" i="1"/>
  <c r="E54" i="1"/>
  <c r="N52" i="1"/>
  <c r="N55" i="1"/>
  <c r="P51" i="1"/>
  <c r="P52" i="1"/>
  <c r="M55" i="1"/>
  <c r="M52" i="1"/>
  <c r="N54" i="1"/>
  <c r="P54" i="1"/>
  <c r="M51" i="1"/>
  <c r="M54" i="1"/>
  <c r="E55" i="1"/>
  <c r="E51" i="1"/>
  <c r="E52" i="1"/>
  <c r="T38" i="10"/>
  <c r="T35" i="10"/>
  <c r="T32" i="10"/>
  <c r="T29" i="10"/>
  <c r="T4" i="10"/>
  <c r="JW55" i="17"/>
  <c r="JU11" i="17"/>
  <c r="JU15" i="17"/>
  <c r="JW54" i="17"/>
  <c r="JU12" i="17"/>
  <c r="JZ42" i="17"/>
  <c r="JW61" i="17"/>
  <c r="JW60" i="17"/>
  <c r="JW59" i="17"/>
  <c r="JW58" i="17"/>
  <c r="JV105" i="17"/>
  <c r="JV106" i="17"/>
  <c r="JV104" i="17"/>
  <c r="JV103" i="17"/>
  <c r="J55" i="1"/>
  <c r="I55" i="1"/>
  <c r="H55" i="1"/>
  <c r="J54" i="1"/>
  <c r="H54" i="1"/>
  <c r="I54" i="1"/>
  <c r="R117" i="17"/>
  <c r="JS117" i="17"/>
  <c r="KA117" i="17"/>
  <c r="KI117" i="17"/>
  <c r="KQ117" i="17"/>
  <c r="KY117" i="17"/>
  <c r="LG117" i="17"/>
  <c r="LO117" i="17"/>
  <c r="JT117" i="17"/>
  <c r="KB117" i="17"/>
  <c r="KJ117" i="17"/>
  <c r="KR117" i="17"/>
  <c r="KZ117" i="17"/>
  <c r="LH117" i="17"/>
  <c r="LP117" i="17"/>
  <c r="KG117" i="17"/>
  <c r="KW117" i="17"/>
  <c r="LM117" i="17"/>
  <c r="JU117" i="17"/>
  <c r="KC117" i="17"/>
  <c r="KK117" i="17"/>
  <c r="KS117" i="17"/>
  <c r="LA117" i="17"/>
  <c r="LI117" i="17"/>
  <c r="LQ117" i="17"/>
  <c r="JV117" i="17"/>
  <c r="KD117" i="17"/>
  <c r="KL117" i="17"/>
  <c r="KT117" i="17"/>
  <c r="LB117" i="17"/>
  <c r="LJ117" i="17"/>
  <c r="LR117" i="17"/>
  <c r="JW117" i="17"/>
  <c r="KE117" i="17"/>
  <c r="KM117" i="17"/>
  <c r="KU117" i="17"/>
  <c r="LC117" i="17"/>
  <c r="LK117" i="17"/>
  <c r="JX117" i="17"/>
  <c r="KF117" i="17"/>
  <c r="KN117" i="17"/>
  <c r="KV117" i="17"/>
  <c r="LD117" i="17"/>
  <c r="LL117" i="17"/>
  <c r="JY117" i="17"/>
  <c r="KO117" i="17"/>
  <c r="LE117" i="17"/>
  <c r="JZ117" i="17"/>
  <c r="KH117" i="17"/>
  <c r="KP117" i="17"/>
  <c r="KX117" i="17"/>
  <c r="LF117" i="17"/>
  <c r="LN117" i="17"/>
  <c r="R123" i="17"/>
  <c r="JS123" i="17"/>
  <c r="Y116" i="17"/>
  <c r="R120" i="17"/>
  <c r="JW120" i="17"/>
  <c r="KE120" i="17"/>
  <c r="KM120" i="17"/>
  <c r="KU120" i="17"/>
  <c r="LC120" i="17"/>
  <c r="LK120" i="17"/>
  <c r="JX120" i="17"/>
  <c r="KF120" i="17"/>
  <c r="KN120" i="17"/>
  <c r="KV120" i="17"/>
  <c r="LD120" i="17"/>
  <c r="LL120" i="17"/>
  <c r="KC120" i="17"/>
  <c r="KS120" i="17"/>
  <c r="LI120" i="17"/>
  <c r="JY120" i="17"/>
  <c r="KG120" i="17"/>
  <c r="KO120" i="17"/>
  <c r="KW120" i="17"/>
  <c r="LE120" i="17"/>
  <c r="LM120" i="17"/>
  <c r="JZ120" i="17"/>
  <c r="KH120" i="17"/>
  <c r="KP120" i="17"/>
  <c r="KX120" i="17"/>
  <c r="LF120" i="17"/>
  <c r="LN120" i="17"/>
  <c r="JS120" i="17"/>
  <c r="KA120" i="17"/>
  <c r="KI120" i="17"/>
  <c r="KQ120" i="17"/>
  <c r="KY120" i="17"/>
  <c r="LG120" i="17"/>
  <c r="LO120" i="17"/>
  <c r="JT120" i="17"/>
  <c r="KB120" i="17"/>
  <c r="KJ120" i="17"/>
  <c r="KR120" i="17"/>
  <c r="KZ120" i="17"/>
  <c r="LH120" i="17"/>
  <c r="LP120" i="17"/>
  <c r="JU120" i="17"/>
  <c r="KK120" i="17"/>
  <c r="LA120" i="17"/>
  <c r="LQ120" i="17"/>
  <c r="JV120" i="17"/>
  <c r="KD120" i="17"/>
  <c r="KL120" i="17"/>
  <c r="KT120" i="17"/>
  <c r="LB120" i="17"/>
  <c r="LJ120" i="17"/>
  <c r="LR120" i="17"/>
  <c r="JS121" i="17"/>
  <c r="KA121" i="17"/>
  <c r="KI121" i="17"/>
  <c r="KQ121" i="17"/>
  <c r="KY121" i="17"/>
  <c r="LG121" i="17"/>
  <c r="LO121" i="17"/>
  <c r="JT121" i="17"/>
  <c r="KB121" i="17"/>
  <c r="KJ121" i="17"/>
  <c r="KR121" i="17"/>
  <c r="KZ121" i="17"/>
  <c r="LH121" i="17"/>
  <c r="LP121" i="17"/>
  <c r="JY121" i="17"/>
  <c r="KO121" i="17"/>
  <c r="LE121" i="17"/>
  <c r="JU121" i="17"/>
  <c r="KC121" i="17"/>
  <c r="KK121" i="17"/>
  <c r="KS121" i="17"/>
  <c r="LA121" i="17"/>
  <c r="LI121" i="17"/>
  <c r="LQ121" i="17"/>
  <c r="JV121" i="17"/>
  <c r="KD121" i="17"/>
  <c r="KL121" i="17"/>
  <c r="KT121" i="17"/>
  <c r="LB121" i="17"/>
  <c r="LJ121" i="17"/>
  <c r="LR121" i="17"/>
  <c r="JW121" i="17"/>
  <c r="KE121" i="17"/>
  <c r="KM121" i="17"/>
  <c r="KU121" i="17"/>
  <c r="LC121" i="17"/>
  <c r="LK121" i="17"/>
  <c r="JX121" i="17"/>
  <c r="KF121" i="17"/>
  <c r="KN121" i="17"/>
  <c r="KV121" i="17"/>
  <c r="LD121" i="17"/>
  <c r="LL121" i="17"/>
  <c r="KG121" i="17"/>
  <c r="KW121" i="17"/>
  <c r="LM121" i="17"/>
  <c r="JZ121" i="17"/>
  <c r="KH121" i="17"/>
  <c r="KP121" i="17"/>
  <c r="KX121" i="17"/>
  <c r="LF121" i="17"/>
  <c r="LN121" i="17"/>
  <c r="R119" i="17"/>
  <c r="JS119" i="17"/>
  <c r="JT119" i="17"/>
  <c r="R118" i="17"/>
  <c r="JS118" i="17"/>
  <c r="JV27" i="17"/>
  <c r="JU100" i="17"/>
  <c r="JU99" i="17"/>
  <c r="JU98" i="17"/>
  <c r="JU97" i="17"/>
  <c r="FI58" i="17"/>
  <c r="FH106" i="17"/>
  <c r="FH105" i="17"/>
  <c r="FH103" i="17"/>
  <c r="LZ119" i="17"/>
  <c r="LZ123" i="17"/>
  <c r="LZ122" i="17"/>
  <c r="LZ118" i="17"/>
  <c r="HN9" i="17"/>
  <c r="MC9" i="17"/>
  <c r="F44" i="1"/>
  <c r="FI54" i="17"/>
  <c r="FI61" i="17"/>
  <c r="FI55" i="17"/>
  <c r="FI59" i="17"/>
  <c r="AA6" i="20"/>
  <c r="AA16" i="20" s="1"/>
  <c r="W6" i="14"/>
  <c r="FL48" i="17"/>
  <c r="KA48" i="17" s="1"/>
  <c r="FL47" i="17"/>
  <c r="KA47" i="17" s="1"/>
  <c r="FL46" i="17"/>
  <c r="KA46" i="17" s="1"/>
  <c r="FL45" i="17"/>
  <c r="KA45" i="17" s="1"/>
  <c r="FL49" i="17"/>
  <c r="KA49" i="17" s="1"/>
  <c r="FL42" i="17"/>
  <c r="KA42" i="17" s="1"/>
  <c r="AU38" i="17"/>
  <c r="DC38" i="17" s="1"/>
  <c r="U6" i="11"/>
  <c r="U6" i="10"/>
  <c r="FJ64" i="17"/>
  <c r="JY64" i="17" s="1"/>
  <c r="FJ67" i="17"/>
  <c r="JY67" i="17" s="1"/>
  <c r="FJ66" i="17"/>
  <c r="JY66" i="17" s="1"/>
  <c r="FJ65" i="17"/>
  <c r="JY65" i="17" s="1"/>
  <c r="T6" i="9"/>
  <c r="T6" i="8"/>
  <c r="FH24" i="17"/>
  <c r="FH25" i="17"/>
  <c r="FH27" i="17"/>
  <c r="FH28" i="17"/>
  <c r="AQ105" i="17"/>
  <c r="CY105" i="17" s="1"/>
  <c r="S6" i="5"/>
  <c r="FH104" i="17"/>
  <c r="FG99" i="17"/>
  <c r="FG98" i="17"/>
  <c r="FG100" i="17"/>
  <c r="Q38" i="1"/>
  <c r="Q39" i="1"/>
  <c r="FG97" i="17"/>
  <c r="AP97" i="17"/>
  <c r="CX97" i="17" s="1"/>
  <c r="R6" i="4"/>
  <c r="Q36" i="1"/>
  <c r="FG13" i="17"/>
  <c r="FG9" i="17"/>
  <c r="FG12" i="17"/>
  <c r="FG11" i="17"/>
  <c r="JV9" i="17"/>
  <c r="AA6" i="22"/>
  <c r="AB6" i="21"/>
  <c r="AB22" i="19"/>
  <c r="AB20" i="19" s="1"/>
  <c r="AB32" i="19" s="1"/>
  <c r="W6" i="12"/>
  <c r="W6" i="13"/>
  <c r="X6" i="18"/>
  <c r="G51" i="1"/>
  <c r="L51" i="1"/>
  <c r="H53" i="1"/>
  <c r="H52" i="1"/>
  <c r="L55" i="1"/>
  <c r="L54" i="1"/>
  <c r="L52" i="1"/>
  <c r="H51" i="1"/>
  <c r="J52" i="1"/>
  <c r="I53" i="1"/>
  <c r="J51" i="1"/>
  <c r="I52" i="1"/>
  <c r="I51" i="1"/>
  <c r="J53" i="1"/>
  <c r="B58" i="1"/>
  <c r="R6" i="3"/>
  <c r="MC14" i="17" l="1"/>
  <c r="FH15" i="17"/>
  <c r="HO15" i="17"/>
  <c r="BX113" i="17"/>
  <c r="EF113" i="17" s="1"/>
  <c r="BY113" i="17"/>
  <c r="EG113" i="17" s="1"/>
  <c r="BX112" i="17"/>
  <c r="EF112" i="17" s="1"/>
  <c r="BY112" i="17"/>
  <c r="EG112" i="17" s="1"/>
  <c r="BX111" i="17"/>
  <c r="EF111" i="17" s="1"/>
  <c r="W125" i="40" s="1"/>
  <c r="BY111" i="17"/>
  <c r="EG111" i="17" s="1"/>
  <c r="BB82" i="17"/>
  <c r="DJ82" i="17" s="1"/>
  <c r="BV111" i="17"/>
  <c r="ED111" i="17" s="1"/>
  <c r="BW111" i="17"/>
  <c r="Z10" i="20"/>
  <c r="Z30" i="20"/>
  <c r="AP15" i="17"/>
  <c r="CX15" i="17" s="1"/>
  <c r="AP14" i="17"/>
  <c r="CX14" i="17" s="1"/>
  <c r="HO14" i="17"/>
  <c r="FH14" i="17"/>
  <c r="BV113" i="17"/>
  <c r="BW113" i="17"/>
  <c r="BV112" i="17"/>
  <c r="ED112" i="17" s="1"/>
  <c r="BW112" i="17"/>
  <c r="P126" i="40" s="1"/>
  <c r="Q22" i="3"/>
  <c r="AQ15" i="17" s="1"/>
  <c r="CY15" i="17" s="1"/>
  <c r="EA111" i="17"/>
  <c r="AQ103" i="17"/>
  <c r="CY103" i="17" s="1"/>
  <c r="DZ112" i="17"/>
  <c r="DV111" i="17"/>
  <c r="P125" i="40"/>
  <c r="DW111" i="17"/>
  <c r="S59" i="1"/>
  <c r="G54" i="1"/>
  <c r="G52" i="1"/>
  <c r="AQ106" i="17"/>
  <c r="CY106" i="17" s="1"/>
  <c r="S10" i="8"/>
  <c r="AS52" i="17" s="1"/>
  <c r="DA52" i="17" s="1" a="1"/>
  <c r="DA52" i="17" s="1"/>
  <c r="AA10" i="21"/>
  <c r="BA85" i="17" s="1"/>
  <c r="DI85" i="17" s="1"/>
  <c r="R16" i="5"/>
  <c r="AR105" i="17" s="1"/>
  <c r="CZ105" i="17" s="1"/>
  <c r="MD26" i="17"/>
  <c r="W10" i="18"/>
  <c r="AW18" i="17" s="1"/>
  <c r="DE18" i="17" s="1"/>
  <c r="Z13" i="20"/>
  <c r="W16" i="18"/>
  <c r="AW20" i="17" s="1"/>
  <c r="DE20" i="17" s="1"/>
  <c r="T10" i="11"/>
  <c r="AT109" i="17" s="1"/>
  <c r="DB109" i="17" s="1"/>
  <c r="U24" i="11"/>
  <c r="U27" i="11"/>
  <c r="Q13" i="3"/>
  <c r="AQ12" i="17" s="1"/>
  <c r="CY12" i="17" s="1"/>
  <c r="Q16" i="3"/>
  <c r="AQ13" i="17" s="1"/>
  <c r="CY13" i="17" s="1"/>
  <c r="X4" i="18"/>
  <c r="X10" i="18" s="1"/>
  <c r="AX18" i="17" s="1"/>
  <c r="DF18" i="17" s="1"/>
  <c r="X14" i="18"/>
  <c r="X19" i="18"/>
  <c r="AA4" i="20"/>
  <c r="AA19" i="20"/>
  <c r="Q19" i="3"/>
  <c r="AQ14" i="17" s="1"/>
  <c r="CY14" i="17" s="1"/>
  <c r="S16" i="9"/>
  <c r="AS60" i="17" s="1"/>
  <c r="DA60" i="17" s="1"/>
  <c r="V10" i="12"/>
  <c r="AV31" i="17" s="1"/>
  <c r="DD31" i="17" s="1"/>
  <c r="AA19" i="21"/>
  <c r="S19" i="9"/>
  <c r="AS61" i="17" s="1"/>
  <c r="DA61" i="17" s="1"/>
  <c r="S4" i="5"/>
  <c r="S19" i="5" s="1"/>
  <c r="R63" i="1" s="1"/>
  <c r="W4" i="13"/>
  <c r="W10" i="13" s="1"/>
  <c r="W19" i="13"/>
  <c r="V16" i="13"/>
  <c r="AV40" i="17" s="1"/>
  <c r="DD40" i="17" s="1"/>
  <c r="V13" i="12"/>
  <c r="AV32" i="17" s="1"/>
  <c r="DD32" i="17" s="1"/>
  <c r="AA16" i="21"/>
  <c r="V10" i="14"/>
  <c r="AV45" i="17" s="1"/>
  <c r="DD45" i="17" s="1"/>
  <c r="T4" i="8"/>
  <c r="T10" i="8" s="1"/>
  <c r="AT52" i="17" s="1"/>
  <c r="DB52" i="17" s="1" a="1"/>
  <c r="DB52" i="17" s="1"/>
  <c r="S13" i="9"/>
  <c r="K60" i="1" s="1"/>
  <c r="W4" i="12"/>
  <c r="W19" i="12" s="1"/>
  <c r="W22" i="12"/>
  <c r="G55" i="1"/>
  <c r="V13" i="13"/>
  <c r="AV39" i="17" s="1"/>
  <c r="DD39" i="17" s="1"/>
  <c r="V19" i="12"/>
  <c r="Z10" i="22"/>
  <c r="AZ91" i="17" s="1"/>
  <c r="DH91" i="17" s="1"/>
  <c r="V13" i="14"/>
  <c r="W4" i="14"/>
  <c r="W22" i="14" s="1"/>
  <c r="W19" i="14"/>
  <c r="R55" i="1"/>
  <c r="V10" i="13"/>
  <c r="AV38" i="17" s="1"/>
  <c r="DD38" i="17" s="1"/>
  <c r="S13" i="8"/>
  <c r="Z13" i="22"/>
  <c r="AZ92" i="17" s="1"/>
  <c r="DH92" i="17" s="1"/>
  <c r="V16" i="14"/>
  <c r="R4" i="4"/>
  <c r="R19" i="4"/>
  <c r="AR100" i="17" s="1"/>
  <c r="CZ100" i="17" s="1"/>
  <c r="R16" i="4"/>
  <c r="AR99" i="17" s="1"/>
  <c r="CZ99" i="17" s="1" a="1"/>
  <c r="CZ99" i="17" s="1"/>
  <c r="R13" i="4"/>
  <c r="R10" i="4"/>
  <c r="AR97" i="17" s="1"/>
  <c r="CZ97" i="17" s="1"/>
  <c r="AB4" i="21"/>
  <c r="AB16" i="21" s="1"/>
  <c r="R10" i="5"/>
  <c r="AR103" i="17" s="1"/>
  <c r="CZ103" i="17" s="1"/>
  <c r="S19" i="8"/>
  <c r="V16" i="12"/>
  <c r="AV33" i="17" s="1"/>
  <c r="DD33" i="17" s="1"/>
  <c r="Z19" i="22"/>
  <c r="AZ94" i="17" s="1"/>
  <c r="DH94" i="17" s="1"/>
  <c r="AA4" i="22"/>
  <c r="AA16" i="22" s="1"/>
  <c r="U23" i="10"/>
  <c r="U16" i="10"/>
  <c r="U19" i="10"/>
  <c r="U13" i="10"/>
  <c r="R13" i="5"/>
  <c r="R52" i="1" s="1"/>
  <c r="R44" i="1"/>
  <c r="F46" i="1"/>
  <c r="AR24" i="17"/>
  <c r="CZ24" i="17" s="1" a="1"/>
  <c r="CZ24" i="17" s="1"/>
  <c r="F52" i="1"/>
  <c r="FH98" i="17"/>
  <c r="JW98" i="17" s="1"/>
  <c r="U8" i="11"/>
  <c r="HO98" i="17"/>
  <c r="F53" i="1"/>
  <c r="F55" i="1"/>
  <c r="F54" i="1"/>
  <c r="FH97" i="17"/>
  <c r="F61" i="1"/>
  <c r="HO99" i="17"/>
  <c r="FH100" i="17"/>
  <c r="JW100" i="17" s="1"/>
  <c r="AR26" i="17"/>
  <c r="CZ26" i="17" s="1" a="1"/>
  <c r="CZ26" i="17" s="1"/>
  <c r="HO100" i="17"/>
  <c r="R4" i="3"/>
  <c r="R10" i="3" s="1"/>
  <c r="HO97" i="17"/>
  <c r="FH99" i="17"/>
  <c r="JW99" i="17" s="1"/>
  <c r="AQ28" i="17"/>
  <c r="CY28" i="17" s="1" a="1"/>
  <c r="CY28" i="17" s="1"/>
  <c r="AQ24" i="17"/>
  <c r="CY24" i="17" s="1" a="1"/>
  <c r="CY24" i="17" s="1"/>
  <c r="DC48" i="17"/>
  <c r="AR59" i="17"/>
  <c r="CZ59" i="17" s="1"/>
  <c r="Y117" i="17"/>
  <c r="K55" i="1"/>
  <c r="D38" i="1"/>
  <c r="AP13" i="17"/>
  <c r="CX13" i="17" s="1"/>
  <c r="AR27" i="17"/>
  <c r="CZ27" i="17" s="1"/>
  <c r="D39" i="1"/>
  <c r="Y121" i="17"/>
  <c r="Y120" i="17"/>
  <c r="AP12" i="17"/>
  <c r="CX12" i="17" s="1"/>
  <c r="AP11" i="17"/>
  <c r="CX11" i="17" s="1"/>
  <c r="AH7" i="14"/>
  <c r="AU46" i="17"/>
  <c r="Y7" i="18"/>
  <c r="X2" i="18"/>
  <c r="K51" i="1"/>
  <c r="K54" i="1"/>
  <c r="D35" i="1"/>
  <c r="D36" i="1"/>
  <c r="AR9" i="17"/>
  <c r="AS58" i="17"/>
  <c r="DA58" i="17" s="1"/>
  <c r="HO11" i="17"/>
  <c r="HO12" i="17"/>
  <c r="D43" i="1"/>
  <c r="G62" i="1"/>
  <c r="T35" i="9"/>
  <c r="T4" i="9"/>
  <c r="T10" i="9" s="1"/>
  <c r="AU45" i="17"/>
  <c r="DC45" i="17" s="1"/>
  <c r="AT67" i="17"/>
  <c r="DB67" i="17" s="1"/>
  <c r="AT66" i="17"/>
  <c r="DB66" i="17" s="1"/>
  <c r="AT65" i="17"/>
  <c r="DB65" i="17" s="1"/>
  <c r="AT64" i="17"/>
  <c r="DB64" i="17" s="1"/>
  <c r="U4" i="11"/>
  <c r="P63" i="1"/>
  <c r="O59" i="1"/>
  <c r="O63" i="1"/>
  <c r="O60" i="1"/>
  <c r="O62" i="1"/>
  <c r="E62" i="1"/>
  <c r="N63" i="1"/>
  <c r="N60" i="1"/>
  <c r="N62" i="1"/>
  <c r="P60" i="1"/>
  <c r="M59" i="1"/>
  <c r="P62" i="1"/>
  <c r="M63" i="1"/>
  <c r="M60" i="1"/>
  <c r="N59" i="1"/>
  <c r="P59" i="1"/>
  <c r="M62" i="1"/>
  <c r="E63" i="1"/>
  <c r="E59" i="1"/>
  <c r="E60" i="1"/>
  <c r="FK66" i="17"/>
  <c r="JZ66" i="17" s="1"/>
  <c r="U32" i="10"/>
  <c r="U29" i="10"/>
  <c r="U38" i="10"/>
  <c r="U35" i="10"/>
  <c r="U4" i="10"/>
  <c r="JV12" i="17"/>
  <c r="JV15" i="17"/>
  <c r="JX55" i="17"/>
  <c r="JV98" i="17"/>
  <c r="JV13" i="17"/>
  <c r="JV11" i="17"/>
  <c r="AZ93" i="17"/>
  <c r="DH93" i="17" s="1"/>
  <c r="JX54" i="17"/>
  <c r="JX61" i="17"/>
  <c r="JX59" i="17"/>
  <c r="JX58" i="17"/>
  <c r="JW106" i="17"/>
  <c r="JW105" i="17"/>
  <c r="JW104" i="17"/>
  <c r="JW103" i="17"/>
  <c r="J63" i="1"/>
  <c r="I63" i="1"/>
  <c r="H63" i="1"/>
  <c r="J62" i="1"/>
  <c r="H62" i="1"/>
  <c r="I62" i="1"/>
  <c r="JT123" i="17"/>
  <c r="JT122" i="17"/>
  <c r="JT118" i="17"/>
  <c r="JW28" i="17"/>
  <c r="JW27" i="17"/>
  <c r="JW25" i="17"/>
  <c r="JW24" i="17"/>
  <c r="JV100" i="17"/>
  <c r="JV99" i="17"/>
  <c r="JV97" i="17"/>
  <c r="FK65" i="17"/>
  <c r="FK67" i="17"/>
  <c r="JU118" i="17"/>
  <c r="HO9" i="17"/>
  <c r="CZ9" i="17"/>
  <c r="MD9" i="17"/>
  <c r="JW9" i="17"/>
  <c r="AV48" i="17"/>
  <c r="FI27" i="17"/>
  <c r="FK64" i="17"/>
  <c r="FI104" i="17"/>
  <c r="JX104" i="17" s="1"/>
  <c r="Q44" i="1"/>
  <c r="AQ98" i="17"/>
  <c r="CY98" i="17" s="1" a="1"/>
  <c r="CY98" i="17" s="1"/>
  <c r="AB6" i="20"/>
  <c r="AB16" i="20" s="1"/>
  <c r="X6" i="14"/>
  <c r="V6" i="11"/>
  <c r="V6" i="10"/>
  <c r="U6" i="9"/>
  <c r="FJ58" i="17"/>
  <c r="JY58" i="17" s="1"/>
  <c r="FJ61" i="17"/>
  <c r="JY61" i="17" s="1"/>
  <c r="FJ60" i="17"/>
  <c r="FJ59" i="17"/>
  <c r="JY59" i="17" s="1"/>
  <c r="U6" i="8"/>
  <c r="FJ55" i="17"/>
  <c r="JY55" i="17" s="1"/>
  <c r="FJ54" i="17"/>
  <c r="JY54" i="17" s="1"/>
  <c r="FJ53" i="17"/>
  <c r="JY53" i="17" s="1"/>
  <c r="FJ52" i="17"/>
  <c r="FI24" i="17"/>
  <c r="JX24" i="17" s="1"/>
  <c r="FI25" i="17"/>
  <c r="FI28" i="17"/>
  <c r="JX28" i="17" s="1"/>
  <c r="AR106" i="17"/>
  <c r="CZ106" i="17" s="1"/>
  <c r="T6" i="5"/>
  <c r="FI105" i="17"/>
  <c r="JX105" i="17" s="1"/>
  <c r="FI106" i="17"/>
  <c r="FI103" i="17"/>
  <c r="S6" i="4"/>
  <c r="AQ100" i="17"/>
  <c r="CY100" i="17" s="1"/>
  <c r="AQ97" i="17"/>
  <c r="CY97" i="17" s="1"/>
  <c r="Q43" i="1"/>
  <c r="Q47" i="1"/>
  <c r="Q46" i="1"/>
  <c r="FH11" i="17"/>
  <c r="FH9" i="17"/>
  <c r="FH13" i="17"/>
  <c r="JW13" i="17" s="1"/>
  <c r="FH12" i="17"/>
  <c r="AB6" i="22"/>
  <c r="AC6" i="21"/>
  <c r="AC22" i="19"/>
  <c r="AC20" i="19" s="1"/>
  <c r="X6" i="12"/>
  <c r="X6" i="13"/>
  <c r="Y6" i="18"/>
  <c r="L62" i="1"/>
  <c r="H60" i="1"/>
  <c r="H59" i="1"/>
  <c r="L60" i="1"/>
  <c r="L63" i="1"/>
  <c r="H61" i="1"/>
  <c r="L59" i="1"/>
  <c r="I59" i="1"/>
  <c r="I61" i="1"/>
  <c r="I60" i="1"/>
  <c r="J61" i="1"/>
  <c r="J60" i="1"/>
  <c r="J59" i="1"/>
  <c r="B66" i="1"/>
  <c r="S6" i="3"/>
  <c r="BZ113" i="17" l="1"/>
  <c r="EH113" i="17" s="1"/>
  <c r="CA113" i="17"/>
  <c r="EI113" i="17" s="1"/>
  <c r="BZ112" i="17"/>
  <c r="EH112" i="17" s="1"/>
  <c r="CA112" i="17"/>
  <c r="EI112" i="17" s="1"/>
  <c r="FI14" i="17"/>
  <c r="JX14" i="17" s="1"/>
  <c r="FI15" i="17"/>
  <c r="J113" i="17"/>
  <c r="P127" i="40"/>
  <c r="V125" i="40"/>
  <c r="EE111" i="17"/>
  <c r="Q125" i="40" s="1"/>
  <c r="BA72" i="17"/>
  <c r="DI72" i="17" s="1"/>
  <c r="AA30" i="20"/>
  <c r="MD14" i="17"/>
  <c r="JW14" i="17"/>
  <c r="P112" i="17"/>
  <c r="V126" i="40"/>
  <c r="EE112" i="17"/>
  <c r="AE126" i="40" s="1"/>
  <c r="EE113" i="17"/>
  <c r="J112" i="17"/>
  <c r="ED113" i="17"/>
  <c r="R22" i="3"/>
  <c r="S22" i="3"/>
  <c r="AS15" i="17" s="1"/>
  <c r="DA15" i="17" s="1"/>
  <c r="M112" i="17"/>
  <c r="T112" i="17"/>
  <c r="S112" i="17"/>
  <c r="HE110" i="17"/>
  <c r="AG125" i="40"/>
  <c r="AC26" i="19"/>
  <c r="BC80" i="17" s="1"/>
  <c r="DK80" i="17" s="1"/>
  <c r="AC32" i="19"/>
  <c r="R54" i="1"/>
  <c r="W16" i="13"/>
  <c r="AW40" i="17" s="1"/>
  <c r="DE40" i="17" s="1"/>
  <c r="X16" i="18"/>
  <c r="AX20" i="17" s="1"/>
  <c r="DF20" i="17" s="1"/>
  <c r="W13" i="13"/>
  <c r="W22" i="13"/>
  <c r="T13" i="8"/>
  <c r="AT53" i="17" s="1"/>
  <c r="DB53" i="17" s="1" a="1"/>
  <c r="DB53" i="17" s="1"/>
  <c r="T16" i="8"/>
  <c r="G70" i="1" s="1"/>
  <c r="U10" i="11"/>
  <c r="AU109" i="17" s="1"/>
  <c r="DC109" i="17" s="1"/>
  <c r="T19" i="8"/>
  <c r="AT55" i="17" s="1"/>
  <c r="DB55" i="17" s="1" a="1"/>
  <c r="DB55" i="17" s="1"/>
  <c r="W16" i="14"/>
  <c r="W10" i="14"/>
  <c r="W10" i="12"/>
  <c r="AW31" i="17" s="1"/>
  <c r="DE31" i="17" s="1"/>
  <c r="AR104" i="17"/>
  <c r="CZ104" i="17" s="1"/>
  <c r="X13" i="18"/>
  <c r="AX19" i="17" s="1"/>
  <c r="DF19" i="17" s="1"/>
  <c r="AA13" i="22"/>
  <c r="BA92" i="17" s="1"/>
  <c r="DI92" i="17" s="1"/>
  <c r="AB19" i="21"/>
  <c r="AB10" i="21"/>
  <c r="AB13" i="21"/>
  <c r="AA13" i="20"/>
  <c r="BA71" i="17" s="1"/>
  <c r="DI71" i="17" s="1"/>
  <c r="AA10" i="20"/>
  <c r="BA70" i="17" s="1"/>
  <c r="DI70" i="17" s="1"/>
  <c r="W16" i="12"/>
  <c r="AW33" i="17" s="1"/>
  <c r="DE33" i="17" s="1"/>
  <c r="W13" i="12"/>
  <c r="AW32" i="17" s="1"/>
  <c r="DE32" i="17" s="1"/>
  <c r="S13" i="5"/>
  <c r="R60" i="1" s="1"/>
  <c r="S16" i="5"/>
  <c r="AS105" i="17" s="1"/>
  <c r="DA105" i="17" s="1"/>
  <c r="S67" i="1"/>
  <c r="T13" i="9"/>
  <c r="AT59" i="17" s="1"/>
  <c r="DB59" i="17" s="1"/>
  <c r="S10" i="5"/>
  <c r="R59" i="1" s="1"/>
  <c r="AB4" i="20"/>
  <c r="AB19" i="20"/>
  <c r="AA10" i="22"/>
  <c r="BA91" i="17" s="1"/>
  <c r="DI91" i="17" s="1"/>
  <c r="R16" i="3"/>
  <c r="AR13" i="17" s="1"/>
  <c r="CZ13" i="17" s="1"/>
  <c r="T16" i="9"/>
  <c r="K70" i="1" s="1"/>
  <c r="S19" i="4"/>
  <c r="S16" i="4"/>
  <c r="Q62" i="1" s="1"/>
  <c r="S10" i="4"/>
  <c r="Q59" i="1" s="1"/>
  <c r="S13" i="4"/>
  <c r="AS98" i="17" s="1"/>
  <c r="DA98" i="17" s="1" a="1"/>
  <c r="DA98" i="17" s="1"/>
  <c r="AC4" i="21"/>
  <c r="AC16" i="21" s="1"/>
  <c r="R19" i="3"/>
  <c r="AB4" i="22"/>
  <c r="AB16" i="22" s="1"/>
  <c r="AA19" i="22"/>
  <c r="BA94" i="17" s="1"/>
  <c r="DI94" i="17" s="1"/>
  <c r="R13" i="3"/>
  <c r="AR12" i="17" s="1"/>
  <c r="CZ12" i="17" s="1"/>
  <c r="W13" i="14"/>
  <c r="V16" i="10"/>
  <c r="V23" i="10"/>
  <c r="V19" i="10"/>
  <c r="V13" i="10"/>
  <c r="S19" i="3"/>
  <c r="AS14" i="17" s="1"/>
  <c r="DA14" i="17" s="1"/>
  <c r="Y4" i="18"/>
  <c r="Y10" i="18" s="1"/>
  <c r="AY18" i="17" s="1"/>
  <c r="DG18" i="17" s="1"/>
  <c r="Y14" i="18"/>
  <c r="Y19" i="18"/>
  <c r="T19" i="9"/>
  <c r="AT61" i="17" s="1"/>
  <c r="DB61" i="17" s="1"/>
  <c r="X4" i="12"/>
  <c r="X19" i="12" s="1"/>
  <c r="X22" i="12"/>
  <c r="V24" i="11"/>
  <c r="V27" i="11"/>
  <c r="X4" i="13"/>
  <c r="X13" i="13" s="1"/>
  <c r="X19" i="13"/>
  <c r="X19" i="14"/>
  <c r="F51" i="1"/>
  <c r="R51" i="1"/>
  <c r="AR28" i="17"/>
  <c r="CZ28" i="17" s="1" a="1"/>
  <c r="CZ28" i="17" s="1"/>
  <c r="AS26" i="17"/>
  <c r="DA26" i="17" s="1" a="1"/>
  <c r="DA26" i="17" s="1"/>
  <c r="V8" i="11"/>
  <c r="AS27" i="17"/>
  <c r="DA27" i="17" s="1"/>
  <c r="AS28" i="17"/>
  <c r="DA28" i="17" s="1" a="1"/>
  <c r="DA28" i="17" s="1"/>
  <c r="FK54" i="17"/>
  <c r="JZ54" i="17" s="1"/>
  <c r="S4" i="4"/>
  <c r="FI100" i="17"/>
  <c r="T4" i="5"/>
  <c r="T16" i="5" s="1"/>
  <c r="JW97" i="17"/>
  <c r="F60" i="1"/>
  <c r="F59" i="1"/>
  <c r="DC46" i="17"/>
  <c r="AS59" i="17"/>
  <c r="DA59" i="17" s="1"/>
  <c r="D47" i="1"/>
  <c r="G60" i="1"/>
  <c r="AV46" i="17"/>
  <c r="DD46" i="17" s="1"/>
  <c r="AI7" i="14"/>
  <c r="X4" i="14"/>
  <c r="X10" i="14" s="1"/>
  <c r="G59" i="1"/>
  <c r="Z7" i="18"/>
  <c r="Y2" i="18"/>
  <c r="K62" i="1"/>
  <c r="D44" i="1"/>
  <c r="AS53" i="17"/>
  <c r="DA53" i="17" s="1" a="1"/>
  <c r="DA53" i="17" s="1"/>
  <c r="AQ11" i="17"/>
  <c r="CY11" i="17" s="1"/>
  <c r="D46" i="1"/>
  <c r="K59" i="1"/>
  <c r="K63" i="1"/>
  <c r="AS54" i="17"/>
  <c r="DA54" i="17" s="1"/>
  <c r="FJ105" i="17"/>
  <c r="JY105" i="17" s="1"/>
  <c r="FJ106" i="17"/>
  <c r="JY106" i="17" s="1"/>
  <c r="ME9" i="17"/>
  <c r="S4" i="3"/>
  <c r="S16" i="3" s="1"/>
  <c r="FK55" i="17"/>
  <c r="JZ55" i="17" s="1"/>
  <c r="U4" i="8"/>
  <c r="U13" i="8" s="1"/>
  <c r="AT58" i="17"/>
  <c r="DB58" i="17" s="1"/>
  <c r="FJ24" i="17"/>
  <c r="JY24" i="17" s="1"/>
  <c r="U35" i="9"/>
  <c r="U4" i="9"/>
  <c r="U16" i="9" s="1"/>
  <c r="AU66" i="17"/>
  <c r="DC66" i="17" s="1"/>
  <c r="AU65" i="17"/>
  <c r="DC65" i="17" s="1"/>
  <c r="AU67" i="17"/>
  <c r="DC67" i="17" s="1"/>
  <c r="AU64" i="17"/>
  <c r="DC64" i="17" s="1"/>
  <c r="V4" i="11"/>
  <c r="P71" i="1"/>
  <c r="O70" i="1"/>
  <c r="O71" i="1"/>
  <c r="O67" i="1"/>
  <c r="O68" i="1"/>
  <c r="E70" i="1"/>
  <c r="N68" i="1"/>
  <c r="N67" i="1"/>
  <c r="N70" i="1"/>
  <c r="N71" i="1"/>
  <c r="M70" i="1"/>
  <c r="P67" i="1"/>
  <c r="M67" i="1"/>
  <c r="P70" i="1"/>
  <c r="P68" i="1"/>
  <c r="M68" i="1"/>
  <c r="M71" i="1"/>
  <c r="E71" i="1"/>
  <c r="E68" i="1"/>
  <c r="E67" i="1"/>
  <c r="V4" i="10"/>
  <c r="BA93" i="17"/>
  <c r="DI93" i="17" s="1"/>
  <c r="BA73" i="17"/>
  <c r="JW12" i="17"/>
  <c r="JY52" i="17"/>
  <c r="JW15" i="17"/>
  <c r="JW11" i="17"/>
  <c r="JZ67" i="17"/>
  <c r="JZ64" i="17"/>
  <c r="JZ65" i="17"/>
  <c r="JY60" i="17"/>
  <c r="JX106" i="17"/>
  <c r="JX103" i="17"/>
  <c r="J71" i="1"/>
  <c r="I71" i="1"/>
  <c r="H71" i="1"/>
  <c r="J70" i="1"/>
  <c r="H70" i="1"/>
  <c r="I70" i="1"/>
  <c r="JU123" i="17"/>
  <c r="JU122" i="17"/>
  <c r="JU119" i="17"/>
  <c r="JX27" i="17"/>
  <c r="JX25" i="17"/>
  <c r="JX9" i="17"/>
  <c r="HP9" i="17"/>
  <c r="K122" i="17"/>
  <c r="DA9" i="17"/>
  <c r="L118" i="17"/>
  <c r="FK61" i="17"/>
  <c r="JZ61" i="17" s="1"/>
  <c r="FK60" i="17"/>
  <c r="JZ60" i="17" s="1"/>
  <c r="FK58" i="17"/>
  <c r="JZ58" i="17" s="1"/>
  <c r="FK59" i="17"/>
  <c r="JZ59" i="17" s="1"/>
  <c r="FK53" i="17"/>
  <c r="JZ53" i="17" s="1"/>
  <c r="FK52" i="17"/>
  <c r="JZ52" i="17" s="1"/>
  <c r="AR11" i="17"/>
  <c r="CZ11" i="17" s="1"/>
  <c r="AC6" i="20"/>
  <c r="AC16" i="20" s="1"/>
  <c r="Y6" i="14"/>
  <c r="W6" i="11"/>
  <c r="W6" i="10"/>
  <c r="V6" i="9"/>
  <c r="V6" i="8"/>
  <c r="FJ27" i="17"/>
  <c r="JY27" i="17" s="1"/>
  <c r="FJ25" i="17"/>
  <c r="JY25" i="17" s="1"/>
  <c r="FJ28" i="17"/>
  <c r="JY28" i="17" s="1"/>
  <c r="AS106" i="17"/>
  <c r="DA106" i="17" s="1"/>
  <c r="U6" i="5"/>
  <c r="FJ104" i="17"/>
  <c r="JY104" i="17" s="1"/>
  <c r="FJ103" i="17"/>
  <c r="JY103" i="17" s="1"/>
  <c r="T6" i="4"/>
  <c r="Q51" i="1"/>
  <c r="Q55" i="1"/>
  <c r="Q52" i="1"/>
  <c r="AR98" i="17"/>
  <c r="CZ98" i="17" s="1" a="1"/>
  <c r="CZ98" i="17" s="1"/>
  <c r="Q54" i="1"/>
  <c r="D51" i="1"/>
  <c r="AC6" i="22"/>
  <c r="AD6" i="21"/>
  <c r="AD22" i="19"/>
  <c r="AD20" i="19" s="1"/>
  <c r="AD32" i="19" s="1"/>
  <c r="Y6" i="12"/>
  <c r="Y6" i="13"/>
  <c r="Z6" i="18"/>
  <c r="L71" i="1"/>
  <c r="G67" i="1"/>
  <c r="L70" i="1"/>
  <c r="L68" i="1"/>
  <c r="L67" i="1"/>
  <c r="H68" i="1"/>
  <c r="H67" i="1"/>
  <c r="H69" i="1"/>
  <c r="J68" i="1"/>
  <c r="J67" i="1"/>
  <c r="I69" i="1"/>
  <c r="I68" i="1"/>
  <c r="I67" i="1"/>
  <c r="J69" i="1"/>
  <c r="B74" i="1"/>
  <c r="T6" i="3"/>
  <c r="P113" i="17" l="1"/>
  <c r="HQ15" i="17"/>
  <c r="Q126" i="40"/>
  <c r="V127" i="40"/>
  <c r="AE127" i="40"/>
  <c r="Q127" i="40"/>
  <c r="BC82" i="17"/>
  <c r="DK82" i="17" s="1"/>
  <c r="BD82" i="17"/>
  <c r="DL82" i="17" s="1"/>
  <c r="AB13" i="20"/>
  <c r="AB30" i="20"/>
  <c r="AR15" i="17"/>
  <c r="CZ15" i="17" s="1"/>
  <c r="T22" i="3"/>
  <c r="D55" i="1"/>
  <c r="AR14" i="17"/>
  <c r="CZ14" i="17" s="1"/>
  <c r="M113" i="17"/>
  <c r="T113" i="17"/>
  <c r="S113" i="17"/>
  <c r="W127" i="40"/>
  <c r="AG127" i="40"/>
  <c r="W126" i="40"/>
  <c r="AG126" i="40"/>
  <c r="G68" i="1"/>
  <c r="R62" i="1"/>
  <c r="AS103" i="17"/>
  <c r="DA103" i="17" s="1"/>
  <c r="AT54" i="17"/>
  <c r="DB54" i="17" s="1"/>
  <c r="V10" i="11"/>
  <c r="AV109" i="17" s="1"/>
  <c r="DD109" i="17" s="1"/>
  <c r="G71" i="1"/>
  <c r="D54" i="1"/>
  <c r="Y13" i="18"/>
  <c r="AY19" i="17" s="1"/>
  <c r="DG19" i="17" s="1"/>
  <c r="BB72" i="17"/>
  <c r="AB10" i="20"/>
  <c r="BB70" i="17" s="1"/>
  <c r="X22" i="14"/>
  <c r="X16" i="14"/>
  <c r="Y16" i="18"/>
  <c r="AY20" i="17" s="1"/>
  <c r="DG20" i="17" s="1"/>
  <c r="AS104" i="17"/>
  <c r="DA104" i="17" s="1"/>
  <c r="X10" i="13"/>
  <c r="X10" i="12"/>
  <c r="AX31" i="17" s="1"/>
  <c r="DF31" i="17" s="1"/>
  <c r="X22" i="13"/>
  <c r="X16" i="13"/>
  <c r="S13" i="3"/>
  <c r="S10" i="3"/>
  <c r="D59" i="1" s="1"/>
  <c r="Z4" i="18"/>
  <c r="Z10" i="18" s="1"/>
  <c r="AZ18" i="17" s="1"/>
  <c r="DH18" i="17" s="1"/>
  <c r="Z14" i="18"/>
  <c r="Z19" i="18"/>
  <c r="W16" i="10"/>
  <c r="W23" i="10"/>
  <c r="W13" i="10"/>
  <c r="W19" i="10"/>
  <c r="X13" i="14"/>
  <c r="T13" i="5"/>
  <c r="AT104" i="17" s="1"/>
  <c r="DB104" i="17" s="1"/>
  <c r="T19" i="3"/>
  <c r="AT14" i="17" s="1"/>
  <c r="DB14" i="17" s="1"/>
  <c r="D52" i="1"/>
  <c r="Y4" i="13"/>
  <c r="Y13" i="13" s="1"/>
  <c r="Y19" i="13"/>
  <c r="W27" i="11"/>
  <c r="W24" i="11"/>
  <c r="X13" i="12"/>
  <c r="AX32" i="17" s="1"/>
  <c r="DF32" i="17" s="1"/>
  <c r="T10" i="5"/>
  <c r="AT103" i="17" s="1"/>
  <c r="DB103" i="17" s="1"/>
  <c r="AB10" i="22"/>
  <c r="Y4" i="12"/>
  <c r="Y10" i="12" s="1"/>
  <c r="Y22" i="12"/>
  <c r="T19" i="4"/>
  <c r="T16" i="4"/>
  <c r="T10" i="4"/>
  <c r="T13" i="4"/>
  <c r="U10" i="8"/>
  <c r="AU52" i="17" s="1"/>
  <c r="DC52" i="17" s="1" a="1"/>
  <c r="DC52" i="17" s="1"/>
  <c r="X16" i="12"/>
  <c r="AX33" i="17" s="1"/>
  <c r="DF33" i="17" s="1"/>
  <c r="U13" i="9"/>
  <c r="K76" i="1" s="1"/>
  <c r="AB13" i="22"/>
  <c r="AC10" i="21"/>
  <c r="Y19" i="14"/>
  <c r="U16" i="8"/>
  <c r="G78" i="1" s="1"/>
  <c r="T19" i="5"/>
  <c r="R71" i="1" s="1"/>
  <c r="U10" i="9"/>
  <c r="AU58" i="17" s="1"/>
  <c r="DC58" i="17" s="1"/>
  <c r="AB19" i="22"/>
  <c r="AC13" i="21"/>
  <c r="AD4" i="21"/>
  <c r="AD16" i="21" s="1"/>
  <c r="AC4" i="20"/>
  <c r="AC19" i="20"/>
  <c r="U19" i="8"/>
  <c r="U19" i="9"/>
  <c r="AU61" i="17" s="1"/>
  <c r="DC61" i="17" s="1"/>
  <c r="AC19" i="21"/>
  <c r="V4" i="8"/>
  <c r="V16" i="8" s="1"/>
  <c r="AV54" i="17" s="1"/>
  <c r="DD54" i="17" s="1"/>
  <c r="AC4" i="22"/>
  <c r="AC19" i="22" s="1"/>
  <c r="S75" i="1"/>
  <c r="F63" i="1"/>
  <c r="R70" i="1"/>
  <c r="F62" i="1"/>
  <c r="AS24" i="17"/>
  <c r="DA24" i="17" s="1" a="1"/>
  <c r="DA24" i="17" s="1"/>
  <c r="F77" i="1"/>
  <c r="W8" i="11"/>
  <c r="JX100" i="17"/>
  <c r="T4" i="3"/>
  <c r="T10" i="3" s="1"/>
  <c r="FK24" i="17"/>
  <c r="JZ24" i="17" s="1"/>
  <c r="AT27" i="17"/>
  <c r="DB27" i="17" s="1"/>
  <c r="F69" i="1"/>
  <c r="F68" i="1"/>
  <c r="DI73" i="17"/>
  <c r="Y4" i="14"/>
  <c r="Y13" i="14" s="1"/>
  <c r="AJ7" i="14"/>
  <c r="AA7" i="18"/>
  <c r="Z2" i="18"/>
  <c r="K68" i="1"/>
  <c r="K71" i="1"/>
  <c r="FK25" i="17"/>
  <c r="JZ25" i="17" s="1"/>
  <c r="K67" i="1"/>
  <c r="AU60" i="17"/>
  <c r="DC60" i="17" s="1"/>
  <c r="T4" i="4"/>
  <c r="AS13" i="17"/>
  <c r="DA13" i="17" s="1"/>
  <c r="AS55" i="17"/>
  <c r="DA55" i="17" s="1" a="1"/>
  <c r="DA55" i="17" s="1"/>
  <c r="G63" i="1"/>
  <c r="V35" i="9"/>
  <c r="V4" i="9"/>
  <c r="V16" i="9" s="1"/>
  <c r="U4" i="5"/>
  <c r="U19" i="5" s="1"/>
  <c r="AT60" i="17"/>
  <c r="DB60" i="17" s="1"/>
  <c r="AU53" i="17"/>
  <c r="DC53" i="17" s="1" a="1"/>
  <c r="DC53" i="17" s="1"/>
  <c r="AV66" i="17"/>
  <c r="DD66" i="17" s="1"/>
  <c r="AV65" i="17"/>
  <c r="DD65" i="17" s="1"/>
  <c r="AV67" i="17"/>
  <c r="DD67" i="17" s="1"/>
  <c r="AV64" i="17"/>
  <c r="DD64" i="17" s="1"/>
  <c r="W4" i="11"/>
  <c r="P79" i="1"/>
  <c r="O76" i="1"/>
  <c r="O79" i="1"/>
  <c r="O75" i="1"/>
  <c r="O78" i="1"/>
  <c r="E78" i="1"/>
  <c r="N76" i="1"/>
  <c r="N78" i="1"/>
  <c r="N75" i="1"/>
  <c r="N79" i="1"/>
  <c r="M75" i="1"/>
  <c r="M79" i="1"/>
  <c r="P76" i="1"/>
  <c r="M76" i="1"/>
  <c r="P78" i="1"/>
  <c r="P75" i="1"/>
  <c r="M78" i="1"/>
  <c r="E79" i="1"/>
  <c r="E76" i="1"/>
  <c r="E75" i="1"/>
  <c r="W4" i="10"/>
  <c r="J79" i="1"/>
  <c r="I79" i="1"/>
  <c r="H79" i="1"/>
  <c r="J78" i="1"/>
  <c r="H78" i="1"/>
  <c r="I78" i="1"/>
  <c r="JV123" i="17"/>
  <c r="JW123" i="17"/>
  <c r="JV122" i="17"/>
  <c r="JW122" i="17"/>
  <c r="JV119" i="17"/>
  <c r="JV118" i="17"/>
  <c r="FK27" i="17"/>
  <c r="JZ27" i="17" s="1"/>
  <c r="FK28" i="17"/>
  <c r="JZ28" i="17" s="1"/>
  <c r="FK103" i="17"/>
  <c r="JZ103" i="17" s="1"/>
  <c r="Q120" i="17"/>
  <c r="U120" i="17" s="1"/>
  <c r="Q121" i="17"/>
  <c r="U121" i="17" s="1"/>
  <c r="L123" i="17"/>
  <c r="K121" i="17"/>
  <c r="L117" i="17"/>
  <c r="Q117" i="17"/>
  <c r="U117" i="17" s="1"/>
  <c r="L119" i="17"/>
  <c r="S116" i="17"/>
  <c r="M116" i="17"/>
  <c r="S117" i="17"/>
  <c r="Q123" i="17"/>
  <c r="U123" i="17" s="1"/>
  <c r="S120" i="17"/>
  <c r="S122" i="17"/>
  <c r="L116" i="17"/>
  <c r="Q122" i="17"/>
  <c r="U122" i="17" s="1"/>
  <c r="M123" i="17"/>
  <c r="DB9" i="17"/>
  <c r="S121" i="17"/>
  <c r="JW118" i="17"/>
  <c r="M119" i="17"/>
  <c r="M118" i="17"/>
  <c r="Q60" i="1"/>
  <c r="AD6" i="20"/>
  <c r="AD16" i="20" s="1"/>
  <c r="Z6" i="14"/>
  <c r="X6" i="11"/>
  <c r="X6" i="10"/>
  <c r="W6" i="9"/>
  <c r="FL60" i="17"/>
  <c r="FL59" i="17"/>
  <c r="FL58" i="17"/>
  <c r="FL61" i="17"/>
  <c r="KA61" i="17" s="1"/>
  <c r="W6" i="8"/>
  <c r="FL53" i="17"/>
  <c r="KA53" i="17" s="1"/>
  <c r="FL55" i="17"/>
  <c r="KA55" i="17" s="1"/>
  <c r="FL52" i="17"/>
  <c r="KA52" i="17" s="1"/>
  <c r="FL54" i="17"/>
  <c r="KA54" i="17" s="1"/>
  <c r="V6" i="5"/>
  <c r="FK106" i="17"/>
  <c r="JZ106" i="17" s="1"/>
  <c r="FK105" i="17"/>
  <c r="JZ105" i="17" s="1"/>
  <c r="FK104" i="17"/>
  <c r="JZ104" i="17" s="1"/>
  <c r="AT105" i="17"/>
  <c r="DB105" i="17" s="1"/>
  <c r="U6" i="4"/>
  <c r="AS100" i="17"/>
  <c r="DA100" i="17" s="1"/>
  <c r="Q63" i="1"/>
  <c r="AS99" i="17"/>
  <c r="DA99" i="17" s="1" a="1"/>
  <c r="DA99" i="17" s="1"/>
  <c r="AS97" i="17"/>
  <c r="DA97" i="17" s="1"/>
  <c r="AD6" i="22"/>
  <c r="AE6" i="21"/>
  <c r="AE22" i="19"/>
  <c r="AE20" i="19" s="1"/>
  <c r="AE32" i="19" s="1"/>
  <c r="Z6" i="12"/>
  <c r="Z6" i="13"/>
  <c r="AA6" i="18"/>
  <c r="H77" i="1"/>
  <c r="L79" i="1"/>
  <c r="H76" i="1"/>
  <c r="H75" i="1"/>
  <c r="L76" i="1"/>
  <c r="L75" i="1"/>
  <c r="L78" i="1"/>
  <c r="I77" i="1"/>
  <c r="I76" i="1"/>
  <c r="I75" i="1"/>
  <c r="J77" i="1"/>
  <c r="J76" i="1"/>
  <c r="J75" i="1"/>
  <c r="B82" i="1"/>
  <c r="U6" i="3"/>
  <c r="BE82" i="17" l="1"/>
  <c r="DM82" i="17" s="1"/>
  <c r="AC10" i="20"/>
  <c r="AC30" i="20"/>
  <c r="AT15" i="17"/>
  <c r="DB15" i="17" s="1"/>
  <c r="W10" i="11"/>
  <c r="S83" i="1"/>
  <c r="AC13" i="20"/>
  <c r="BC71" i="17" s="1"/>
  <c r="DK71" i="17" s="1"/>
  <c r="R68" i="1"/>
  <c r="Y13" i="12"/>
  <c r="AY32" i="17" s="1"/>
  <c r="DG32" i="17" s="1"/>
  <c r="V13" i="8"/>
  <c r="G84" i="1" s="1"/>
  <c r="V19" i="8"/>
  <c r="AV55" i="17" s="1"/>
  <c r="DD55" i="17" s="1" a="1"/>
  <c r="DD55" i="17" s="1"/>
  <c r="V10" i="8"/>
  <c r="AV52" i="17" s="1"/>
  <c r="DD52" i="17" s="1" a="1"/>
  <c r="DD52" i="17" s="1"/>
  <c r="R67" i="1"/>
  <c r="Z16" i="18"/>
  <c r="AZ20" i="17" s="1"/>
  <c r="DH20" i="17" s="1"/>
  <c r="AT106" i="17"/>
  <c r="DB106" i="17" s="1"/>
  <c r="AC13" i="22"/>
  <c r="BC92" i="17" s="1"/>
  <c r="DK92" i="17" s="1"/>
  <c r="U13" i="5"/>
  <c r="Z13" i="18"/>
  <c r="AZ19" i="17" s="1"/>
  <c r="DH19" i="17" s="1"/>
  <c r="AC10" i="22"/>
  <c r="Y10" i="14"/>
  <c r="AY45" i="17" s="1"/>
  <c r="DG45" i="17" s="1"/>
  <c r="AC16" i="22"/>
  <c r="BC93" i="17" s="1"/>
  <c r="DK93" i="17" s="1"/>
  <c r="AD4" i="20"/>
  <c r="AD19" i="20"/>
  <c r="Y22" i="14"/>
  <c r="U10" i="5"/>
  <c r="AU103" i="17" s="1"/>
  <c r="DC103" i="17" s="1"/>
  <c r="FL106" i="17"/>
  <c r="KA106" i="17" s="1"/>
  <c r="Y16" i="14"/>
  <c r="AY47" i="17" s="1"/>
  <c r="DG47" i="17" s="1"/>
  <c r="Y16" i="12"/>
  <c r="AY33" i="17" s="1"/>
  <c r="DG33" i="17" s="1"/>
  <c r="U16" i="5"/>
  <c r="AU105" i="17" s="1"/>
  <c r="DC105" i="17" s="1"/>
  <c r="Z4" i="13"/>
  <c r="Z10" i="13" s="1"/>
  <c r="AZ38" i="17" s="1"/>
  <c r="Z19" i="13"/>
  <c r="Z4" i="12"/>
  <c r="Z16" i="12" s="1"/>
  <c r="Z22" i="12"/>
  <c r="U4" i="4"/>
  <c r="U19" i="4"/>
  <c r="U10" i="4"/>
  <c r="Q75" i="1" s="1"/>
  <c r="U16" i="4"/>
  <c r="U13" i="4"/>
  <c r="AU98" i="17" s="1"/>
  <c r="DC98" i="17" s="1" a="1"/>
  <c r="DC98" i="17" s="1"/>
  <c r="V10" i="9"/>
  <c r="AV58" i="17" s="1"/>
  <c r="DD58" i="17" s="1"/>
  <c r="Y19" i="12"/>
  <c r="AY34" i="17" s="1"/>
  <c r="DG34" i="17" s="1"/>
  <c r="Y10" i="13"/>
  <c r="AY38" i="17" s="1"/>
  <c r="DG38" i="17" s="1"/>
  <c r="AA4" i="18"/>
  <c r="AA10" i="18" s="1"/>
  <c r="BA18" i="17" s="1"/>
  <c r="DI18" i="17" s="1"/>
  <c r="AA14" i="18"/>
  <c r="AA19" i="18"/>
  <c r="V13" i="9"/>
  <c r="AV59" i="17" s="1"/>
  <c r="DD59" i="17" s="1"/>
  <c r="AD10" i="21"/>
  <c r="BD85" i="17" s="1"/>
  <c r="Y22" i="13"/>
  <c r="AY42" i="17" s="1"/>
  <c r="T16" i="3"/>
  <c r="D70" i="1" s="1"/>
  <c r="X23" i="10"/>
  <c r="X16" i="10"/>
  <c r="X19" i="10"/>
  <c r="X13" i="10"/>
  <c r="V19" i="9"/>
  <c r="K87" i="1" s="1"/>
  <c r="AD13" i="21"/>
  <c r="BD86" i="17" s="1"/>
  <c r="Y16" i="13"/>
  <c r="AY40" i="17" s="1"/>
  <c r="DG40" i="17" s="1"/>
  <c r="AE4" i="21"/>
  <c r="AE16" i="21" s="1"/>
  <c r="BE87" i="17" s="1"/>
  <c r="AD4" i="22"/>
  <c r="AD16" i="22" s="1"/>
  <c r="BD93" i="17" s="1"/>
  <c r="DL93" i="17" s="1"/>
  <c r="X24" i="11"/>
  <c r="Q111" i="26" s="1"/>
  <c r="X27" i="11"/>
  <c r="AD19" i="21"/>
  <c r="BD88" i="17" s="1"/>
  <c r="DL88" i="17" s="1"/>
  <c r="T13" i="3"/>
  <c r="AT12" i="17" s="1"/>
  <c r="DB12" i="17" s="1"/>
  <c r="W4" i="8"/>
  <c r="W10" i="8" s="1"/>
  <c r="Z19" i="14"/>
  <c r="D71" i="1"/>
  <c r="Q110" i="26"/>
  <c r="X8" i="11"/>
  <c r="F85" i="1"/>
  <c r="AV27" i="17"/>
  <c r="DD27" i="17" s="1"/>
  <c r="F76" i="1"/>
  <c r="F84" i="1"/>
  <c r="DJ70" i="17"/>
  <c r="DJ72" i="17"/>
  <c r="F71" i="1"/>
  <c r="AT28" i="17"/>
  <c r="DB28" i="17" s="1" a="1"/>
  <c r="DB28" i="17" s="1"/>
  <c r="AY39" i="17"/>
  <c r="DG39" i="17" s="1"/>
  <c r="AT24" i="17"/>
  <c r="DB24" i="17" s="1" a="1"/>
  <c r="DB24" i="17" s="1"/>
  <c r="AS12" i="17"/>
  <c r="DA12" i="17" s="1"/>
  <c r="AK7" i="14"/>
  <c r="Z4" i="14"/>
  <c r="Z22" i="14" s="1"/>
  <c r="AY31" i="17"/>
  <c r="DG31" i="17" s="1"/>
  <c r="AB7" i="18"/>
  <c r="AA2" i="18"/>
  <c r="K79" i="1"/>
  <c r="BD87" i="17"/>
  <c r="F70" i="1"/>
  <c r="AU54" i="17"/>
  <c r="DC54" i="17" s="1"/>
  <c r="AU59" i="17"/>
  <c r="DC59" i="17" s="1"/>
  <c r="G75" i="1"/>
  <c r="K78" i="1"/>
  <c r="K75" i="1"/>
  <c r="G76" i="1"/>
  <c r="D63" i="1"/>
  <c r="W35" i="9"/>
  <c r="W4" i="9"/>
  <c r="W10" i="9" s="1"/>
  <c r="F67" i="1"/>
  <c r="AV60" i="17"/>
  <c r="DD60" i="17" s="1"/>
  <c r="AU106" i="17"/>
  <c r="DC106" i="17" s="1"/>
  <c r="D62" i="1"/>
  <c r="JZ9" i="17"/>
  <c r="U4" i="3"/>
  <c r="U19" i="3" s="1"/>
  <c r="AU14" i="17" s="1"/>
  <c r="DC14" i="17" s="1"/>
  <c r="FL103" i="17"/>
  <c r="KA103" i="17" s="1"/>
  <c r="V4" i="5"/>
  <c r="V16" i="5" s="1"/>
  <c r="AU27" i="17"/>
  <c r="DC27" i="17" s="1"/>
  <c r="D60" i="1"/>
  <c r="X4" i="11"/>
  <c r="P87" i="1"/>
  <c r="O87" i="1"/>
  <c r="O83" i="1"/>
  <c r="O84" i="1"/>
  <c r="O86" i="1"/>
  <c r="E86" i="1"/>
  <c r="N86" i="1"/>
  <c r="N87" i="1"/>
  <c r="N84" i="1"/>
  <c r="N83" i="1"/>
  <c r="P86" i="1"/>
  <c r="P83" i="1"/>
  <c r="M87" i="1"/>
  <c r="M86" i="1"/>
  <c r="P84" i="1"/>
  <c r="M84" i="1"/>
  <c r="M83" i="1"/>
  <c r="E83" i="1"/>
  <c r="E84" i="1"/>
  <c r="E87" i="1"/>
  <c r="X4" i="10"/>
  <c r="KA60" i="17"/>
  <c r="KA59" i="17"/>
  <c r="KA58" i="17"/>
  <c r="J87" i="1"/>
  <c r="I87" i="1"/>
  <c r="H87" i="1"/>
  <c r="J86" i="1"/>
  <c r="H86" i="1"/>
  <c r="I86" i="1"/>
  <c r="G86" i="1"/>
  <c r="K123" i="17"/>
  <c r="Q119" i="17"/>
  <c r="U119" i="17" s="1"/>
  <c r="JW119" i="17"/>
  <c r="L120" i="17"/>
  <c r="K120" i="17"/>
  <c r="K117" i="17"/>
  <c r="K119" i="17"/>
  <c r="K116" i="17"/>
  <c r="Q116" i="17"/>
  <c r="U116" i="17" s="1"/>
  <c r="S119" i="17"/>
  <c r="K118" i="17"/>
  <c r="Q118" i="17"/>
  <c r="U118" i="17" s="1"/>
  <c r="L122" i="17"/>
  <c r="L121" i="17"/>
  <c r="M117" i="17"/>
  <c r="S123" i="17"/>
  <c r="M122" i="17"/>
  <c r="M120" i="17"/>
  <c r="S118" i="17"/>
  <c r="AY41" i="17"/>
  <c r="DG41" i="17" s="1"/>
  <c r="AY48" i="17"/>
  <c r="AY35" i="17"/>
  <c r="DG35" i="17" s="1"/>
  <c r="FL104" i="17"/>
  <c r="KA104" i="17" s="1"/>
  <c r="AE6" i="20"/>
  <c r="AE16" i="20" s="1"/>
  <c r="AA6" i="14"/>
  <c r="Y6" i="11"/>
  <c r="Y6" i="10"/>
  <c r="X6" i="9"/>
  <c r="X6" i="8"/>
  <c r="FL24" i="17"/>
  <c r="KA24" i="17" s="1"/>
  <c r="FL28" i="17"/>
  <c r="KA28" i="17" s="1"/>
  <c r="FL27" i="17"/>
  <c r="KA27" i="17" s="1"/>
  <c r="FL25" i="17"/>
  <c r="KA25" i="17" s="1"/>
  <c r="W6" i="5"/>
  <c r="Q67" i="1"/>
  <c r="AT98" i="17"/>
  <c r="DB98" i="17" s="1" a="1"/>
  <c r="DB98" i="17" s="1"/>
  <c r="Q68" i="1"/>
  <c r="AT99" i="17"/>
  <c r="DB99" i="17" s="1" a="1"/>
  <c r="DB99" i="17" s="1"/>
  <c r="Q70" i="1"/>
  <c r="AT97" i="17"/>
  <c r="DB97" i="17" s="1"/>
  <c r="V6" i="4"/>
  <c r="Q71" i="1"/>
  <c r="AT100" i="17"/>
  <c r="DB100" i="17" s="1"/>
  <c r="D67" i="1"/>
  <c r="AE6" i="22"/>
  <c r="AF6" i="21"/>
  <c r="AF22" i="19"/>
  <c r="AF20" i="19" s="1"/>
  <c r="AF32" i="19" s="1"/>
  <c r="AA6" i="12"/>
  <c r="AA6" i="13"/>
  <c r="AB6" i="18"/>
  <c r="H83" i="1"/>
  <c r="L83" i="1"/>
  <c r="L87" i="1"/>
  <c r="L86" i="1"/>
  <c r="H85" i="1"/>
  <c r="L84" i="1"/>
  <c r="H84" i="1"/>
  <c r="J85" i="1"/>
  <c r="J84" i="1"/>
  <c r="J83" i="1"/>
  <c r="I84" i="1"/>
  <c r="I83" i="1"/>
  <c r="I85" i="1"/>
  <c r="B90" i="1"/>
  <c r="V6" i="3"/>
  <c r="S91" i="1" l="1"/>
  <c r="BF82" i="17"/>
  <c r="DN82" i="17" s="1"/>
  <c r="AD30" i="20"/>
  <c r="U22" i="3"/>
  <c r="G83" i="1"/>
  <c r="X10" i="11"/>
  <c r="G87" i="1"/>
  <c r="D68" i="1"/>
  <c r="AE13" i="21"/>
  <c r="BE86" i="17" s="1"/>
  <c r="AD10" i="22"/>
  <c r="BD91" i="17" s="1"/>
  <c r="DL91" i="17" s="1"/>
  <c r="Z13" i="13"/>
  <c r="AZ39" i="17" s="1"/>
  <c r="Z22" i="13"/>
  <c r="AZ42" i="17" s="1"/>
  <c r="Z16" i="13"/>
  <c r="AZ40" i="17" s="1"/>
  <c r="DH40" i="17" s="1"/>
  <c r="W13" i="8"/>
  <c r="AE19" i="21"/>
  <c r="BE88" i="17" s="1"/>
  <c r="Z19" i="12"/>
  <c r="AZ34" i="17" s="1"/>
  <c r="AD19" i="22"/>
  <c r="BD94" i="17" s="1"/>
  <c r="DL94" i="17" s="1"/>
  <c r="Z10" i="12"/>
  <c r="AZ31" i="17" s="1"/>
  <c r="W16" i="8"/>
  <c r="G94" i="1" s="1"/>
  <c r="AD13" i="22"/>
  <c r="BD92" i="17" s="1"/>
  <c r="DL92" i="17" s="1"/>
  <c r="Z13" i="12"/>
  <c r="AZ32" i="17" s="1"/>
  <c r="AD10" i="20"/>
  <c r="BD70" i="17" s="1"/>
  <c r="W13" i="9"/>
  <c r="K92" i="1" s="1"/>
  <c r="U13" i="3"/>
  <c r="W19" i="9"/>
  <c r="K95" i="1" s="1"/>
  <c r="X4" i="8"/>
  <c r="X19" i="8" s="1"/>
  <c r="AX55" i="17" s="1"/>
  <c r="DF55" i="17" s="1" a="1"/>
  <c r="DF55" i="17" s="1"/>
  <c r="W19" i="8"/>
  <c r="AW55" i="17" s="1"/>
  <c r="DE55" i="17" s="1" a="1"/>
  <c r="DE55" i="17" s="1"/>
  <c r="W16" i="9"/>
  <c r="K94" i="1" s="1"/>
  <c r="Z10" i="14"/>
  <c r="AZ45" i="17" s="1"/>
  <c r="AB4" i="18"/>
  <c r="AB14" i="18"/>
  <c r="AB19" i="18"/>
  <c r="Z13" i="14"/>
  <c r="AA13" i="18"/>
  <c r="BA19" i="17" s="1"/>
  <c r="DI19" i="17" s="1"/>
  <c r="V13" i="5"/>
  <c r="R84" i="1" s="1"/>
  <c r="AD13" i="20"/>
  <c r="BD71" i="17" s="1"/>
  <c r="Y16" i="10"/>
  <c r="Y23" i="10"/>
  <c r="Y19" i="10"/>
  <c r="Y13" i="10"/>
  <c r="W4" i="5"/>
  <c r="W19" i="5" s="1"/>
  <c r="AF4" i="21"/>
  <c r="AF19" i="21" s="1"/>
  <c r="V19" i="4"/>
  <c r="V10" i="4"/>
  <c r="V16" i="4"/>
  <c r="V13" i="4"/>
  <c r="Z16" i="14"/>
  <c r="AZ47" i="17" s="1"/>
  <c r="DH47" i="17" s="1"/>
  <c r="AA16" i="18"/>
  <c r="BA20" i="17" s="1"/>
  <c r="DI20" i="17" s="1"/>
  <c r="U10" i="3"/>
  <c r="V10" i="5"/>
  <c r="R83" i="1" s="1"/>
  <c r="AA4" i="12"/>
  <c r="AA16" i="12" s="1"/>
  <c r="AA22" i="12"/>
  <c r="AE4" i="22"/>
  <c r="AE16" i="22" s="1"/>
  <c r="BE93" i="17" s="1"/>
  <c r="DM93" i="17" s="1"/>
  <c r="AE4" i="20"/>
  <c r="AE19" i="20"/>
  <c r="BE73" i="17" s="1"/>
  <c r="AE10" i="21"/>
  <c r="BE85" i="17" s="1"/>
  <c r="DM85" i="17" s="1"/>
  <c r="U16" i="3"/>
  <c r="V19" i="5"/>
  <c r="R87" i="1" s="1"/>
  <c r="V4" i="3"/>
  <c r="V10" i="3" s="1"/>
  <c r="AA4" i="13"/>
  <c r="AA10" i="13" s="1"/>
  <c r="BA38" i="17" s="1"/>
  <c r="DI38" i="17" s="1"/>
  <c r="AA19" i="13"/>
  <c r="AT13" i="17"/>
  <c r="DB13" i="17" s="1"/>
  <c r="Y4" i="11"/>
  <c r="Y8" i="11"/>
  <c r="F93" i="1"/>
  <c r="F92" i="1"/>
  <c r="AW24" i="17"/>
  <c r="DE24" i="17" s="1" a="1"/>
  <c r="DE24" i="17" s="1"/>
  <c r="DG48" i="17"/>
  <c r="DG42" i="17"/>
  <c r="DL86" i="17"/>
  <c r="AH88" i="40"/>
  <c r="AH87" i="40"/>
  <c r="AG87" i="40"/>
  <c r="DH38" i="17"/>
  <c r="AG88" i="40"/>
  <c r="DL85" i="17"/>
  <c r="DL87" i="17"/>
  <c r="AG92" i="40"/>
  <c r="AE92" i="40"/>
  <c r="K84" i="1"/>
  <c r="Q112" i="26"/>
  <c r="F87" i="1"/>
  <c r="AV28" i="17"/>
  <c r="DD28" i="17" s="1" a="1"/>
  <c r="DD28" i="17" s="1"/>
  <c r="F83" i="1"/>
  <c r="AV24" i="17"/>
  <c r="DD24" i="17" s="1" a="1"/>
  <c r="DD24" i="17" s="1"/>
  <c r="F79" i="1"/>
  <c r="AU28" i="17"/>
  <c r="DC28" i="17" s="1" a="1"/>
  <c r="DC28" i="17" s="1"/>
  <c r="F75" i="1"/>
  <c r="AU24" i="17"/>
  <c r="DC24" i="17" s="1" a="1"/>
  <c r="DC24" i="17" s="1"/>
  <c r="AA4" i="14"/>
  <c r="AA22" i="14" s="1"/>
  <c r="AY49" i="17"/>
  <c r="DG49" i="17" s="1"/>
  <c r="AY46" i="17"/>
  <c r="DG46" i="17" s="1"/>
  <c r="AL7" i="14"/>
  <c r="AZ33" i="17"/>
  <c r="AC7" i="18"/>
  <c r="AB2" i="18"/>
  <c r="BD72" i="17"/>
  <c r="BD73" i="17"/>
  <c r="DL73" i="17" s="1"/>
  <c r="F78" i="1"/>
  <c r="AV61" i="17"/>
  <c r="DD61" i="17" s="1"/>
  <c r="R75" i="1"/>
  <c r="K86" i="1"/>
  <c r="R78" i="1"/>
  <c r="K83" i="1"/>
  <c r="S111" i="26"/>
  <c r="T111" i="26"/>
  <c r="K111" i="26"/>
  <c r="M111" i="26"/>
  <c r="O111" i="26"/>
  <c r="L111" i="26"/>
  <c r="J111" i="26"/>
  <c r="R111" i="26"/>
  <c r="P111" i="26"/>
  <c r="N111" i="26"/>
  <c r="J112" i="26"/>
  <c r="S112" i="26"/>
  <c r="R112" i="26"/>
  <c r="M112" i="26"/>
  <c r="T112" i="26"/>
  <c r="K112" i="26"/>
  <c r="L112" i="26"/>
  <c r="O112" i="26"/>
  <c r="P112" i="26"/>
  <c r="N112" i="26"/>
  <c r="X35" i="9"/>
  <c r="X4" i="9"/>
  <c r="X10" i="9" s="1"/>
  <c r="V4" i="4"/>
  <c r="R79" i="1"/>
  <c r="K91" i="1"/>
  <c r="AV105" i="17"/>
  <c r="DD105" i="17" s="1"/>
  <c r="R76" i="1"/>
  <c r="AU55" i="17"/>
  <c r="DC55" i="17" s="1" a="1"/>
  <c r="DC55" i="17" s="1"/>
  <c r="G79" i="1"/>
  <c r="P95" i="1"/>
  <c r="O92" i="1"/>
  <c r="O95" i="1"/>
  <c r="O94" i="1"/>
  <c r="O91" i="1"/>
  <c r="E94" i="1"/>
  <c r="N92" i="1"/>
  <c r="N95" i="1"/>
  <c r="N91" i="1"/>
  <c r="N94" i="1"/>
  <c r="P92" i="1"/>
  <c r="M94" i="1"/>
  <c r="M91" i="1"/>
  <c r="P94" i="1"/>
  <c r="M95" i="1"/>
  <c r="P91" i="1"/>
  <c r="M92" i="1"/>
  <c r="E91" i="1"/>
  <c r="E92" i="1"/>
  <c r="E95" i="1"/>
  <c r="Y4" i="10"/>
  <c r="J95" i="1"/>
  <c r="I95" i="1"/>
  <c r="H95" i="1"/>
  <c r="J94" i="1"/>
  <c r="H94" i="1"/>
  <c r="I94" i="1"/>
  <c r="AZ41" i="17"/>
  <c r="DH41" i="17" s="1"/>
  <c r="AZ48" i="17"/>
  <c r="AZ35" i="17"/>
  <c r="DH35" i="17" s="1"/>
  <c r="F86" i="1"/>
  <c r="AF6" i="20"/>
  <c r="AF16" i="20" s="1"/>
  <c r="AB6" i="14"/>
  <c r="Z6" i="11"/>
  <c r="Z6" i="10"/>
  <c r="Y6" i="9"/>
  <c r="Y6" i="8"/>
  <c r="X6" i="5"/>
  <c r="Q78" i="1"/>
  <c r="Q76" i="1"/>
  <c r="W6" i="4"/>
  <c r="Q79" i="1"/>
  <c r="AF6" i="22"/>
  <c r="AG6" i="21"/>
  <c r="AG22" i="19"/>
  <c r="AG20" i="19" s="1"/>
  <c r="AG32" i="19" s="1"/>
  <c r="AB6" i="12"/>
  <c r="AB6" i="13"/>
  <c r="AC6" i="18"/>
  <c r="G92" i="1"/>
  <c r="G91" i="1"/>
  <c r="L92" i="1"/>
  <c r="L91" i="1"/>
  <c r="H93" i="1"/>
  <c r="L95" i="1"/>
  <c r="H91" i="1"/>
  <c r="L94" i="1"/>
  <c r="H92" i="1"/>
  <c r="J91" i="1"/>
  <c r="J93" i="1"/>
  <c r="I93" i="1"/>
  <c r="J92" i="1"/>
  <c r="I92" i="1"/>
  <c r="I91" i="1"/>
  <c r="B98" i="1"/>
  <c r="W6" i="3"/>
  <c r="BG82" i="17" l="1"/>
  <c r="DO82" i="17" s="1"/>
  <c r="AE13" i="20"/>
  <c r="BE71" i="17" s="1"/>
  <c r="DM71" i="17" s="1"/>
  <c r="AE30" i="20"/>
  <c r="AU15" i="17"/>
  <c r="DC15" i="17" s="1"/>
  <c r="V22" i="3"/>
  <c r="AV15" i="17" s="1"/>
  <c r="DD15" i="17" s="1"/>
  <c r="S99" i="1"/>
  <c r="G95" i="1"/>
  <c r="W10" i="5"/>
  <c r="R91" i="1" s="1"/>
  <c r="X10" i="8"/>
  <c r="G99" i="1" s="1"/>
  <c r="BE72" i="17"/>
  <c r="DM72" i="17" s="1"/>
  <c r="AF16" i="21"/>
  <c r="BF87" i="17" s="1"/>
  <c r="W16" i="5"/>
  <c r="R94" i="1" s="1"/>
  <c r="AF10" i="21"/>
  <c r="BF85" i="17" s="1"/>
  <c r="AF13" i="21"/>
  <c r="BF86" i="17" s="1"/>
  <c r="X13" i="8"/>
  <c r="G100" i="1" s="1"/>
  <c r="AA16" i="13"/>
  <c r="BA40" i="17" s="1"/>
  <c r="DI40" i="17" s="1"/>
  <c r="AA13" i="13"/>
  <c r="BA39" i="17" s="1"/>
  <c r="DI39" i="17" s="1"/>
  <c r="AB16" i="18"/>
  <c r="BB20" i="17" s="1"/>
  <c r="DJ20" i="17" s="1"/>
  <c r="AA22" i="13"/>
  <c r="BA42" i="17" s="1"/>
  <c r="Y10" i="11"/>
  <c r="AY109" i="17" s="1"/>
  <c r="DG109" i="17" s="1"/>
  <c r="AB13" i="18"/>
  <c r="BB19" i="17" s="1"/>
  <c r="DJ19" i="17" s="1"/>
  <c r="X16" i="8"/>
  <c r="G102" i="1" s="1"/>
  <c r="V16" i="3"/>
  <c r="AV13" i="17" s="1"/>
  <c r="DD13" i="17" s="1"/>
  <c r="V19" i="3"/>
  <c r="D87" i="1" s="1"/>
  <c r="AE13" i="22"/>
  <c r="BE92" i="17" s="1"/>
  <c r="DM92" i="17" s="1"/>
  <c r="AE19" i="22"/>
  <c r="BE94" i="17" s="1"/>
  <c r="DM94" i="17" s="1"/>
  <c r="X16" i="9"/>
  <c r="K102" i="1" s="1"/>
  <c r="AA19" i="12"/>
  <c r="BA34" i="17" s="1"/>
  <c r="DI34" i="17" s="1"/>
  <c r="AA13" i="12"/>
  <c r="BA32" i="17" s="1"/>
  <c r="DI32" i="17" s="1"/>
  <c r="AA10" i="12"/>
  <c r="BA31" i="17" s="1"/>
  <c r="DI31" i="17" s="1"/>
  <c r="W13" i="5"/>
  <c r="R92" i="1" s="1"/>
  <c r="AA10" i="14"/>
  <c r="AB10" i="18"/>
  <c r="BB18" i="17" s="1"/>
  <c r="DJ18" i="17" s="1"/>
  <c r="AE10" i="22"/>
  <c r="BE91" i="17" s="1"/>
  <c r="DM91" i="17" s="1"/>
  <c r="AA16" i="14"/>
  <c r="BA47" i="17" s="1"/>
  <c r="DI47" i="17" s="1"/>
  <c r="AA13" i="14"/>
  <c r="AA19" i="14"/>
  <c r="X19" i="9"/>
  <c r="K103" i="1" s="1"/>
  <c r="AG4" i="21"/>
  <c r="AG19" i="21" s="1"/>
  <c r="AF4" i="22"/>
  <c r="AF19" i="22" s="1"/>
  <c r="BF94" i="17" s="1"/>
  <c r="DN94" i="17" s="1"/>
  <c r="W4" i="3"/>
  <c r="W16" i="3" s="1"/>
  <c r="W4" i="4"/>
  <c r="W19" i="4"/>
  <c r="W13" i="4"/>
  <c r="AW98" i="17" s="1"/>
  <c r="DE98" i="17" s="1" a="1"/>
  <c r="DE98" i="17" s="1"/>
  <c r="W16" i="4"/>
  <c r="AW99" i="17" s="1"/>
  <c r="DE99" i="17" s="1" a="1"/>
  <c r="DE99" i="17" s="1"/>
  <c r="W10" i="4"/>
  <c r="AW97" i="17" s="1"/>
  <c r="DE97" i="17" s="1"/>
  <c r="AC4" i="18"/>
  <c r="AC13" i="18" s="1"/>
  <c r="BC19" i="17" s="1"/>
  <c r="DK19" i="17" s="1"/>
  <c r="AC14" i="18"/>
  <c r="AC19" i="18"/>
  <c r="AF4" i="20"/>
  <c r="AF19" i="20"/>
  <c r="BF73" i="17" s="1"/>
  <c r="DN73" i="17" s="1"/>
  <c r="AB4" i="13"/>
  <c r="AB22" i="13" s="1"/>
  <c r="BB42" i="17" s="1"/>
  <c r="V13" i="3"/>
  <c r="AV12" i="17" s="1"/>
  <c r="DD12" i="17" s="1"/>
  <c r="AE10" i="20"/>
  <c r="BE70" i="17" s="1"/>
  <c r="DM70" i="17" s="1"/>
  <c r="X13" i="9"/>
  <c r="K100" i="1" s="1"/>
  <c r="Y4" i="8"/>
  <c r="Y19" i="8" s="1"/>
  <c r="AY55" i="17" s="1"/>
  <c r="DG55" i="17" s="1" a="1"/>
  <c r="DG55" i="17" s="1"/>
  <c r="AB4" i="12"/>
  <c r="AB19" i="12" s="1"/>
  <c r="BB34" i="17" s="1"/>
  <c r="DJ34" i="17" s="1"/>
  <c r="AB22" i="12"/>
  <c r="X4" i="5"/>
  <c r="X10" i="5" s="1"/>
  <c r="R99" i="1" s="1"/>
  <c r="AX28" i="17"/>
  <c r="DF28" i="17" s="1" a="1"/>
  <c r="DF28" i="17" s="1"/>
  <c r="Z4" i="11"/>
  <c r="Z8" i="11"/>
  <c r="F101" i="1"/>
  <c r="DH48" i="17"/>
  <c r="F100" i="1"/>
  <c r="DH31" i="17"/>
  <c r="DH39" i="17"/>
  <c r="DH42" i="17"/>
  <c r="DH45" i="17"/>
  <c r="DH32" i="17"/>
  <c r="DH33" i="17"/>
  <c r="AI87" i="40"/>
  <c r="DH34" i="17"/>
  <c r="DM87" i="17"/>
  <c r="DM86" i="17"/>
  <c r="DM88" i="17"/>
  <c r="DL70" i="17"/>
  <c r="DL71" i="17"/>
  <c r="DL72" i="17"/>
  <c r="DM73" i="17"/>
  <c r="BF88" i="17"/>
  <c r="DN88" i="17" s="1"/>
  <c r="F94" i="1"/>
  <c r="AW27" i="17"/>
  <c r="DE27" i="17" s="1"/>
  <c r="F95" i="1"/>
  <c r="AW28" i="17"/>
  <c r="DE28" i="17" s="1" a="1"/>
  <c r="DE28" i="17" s="1"/>
  <c r="D78" i="1"/>
  <c r="AU13" i="17"/>
  <c r="DC13" i="17" s="1"/>
  <c r="D76" i="1"/>
  <c r="AU12" i="17"/>
  <c r="DC12" i="17" s="1"/>
  <c r="D79" i="1"/>
  <c r="AM7" i="14"/>
  <c r="AB4" i="14"/>
  <c r="AB22" i="14" s="1"/>
  <c r="AZ49" i="17"/>
  <c r="AZ46" i="17"/>
  <c r="BA33" i="17"/>
  <c r="DI33" i="17" s="1"/>
  <c r="AD7" i="18"/>
  <c r="AC2" i="18"/>
  <c r="AV104" i="17"/>
  <c r="DD104" i="17" s="1"/>
  <c r="R86" i="1"/>
  <c r="AV103" i="17"/>
  <c r="DD103" i="17" s="1"/>
  <c r="K99" i="1"/>
  <c r="Y35" i="9"/>
  <c r="Y4" i="9"/>
  <c r="Y16" i="9" s="1"/>
  <c r="V111" i="26"/>
  <c r="D75" i="1"/>
  <c r="V112" i="26"/>
  <c r="O102" i="1"/>
  <c r="O100" i="1"/>
  <c r="P103" i="1"/>
  <c r="O99" i="1"/>
  <c r="O103" i="1"/>
  <c r="E102" i="1"/>
  <c r="N100" i="1"/>
  <c r="N103" i="1"/>
  <c r="N102" i="1"/>
  <c r="N99" i="1"/>
  <c r="P102" i="1"/>
  <c r="M103" i="1"/>
  <c r="P100" i="1"/>
  <c r="M102" i="1"/>
  <c r="P99" i="1"/>
  <c r="M99" i="1"/>
  <c r="M100" i="1"/>
  <c r="E99" i="1"/>
  <c r="E100" i="1"/>
  <c r="E103" i="1"/>
  <c r="Z4" i="10"/>
  <c r="Z16" i="10" s="1"/>
  <c r="BA41" i="17"/>
  <c r="DI41" i="17" s="1"/>
  <c r="BA35" i="17"/>
  <c r="DI35" i="17" s="1"/>
  <c r="J103" i="1"/>
  <c r="I103" i="1"/>
  <c r="H103" i="1"/>
  <c r="G103" i="1"/>
  <c r="J102" i="1"/>
  <c r="H102" i="1"/>
  <c r="L102" i="1"/>
  <c r="I102" i="1"/>
  <c r="L100" i="1"/>
  <c r="L99" i="1"/>
  <c r="L103" i="1"/>
  <c r="R95" i="1"/>
  <c r="AG6" i="20"/>
  <c r="AC6" i="14"/>
  <c r="AA6" i="11"/>
  <c r="AA6" i="10"/>
  <c r="Z6" i="9"/>
  <c r="Z6" i="8"/>
  <c r="F91" i="1"/>
  <c r="Y6" i="5"/>
  <c r="Q83" i="1"/>
  <c r="AV97" i="17"/>
  <c r="DD97" i="17" s="1"/>
  <c r="Q87" i="1"/>
  <c r="Q84" i="1"/>
  <c r="AV98" i="17"/>
  <c r="DD98" i="17" s="1" a="1"/>
  <c r="DD98" i="17" s="1"/>
  <c r="Q86" i="1"/>
  <c r="AV99" i="17"/>
  <c r="DD99" i="17" s="1" a="1"/>
  <c r="DD99" i="17" s="1"/>
  <c r="X6" i="4"/>
  <c r="D83" i="1"/>
  <c r="AG6" i="22"/>
  <c r="AH6" i="21"/>
  <c r="AH22" i="19"/>
  <c r="AH20" i="19" s="1"/>
  <c r="AH32" i="19" s="1"/>
  <c r="AC6" i="12"/>
  <c r="AC6" i="13"/>
  <c r="AD6" i="18"/>
  <c r="H101" i="1"/>
  <c r="H100" i="1"/>
  <c r="H99" i="1"/>
  <c r="I100" i="1"/>
  <c r="I99" i="1"/>
  <c r="I101" i="1"/>
  <c r="J101" i="1"/>
  <c r="J100" i="1"/>
  <c r="J99" i="1"/>
  <c r="B106" i="1"/>
  <c r="X6" i="3"/>
  <c r="AG30" i="20" l="1"/>
  <c r="AG16" i="20"/>
  <c r="BH82" i="17"/>
  <c r="DP82" i="17" s="1"/>
  <c r="AF10" i="20"/>
  <c r="BF70" i="17" s="1"/>
  <c r="DN70" i="17" s="1"/>
  <c r="AF30" i="20"/>
  <c r="AV14" i="17"/>
  <c r="DD14" i="17" s="1"/>
  <c r="W22" i="3"/>
  <c r="AW15" i="17" s="1"/>
  <c r="DE15" i="17" s="1"/>
  <c r="DN87" i="17"/>
  <c r="D86" i="1"/>
  <c r="X19" i="5"/>
  <c r="R103" i="1" s="1"/>
  <c r="AF13" i="20"/>
  <c r="BF71" i="17" s="1"/>
  <c r="DN71" i="17" s="1"/>
  <c r="Z10" i="11"/>
  <c r="AZ109" i="17" s="1"/>
  <c r="DH109" i="17" s="1"/>
  <c r="AF13" i="22"/>
  <c r="BF92" i="17" s="1"/>
  <c r="DN92" i="17" s="1"/>
  <c r="BF72" i="17"/>
  <c r="DN72" i="17" s="1"/>
  <c r="Y13" i="8"/>
  <c r="AY53" i="17" s="1"/>
  <c r="DG53" i="17" s="1" a="1"/>
  <c r="DG53" i="17" s="1"/>
  <c r="AB10" i="13"/>
  <c r="BB38" i="17" s="1"/>
  <c r="DJ38" i="17" s="1"/>
  <c r="Y16" i="8"/>
  <c r="AY54" i="17" s="1"/>
  <c r="DG54" i="17" s="1"/>
  <c r="AB16" i="13"/>
  <c r="BB40" i="17" s="1"/>
  <c r="DJ40" i="17" s="1"/>
  <c r="Y10" i="8"/>
  <c r="AY52" i="17" s="1"/>
  <c r="DG52" i="17" s="1" a="1"/>
  <c r="DG52" i="17" s="1"/>
  <c r="AG10" i="21"/>
  <c r="BG85" i="17" s="1"/>
  <c r="AH4" i="21"/>
  <c r="AH16" i="21" s="1"/>
  <c r="BH87" i="17" s="1"/>
  <c r="X16" i="5"/>
  <c r="R102" i="1" s="1"/>
  <c r="AF16" i="22"/>
  <c r="BF93" i="17" s="1"/>
  <c r="DN93" i="17" s="1"/>
  <c r="AG4" i="22"/>
  <c r="AG10" i="22" s="1"/>
  <c r="BG91" i="17" s="1"/>
  <c r="AB10" i="14"/>
  <c r="Z19" i="10"/>
  <c r="AZ67" i="17" s="1"/>
  <c r="DH67" i="17" s="1"/>
  <c r="X4" i="3"/>
  <c r="X16" i="3" s="1"/>
  <c r="X4" i="4"/>
  <c r="X19" i="4"/>
  <c r="AX100" i="17" s="1"/>
  <c r="DF100" i="17" s="1"/>
  <c r="X13" i="4"/>
  <c r="X16" i="4"/>
  <c r="AX99" i="17" s="1"/>
  <c r="DF99" i="17" s="1" a="1"/>
  <c r="DF99" i="17" s="1"/>
  <c r="X10" i="4"/>
  <c r="Y4" i="5"/>
  <c r="Y13" i="5" s="1"/>
  <c r="AY104" i="17" s="1"/>
  <c r="DG104" i="17" s="1"/>
  <c r="AG4" i="20"/>
  <c r="AG19" i="20"/>
  <c r="BG73" i="17" s="1"/>
  <c r="AG10" i="20"/>
  <c r="BG70" i="17" s="1"/>
  <c r="BG72" i="17"/>
  <c r="AG13" i="20"/>
  <c r="BG71" i="17" s="1"/>
  <c r="AB13" i="12"/>
  <c r="BB32" i="17" s="1"/>
  <c r="DJ32" i="17" s="1"/>
  <c r="AB13" i="13"/>
  <c r="BB39" i="17" s="1"/>
  <c r="DJ39" i="17" s="1"/>
  <c r="AB13" i="14"/>
  <c r="Z13" i="10"/>
  <c r="AZ65" i="17" s="1"/>
  <c r="DH65" i="17" s="1"/>
  <c r="AB10" i="12"/>
  <c r="BB31" i="17" s="1"/>
  <c r="DJ31" i="17" s="1"/>
  <c r="AB19" i="13"/>
  <c r="AC10" i="18"/>
  <c r="BC18" i="17" s="1"/>
  <c r="DK18" i="17" s="1"/>
  <c r="AB19" i="14"/>
  <c r="W10" i="3"/>
  <c r="D91" i="1" s="1"/>
  <c r="Z23" i="10"/>
  <c r="AG16" i="21"/>
  <c r="BG87" i="17" s="1"/>
  <c r="Y13" i="9"/>
  <c r="AY59" i="17" s="1"/>
  <c r="DG59" i="17" s="1"/>
  <c r="AB16" i="12"/>
  <c r="BB33" i="17" s="1"/>
  <c r="DJ33" i="17" s="1"/>
  <c r="AB16" i="14"/>
  <c r="BB47" i="17" s="1"/>
  <c r="DJ47" i="17" s="1"/>
  <c r="W19" i="3"/>
  <c r="AG13" i="21"/>
  <c r="BG86" i="17" s="1"/>
  <c r="Y19" i="9"/>
  <c r="AY61" i="17" s="1"/>
  <c r="DG61" i="17" s="1"/>
  <c r="AC4" i="13"/>
  <c r="AC19" i="13" s="1"/>
  <c r="D84" i="1"/>
  <c r="Z4" i="8"/>
  <c r="Z13" i="8" s="1"/>
  <c r="X13" i="5"/>
  <c r="R100" i="1" s="1"/>
  <c r="AC16" i="18"/>
  <c r="BC20" i="17" s="1"/>
  <c r="DK20" i="17" s="1"/>
  <c r="W13" i="3"/>
  <c r="AW12" i="17" s="1"/>
  <c r="DE12" i="17" s="1"/>
  <c r="AF10" i="22"/>
  <c r="BF91" i="17" s="1"/>
  <c r="DN91" i="17" s="1"/>
  <c r="Y10" i="9"/>
  <c r="AY58" i="17" s="1"/>
  <c r="DG58" i="17" s="1"/>
  <c r="AD4" i="18"/>
  <c r="AD13" i="18" s="1"/>
  <c r="BD19" i="17" s="1"/>
  <c r="DL19" i="17" s="1"/>
  <c r="AD14" i="18"/>
  <c r="AD19" i="18"/>
  <c r="BD21" i="17" s="1"/>
  <c r="AC4" i="12"/>
  <c r="AC19" i="12" s="1"/>
  <c r="BC34" i="17" s="1"/>
  <c r="DK34" i="17" s="1"/>
  <c r="AC22" i="12"/>
  <c r="S107" i="1"/>
  <c r="AZ66" i="17"/>
  <c r="DH66" i="17" s="1"/>
  <c r="Z10" i="10"/>
  <c r="AZ64" i="17" s="1"/>
  <c r="DH64" i="17" s="1"/>
  <c r="AY27" i="17"/>
  <c r="DG27" i="17" s="1"/>
  <c r="AY28" i="17"/>
  <c r="DG28" i="17" s="1" a="1"/>
  <c r="DG28" i="17" s="1"/>
  <c r="F109" i="1"/>
  <c r="AA4" i="11"/>
  <c r="AA8" i="11"/>
  <c r="AY24" i="17"/>
  <c r="DG24" i="17" s="1" a="1"/>
  <c r="DG24" i="17" s="1"/>
  <c r="DI42" i="17"/>
  <c r="AI88" i="40"/>
  <c r="DH49" i="17"/>
  <c r="DH46" i="17"/>
  <c r="DN85" i="17"/>
  <c r="DN86" i="17"/>
  <c r="BG88" i="17"/>
  <c r="F102" i="1"/>
  <c r="AX27" i="17"/>
  <c r="DF27" i="17" s="1"/>
  <c r="D94" i="1"/>
  <c r="AW13" i="17"/>
  <c r="DE13" i="17" s="1"/>
  <c r="F99" i="1"/>
  <c r="AX24" i="17"/>
  <c r="DF24" i="17" s="1" a="1"/>
  <c r="DF24" i="17" s="1"/>
  <c r="BA49" i="17"/>
  <c r="DI49" i="17" s="1"/>
  <c r="BA46" i="17"/>
  <c r="BA45" i="17"/>
  <c r="DI45" i="17" s="1"/>
  <c r="AC4" i="14"/>
  <c r="AC16" i="14" s="1"/>
  <c r="AN7" i="14"/>
  <c r="AE7" i="18"/>
  <c r="AD2" i="18"/>
  <c r="Z35" i="9"/>
  <c r="Z4" i="9"/>
  <c r="Z16" i="9" s="1"/>
  <c r="AY60" i="17"/>
  <c r="DG60" i="17" s="1"/>
  <c r="AY67" i="17"/>
  <c r="DG67" i="17" s="1"/>
  <c r="AY66" i="17"/>
  <c r="DG66" i="17" s="1"/>
  <c r="AY64" i="17"/>
  <c r="DG64" i="17" s="1"/>
  <c r="AY65" i="17"/>
  <c r="DG65" i="17" s="1"/>
  <c r="P111" i="1"/>
  <c r="O108" i="1"/>
  <c r="O111" i="1"/>
  <c r="O110" i="1"/>
  <c r="E110" i="1"/>
  <c r="N110" i="1"/>
  <c r="N107" i="1"/>
  <c r="O107" i="1"/>
  <c r="N108" i="1"/>
  <c r="N111" i="1"/>
  <c r="M108" i="1"/>
  <c r="P108" i="1"/>
  <c r="M107" i="1"/>
  <c r="P107" i="1"/>
  <c r="M110" i="1"/>
  <c r="P110" i="1"/>
  <c r="M111" i="1"/>
  <c r="E107" i="1"/>
  <c r="E108" i="1"/>
  <c r="E111" i="1"/>
  <c r="AA4" i="10"/>
  <c r="AA23" i="10" s="1"/>
  <c r="J111" i="1"/>
  <c r="I111" i="1"/>
  <c r="H111" i="1"/>
  <c r="G111" i="1"/>
  <c r="J110" i="1"/>
  <c r="H110" i="1"/>
  <c r="I110" i="1"/>
  <c r="L110" i="1"/>
  <c r="L111" i="1"/>
  <c r="L108" i="1"/>
  <c r="L107" i="1"/>
  <c r="Q95" i="1"/>
  <c r="AW100" i="17"/>
  <c r="DE100" i="17" s="1"/>
  <c r="F103" i="1"/>
  <c r="AH6" i="20"/>
  <c r="AD6" i="14"/>
  <c r="AB6" i="11"/>
  <c r="AB6" i="10"/>
  <c r="AA6" i="9"/>
  <c r="AA6" i="8"/>
  <c r="Z6" i="5"/>
  <c r="Q94" i="1"/>
  <c r="Y6" i="4"/>
  <c r="Q92" i="1"/>
  <c r="Q91" i="1"/>
  <c r="AH6" i="22"/>
  <c r="AI6" i="21"/>
  <c r="AI22" i="19"/>
  <c r="AI20" i="19" s="1"/>
  <c r="AI32" i="19" s="1"/>
  <c r="AD6" i="12"/>
  <c r="AD6" i="13"/>
  <c r="AE6" i="18"/>
  <c r="H109" i="1"/>
  <c r="H108" i="1"/>
  <c r="H107" i="1"/>
  <c r="J109" i="1"/>
  <c r="J108" i="1"/>
  <c r="J107" i="1"/>
  <c r="I107" i="1"/>
  <c r="I109" i="1"/>
  <c r="I108" i="1"/>
  <c r="B114" i="1"/>
  <c r="Y6" i="3"/>
  <c r="AH30" i="20" l="1"/>
  <c r="AH16" i="20"/>
  <c r="BI82" i="17"/>
  <c r="DQ82" i="17" s="1"/>
  <c r="D95" i="1"/>
  <c r="AW14" i="17"/>
  <c r="DE14" i="17" s="1"/>
  <c r="X22" i="3"/>
  <c r="AX15" i="17" s="1"/>
  <c r="DF15" i="17" s="1"/>
  <c r="AH13" i="21"/>
  <c r="BH86" i="17" s="1"/>
  <c r="G107" i="1"/>
  <c r="G108" i="1"/>
  <c r="G110" i="1"/>
  <c r="AG13" i="22"/>
  <c r="BG92" i="17" s="1"/>
  <c r="DO92" i="17" s="1"/>
  <c r="AA10" i="11"/>
  <c r="BA109" i="17" s="1"/>
  <c r="DI109" i="17" s="1"/>
  <c r="Y19" i="5"/>
  <c r="AY106" i="17" s="1"/>
  <c r="DG106" i="17" s="1"/>
  <c r="D92" i="1"/>
  <c r="DO91" i="17"/>
  <c r="DO85" i="17"/>
  <c r="DO72" i="17"/>
  <c r="DO71" i="17"/>
  <c r="DO70" i="17"/>
  <c r="X13" i="3"/>
  <c r="D100" i="1" s="1"/>
  <c r="X19" i="3"/>
  <c r="X10" i="3"/>
  <c r="D99" i="1" s="1"/>
  <c r="Z19" i="8"/>
  <c r="AZ55" i="17" s="1"/>
  <c r="DH55" i="17" s="1" a="1"/>
  <c r="DH55" i="17" s="1"/>
  <c r="Z16" i="8"/>
  <c r="AZ54" i="17" s="1"/>
  <c r="DH54" i="17" s="1"/>
  <c r="Y16" i="5"/>
  <c r="AY105" i="17" s="1"/>
  <c r="DG105" i="17" s="1"/>
  <c r="AG16" i="22"/>
  <c r="BG93" i="17" s="1"/>
  <c r="Z10" i="8"/>
  <c r="AZ52" i="17" s="1"/>
  <c r="DH52" i="17" s="1" a="1"/>
  <c r="DH52" i="17" s="1"/>
  <c r="AC10" i="13"/>
  <c r="BC38" i="17" s="1"/>
  <c r="DK38" i="17" s="1"/>
  <c r="AH10" i="21"/>
  <c r="BH85" i="17" s="1"/>
  <c r="AC10" i="12"/>
  <c r="BC31" i="17" s="1"/>
  <c r="DK31" i="17" s="1"/>
  <c r="AC22" i="13"/>
  <c r="BC42" i="17" s="1"/>
  <c r="AH19" i="21"/>
  <c r="BH88" i="17" s="1"/>
  <c r="AC16" i="13"/>
  <c r="BC40" i="17" s="1"/>
  <c r="DK40" i="17" s="1"/>
  <c r="AC10" i="14"/>
  <c r="AG19" i="22"/>
  <c r="BG94" i="17" s="1"/>
  <c r="Y4" i="3"/>
  <c r="Y10" i="3" s="1"/>
  <c r="AY11" i="17" s="1"/>
  <c r="DG11" i="17" s="1"/>
  <c r="Z10" i="9"/>
  <c r="AZ58" i="17" s="1"/>
  <c r="AC16" i="12"/>
  <c r="BC33" i="17" s="1"/>
  <c r="DK33" i="17" s="1"/>
  <c r="AC19" i="14"/>
  <c r="AI4" i="21"/>
  <c r="AI19" i="21" s="1"/>
  <c r="AI14" i="21"/>
  <c r="Z4" i="5"/>
  <c r="Z19" i="5" s="1"/>
  <c r="Z13" i="9"/>
  <c r="AZ59" i="17" s="1"/>
  <c r="AC13" i="14"/>
  <c r="AD4" i="12"/>
  <c r="AD13" i="12" s="1"/>
  <c r="AD22" i="12"/>
  <c r="AH4" i="22"/>
  <c r="AH16" i="22" s="1"/>
  <c r="BH93" i="17" s="1"/>
  <c r="AA4" i="8"/>
  <c r="AA10" i="8" s="1"/>
  <c r="BA52" i="17" s="1"/>
  <c r="DI52" i="17" s="1" a="1"/>
  <c r="DI52" i="17" s="1"/>
  <c r="Z19" i="9"/>
  <c r="AZ61" i="17" s="1"/>
  <c r="AD10" i="18"/>
  <c r="BD18" i="17" s="1"/>
  <c r="DL18" i="17" s="1"/>
  <c r="AC22" i="14"/>
  <c r="AA19" i="10"/>
  <c r="BA67" i="17" s="1"/>
  <c r="DI67" i="17" s="1"/>
  <c r="AH4" i="20"/>
  <c r="AH19" i="20"/>
  <c r="BH73" i="17" s="1"/>
  <c r="AH10" i="20"/>
  <c r="BH70" i="17" s="1"/>
  <c r="BH72" i="17"/>
  <c r="AH13" i="20"/>
  <c r="BH71" i="17" s="1"/>
  <c r="AA13" i="10"/>
  <c r="BA65" i="17" s="1"/>
  <c r="DI65" i="17" s="1"/>
  <c r="AD4" i="13"/>
  <c r="AD13" i="13" s="1"/>
  <c r="AC13" i="12"/>
  <c r="BC32" i="17" s="1"/>
  <c r="DK32" i="17" s="1"/>
  <c r="AD16" i="18"/>
  <c r="BD20" i="17" s="1"/>
  <c r="DL20" i="17" s="1"/>
  <c r="AC13" i="13"/>
  <c r="BC39" i="17" s="1"/>
  <c r="Y10" i="5"/>
  <c r="AY103" i="17" s="1"/>
  <c r="DG103" i="17" s="1"/>
  <c r="AA16" i="10"/>
  <c r="BA66" i="17" s="1"/>
  <c r="DI66" i="17" s="1"/>
  <c r="Y4" i="4"/>
  <c r="Y19" i="4"/>
  <c r="Y13" i="4"/>
  <c r="Y16" i="4"/>
  <c r="Y10" i="4"/>
  <c r="AE4" i="18"/>
  <c r="AE10" i="18" s="1"/>
  <c r="BE18" i="17" s="1"/>
  <c r="DM18" i="17" s="1"/>
  <c r="AE14" i="18"/>
  <c r="AE19" i="18"/>
  <c r="S115" i="1"/>
  <c r="AA10" i="10"/>
  <c r="BA64" i="17" s="1"/>
  <c r="DI64" i="17" s="1"/>
  <c r="AZ27" i="17"/>
  <c r="DH27" i="17" s="1"/>
  <c r="F117" i="1"/>
  <c r="AB4" i="11"/>
  <c r="AB8" i="11"/>
  <c r="BC47" i="17"/>
  <c r="DK47" i="17" s="1"/>
  <c r="AZ24" i="17"/>
  <c r="DH24" i="17" s="1" a="1"/>
  <c r="DH24" i="17" s="1"/>
  <c r="DI46" i="17"/>
  <c r="DO86" i="17"/>
  <c r="DO87" i="17"/>
  <c r="DO88" i="17"/>
  <c r="DO73" i="17"/>
  <c r="DL21" i="17"/>
  <c r="AZ53" i="17"/>
  <c r="DH53" i="17" s="1" a="1"/>
  <c r="DH53" i="17" s="1"/>
  <c r="AZ28" i="17"/>
  <c r="DH28" i="17" s="1" a="1"/>
  <c r="DH28" i="17" s="1"/>
  <c r="D102" i="1"/>
  <c r="AX13" i="17"/>
  <c r="DF13" i="17" s="1"/>
  <c r="BA48" i="17"/>
  <c r="DI48" i="17" s="1"/>
  <c r="BB49" i="17"/>
  <c r="DJ49" i="17" s="1"/>
  <c r="BB46" i="17"/>
  <c r="BB45" i="17"/>
  <c r="DJ45" i="17" s="1"/>
  <c r="AD4" i="14"/>
  <c r="AD16" i="14" s="1"/>
  <c r="AO7" i="14"/>
  <c r="AF7" i="18"/>
  <c r="AE2" i="18"/>
  <c r="K107" i="1"/>
  <c r="K110" i="1"/>
  <c r="K108" i="1"/>
  <c r="K111" i="1"/>
  <c r="AA35" i="9"/>
  <c r="AA4" i="9"/>
  <c r="AA16" i="9" s="1"/>
  <c r="AZ60" i="17"/>
  <c r="P119" i="1"/>
  <c r="O118" i="1"/>
  <c r="E118" i="1"/>
  <c r="O119" i="1"/>
  <c r="N119" i="1"/>
  <c r="N118" i="1"/>
  <c r="O115" i="1"/>
  <c r="N116" i="1"/>
  <c r="O116" i="1"/>
  <c r="N115" i="1"/>
  <c r="M118" i="1"/>
  <c r="M116" i="1"/>
  <c r="M115" i="1"/>
  <c r="M119" i="1"/>
  <c r="P115" i="1"/>
  <c r="P116" i="1"/>
  <c r="P118" i="1"/>
  <c r="E119" i="1"/>
  <c r="E116" i="1"/>
  <c r="E115" i="1"/>
  <c r="AB4" i="10"/>
  <c r="AB13" i="10" s="1"/>
  <c r="J119" i="1"/>
  <c r="I119" i="1"/>
  <c r="H119" i="1"/>
  <c r="J118" i="1"/>
  <c r="H118" i="1"/>
  <c r="L118" i="1"/>
  <c r="L116" i="1"/>
  <c r="I118" i="1"/>
  <c r="L119" i="1"/>
  <c r="L115" i="1"/>
  <c r="R108" i="1"/>
  <c r="F110" i="1"/>
  <c r="F108" i="1"/>
  <c r="F107" i="1"/>
  <c r="F111" i="1"/>
  <c r="Q102" i="1"/>
  <c r="Q99" i="1"/>
  <c r="AX97" i="17"/>
  <c r="DF97" i="17" s="1"/>
  <c r="Q100" i="1"/>
  <c r="AX98" i="17"/>
  <c r="DF98" i="17" s="1" a="1"/>
  <c r="DF98" i="17" s="1"/>
  <c r="AI6" i="20"/>
  <c r="AE6" i="14"/>
  <c r="AC6" i="11"/>
  <c r="AC6" i="10"/>
  <c r="AB6" i="9"/>
  <c r="AB6" i="8"/>
  <c r="AA6" i="5"/>
  <c r="Q103" i="1"/>
  <c r="Z6" i="4"/>
  <c r="AI6" i="22"/>
  <c r="AJ6" i="21"/>
  <c r="AJ22" i="19"/>
  <c r="AJ20" i="19" s="1"/>
  <c r="AE6" i="12"/>
  <c r="AE6" i="13"/>
  <c r="AF6" i="18"/>
  <c r="H117" i="1"/>
  <c r="H116" i="1"/>
  <c r="G116" i="1"/>
  <c r="H115" i="1"/>
  <c r="I117" i="1"/>
  <c r="J115" i="1"/>
  <c r="I116" i="1"/>
  <c r="J116" i="1"/>
  <c r="I115" i="1"/>
  <c r="J117" i="1"/>
  <c r="B122" i="1"/>
  <c r="Z6" i="3"/>
  <c r="AI16" i="20" l="1"/>
  <c r="AI30" i="20"/>
  <c r="AX14" i="17"/>
  <c r="DF14" i="17" s="1"/>
  <c r="Y22" i="3"/>
  <c r="AY15" i="17" s="1"/>
  <c r="DG15" i="17" s="1"/>
  <c r="AJ26" i="19"/>
  <c r="BJ80" i="17" s="1"/>
  <c r="DR80" i="17" s="1"/>
  <c r="AJ32" i="19"/>
  <c r="R111" i="1"/>
  <c r="AX12" i="17"/>
  <c r="DF12" i="17" s="1"/>
  <c r="G115" i="1"/>
  <c r="AB10" i="11"/>
  <c r="G118" i="1"/>
  <c r="R107" i="1"/>
  <c r="G119" i="1"/>
  <c r="R110" i="1"/>
  <c r="AI13" i="21"/>
  <c r="BI86" i="17" s="1"/>
  <c r="AI16" i="21"/>
  <c r="BI87" i="17" s="1"/>
  <c r="AI10" i="21"/>
  <c r="BI85" i="17" s="1"/>
  <c r="D103" i="1"/>
  <c r="AA19" i="8"/>
  <c r="G127" i="1" s="1"/>
  <c r="AA16" i="8"/>
  <c r="BA54" i="17" s="1"/>
  <c r="DI54" i="17" s="1"/>
  <c r="DP93" i="17"/>
  <c r="DO94" i="17"/>
  <c r="DO93" i="17"/>
  <c r="DP88" i="17"/>
  <c r="DP85" i="17"/>
  <c r="DP72" i="17"/>
  <c r="DP71" i="17"/>
  <c r="DP70" i="17"/>
  <c r="DP73" i="17"/>
  <c r="Y16" i="3"/>
  <c r="AY13" i="17" s="1"/>
  <c r="DG13" i="17" s="1"/>
  <c r="AA13" i="8"/>
  <c r="G124" i="1" s="1"/>
  <c r="AD16" i="12"/>
  <c r="BD33" i="17" s="1"/>
  <c r="DL33" i="17" s="1"/>
  <c r="Y13" i="3"/>
  <c r="AY12" i="17" s="1"/>
  <c r="DG12" i="17" s="1"/>
  <c r="AB16" i="10"/>
  <c r="BB66" i="17" s="1"/>
  <c r="AD19" i="13"/>
  <c r="BD41" i="17" s="1"/>
  <c r="AE16" i="18"/>
  <c r="BE20" i="17" s="1"/>
  <c r="DM20" i="17" s="1"/>
  <c r="AD22" i="13"/>
  <c r="BD42" i="17" s="1"/>
  <c r="AE13" i="18"/>
  <c r="BE19" i="17" s="1"/>
  <c r="AD16" i="13"/>
  <c r="BD40" i="17" s="1"/>
  <c r="DL40" i="17" s="1"/>
  <c r="AH10" i="22"/>
  <c r="BH91" i="17" s="1"/>
  <c r="Z16" i="5"/>
  <c r="AZ105" i="17" s="1"/>
  <c r="DH105" i="17" s="1"/>
  <c r="AH19" i="22"/>
  <c r="BH94" i="17" s="1"/>
  <c r="AF4" i="18"/>
  <c r="AF10" i="18" s="1"/>
  <c r="BF18" i="17" s="1"/>
  <c r="DN18" i="17" s="1"/>
  <c r="AF14" i="18"/>
  <c r="AF19" i="18"/>
  <c r="BF21" i="17" s="1"/>
  <c r="DN21" i="17" s="1"/>
  <c r="AE4" i="12"/>
  <c r="AE13" i="12" s="1"/>
  <c r="AE22" i="12"/>
  <c r="AB4" i="8"/>
  <c r="AB10" i="8" s="1"/>
  <c r="BB52" i="17" s="1"/>
  <c r="AA10" i="9"/>
  <c r="BA58" i="17" s="1"/>
  <c r="DI58" i="17" s="1"/>
  <c r="AD10" i="14"/>
  <c r="AH13" i="22"/>
  <c r="BH92" i="17" s="1"/>
  <c r="AA19" i="9"/>
  <c r="BA61" i="17" s="1"/>
  <c r="DI61" i="17" s="1"/>
  <c r="AD19" i="14"/>
  <c r="AB23" i="10"/>
  <c r="Z4" i="3"/>
  <c r="Z10" i="3" s="1"/>
  <c r="AZ11" i="17" s="1"/>
  <c r="DH11" i="17" s="1"/>
  <c r="AA13" i="9"/>
  <c r="BA59" i="17" s="1"/>
  <c r="DI59" i="17" s="1"/>
  <c r="AD13" i="14"/>
  <c r="AI4" i="22"/>
  <c r="AI16" i="22" s="1"/>
  <c r="BI93" i="17" s="1"/>
  <c r="AD22" i="14"/>
  <c r="AD10" i="12"/>
  <c r="BD31" i="17" s="1"/>
  <c r="DL31" i="17" s="1"/>
  <c r="Z10" i="5"/>
  <c r="AZ103" i="17" s="1"/>
  <c r="DH103" i="17" s="1"/>
  <c r="Y19" i="3"/>
  <c r="AA4" i="5"/>
  <c r="AA10" i="5" s="1"/>
  <c r="AB19" i="10"/>
  <c r="BB67" i="17" s="1"/>
  <c r="DJ67" i="17" s="1"/>
  <c r="AD10" i="13"/>
  <c r="BD38" i="17" s="1"/>
  <c r="DL38" i="17" s="1"/>
  <c r="AD19" i="12"/>
  <c r="BD34" i="17" s="1"/>
  <c r="Z13" i="5"/>
  <c r="AZ104" i="17" s="1"/>
  <c r="DH104" i="17" s="1"/>
  <c r="AE4" i="13"/>
  <c r="AE13" i="13" s="1"/>
  <c r="AJ4" i="21"/>
  <c r="AJ14" i="21"/>
  <c r="AJ11" i="21"/>
  <c r="AJ8" i="21"/>
  <c r="AJ17" i="21"/>
  <c r="Z4" i="4"/>
  <c r="Z19" i="4"/>
  <c r="Z16" i="4"/>
  <c r="Z13" i="4"/>
  <c r="Z10" i="4"/>
  <c r="AI4" i="20"/>
  <c r="AI19" i="20"/>
  <c r="BI73" i="17" s="1"/>
  <c r="AI10" i="20"/>
  <c r="BI70" i="17" s="1"/>
  <c r="BI72" i="17"/>
  <c r="AI13" i="20"/>
  <c r="BI71" i="17" s="1"/>
  <c r="S123" i="1"/>
  <c r="BB65" i="17"/>
  <c r="AB10" i="10"/>
  <c r="BB64" i="17" s="1"/>
  <c r="DJ64" i="17" s="1"/>
  <c r="AC4" i="11"/>
  <c r="AC8" i="11"/>
  <c r="F125" i="1"/>
  <c r="BA27" i="17"/>
  <c r="DI27" i="17" s="1"/>
  <c r="BA28" i="17"/>
  <c r="DI28" i="17" s="1" a="1"/>
  <c r="DI28" i="17" s="1"/>
  <c r="BA24" i="17"/>
  <c r="DI24" i="17" s="1" a="1"/>
  <c r="DI24" i="17" s="1"/>
  <c r="BI88" i="17"/>
  <c r="BD47" i="17"/>
  <c r="DL47" i="17" s="1"/>
  <c r="BD39" i="17"/>
  <c r="DL39" i="17" s="1"/>
  <c r="DP87" i="17"/>
  <c r="DP86" i="17"/>
  <c r="DK39" i="17"/>
  <c r="DJ46" i="17"/>
  <c r="DH61" i="17"/>
  <c r="DH60" i="17"/>
  <c r="DH59" i="17"/>
  <c r="DH58" i="17"/>
  <c r="BE21" i="17"/>
  <c r="AE4" i="14"/>
  <c r="AE19" i="14" s="1"/>
  <c r="AP7" i="14"/>
  <c r="BC49" i="17"/>
  <c r="DK49" i="17" s="1"/>
  <c r="BC46" i="17"/>
  <c r="BC45" i="17"/>
  <c r="DK45" i="17" s="1"/>
  <c r="BD32" i="17"/>
  <c r="DL32" i="17" s="1"/>
  <c r="AG7" i="18"/>
  <c r="AF2" i="18"/>
  <c r="BD35" i="17"/>
  <c r="DL35" i="17" s="1"/>
  <c r="K115" i="1"/>
  <c r="K116" i="1"/>
  <c r="K119" i="1"/>
  <c r="K118" i="1"/>
  <c r="AB35" i="9"/>
  <c r="AB4" i="9"/>
  <c r="AB16" i="9" s="1"/>
  <c r="BA60" i="17"/>
  <c r="DI60" i="17" s="1"/>
  <c r="O127" i="1"/>
  <c r="E126" i="1"/>
  <c r="O124" i="1"/>
  <c r="O126" i="1"/>
  <c r="O123" i="1"/>
  <c r="N127" i="1"/>
  <c r="M123" i="1"/>
  <c r="N124" i="1"/>
  <c r="P127" i="1"/>
  <c r="M126" i="1"/>
  <c r="M124" i="1"/>
  <c r="N123" i="1"/>
  <c r="N126" i="1"/>
  <c r="P123" i="1"/>
  <c r="M127" i="1"/>
  <c r="P126" i="1"/>
  <c r="P124" i="1"/>
  <c r="E123" i="1"/>
  <c r="E127" i="1"/>
  <c r="E124" i="1"/>
  <c r="AC4" i="10"/>
  <c r="AC23" i="10" s="1"/>
  <c r="J127" i="1"/>
  <c r="I127" i="1"/>
  <c r="H127" i="1"/>
  <c r="J126" i="1"/>
  <c r="H126" i="1"/>
  <c r="L126" i="1"/>
  <c r="L127" i="1"/>
  <c r="L124" i="1"/>
  <c r="I126" i="1"/>
  <c r="L123" i="1"/>
  <c r="F118" i="1"/>
  <c r="F119" i="1"/>
  <c r="R119" i="1"/>
  <c r="AZ106" i="17"/>
  <c r="DH106" i="17" s="1"/>
  <c r="F115" i="1"/>
  <c r="F116" i="1"/>
  <c r="Q107" i="1"/>
  <c r="AY97" i="17"/>
  <c r="DG97" i="17" s="1"/>
  <c r="Q108" i="1"/>
  <c r="AY98" i="17"/>
  <c r="DG98" i="17" s="1" a="1"/>
  <c r="DG98" i="17" s="1"/>
  <c r="Q111" i="1"/>
  <c r="AY100" i="17"/>
  <c r="DG100" i="17" s="1"/>
  <c r="Q110" i="1"/>
  <c r="AY99" i="17"/>
  <c r="DG99" i="17" s="1" a="1"/>
  <c r="DG99" i="17" s="1"/>
  <c r="D107" i="1"/>
  <c r="AJ6" i="20"/>
  <c r="AF6" i="14"/>
  <c r="AD6" i="11"/>
  <c r="AD6" i="10"/>
  <c r="AC6" i="9"/>
  <c r="AC6" i="8"/>
  <c r="AB6" i="5"/>
  <c r="AA6" i="4"/>
  <c r="AJ6" i="22"/>
  <c r="AK6" i="21"/>
  <c r="AK22" i="19"/>
  <c r="AK20" i="19" s="1"/>
  <c r="AF6" i="12"/>
  <c r="AF6" i="13"/>
  <c r="AG6" i="18"/>
  <c r="H124" i="1"/>
  <c r="H123" i="1"/>
  <c r="G123" i="1"/>
  <c r="H125" i="1"/>
  <c r="I123" i="1"/>
  <c r="I124" i="1"/>
  <c r="J125" i="1"/>
  <c r="J124" i="1"/>
  <c r="J123" i="1"/>
  <c r="I125" i="1"/>
  <c r="B130" i="1"/>
  <c r="AA6" i="3"/>
  <c r="AJ16" i="20" l="1"/>
  <c r="AJ30" i="20"/>
  <c r="BJ82" i="17"/>
  <c r="DR82" i="17" s="1"/>
  <c r="AY14" i="17"/>
  <c r="DG14" i="17" s="1"/>
  <c r="Z22" i="3"/>
  <c r="AZ15" i="17" s="1"/>
  <c r="DH15" i="17" s="1"/>
  <c r="S131" i="1"/>
  <c r="AK26" i="19"/>
  <c r="BK80" i="17" s="1"/>
  <c r="DS80" i="17" s="1"/>
  <c r="AK32" i="19"/>
  <c r="R118" i="1"/>
  <c r="D111" i="1"/>
  <c r="R115" i="1"/>
  <c r="D110" i="1"/>
  <c r="G126" i="1"/>
  <c r="AJ16" i="21"/>
  <c r="R116" i="1"/>
  <c r="AJ13" i="21"/>
  <c r="BJ86" i="17" s="1"/>
  <c r="AJ19" i="21"/>
  <c r="AJ10" i="21"/>
  <c r="BJ85" i="17" s="1"/>
  <c r="AF16" i="18"/>
  <c r="BF20" i="17" s="1"/>
  <c r="AE10" i="12"/>
  <c r="BE31" i="17" s="1"/>
  <c r="D108" i="1"/>
  <c r="DQ93" i="17"/>
  <c r="DP94" i="17"/>
  <c r="DP91" i="17"/>
  <c r="DP92" i="17"/>
  <c r="DQ88" i="17"/>
  <c r="DQ72" i="17"/>
  <c r="DQ71" i="17"/>
  <c r="DQ70" i="17"/>
  <c r="DQ73" i="17"/>
  <c r="AB19" i="8"/>
  <c r="G135" i="1" s="1"/>
  <c r="AF13" i="18"/>
  <c r="BF19" i="17" s="1"/>
  <c r="DN19" i="17" s="1"/>
  <c r="AE10" i="13"/>
  <c r="BE38" i="17" s="1"/>
  <c r="DM38" i="17" s="1"/>
  <c r="AA13" i="5"/>
  <c r="R124" i="1" s="1"/>
  <c r="AE16" i="12"/>
  <c r="BE33" i="17" s="1"/>
  <c r="AE22" i="13"/>
  <c r="BE42" i="17" s="1"/>
  <c r="AA16" i="5"/>
  <c r="R126" i="1" s="1"/>
  <c r="AE19" i="13"/>
  <c r="BE41" i="17" s="1"/>
  <c r="AA19" i="5"/>
  <c r="BA106" i="17" s="1"/>
  <c r="DI106" i="17" s="1"/>
  <c r="AC13" i="10"/>
  <c r="BC65" i="17" s="1"/>
  <c r="DK65" i="17" s="1"/>
  <c r="AB13" i="8"/>
  <c r="G132" i="1" s="1"/>
  <c r="AC10" i="11"/>
  <c r="BC109" i="17" s="1"/>
  <c r="DK109" i="17" s="1"/>
  <c r="AB16" i="8"/>
  <c r="BB54" i="17" s="1"/>
  <c r="DJ54" i="17" s="1"/>
  <c r="AA4" i="4"/>
  <c r="AA19" i="4"/>
  <c r="AA13" i="4"/>
  <c r="AA16" i="4"/>
  <c r="AA10" i="4"/>
  <c r="AB19" i="9"/>
  <c r="BB61" i="17" s="1"/>
  <c r="DJ61" i="17" s="1"/>
  <c r="AI13" i="22"/>
  <c r="BI92" i="17" s="1"/>
  <c r="AC19" i="10"/>
  <c r="AG4" i="18"/>
  <c r="AG10" i="18" s="1"/>
  <c r="BG18" i="17" s="1"/>
  <c r="AG14" i="18"/>
  <c r="AG19" i="18"/>
  <c r="BG21" i="17" s="1"/>
  <c r="AB4" i="5"/>
  <c r="AB16" i="5" s="1"/>
  <c r="BB105" i="17" s="1"/>
  <c r="AB10" i="9"/>
  <c r="BB58" i="17" s="1"/>
  <c r="DJ58" i="17" s="1"/>
  <c r="AI10" i="22"/>
  <c r="BI91" i="17" s="1"/>
  <c r="AC16" i="10"/>
  <c r="BC66" i="17" s="1"/>
  <c r="DK66" i="17" s="1"/>
  <c r="AF4" i="13"/>
  <c r="AF13" i="13" s="1"/>
  <c r="AC4" i="8"/>
  <c r="AC10" i="8" s="1"/>
  <c r="BC52" i="17" s="1"/>
  <c r="AE10" i="14"/>
  <c r="AB13" i="9"/>
  <c r="BB59" i="17" s="1"/>
  <c r="DJ59" i="17" s="1"/>
  <c r="AI19" i="22"/>
  <c r="BI94" i="17" s="1"/>
  <c r="AE16" i="14"/>
  <c r="BE47" i="17" s="1"/>
  <c r="Z16" i="3"/>
  <c r="AZ13" i="17" s="1"/>
  <c r="DH13" i="17" s="1"/>
  <c r="AE22" i="14"/>
  <c r="Z19" i="3"/>
  <c r="AJ4" i="20"/>
  <c r="AJ18" i="20"/>
  <c r="AJ19" i="20" s="1"/>
  <c r="BJ73" i="17" s="1"/>
  <c r="AJ17" i="20"/>
  <c r="AJ13" i="20"/>
  <c r="BJ71" i="17" s="1"/>
  <c r="BJ72" i="17"/>
  <c r="AJ10" i="20"/>
  <c r="BJ70" i="17" s="1"/>
  <c r="AF4" i="12"/>
  <c r="AF10" i="12" s="1"/>
  <c r="AF22" i="12"/>
  <c r="AA4" i="3"/>
  <c r="AA16" i="3" s="1"/>
  <c r="BA13" i="17" s="1"/>
  <c r="DI13" i="17" s="1"/>
  <c r="AK4" i="21"/>
  <c r="AK17" i="21"/>
  <c r="IH88" i="17" s="1"/>
  <c r="AK8" i="21"/>
  <c r="IH85" i="17" s="1"/>
  <c r="AK14" i="21"/>
  <c r="IH87" i="17" s="1"/>
  <c r="AK11" i="21"/>
  <c r="IH86" i="17" s="1"/>
  <c r="AE13" i="14"/>
  <c r="AE16" i="13"/>
  <c r="BE40" i="17" s="1"/>
  <c r="DM40" i="17" s="1"/>
  <c r="Z13" i="3"/>
  <c r="AZ12" i="17" s="1"/>
  <c r="DH12" i="17" s="1"/>
  <c r="AE19" i="12"/>
  <c r="BE34" i="17" s="1"/>
  <c r="DM34" i="17" s="1"/>
  <c r="AJ4" i="22"/>
  <c r="AJ11" i="22"/>
  <c r="AJ8" i="22"/>
  <c r="AJ14" i="22"/>
  <c r="AJ17" i="22"/>
  <c r="AC10" i="10"/>
  <c r="BC64" i="17" s="1"/>
  <c r="DK64" i="17" s="1"/>
  <c r="BB27" i="17"/>
  <c r="DJ27" i="17" s="1"/>
  <c r="AD4" i="11"/>
  <c r="AD8" i="11"/>
  <c r="F133" i="1"/>
  <c r="DQ85" i="17"/>
  <c r="DQ86" i="17"/>
  <c r="DQ87" i="17"/>
  <c r="F132" i="1"/>
  <c r="DK46" i="17"/>
  <c r="DL41" i="17"/>
  <c r="DL42" i="17"/>
  <c r="DL34" i="17"/>
  <c r="DJ65" i="17"/>
  <c r="DJ66" i="17"/>
  <c r="DM21" i="17"/>
  <c r="DJ52" i="17" a="1"/>
  <c r="DJ52" i="17" s="1"/>
  <c r="DM19" i="17"/>
  <c r="BE39" i="17"/>
  <c r="BD48" i="17"/>
  <c r="BD45" i="17"/>
  <c r="DL45" i="17" s="1"/>
  <c r="BD49" i="17"/>
  <c r="BD46" i="17"/>
  <c r="AQ7" i="14"/>
  <c r="AF4" i="14"/>
  <c r="AF19" i="14" s="1"/>
  <c r="BE32" i="17"/>
  <c r="AH7" i="18"/>
  <c r="AG2" i="18"/>
  <c r="BE35" i="17"/>
  <c r="DM35" i="17" s="1"/>
  <c r="K124" i="1"/>
  <c r="K123" i="1"/>
  <c r="K127" i="1"/>
  <c r="K126" i="1"/>
  <c r="BB60" i="17"/>
  <c r="DJ60" i="17" s="1"/>
  <c r="AC35" i="9"/>
  <c r="AC4" i="9"/>
  <c r="AC10" i="9" s="1"/>
  <c r="V132" i="1"/>
  <c r="U132" i="1"/>
  <c r="U131" i="1"/>
  <c r="U134" i="1"/>
  <c r="V131" i="1"/>
  <c r="V135" i="1"/>
  <c r="V134" i="1"/>
  <c r="U135" i="1"/>
  <c r="P135" i="1"/>
  <c r="O135" i="1"/>
  <c r="O131" i="1"/>
  <c r="O132" i="1"/>
  <c r="O134" i="1"/>
  <c r="E134" i="1"/>
  <c r="N134" i="1"/>
  <c r="N132" i="1"/>
  <c r="N131" i="1"/>
  <c r="N135" i="1"/>
  <c r="P131" i="1"/>
  <c r="P134" i="1"/>
  <c r="P132" i="1"/>
  <c r="M131" i="1"/>
  <c r="M135" i="1"/>
  <c r="M134" i="1"/>
  <c r="M132" i="1"/>
  <c r="E131" i="1"/>
  <c r="E135" i="1"/>
  <c r="E132" i="1"/>
  <c r="AD4" i="10"/>
  <c r="AD19" i="10" s="1"/>
  <c r="F126" i="1"/>
  <c r="R123" i="1"/>
  <c r="BA103" i="17"/>
  <c r="DI103" i="17" s="1"/>
  <c r="F123" i="1"/>
  <c r="F127" i="1"/>
  <c r="F124" i="1"/>
  <c r="J135" i="1"/>
  <c r="I135" i="1"/>
  <c r="H135" i="1"/>
  <c r="J134" i="1"/>
  <c r="H134" i="1"/>
  <c r="L134" i="1"/>
  <c r="I134" i="1"/>
  <c r="L132" i="1"/>
  <c r="L131" i="1"/>
  <c r="L135" i="1"/>
  <c r="Q116" i="1"/>
  <c r="AZ98" i="17"/>
  <c r="DH98" i="17" s="1" a="1"/>
  <c r="DH98" i="17" s="1"/>
  <c r="Q119" i="1"/>
  <c r="AZ100" i="17"/>
  <c r="DH100" i="17" s="1"/>
  <c r="Q115" i="1"/>
  <c r="AZ97" i="17"/>
  <c r="DH97" i="17" s="1"/>
  <c r="Q118" i="1"/>
  <c r="AZ99" i="17"/>
  <c r="DH99" i="17" s="1" a="1"/>
  <c r="DH99" i="17" s="1"/>
  <c r="D115" i="1"/>
  <c r="AK6" i="20"/>
  <c r="AG6" i="14"/>
  <c r="AE6" i="11"/>
  <c r="AE6" i="10"/>
  <c r="AD6" i="9"/>
  <c r="AD6" i="8"/>
  <c r="AC6" i="5"/>
  <c r="AB6" i="4"/>
  <c r="AK6" i="22"/>
  <c r="AL6" i="21"/>
  <c r="AL22" i="19"/>
  <c r="AL20" i="19" s="1"/>
  <c r="AG6" i="12"/>
  <c r="AG6" i="13"/>
  <c r="AH6" i="18"/>
  <c r="G131" i="1"/>
  <c r="H132" i="1"/>
  <c r="H131" i="1"/>
  <c r="H133" i="1"/>
  <c r="J132" i="1"/>
  <c r="J131" i="1"/>
  <c r="I133" i="1"/>
  <c r="I132" i="1"/>
  <c r="J133" i="1"/>
  <c r="I131" i="1"/>
  <c r="B138" i="1"/>
  <c r="AB6" i="3"/>
  <c r="AK18" i="20" l="1"/>
  <c r="AK16" i="20"/>
  <c r="AK30" i="20"/>
  <c r="BK82" i="17"/>
  <c r="DS82" i="17" s="1"/>
  <c r="AZ14" i="17"/>
  <c r="DH14" i="17" s="1"/>
  <c r="AA22" i="3"/>
  <c r="BA15" i="17" s="1"/>
  <c r="DI15" i="17" s="1"/>
  <c r="BA104" i="17"/>
  <c r="DI104" i="17" s="1"/>
  <c r="AL26" i="19"/>
  <c r="BL80" i="17" s="1"/>
  <c r="AL32" i="19"/>
  <c r="D118" i="1"/>
  <c r="D119" i="1"/>
  <c r="G134" i="1"/>
  <c r="DR86" i="17"/>
  <c r="R127" i="1"/>
  <c r="DR85" i="17"/>
  <c r="AK13" i="21"/>
  <c r="BK86" i="17" s="1"/>
  <c r="AK10" i="21"/>
  <c r="BK85" i="17" s="1"/>
  <c r="BA105" i="17"/>
  <c r="DI105" i="17" s="1"/>
  <c r="AK19" i="21"/>
  <c r="BK88" i="17" s="1"/>
  <c r="DS88" i="17" s="1"/>
  <c r="AK16" i="21"/>
  <c r="BK87" i="17" s="1"/>
  <c r="AA19" i="3"/>
  <c r="AG13" i="18"/>
  <c r="BG19" i="17" s="1"/>
  <c r="DO19" i="17" s="1"/>
  <c r="AJ16" i="22"/>
  <c r="BJ93" i="17" s="1"/>
  <c r="AJ13" i="22"/>
  <c r="BJ92" i="17" s="1"/>
  <c r="DR92" i="17" s="1"/>
  <c r="DM42" i="17"/>
  <c r="DM41" i="17"/>
  <c r="AA10" i="3"/>
  <c r="BA11" i="17" s="1"/>
  <c r="DI11" i="17" s="1"/>
  <c r="DQ94" i="17"/>
  <c r="DQ91" i="17"/>
  <c r="DQ92" i="17"/>
  <c r="AC19" i="9"/>
  <c r="BC61" i="17" s="1"/>
  <c r="DK61" i="17" s="1"/>
  <c r="DR73" i="17"/>
  <c r="DO21" i="17"/>
  <c r="DO18" i="17"/>
  <c r="AB19" i="5"/>
  <c r="BB106" i="17" s="1"/>
  <c r="DJ106" i="17" s="1"/>
  <c r="AD10" i="11"/>
  <c r="BD109" i="17" s="1"/>
  <c r="DL109" i="17" s="1"/>
  <c r="AJ10" i="22"/>
  <c r="BJ91" i="17" s="1"/>
  <c r="AA13" i="3"/>
  <c r="BA12" i="17" s="1"/>
  <c r="DI12" i="17" s="1"/>
  <c r="AF19" i="13"/>
  <c r="BF41" i="17" s="1"/>
  <c r="AJ19" i="22"/>
  <c r="BJ94" i="17" s="1"/>
  <c r="AG16" i="18"/>
  <c r="BG20" i="17" s="1"/>
  <c r="AF13" i="12"/>
  <c r="BF32" i="17" s="1"/>
  <c r="DN32" i="17" s="1"/>
  <c r="AD23" i="10"/>
  <c r="AC19" i="8"/>
  <c r="G143" i="1" s="1"/>
  <c r="AC16" i="8"/>
  <c r="BC54" i="17" s="1"/>
  <c r="DK54" i="17" s="1"/>
  <c r="AB4" i="3"/>
  <c r="AB13" i="3" s="1"/>
  <c r="BB12" i="17" s="1"/>
  <c r="AF10" i="14"/>
  <c r="AF16" i="12"/>
  <c r="BF33" i="17" s="1"/>
  <c r="DN33" i="17" s="1"/>
  <c r="AC13" i="8"/>
  <c r="G140" i="1" s="1"/>
  <c r="DN20" i="17"/>
  <c r="AC16" i="9"/>
  <c r="BC60" i="17" s="1"/>
  <c r="DK60" i="17" s="1"/>
  <c r="AL4" i="21"/>
  <c r="AL11" i="21"/>
  <c r="II86" i="17" s="1"/>
  <c r="AL17" i="21"/>
  <c r="II88" i="17" s="1"/>
  <c r="AL8" i="21"/>
  <c r="II85" i="17" s="1"/>
  <c r="AL14" i="21"/>
  <c r="II87" i="17" s="1"/>
  <c r="AF22" i="14"/>
  <c r="AF19" i="12"/>
  <c r="BF34" i="17" s="1"/>
  <c r="AK4" i="22"/>
  <c r="AK8" i="22"/>
  <c r="IH91" i="17" s="1"/>
  <c r="AK17" i="22"/>
  <c r="IH94" i="17" s="1"/>
  <c r="AK14" i="22"/>
  <c r="IH93" i="17" s="1"/>
  <c r="AK11" i="22"/>
  <c r="IH92" i="17" s="1"/>
  <c r="AK4" i="20"/>
  <c r="AK17" i="20"/>
  <c r="IH73" i="17" s="1"/>
  <c r="AK19" i="20"/>
  <c r="BK73" i="17" s="1"/>
  <c r="DS73" i="17" s="1"/>
  <c r="AK13" i="20"/>
  <c r="BK71" i="17" s="1"/>
  <c r="DS71" i="17" s="1"/>
  <c r="AK10" i="20"/>
  <c r="BK70" i="17" s="1"/>
  <c r="DS70" i="17" s="1"/>
  <c r="BK72" i="17"/>
  <c r="DS72" i="17" s="1"/>
  <c r="AF16" i="14"/>
  <c r="BF47" i="17" s="1"/>
  <c r="AF10" i="13"/>
  <c r="BF38" i="17" s="1"/>
  <c r="AG4" i="13"/>
  <c r="AG19" i="13" s="1"/>
  <c r="AD16" i="10"/>
  <c r="BD66" i="17" s="1"/>
  <c r="DL66" i="17" s="1"/>
  <c r="AB4" i="4"/>
  <c r="AB19" i="4"/>
  <c r="Q135" i="1" s="1"/>
  <c r="AB16" i="4"/>
  <c r="Q134" i="1" s="1"/>
  <c r="AB10" i="4"/>
  <c r="Q131" i="1" s="1"/>
  <c r="AB13" i="4"/>
  <c r="Q132" i="1" s="1"/>
  <c r="D116" i="1"/>
  <c r="AF13" i="14"/>
  <c r="AF22" i="13"/>
  <c r="BF42" i="17" s="1"/>
  <c r="AB13" i="5"/>
  <c r="BB104" i="17" s="1"/>
  <c r="DJ104" i="17" s="1"/>
  <c r="DR71" i="17"/>
  <c r="AC4" i="5"/>
  <c r="AC13" i="5" s="1"/>
  <c r="BC104" i="17" s="1"/>
  <c r="DR70" i="17"/>
  <c r="AD13" i="10"/>
  <c r="BD65" i="17" s="1"/>
  <c r="DL65" i="17" s="1"/>
  <c r="AC13" i="9"/>
  <c r="BC59" i="17" s="1"/>
  <c r="DK59" i="17" s="1"/>
  <c r="AF16" i="13"/>
  <c r="BF40" i="17" s="1"/>
  <c r="DN40" i="17" s="1"/>
  <c r="AB10" i="5"/>
  <c r="BB103" i="17" s="1"/>
  <c r="DJ103" i="17" s="1"/>
  <c r="AG4" i="12"/>
  <c r="AG19" i="12" s="1"/>
  <c r="AG22" i="12"/>
  <c r="AH4" i="18"/>
  <c r="AH10" i="18" s="1"/>
  <c r="BH18" i="17" s="1"/>
  <c r="AH14" i="18"/>
  <c r="AD4" i="8"/>
  <c r="AD13" i="8" s="1"/>
  <c r="DR72" i="17"/>
  <c r="S139" i="1"/>
  <c r="BD67" i="17"/>
  <c r="DL67" i="17" s="1"/>
  <c r="AD10" i="10"/>
  <c r="BD64" i="17" s="1"/>
  <c r="DL64" i="17" s="1"/>
  <c r="F141" i="1"/>
  <c r="BC27" i="17"/>
  <c r="AE4" i="11"/>
  <c r="AE8" i="11"/>
  <c r="DM47" i="17"/>
  <c r="DL49" i="17"/>
  <c r="DL46" i="17"/>
  <c r="DM33" i="17"/>
  <c r="DM31" i="17"/>
  <c r="DL48" i="17"/>
  <c r="DM32" i="17"/>
  <c r="DM39" i="17"/>
  <c r="DJ105" i="17"/>
  <c r="DK52" i="17" a="1"/>
  <c r="DK52" i="17" s="1"/>
  <c r="AE27" i="40"/>
  <c r="BF35" i="17"/>
  <c r="DN35" i="17" s="1"/>
  <c r="BF31" i="17"/>
  <c r="BF39" i="17"/>
  <c r="DN39" i="17" s="1"/>
  <c r="F135" i="1"/>
  <c r="BB28" i="17"/>
  <c r="BB24" i="17"/>
  <c r="DJ24" i="17" s="1" a="1"/>
  <c r="DJ24" i="17" s="1"/>
  <c r="BE48" i="17"/>
  <c r="BE45" i="17"/>
  <c r="DM45" i="17" s="1"/>
  <c r="BE49" i="17"/>
  <c r="DM49" i="17" s="1"/>
  <c r="BE46" i="17"/>
  <c r="AG4" i="14"/>
  <c r="AG19" i="14" s="1"/>
  <c r="AR7" i="14"/>
  <c r="AI7" i="18"/>
  <c r="AH2" i="18"/>
  <c r="K134" i="1"/>
  <c r="F131" i="1"/>
  <c r="K131" i="1"/>
  <c r="K132" i="1"/>
  <c r="R134" i="1"/>
  <c r="F134" i="1"/>
  <c r="K135" i="1"/>
  <c r="BC58" i="17"/>
  <c r="DK58" i="17" s="1"/>
  <c r="AD35" i="9"/>
  <c r="AD4" i="9"/>
  <c r="AD16" i="9" s="1"/>
  <c r="BC67" i="17"/>
  <c r="V143" i="1"/>
  <c r="V139" i="1"/>
  <c r="U139" i="1"/>
  <c r="U143" i="1"/>
  <c r="V142" i="1"/>
  <c r="U142" i="1"/>
  <c r="V140" i="1"/>
  <c r="U140" i="1"/>
  <c r="O140" i="1"/>
  <c r="O143" i="1"/>
  <c r="P143" i="1"/>
  <c r="O142" i="1"/>
  <c r="O139" i="1"/>
  <c r="E142" i="1"/>
  <c r="N140" i="1"/>
  <c r="N142" i="1"/>
  <c r="N143" i="1"/>
  <c r="N139" i="1"/>
  <c r="M139" i="1"/>
  <c r="P142" i="1"/>
  <c r="M142" i="1"/>
  <c r="M143" i="1"/>
  <c r="M140" i="1"/>
  <c r="P139" i="1"/>
  <c r="P140" i="1"/>
  <c r="E143" i="1"/>
  <c r="E139" i="1"/>
  <c r="E140" i="1"/>
  <c r="AE4" i="10"/>
  <c r="AE19" i="10" s="1"/>
  <c r="Q124" i="1"/>
  <c r="BA98" i="17"/>
  <c r="DI98" i="17" s="1" a="1"/>
  <c r="DI98" i="17" s="1"/>
  <c r="D126" i="1"/>
  <c r="Q123" i="1"/>
  <c r="BA97" i="17"/>
  <c r="DI97" i="17" s="1"/>
  <c r="Q126" i="1"/>
  <c r="BA99" i="17"/>
  <c r="DI99" i="17" s="1" a="1"/>
  <c r="DI99" i="17" s="1"/>
  <c r="Q127" i="1"/>
  <c r="BA100" i="17"/>
  <c r="DI100" i="17" s="1"/>
  <c r="J143" i="1"/>
  <c r="I143" i="1"/>
  <c r="H143" i="1"/>
  <c r="J142" i="1"/>
  <c r="H142" i="1"/>
  <c r="I142" i="1"/>
  <c r="L142" i="1"/>
  <c r="L140" i="1"/>
  <c r="L139" i="1"/>
  <c r="L143" i="1"/>
  <c r="AL6" i="20"/>
  <c r="AH6" i="14"/>
  <c r="AF6" i="11"/>
  <c r="AF6" i="10"/>
  <c r="AE6" i="9"/>
  <c r="AE6" i="8"/>
  <c r="AD6" i="5"/>
  <c r="AC6" i="4"/>
  <c r="AL6" i="22"/>
  <c r="AM6" i="21"/>
  <c r="AM22" i="19"/>
  <c r="AM20" i="19" s="1"/>
  <c r="AH6" i="12"/>
  <c r="AH6" i="13"/>
  <c r="AI6" i="18"/>
  <c r="H141" i="1"/>
  <c r="H140" i="1"/>
  <c r="H139" i="1"/>
  <c r="G139" i="1"/>
  <c r="I141" i="1"/>
  <c r="I140" i="1"/>
  <c r="I139" i="1"/>
  <c r="J141" i="1"/>
  <c r="J140" i="1"/>
  <c r="J139" i="1"/>
  <c r="B146" i="1"/>
  <c r="AC6" i="3"/>
  <c r="AL18" i="20" l="1"/>
  <c r="AL16" i="20"/>
  <c r="AL30" i="20"/>
  <c r="BL82" i="17"/>
  <c r="DT82" i="17" s="1"/>
  <c r="BA14" i="17"/>
  <c r="DI14" i="17" s="1"/>
  <c r="AB22" i="3"/>
  <c r="BB15" i="17" s="1"/>
  <c r="DJ15" i="17" s="1"/>
  <c r="R135" i="1"/>
  <c r="DT80" i="17"/>
  <c r="AM26" i="19"/>
  <c r="BM80" i="17" s="1"/>
  <c r="AM32" i="19"/>
  <c r="R131" i="1"/>
  <c r="S147" i="1"/>
  <c r="D127" i="1"/>
  <c r="D123" i="1"/>
  <c r="D124" i="1"/>
  <c r="AL19" i="21"/>
  <c r="BL88" i="17" s="1"/>
  <c r="DT88" i="17" s="1"/>
  <c r="AL10" i="21"/>
  <c r="BL85" i="17" s="1"/>
  <c r="DT85" i="17" s="1"/>
  <c r="AL16" i="21"/>
  <c r="BL87" i="17" s="1"/>
  <c r="AL13" i="21"/>
  <c r="BL86" i="17" s="1"/>
  <c r="DS87" i="17"/>
  <c r="DR93" i="17"/>
  <c r="AC16" i="5"/>
  <c r="BC105" i="17" s="1"/>
  <c r="DK105" i="17" s="1"/>
  <c r="G142" i="1"/>
  <c r="DS85" i="17"/>
  <c r="AK16" i="22"/>
  <c r="BK93" i="17" s="1"/>
  <c r="DS86" i="17"/>
  <c r="AK13" i="22"/>
  <c r="BK92" i="17" s="1"/>
  <c r="AK10" i="22"/>
  <c r="BK91" i="17" s="1"/>
  <c r="AK19" i="22"/>
  <c r="BK94" i="17" s="1"/>
  <c r="DS94" i="17" s="1"/>
  <c r="DR91" i="17"/>
  <c r="DR94" i="17"/>
  <c r="AB16" i="3"/>
  <c r="BB13" i="17" s="1"/>
  <c r="DJ13" i="17" s="1"/>
  <c r="AH19" i="18"/>
  <c r="BH21" i="17" s="1"/>
  <c r="DP18" i="17"/>
  <c r="R132" i="1"/>
  <c r="AE13" i="10"/>
  <c r="BE65" i="17" s="1"/>
  <c r="DM65" i="17" s="1"/>
  <c r="AC10" i="5"/>
  <c r="BC103" i="17" s="1"/>
  <c r="DK103" i="17" s="1"/>
  <c r="AG10" i="13"/>
  <c r="BG38" i="17" s="1"/>
  <c r="AE10" i="11"/>
  <c r="BE109" i="17" s="1"/>
  <c r="DM109" i="17" s="1"/>
  <c r="AH16" i="18"/>
  <c r="BH20" i="17" s="1"/>
  <c r="AC19" i="5"/>
  <c r="BC106" i="17" s="1"/>
  <c r="DK106" i="17" s="1"/>
  <c r="AG22" i="13"/>
  <c r="BG42" i="17" s="1"/>
  <c r="AB10" i="3"/>
  <c r="BB11" i="17" s="1"/>
  <c r="DJ11" i="17" s="1"/>
  <c r="AH13" i="18"/>
  <c r="BH19" i="17" s="1"/>
  <c r="AG16" i="13"/>
  <c r="BG40" i="17" s="1"/>
  <c r="AG13" i="13"/>
  <c r="BG39" i="17" s="1"/>
  <c r="DO20" i="17"/>
  <c r="AE23" i="10"/>
  <c r="AH4" i="12"/>
  <c r="AH16" i="12" s="1"/>
  <c r="BH33" i="17" s="1"/>
  <c r="AH22" i="12"/>
  <c r="BH35" i="17" s="1"/>
  <c r="AE16" i="10"/>
  <c r="BE66" i="17" s="1"/>
  <c r="DM66" i="17" s="1"/>
  <c r="AG10" i="14"/>
  <c r="AE4" i="8"/>
  <c r="AE10" i="8" s="1"/>
  <c r="BE52" i="17" s="1"/>
  <c r="DM52" i="17" s="1" a="1"/>
  <c r="DM52" i="17" s="1"/>
  <c r="AL4" i="22"/>
  <c r="AL8" i="22"/>
  <c r="II91" i="17" s="1"/>
  <c r="AL17" i="22"/>
  <c r="II94" i="17" s="1"/>
  <c r="AL14" i="22"/>
  <c r="II93" i="17" s="1"/>
  <c r="AL11" i="22"/>
  <c r="II92" i="17" s="1"/>
  <c r="AG10" i="12"/>
  <c r="BG31" i="17" s="1"/>
  <c r="AG22" i="14"/>
  <c r="AD10" i="9"/>
  <c r="AD10" i="8"/>
  <c r="BD52" i="17" s="1"/>
  <c r="DL52" i="17" s="1" a="1"/>
  <c r="DL52" i="17" s="1"/>
  <c r="AG13" i="12"/>
  <c r="BG32" i="17" s="1"/>
  <c r="AG16" i="14"/>
  <c r="BG47" i="17" s="1"/>
  <c r="AD13" i="9"/>
  <c r="AC4" i="4"/>
  <c r="AC19" i="4"/>
  <c r="Q143" i="1" s="1"/>
  <c r="AC16" i="4"/>
  <c r="Q142" i="1" s="1"/>
  <c r="AC10" i="4"/>
  <c r="Q139" i="1" s="1"/>
  <c r="AC13" i="4"/>
  <c r="Q140" i="1" s="1"/>
  <c r="AC4" i="3"/>
  <c r="AC13" i="3" s="1"/>
  <c r="BC12" i="17" s="1"/>
  <c r="AM4" i="21"/>
  <c r="AM11" i="21"/>
  <c r="IJ86" i="17" s="1"/>
  <c r="AM17" i="21"/>
  <c r="IJ88" i="17" s="1"/>
  <c r="IJ85" i="17"/>
  <c r="AM14" i="21"/>
  <c r="IJ87" i="17" s="1"/>
  <c r="AD19" i="8"/>
  <c r="BD55" i="17" s="1"/>
  <c r="DL55" i="17" s="1" a="1"/>
  <c r="DL55" i="17" s="1"/>
  <c r="AG13" i="14"/>
  <c r="AD19" i="9"/>
  <c r="AB19" i="3"/>
  <c r="AD4" i="5"/>
  <c r="AD10" i="5" s="1"/>
  <c r="AD16" i="8"/>
  <c r="BD54" i="17" s="1"/>
  <c r="DL54" i="17" s="1"/>
  <c r="AG16" i="12"/>
  <c r="BG33" i="17" s="1"/>
  <c r="AI4" i="18"/>
  <c r="AI10" i="18" s="1"/>
  <c r="BI18" i="17" s="1"/>
  <c r="AI14" i="18"/>
  <c r="AH4" i="13"/>
  <c r="AH16" i="13" s="1"/>
  <c r="BH40" i="17" s="1"/>
  <c r="AL4" i="20"/>
  <c r="AL17" i="20"/>
  <c r="II73" i="17" s="1"/>
  <c r="AL19" i="20"/>
  <c r="BL73" i="17" s="1"/>
  <c r="DT73" i="17" s="1"/>
  <c r="AL13" i="20"/>
  <c r="BL71" i="17" s="1"/>
  <c r="DT71" i="17" s="1"/>
  <c r="BL72" i="17"/>
  <c r="DT72" i="17" s="1"/>
  <c r="AL10" i="20"/>
  <c r="BL70" i="17" s="1"/>
  <c r="DT70" i="17" s="1"/>
  <c r="AE10" i="10"/>
  <c r="BE64" i="17" s="1"/>
  <c r="DM64" i="17" s="1"/>
  <c r="BD27" i="17"/>
  <c r="BD28" i="17"/>
  <c r="AF4" i="11"/>
  <c r="AF8" i="11"/>
  <c r="F149" i="1"/>
  <c r="DN47" i="17"/>
  <c r="BD24" i="17"/>
  <c r="DN31" i="17"/>
  <c r="DN41" i="17"/>
  <c r="DM46" i="17"/>
  <c r="DM48" i="17"/>
  <c r="DN34" i="17"/>
  <c r="DN38" i="17"/>
  <c r="DN42" i="17"/>
  <c r="DK67" i="17"/>
  <c r="DK27" i="17"/>
  <c r="AF27" i="40" s="1"/>
  <c r="DJ28" i="17" a="1"/>
  <c r="DJ28" i="17" s="1"/>
  <c r="DK104" i="17"/>
  <c r="DJ12" i="17"/>
  <c r="BG41" i="17"/>
  <c r="BG35" i="17"/>
  <c r="BG34" i="17"/>
  <c r="BF48" i="17"/>
  <c r="DN48" i="17" s="1"/>
  <c r="BF45" i="17"/>
  <c r="DN45" i="17" s="1"/>
  <c r="BF49" i="17"/>
  <c r="DN49" i="17" s="1"/>
  <c r="BF46" i="17"/>
  <c r="F139" i="1"/>
  <c r="BC24" i="17"/>
  <c r="BC28" i="17"/>
  <c r="DK28" i="17" s="1" a="1"/>
  <c r="DK28" i="17" s="1"/>
  <c r="AS7" i="14"/>
  <c r="AH4" i="14"/>
  <c r="AH16" i="14" s="1"/>
  <c r="AJ7" i="18"/>
  <c r="AI2" i="18"/>
  <c r="R140" i="1"/>
  <c r="BD53" i="17"/>
  <c r="K140" i="1"/>
  <c r="K142" i="1"/>
  <c r="D132" i="1"/>
  <c r="F143" i="1"/>
  <c r="K139" i="1"/>
  <c r="F142" i="1"/>
  <c r="K143" i="1"/>
  <c r="AE35" i="9"/>
  <c r="AE4" i="9"/>
  <c r="AE10" i="9" s="1"/>
  <c r="BE67" i="17"/>
  <c r="DM67" i="17" s="1"/>
  <c r="V148" i="1"/>
  <c r="U148" i="1"/>
  <c r="V150" i="1"/>
  <c r="U150" i="1"/>
  <c r="V147" i="1"/>
  <c r="U147" i="1"/>
  <c r="V151" i="1"/>
  <c r="U151" i="1"/>
  <c r="O151" i="1"/>
  <c r="O147" i="1"/>
  <c r="O150" i="1"/>
  <c r="P151" i="1"/>
  <c r="O148" i="1"/>
  <c r="E150" i="1"/>
  <c r="N148" i="1"/>
  <c r="N147" i="1"/>
  <c r="N151" i="1"/>
  <c r="N150" i="1"/>
  <c r="P150" i="1"/>
  <c r="M151" i="1"/>
  <c r="P148" i="1"/>
  <c r="P147" i="1"/>
  <c r="M148" i="1"/>
  <c r="M147" i="1"/>
  <c r="M150" i="1"/>
  <c r="E147" i="1"/>
  <c r="E148" i="1"/>
  <c r="E151" i="1"/>
  <c r="AF4" i="10"/>
  <c r="AF16" i="10" s="1"/>
  <c r="J151" i="1"/>
  <c r="I151" i="1"/>
  <c r="H151" i="1"/>
  <c r="J150" i="1"/>
  <c r="H150" i="1"/>
  <c r="L150" i="1"/>
  <c r="L151" i="1"/>
  <c r="L148" i="1"/>
  <c r="L147" i="1"/>
  <c r="I150" i="1"/>
  <c r="AM6" i="20"/>
  <c r="AI6" i="14"/>
  <c r="AG6" i="11"/>
  <c r="AG6" i="10"/>
  <c r="AF6" i="9"/>
  <c r="AF6" i="8"/>
  <c r="F140" i="1"/>
  <c r="AE6" i="5"/>
  <c r="AD6" i="4"/>
  <c r="AM6" i="22"/>
  <c r="AN6" i="21"/>
  <c r="AN22" i="19"/>
  <c r="AN20" i="19" s="1"/>
  <c r="AN29" i="19" s="1"/>
  <c r="BN81" i="17" s="1"/>
  <c r="AI6" i="12"/>
  <c r="AI6" i="13"/>
  <c r="AJ6" i="18"/>
  <c r="H147" i="1"/>
  <c r="G148" i="1"/>
  <c r="H149" i="1"/>
  <c r="H148" i="1"/>
  <c r="J149" i="1"/>
  <c r="J148" i="1"/>
  <c r="I148" i="1"/>
  <c r="J147" i="1"/>
  <c r="I149" i="1"/>
  <c r="I147" i="1"/>
  <c r="B154" i="1"/>
  <c r="AD6" i="3"/>
  <c r="AM18" i="20" l="1"/>
  <c r="AM30" i="20"/>
  <c r="AM16" i="20"/>
  <c r="BM72" i="17" s="1"/>
  <c r="DU72" i="17" s="1"/>
  <c r="BM82" i="17"/>
  <c r="DU82" i="17" s="1"/>
  <c r="D135" i="1"/>
  <c r="BB14" i="17"/>
  <c r="DJ14" i="17" s="1"/>
  <c r="AC22" i="3"/>
  <c r="BC15" i="17" s="1"/>
  <c r="DK15" i="17" s="1"/>
  <c r="DU80" i="17"/>
  <c r="AN26" i="19"/>
  <c r="BN80" i="17" s="1"/>
  <c r="AN32" i="19"/>
  <c r="R142" i="1"/>
  <c r="S155" i="1"/>
  <c r="AM13" i="21"/>
  <c r="BM86" i="17" s="1"/>
  <c r="AL16" i="22"/>
  <c r="BL93" i="17" s="1"/>
  <c r="DT93" i="17" s="1"/>
  <c r="G147" i="1"/>
  <c r="D134" i="1"/>
  <c r="AL19" i="22"/>
  <c r="BL94" i="17" s="1"/>
  <c r="DT94" i="17" s="1"/>
  <c r="R139" i="1"/>
  <c r="AM10" i="21"/>
  <c r="BM85" i="17" s="1"/>
  <c r="AM16" i="21"/>
  <c r="BM87" i="17" s="1"/>
  <c r="AM19" i="21"/>
  <c r="BM88" i="17" s="1"/>
  <c r="DU88" i="17" s="1"/>
  <c r="DT86" i="17"/>
  <c r="DT87" i="17"/>
  <c r="AL13" i="22"/>
  <c r="BL92" i="17" s="1"/>
  <c r="DT92" i="17" s="1"/>
  <c r="AL10" i="22"/>
  <c r="BL91" i="17" s="1"/>
  <c r="DT91" i="17" s="1"/>
  <c r="AH19" i="12"/>
  <c r="BH34" i="17" s="1"/>
  <c r="DS93" i="17"/>
  <c r="DP21" i="17"/>
  <c r="AF10" i="11"/>
  <c r="BF109" i="17" s="1"/>
  <c r="DN109" i="17" s="1"/>
  <c r="AH10" i="12"/>
  <c r="BH31" i="17" s="1"/>
  <c r="AH13" i="12"/>
  <c r="BH32" i="17" s="1"/>
  <c r="DP32" i="17" s="1"/>
  <c r="AE16" i="8"/>
  <c r="BE54" i="17" s="1"/>
  <c r="DM54" i="17" s="1"/>
  <c r="AE19" i="8"/>
  <c r="BE55" i="17" s="1"/>
  <c r="DM55" i="17" s="1" a="1"/>
  <c r="DM55" i="17" s="1"/>
  <c r="DS91" i="17"/>
  <c r="DS92" i="17"/>
  <c r="AE13" i="8"/>
  <c r="BE53" i="17" s="1"/>
  <c r="DM53" i="17" s="1" a="1"/>
  <c r="DM53" i="17" s="1"/>
  <c r="DO41" i="17"/>
  <c r="DO40" i="17"/>
  <c r="DO39" i="17"/>
  <c r="DO38" i="17"/>
  <c r="DO33" i="17"/>
  <c r="DP35" i="17"/>
  <c r="D131" i="1"/>
  <c r="G150" i="1"/>
  <c r="AI19" i="18"/>
  <c r="BI21" i="17" s="1"/>
  <c r="DP19" i="17"/>
  <c r="DQ18" i="17"/>
  <c r="R143" i="1"/>
  <c r="AD19" i="5"/>
  <c r="R151" i="1" s="1"/>
  <c r="AC10" i="3"/>
  <c r="BC11" i="17" s="1"/>
  <c r="DK11" i="17" s="1"/>
  <c r="AI13" i="18"/>
  <c r="BI19" i="17" s="1"/>
  <c r="AI16" i="18"/>
  <c r="BI20" i="17" s="1"/>
  <c r="DO32" i="17"/>
  <c r="AH19" i="13"/>
  <c r="BH41" i="17" s="1"/>
  <c r="AH22" i="14"/>
  <c r="AE13" i="9"/>
  <c r="AF23" i="10"/>
  <c r="AN4" i="21"/>
  <c r="AN11" i="21"/>
  <c r="IK86" i="17" s="1"/>
  <c r="AN17" i="21"/>
  <c r="IK88" i="17" s="1"/>
  <c r="IK85" i="17"/>
  <c r="AN14" i="21"/>
  <c r="IK87" i="17" s="1"/>
  <c r="AM4" i="22"/>
  <c r="AM11" i="22"/>
  <c r="IJ92" i="17" s="1"/>
  <c r="AM8" i="22"/>
  <c r="IJ91" i="17" s="1"/>
  <c r="AM17" i="22"/>
  <c r="IJ94" i="17" s="1"/>
  <c r="AM14" i="22"/>
  <c r="IJ93" i="17" s="1"/>
  <c r="AF4" i="8"/>
  <c r="AF16" i="8" s="1"/>
  <c r="BF54" i="17" s="1"/>
  <c r="DN54" i="17" s="1"/>
  <c r="AH13" i="13"/>
  <c r="BH39" i="17" s="1"/>
  <c r="AE19" i="9"/>
  <c r="AD16" i="5"/>
  <c r="R150" i="1" s="1"/>
  <c r="AF13" i="10"/>
  <c r="BF65" i="17" s="1"/>
  <c r="DN65" i="17" s="1"/>
  <c r="AH22" i="13"/>
  <c r="BH42" i="17" s="1"/>
  <c r="AE16" i="9"/>
  <c r="AF19" i="10"/>
  <c r="BF67" i="17" s="1"/>
  <c r="DN67" i="17" s="1"/>
  <c r="AC16" i="3"/>
  <c r="BC13" i="17" s="1"/>
  <c r="DK13" i="17" s="1"/>
  <c r="AJ4" i="18"/>
  <c r="AJ14" i="18"/>
  <c r="AJ8" i="18"/>
  <c r="AJ11" i="18"/>
  <c r="AH10" i="14"/>
  <c r="DP20" i="17"/>
  <c r="AC19" i="3"/>
  <c r="AI4" i="13"/>
  <c r="AI22" i="13" s="1"/>
  <c r="AH19" i="14"/>
  <c r="AM4" i="20"/>
  <c r="AM17" i="20"/>
  <c r="IJ73" i="17" s="1"/>
  <c r="AM19" i="20"/>
  <c r="BM73" i="17" s="1"/>
  <c r="DU73" i="17" s="1"/>
  <c r="AM13" i="20"/>
  <c r="BM71" i="17" s="1"/>
  <c r="DU71" i="17" s="1"/>
  <c r="AM10" i="20"/>
  <c r="BM70" i="17" s="1"/>
  <c r="DU70" i="17" s="1"/>
  <c r="AH10" i="13"/>
  <c r="BH38" i="17" s="1"/>
  <c r="AH13" i="14"/>
  <c r="AD13" i="5"/>
  <c r="R148" i="1" s="1"/>
  <c r="AI4" i="12"/>
  <c r="AI19" i="12" s="1"/>
  <c r="BI34" i="17" s="1"/>
  <c r="AI22" i="12"/>
  <c r="BI35" i="17" s="1"/>
  <c r="AD4" i="4"/>
  <c r="AD19" i="4"/>
  <c r="AD10" i="4"/>
  <c r="AD16" i="4"/>
  <c r="AD13" i="4"/>
  <c r="AD4" i="3"/>
  <c r="AD19" i="3" s="1"/>
  <c r="AE4" i="5"/>
  <c r="AE19" i="5" s="1"/>
  <c r="AF10" i="10"/>
  <c r="BF64" i="17" s="1"/>
  <c r="DN64" i="17" s="1"/>
  <c r="BF66" i="17"/>
  <c r="F157" i="1"/>
  <c r="BE27" i="17"/>
  <c r="BE28" i="17"/>
  <c r="AG4" i="11"/>
  <c r="AG8" i="11"/>
  <c r="DO42" i="17"/>
  <c r="DO47" i="17"/>
  <c r="BH47" i="17"/>
  <c r="DP40" i="17"/>
  <c r="DO34" i="17"/>
  <c r="BE25" i="17"/>
  <c r="DM25" i="17" s="1" a="1"/>
  <c r="DM25" i="17" s="1"/>
  <c r="BE24" i="17"/>
  <c r="DN46" i="17"/>
  <c r="DO31" i="17"/>
  <c r="DL27" i="17"/>
  <c r="DP33" i="17"/>
  <c r="DO35" i="17"/>
  <c r="DL28" i="17" a="1"/>
  <c r="DL28" i="17" s="1"/>
  <c r="DL24" i="17" a="1"/>
  <c r="DL24" i="17" s="1"/>
  <c r="DK24" i="17" a="1"/>
  <c r="DK24" i="17" s="1"/>
  <c r="DL53" i="17" a="1"/>
  <c r="DL53" i="17" s="1"/>
  <c r="DK12" i="17"/>
  <c r="BG49" i="17"/>
  <c r="BG46" i="17"/>
  <c r="BG48" i="17"/>
  <c r="BG45" i="17"/>
  <c r="AE24" i="40"/>
  <c r="BD25" i="17"/>
  <c r="DL25" i="17" s="1" a="1"/>
  <c r="DL25" i="17" s="1"/>
  <c r="AI4" i="14"/>
  <c r="AI13" i="14" s="1"/>
  <c r="AT7" i="14"/>
  <c r="AK7" i="18"/>
  <c r="AJ2" i="18"/>
  <c r="G151" i="1"/>
  <c r="F147" i="1"/>
  <c r="F151" i="1"/>
  <c r="F148" i="1"/>
  <c r="R147" i="1"/>
  <c r="BD103" i="17"/>
  <c r="K148" i="1"/>
  <c r="BD59" i="17"/>
  <c r="F150" i="1"/>
  <c r="K151" i="1"/>
  <c r="BD61" i="17"/>
  <c r="K147" i="1"/>
  <c r="BD58" i="17"/>
  <c r="K150" i="1"/>
  <c r="BD60" i="17"/>
  <c r="D140" i="1"/>
  <c r="AF35" i="9"/>
  <c r="AF4" i="9"/>
  <c r="AF16" i="9" s="1"/>
  <c r="V159" i="1"/>
  <c r="U159" i="1"/>
  <c r="V158" i="1"/>
  <c r="U155" i="1"/>
  <c r="U158" i="1"/>
  <c r="V156" i="1"/>
  <c r="V155" i="1"/>
  <c r="U156" i="1"/>
  <c r="O158" i="1"/>
  <c r="P159" i="1"/>
  <c r="O159" i="1"/>
  <c r="O155" i="1"/>
  <c r="O156" i="1"/>
  <c r="E158" i="1"/>
  <c r="N156" i="1"/>
  <c r="N158" i="1"/>
  <c r="N159" i="1"/>
  <c r="N155" i="1"/>
  <c r="P155" i="1"/>
  <c r="M159" i="1"/>
  <c r="M155" i="1"/>
  <c r="P158" i="1"/>
  <c r="M158" i="1"/>
  <c r="P156" i="1"/>
  <c r="M156" i="1"/>
  <c r="E155" i="1"/>
  <c r="E159" i="1"/>
  <c r="E156" i="1"/>
  <c r="AG4" i="10"/>
  <c r="AG19" i="10" s="1"/>
  <c r="J159" i="1"/>
  <c r="I159" i="1"/>
  <c r="H159" i="1"/>
  <c r="J158" i="1"/>
  <c r="H158" i="1"/>
  <c r="L158" i="1"/>
  <c r="L159" i="1"/>
  <c r="L156" i="1"/>
  <c r="I158" i="1"/>
  <c r="L155" i="1"/>
  <c r="AN6" i="20"/>
  <c r="AJ6" i="14"/>
  <c r="AH6" i="11"/>
  <c r="AH6" i="10"/>
  <c r="AG6" i="9"/>
  <c r="AG6" i="8"/>
  <c r="AF6" i="5"/>
  <c r="AE6" i="4"/>
  <c r="AN6" i="22"/>
  <c r="AO6" i="21"/>
  <c r="AO22" i="19"/>
  <c r="AO20" i="19" s="1"/>
  <c r="AO29" i="19" s="1"/>
  <c r="BO81" i="17" s="1"/>
  <c r="AJ6" i="12"/>
  <c r="AJ6" i="13"/>
  <c r="AK6" i="18"/>
  <c r="G155" i="1"/>
  <c r="H157" i="1"/>
  <c r="H155" i="1"/>
  <c r="H156" i="1"/>
  <c r="J155" i="1"/>
  <c r="J156" i="1"/>
  <c r="J157" i="1"/>
  <c r="I157" i="1"/>
  <c r="I156" i="1"/>
  <c r="I155" i="1"/>
  <c r="B162" i="1"/>
  <c r="AE6" i="3"/>
  <c r="AN18" i="20" l="1"/>
  <c r="AN16" i="20"/>
  <c r="AN30" i="20"/>
  <c r="BN82" i="17"/>
  <c r="DV82" i="17" s="1"/>
  <c r="DV81" i="17"/>
  <c r="BD14" i="17"/>
  <c r="DL14" i="17" s="1"/>
  <c r="D143" i="1"/>
  <c r="BC14" i="17"/>
  <c r="DK14" i="17" s="1"/>
  <c r="AD22" i="3"/>
  <c r="BD15" i="17" s="1"/>
  <c r="DL15" i="17" s="1"/>
  <c r="AN19" i="21"/>
  <c r="BN88" i="17" s="1"/>
  <c r="DV88" i="17" s="1"/>
  <c r="AN10" i="21"/>
  <c r="BN85" i="17" s="1"/>
  <c r="DV85" i="17" s="1"/>
  <c r="AN13" i="21"/>
  <c r="BN86" i="17" s="1"/>
  <c r="AN16" i="21"/>
  <c r="BN87" i="17" s="1"/>
  <c r="DV80" i="17"/>
  <c r="HE79" i="17" s="1"/>
  <c r="AO26" i="19"/>
  <c r="BO80" i="17" s="1"/>
  <c r="AO32" i="19"/>
  <c r="DU85" i="17"/>
  <c r="G156" i="1"/>
  <c r="BD104" i="17"/>
  <c r="DL104" i="17" s="1"/>
  <c r="D139" i="1"/>
  <c r="AM13" i="22"/>
  <c r="BM92" i="17" s="1"/>
  <c r="DU92" i="17" s="1"/>
  <c r="DU87" i="17"/>
  <c r="G158" i="1"/>
  <c r="AM16" i="22"/>
  <c r="BM93" i="17" s="1"/>
  <c r="DU86" i="17"/>
  <c r="AM10" i="22"/>
  <c r="BM91" i="17" s="1"/>
  <c r="DU91" i="17" s="1"/>
  <c r="AM19" i="22"/>
  <c r="BM94" i="17" s="1"/>
  <c r="DU94" i="17" s="1"/>
  <c r="BD106" i="17"/>
  <c r="DL106" i="17" s="1"/>
  <c r="DQ21" i="17"/>
  <c r="AJ16" i="18"/>
  <c r="BJ20" i="17" s="1"/>
  <c r="AG10" i="11"/>
  <c r="BG109" i="17" s="1"/>
  <c r="DO109" i="17" s="1"/>
  <c r="AI10" i="13"/>
  <c r="BI38" i="17" s="1"/>
  <c r="DQ38" i="17" s="1"/>
  <c r="DO49" i="17"/>
  <c r="DO48" i="17"/>
  <c r="DP34" i="17"/>
  <c r="DQ34" i="17"/>
  <c r="D142" i="1"/>
  <c r="AJ19" i="18"/>
  <c r="BJ21" i="17" s="1"/>
  <c r="DQ19" i="17"/>
  <c r="AE16" i="5"/>
  <c r="BE105" i="17" s="1"/>
  <c r="DM105" i="17" s="1"/>
  <c r="BD105" i="17"/>
  <c r="DL105" i="17" s="1"/>
  <c r="AD13" i="3"/>
  <c r="BD12" i="17" s="1"/>
  <c r="DL12" i="17" s="1"/>
  <c r="AD10" i="3"/>
  <c r="D147" i="1" s="1"/>
  <c r="AD16" i="3"/>
  <c r="BD13" i="17" s="1"/>
  <c r="DL13" i="17" s="1"/>
  <c r="AI13" i="12"/>
  <c r="BI32" i="17" s="1"/>
  <c r="AJ13" i="18"/>
  <c r="BJ19" i="17" s="1"/>
  <c r="AI16" i="12"/>
  <c r="BI33" i="17" s="1"/>
  <c r="AJ10" i="18"/>
  <c r="BJ18" i="17" s="1"/>
  <c r="AI19" i="14"/>
  <c r="BI48" i="17" s="1"/>
  <c r="AG23" i="10"/>
  <c r="AF19" i="8"/>
  <c r="BF55" i="17" s="1"/>
  <c r="DN55" i="17" s="1" a="1"/>
  <c r="DN55" i="17" s="1"/>
  <c r="AJ4" i="12"/>
  <c r="AJ11" i="12"/>
  <c r="AJ8" i="12"/>
  <c r="AJ14" i="12"/>
  <c r="AJ17" i="12"/>
  <c r="AJ20" i="12"/>
  <c r="AJ21" i="12"/>
  <c r="AJ22" i="12" s="1"/>
  <c r="BJ35" i="17" s="1"/>
  <c r="AI22" i="14"/>
  <c r="BI49" i="17" s="1"/>
  <c r="AG16" i="10"/>
  <c r="BG66" i="17" s="1"/>
  <c r="AF19" i="9"/>
  <c r="AO4" i="21"/>
  <c r="AO10" i="21" s="1"/>
  <c r="BO85" i="17" s="1"/>
  <c r="AO14" i="21"/>
  <c r="AO11" i="21"/>
  <c r="AO17" i="21"/>
  <c r="DQ20" i="17"/>
  <c r="AI16" i="13"/>
  <c r="BI40" i="17" s="1"/>
  <c r="AF13" i="9"/>
  <c r="AJ11" i="14"/>
  <c r="AJ14" i="14"/>
  <c r="AJ17" i="14"/>
  <c r="AJ20" i="14"/>
  <c r="AJ8" i="14"/>
  <c r="AE13" i="5"/>
  <c r="R156" i="1" s="1"/>
  <c r="AI13" i="13"/>
  <c r="BI39" i="17" s="1"/>
  <c r="AF10" i="9"/>
  <c r="AJ20" i="13"/>
  <c r="AJ17" i="13"/>
  <c r="AJ14" i="13"/>
  <c r="AJ11" i="13"/>
  <c r="AJ8" i="13"/>
  <c r="AN4" i="22"/>
  <c r="AN11" i="22"/>
  <c r="IK92" i="17" s="1"/>
  <c r="AN8" i="22"/>
  <c r="IK91" i="17" s="1"/>
  <c r="AN17" i="22"/>
  <c r="IK94" i="17" s="1"/>
  <c r="AN14" i="22"/>
  <c r="IK93" i="17" s="1"/>
  <c r="AN4" i="20"/>
  <c r="AN17" i="20"/>
  <c r="IK73" i="17" s="1"/>
  <c r="AN19" i="20"/>
  <c r="BN73" i="17" s="1"/>
  <c r="DV73" i="17" s="1"/>
  <c r="BN72" i="17"/>
  <c r="DV72" i="17" s="1"/>
  <c r="AN13" i="20"/>
  <c r="BN71" i="17" s="1"/>
  <c r="DV71" i="17" s="1"/>
  <c r="AN10" i="20"/>
  <c r="BN70" i="17" s="1"/>
  <c r="DV70" i="17" s="1"/>
  <c r="AE4" i="4"/>
  <c r="AE19" i="4"/>
  <c r="AE13" i="4"/>
  <c r="BE98" i="17" s="1"/>
  <c r="DM98" i="17" s="1" a="1"/>
  <c r="DM98" i="17" s="1"/>
  <c r="AE16" i="4"/>
  <c r="AE10" i="4"/>
  <c r="AE10" i="5"/>
  <c r="BE103" i="17" s="1"/>
  <c r="AI10" i="12"/>
  <c r="BI31" i="17" s="1"/>
  <c r="AI16" i="14"/>
  <c r="BI47" i="17" s="1"/>
  <c r="AI19" i="13"/>
  <c r="BI41" i="17" s="1"/>
  <c r="AF10" i="8"/>
  <c r="BF52" i="17" s="1"/>
  <c r="DN52" i="17" s="1" a="1"/>
  <c r="DN52" i="17" s="1"/>
  <c r="AE4" i="3"/>
  <c r="AE19" i="3" s="1"/>
  <c r="AF4" i="5"/>
  <c r="AF19" i="5" s="1"/>
  <c r="R167" i="1" s="1"/>
  <c r="AI10" i="14"/>
  <c r="BI45" i="17" s="1"/>
  <c r="AG13" i="10"/>
  <c r="BG65" i="17" s="1"/>
  <c r="AF13" i="8"/>
  <c r="BF53" i="17" s="1"/>
  <c r="DN53" i="17" s="1" a="1"/>
  <c r="DN53" i="17" s="1"/>
  <c r="AK4" i="18"/>
  <c r="AK8" i="18"/>
  <c r="IH18" i="17" s="1"/>
  <c r="AK11" i="18"/>
  <c r="IH19" i="17" s="1"/>
  <c r="AK14" i="18"/>
  <c r="IH20" i="17" s="1"/>
  <c r="AG4" i="8"/>
  <c r="AG16" i="8" s="1"/>
  <c r="BG54" i="17" s="1"/>
  <c r="BI42" i="17"/>
  <c r="S163" i="1"/>
  <c r="AG27" i="40"/>
  <c r="DN66" i="17"/>
  <c r="DQ35" i="17"/>
  <c r="BG67" i="17"/>
  <c r="AG10" i="10"/>
  <c r="BG64" i="17" s="1"/>
  <c r="BF60" i="17"/>
  <c r="DN60" i="17" s="1"/>
  <c r="AH4" i="11"/>
  <c r="AH8" i="11"/>
  <c r="F165" i="1"/>
  <c r="BF27" i="17"/>
  <c r="BF28" i="17"/>
  <c r="DN28" i="17" s="1" a="1"/>
  <c r="DN28" i="17" s="1"/>
  <c r="AJ4" i="13"/>
  <c r="DP47" i="17"/>
  <c r="BI46" i="17"/>
  <c r="DO45" i="17"/>
  <c r="DP31" i="17"/>
  <c r="DO46" i="17"/>
  <c r="DP38" i="17"/>
  <c r="DP41" i="17"/>
  <c r="DP39" i="17"/>
  <c r="DP42" i="17"/>
  <c r="BH48" i="17"/>
  <c r="BH45" i="17"/>
  <c r="BH49" i="17"/>
  <c r="BH46" i="17"/>
  <c r="DL60" i="17"/>
  <c r="DL59" i="17"/>
  <c r="DL61" i="17"/>
  <c r="DL58" i="17"/>
  <c r="DM28" i="17" a="1"/>
  <c r="DM28" i="17" s="1"/>
  <c r="DM27" i="17"/>
  <c r="AH27" i="40" s="1"/>
  <c r="DM24" i="17" a="1"/>
  <c r="DM24" i="17" s="1"/>
  <c r="DL103" i="17"/>
  <c r="AG28" i="40"/>
  <c r="AG24" i="40"/>
  <c r="AF28" i="40"/>
  <c r="G159" i="1"/>
  <c r="AU7" i="14"/>
  <c r="AJ4" i="14"/>
  <c r="AL7" i="18"/>
  <c r="AK2" i="18"/>
  <c r="K158" i="1"/>
  <c r="BE60" i="17"/>
  <c r="DM60" i="17" s="1"/>
  <c r="K155" i="1"/>
  <c r="BE58" i="17"/>
  <c r="DM58" i="17" s="1"/>
  <c r="K159" i="1"/>
  <c r="BE61" i="17"/>
  <c r="DM61" i="17" s="1"/>
  <c r="F156" i="1"/>
  <c r="F159" i="1"/>
  <c r="F158" i="1"/>
  <c r="R159" i="1"/>
  <c r="BE106" i="17"/>
  <c r="F155" i="1"/>
  <c r="K156" i="1"/>
  <c r="BE59" i="17"/>
  <c r="DM59" i="17" s="1"/>
  <c r="Q148" i="1"/>
  <c r="BD98" i="17"/>
  <c r="DL98" i="17" s="1" a="1"/>
  <c r="DL98" i="17" s="1"/>
  <c r="D151" i="1"/>
  <c r="Q147" i="1"/>
  <c r="BD97" i="17"/>
  <c r="Q151" i="1"/>
  <c r="BD100" i="17"/>
  <c r="Q150" i="1"/>
  <c r="BD99" i="17"/>
  <c r="DL99" i="17" s="1" a="1"/>
  <c r="DL99" i="17" s="1"/>
  <c r="AG35" i="9"/>
  <c r="AG4" i="9"/>
  <c r="AG16" i="9" s="1"/>
  <c r="K166" i="1"/>
  <c r="V164" i="1"/>
  <c r="V166" i="1"/>
  <c r="U164" i="1"/>
  <c r="V163" i="1"/>
  <c r="U163" i="1"/>
  <c r="V167" i="1"/>
  <c r="U166" i="1"/>
  <c r="U167" i="1"/>
  <c r="O164" i="1"/>
  <c r="O167" i="1"/>
  <c r="P167" i="1"/>
  <c r="O166" i="1"/>
  <c r="O163" i="1"/>
  <c r="E166" i="1"/>
  <c r="N166" i="1"/>
  <c r="N164" i="1"/>
  <c r="N163" i="1"/>
  <c r="N167" i="1"/>
  <c r="M164" i="1"/>
  <c r="M163" i="1"/>
  <c r="M167" i="1"/>
  <c r="P166" i="1"/>
  <c r="P164" i="1"/>
  <c r="P163" i="1"/>
  <c r="M166" i="1"/>
  <c r="E164" i="1"/>
  <c r="E163" i="1"/>
  <c r="E167" i="1"/>
  <c r="AH4" i="10"/>
  <c r="AH13" i="10" s="1"/>
  <c r="J167" i="1"/>
  <c r="I167" i="1"/>
  <c r="H167" i="1"/>
  <c r="J166" i="1"/>
  <c r="H166" i="1"/>
  <c r="L166" i="1"/>
  <c r="I166" i="1"/>
  <c r="L164" i="1"/>
  <c r="G166" i="1"/>
  <c r="L163" i="1"/>
  <c r="L167" i="1"/>
  <c r="AO6" i="20"/>
  <c r="AK6" i="14"/>
  <c r="AI6" i="11"/>
  <c r="AI6" i="10"/>
  <c r="AH6" i="9"/>
  <c r="AH6" i="8"/>
  <c r="AG6" i="5"/>
  <c r="AF6" i="4"/>
  <c r="AO6" i="22"/>
  <c r="AP6" i="21"/>
  <c r="AP22" i="19"/>
  <c r="AP20" i="19" s="1"/>
  <c r="AP29" i="19" s="1"/>
  <c r="BP81" i="17" s="1"/>
  <c r="AK6" i="12"/>
  <c r="AK6" i="13"/>
  <c r="AL6" i="18"/>
  <c r="H165" i="1"/>
  <c r="H164" i="1"/>
  <c r="H163" i="1"/>
  <c r="I164" i="1"/>
  <c r="I165" i="1"/>
  <c r="I163" i="1"/>
  <c r="J165" i="1"/>
  <c r="J164" i="1"/>
  <c r="J163" i="1"/>
  <c r="B170" i="1"/>
  <c r="AF6" i="3"/>
  <c r="AO18" i="20" l="1"/>
  <c r="AO16" i="20"/>
  <c r="AO30" i="20"/>
  <c r="BO82" i="17"/>
  <c r="DW82" i="17" s="1"/>
  <c r="DW81" i="17"/>
  <c r="BE14" i="17"/>
  <c r="DM14" i="17" s="1"/>
  <c r="AE22" i="3"/>
  <c r="BE15" i="17" s="1"/>
  <c r="DM15" i="17" s="1"/>
  <c r="DV87" i="17"/>
  <c r="DV86" i="17"/>
  <c r="AO13" i="21"/>
  <c r="BO86" i="17" s="1"/>
  <c r="AO16" i="21"/>
  <c r="BO87" i="17" s="1"/>
  <c r="DW87" i="17" s="1"/>
  <c r="DW85" i="17"/>
  <c r="AO19" i="21"/>
  <c r="BO88" i="17" s="1"/>
  <c r="DW88" i="17" s="1"/>
  <c r="AJ22" i="14"/>
  <c r="BJ49" i="17" s="1"/>
  <c r="DW80" i="17"/>
  <c r="AN10" i="22"/>
  <c r="BN91" i="17" s="1"/>
  <c r="DV91" i="17" s="1"/>
  <c r="AP26" i="19"/>
  <c r="BP80" i="17" s="1"/>
  <c r="DX80" i="17" s="1"/>
  <c r="AP32" i="19"/>
  <c r="AN13" i="22"/>
  <c r="BN92" i="17" s="1"/>
  <c r="DV92" i="17" s="1"/>
  <c r="BD11" i="17"/>
  <c r="DL11" i="17" s="1"/>
  <c r="AN19" i="22"/>
  <c r="BN94" i="17" s="1"/>
  <c r="DV94" i="17" s="1"/>
  <c r="AN16" i="22"/>
  <c r="BN93" i="17" s="1"/>
  <c r="DV93" i="17" s="1"/>
  <c r="D150" i="1"/>
  <c r="AJ22" i="13"/>
  <c r="BJ42" i="17" s="1"/>
  <c r="DU93" i="17"/>
  <c r="BE104" i="17"/>
  <c r="DM104" i="17" s="1"/>
  <c r="D148" i="1"/>
  <c r="R158" i="1"/>
  <c r="G163" i="1"/>
  <c r="DQ40" i="17"/>
  <c r="DQ41" i="17"/>
  <c r="AJ16" i="12"/>
  <c r="BJ33" i="17" s="1"/>
  <c r="DQ42" i="17"/>
  <c r="DR21" i="17"/>
  <c r="AK13" i="18"/>
  <c r="BK19" i="17" s="1"/>
  <c r="DS19" i="17" s="1"/>
  <c r="AF16" i="5"/>
  <c r="R166" i="1" s="1"/>
  <c r="AE10" i="3"/>
  <c r="D155" i="1" s="1"/>
  <c r="AJ19" i="13"/>
  <c r="BJ41" i="17" s="1"/>
  <c r="DQ39" i="17"/>
  <c r="G164" i="1"/>
  <c r="DO67" i="17"/>
  <c r="DQ49" i="17"/>
  <c r="DQ45" i="17"/>
  <c r="DP49" i="17"/>
  <c r="AJ10" i="12"/>
  <c r="BJ31" i="17" s="1"/>
  <c r="AJ19" i="12"/>
  <c r="BJ34" i="17" s="1"/>
  <c r="DR35" i="17"/>
  <c r="DQ31" i="17"/>
  <c r="DQ32" i="17"/>
  <c r="DQ33" i="17"/>
  <c r="DO54" i="17"/>
  <c r="AK10" i="18"/>
  <c r="BK18" i="17" s="1"/>
  <c r="AK19" i="18"/>
  <c r="BK21" i="17" s="1"/>
  <c r="AK16" i="18"/>
  <c r="BK20" i="17" s="1"/>
  <c r="DS20" i="17" s="1"/>
  <c r="DR19" i="17"/>
  <c r="DR18" i="17"/>
  <c r="G167" i="1"/>
  <c r="R155" i="1"/>
  <c r="AJ10" i="14"/>
  <c r="BJ45" i="17" s="1"/>
  <c r="AJ13" i="14"/>
  <c r="BJ46" i="17" s="1"/>
  <c r="AF13" i="5"/>
  <c r="BF104" i="17" s="1"/>
  <c r="AJ10" i="13"/>
  <c r="BJ38" i="17" s="1"/>
  <c r="AJ19" i="14"/>
  <c r="BJ48" i="17" s="1"/>
  <c r="AJ13" i="12"/>
  <c r="BJ32" i="17" s="1"/>
  <c r="AG10" i="8"/>
  <c r="BG52" i="17" s="1"/>
  <c r="AF10" i="5"/>
  <c r="BF103" i="17" s="1"/>
  <c r="AJ16" i="13"/>
  <c r="BJ40" i="17" s="1"/>
  <c r="AJ16" i="14"/>
  <c r="BJ47" i="17" s="1"/>
  <c r="AH10" i="11"/>
  <c r="BH109" i="17" s="1"/>
  <c r="DP109" i="17" s="1"/>
  <c r="AG19" i="8"/>
  <c r="BG55" i="17" s="1"/>
  <c r="AJ13" i="13"/>
  <c r="BJ39" i="17" s="1"/>
  <c r="DR20" i="17"/>
  <c r="AH23" i="10"/>
  <c r="AK4" i="12"/>
  <c r="AK14" i="12"/>
  <c r="IH33" i="17" s="1"/>
  <c r="AK17" i="12"/>
  <c r="IH34" i="17" s="1"/>
  <c r="AK21" i="12"/>
  <c r="GA35" i="17" s="1"/>
  <c r="AK11" i="12"/>
  <c r="IH32" i="17" s="1"/>
  <c r="AK8" i="12"/>
  <c r="IH31" i="17" s="1"/>
  <c r="AK20" i="12"/>
  <c r="IH35" i="17" s="1"/>
  <c r="AK8" i="14"/>
  <c r="IH45" i="17" s="1"/>
  <c r="AK17" i="14"/>
  <c r="IH48" i="17" s="1"/>
  <c r="AK11" i="14"/>
  <c r="IH46" i="17" s="1"/>
  <c r="AK20" i="14"/>
  <c r="IH49" i="17" s="1"/>
  <c r="AK14" i="14"/>
  <c r="IH47" i="17" s="1"/>
  <c r="AG13" i="8"/>
  <c r="BG53" i="17" s="1"/>
  <c r="AE13" i="3"/>
  <c r="BE12" i="17" s="1"/>
  <c r="DM12" i="17" s="1"/>
  <c r="AH16" i="10"/>
  <c r="BH66" i="17" s="1"/>
  <c r="AL4" i="18"/>
  <c r="AL8" i="18"/>
  <c r="II18" i="17" s="1"/>
  <c r="AL14" i="18"/>
  <c r="II20" i="17" s="1"/>
  <c r="AL11" i="18"/>
  <c r="II19" i="17" s="1"/>
  <c r="AF4" i="3"/>
  <c r="AF10" i="3" s="1"/>
  <c r="BF11" i="17" s="1"/>
  <c r="DN11" i="17" s="1"/>
  <c r="AP4" i="21"/>
  <c r="AP14" i="21"/>
  <c r="IM87" i="17" s="1"/>
  <c r="AP11" i="21"/>
  <c r="IM86" i="17" s="1"/>
  <c r="AP8" i="21"/>
  <c r="IM85" i="17" s="1"/>
  <c r="AP17" i="21"/>
  <c r="IM88" i="17" s="1"/>
  <c r="AO4" i="22"/>
  <c r="AO14" i="22"/>
  <c r="AO11" i="22"/>
  <c r="AO8" i="22"/>
  <c r="AO17" i="22"/>
  <c r="AO4" i="20"/>
  <c r="AO17" i="20"/>
  <c r="AO19" i="20"/>
  <c r="BO73" i="17" s="1"/>
  <c r="DW73" i="17" s="1"/>
  <c r="AO10" i="20"/>
  <c r="BO70" i="17" s="1"/>
  <c r="DW70" i="17" s="1"/>
  <c r="BO72" i="17"/>
  <c r="DW72" i="17" s="1"/>
  <c r="AO13" i="20"/>
  <c r="BO71" i="17" s="1"/>
  <c r="DW71" i="17" s="1"/>
  <c r="AE16" i="3"/>
  <c r="BE13" i="17" s="1"/>
  <c r="DM13" i="17" s="1"/>
  <c r="AG13" i="9"/>
  <c r="AG4" i="5"/>
  <c r="AG19" i="5" s="1"/>
  <c r="R175" i="1" s="1"/>
  <c r="AF4" i="4"/>
  <c r="AF19" i="4"/>
  <c r="BF100" i="17" s="1"/>
  <c r="AF10" i="4"/>
  <c r="AF13" i="4"/>
  <c r="AF16" i="4"/>
  <c r="AG19" i="9"/>
  <c r="AG10" i="9"/>
  <c r="AH4" i="8"/>
  <c r="AH10" i="8" s="1"/>
  <c r="BH52" i="17" s="1"/>
  <c r="AK14" i="13"/>
  <c r="IH40" i="17" s="1"/>
  <c r="AK11" i="13"/>
  <c r="IH39" i="17" s="1"/>
  <c r="AK20" i="13"/>
  <c r="IH42" i="17" s="1"/>
  <c r="AK8" i="13"/>
  <c r="IH38" i="17" s="1"/>
  <c r="AK17" i="13"/>
  <c r="IH41" i="17" s="1"/>
  <c r="BF106" i="17"/>
  <c r="DN106" i="17" s="1"/>
  <c r="AH19" i="10"/>
  <c r="BH67" i="17" s="1"/>
  <c r="DQ46" i="17"/>
  <c r="DO66" i="17"/>
  <c r="DQ48" i="17"/>
  <c r="AH10" i="10"/>
  <c r="BH64" i="17" s="1"/>
  <c r="BG60" i="17"/>
  <c r="AK4" i="13"/>
  <c r="BG28" i="17"/>
  <c r="F173" i="1"/>
  <c r="S171" i="1"/>
  <c r="S174" i="1"/>
  <c r="S175" i="1"/>
  <c r="S172" i="1"/>
  <c r="AI4" i="11"/>
  <c r="AI8" i="11"/>
  <c r="DP46" i="17"/>
  <c r="DQ47" i="17"/>
  <c r="DN27" i="17"/>
  <c r="DP45" i="17"/>
  <c r="DP48" i="17"/>
  <c r="DO65" i="17"/>
  <c r="DO64" i="17"/>
  <c r="AG25" i="40"/>
  <c r="F167" i="1"/>
  <c r="DM103" i="17"/>
  <c r="DM106" i="17"/>
  <c r="DL97" i="17"/>
  <c r="DL100" i="17"/>
  <c r="AH25" i="40"/>
  <c r="F166" i="1"/>
  <c r="AH28" i="40"/>
  <c r="AH24" i="40"/>
  <c r="K164" i="1"/>
  <c r="BF59" i="17"/>
  <c r="K163" i="1"/>
  <c r="BF58" i="17"/>
  <c r="DN58" i="17" s="1"/>
  <c r="K167" i="1"/>
  <c r="BF61" i="17"/>
  <c r="DN61" i="17" s="1"/>
  <c r="F163" i="1"/>
  <c r="BF24" i="17"/>
  <c r="F164" i="1"/>
  <c r="AK4" i="14"/>
  <c r="AV7" i="14"/>
  <c r="AM7" i="18"/>
  <c r="AL2" i="18"/>
  <c r="Q156" i="1"/>
  <c r="D159" i="1"/>
  <c r="Q159" i="1"/>
  <c r="BE100" i="17"/>
  <c r="Q155" i="1"/>
  <c r="BE97" i="17"/>
  <c r="Q158" i="1"/>
  <c r="BE99" i="17"/>
  <c r="DM99" i="17" s="1" a="1"/>
  <c r="DM99" i="17" s="1"/>
  <c r="AH35" i="9"/>
  <c r="AH4" i="9"/>
  <c r="AH16" i="9" s="1"/>
  <c r="K174" i="1"/>
  <c r="BH65" i="17"/>
  <c r="V175" i="1"/>
  <c r="U171" i="1"/>
  <c r="U175" i="1"/>
  <c r="V174" i="1"/>
  <c r="V171" i="1"/>
  <c r="U174" i="1"/>
  <c r="V172" i="1"/>
  <c r="U172" i="1"/>
  <c r="O171" i="1"/>
  <c r="O174" i="1"/>
  <c r="O175" i="1"/>
  <c r="P175" i="1"/>
  <c r="O172" i="1"/>
  <c r="E174" i="1"/>
  <c r="N171" i="1"/>
  <c r="N172" i="1"/>
  <c r="N175" i="1"/>
  <c r="N174" i="1"/>
  <c r="P171" i="1"/>
  <c r="P172" i="1"/>
  <c r="P174" i="1"/>
  <c r="M171" i="1"/>
  <c r="M174" i="1"/>
  <c r="M175" i="1"/>
  <c r="M172" i="1"/>
  <c r="E171" i="1"/>
  <c r="E172" i="1"/>
  <c r="E175" i="1"/>
  <c r="AI4" i="10"/>
  <c r="AI23" i="10" s="1"/>
  <c r="J175" i="1"/>
  <c r="I175" i="1"/>
  <c r="L172" i="1"/>
  <c r="H175" i="1"/>
  <c r="L171" i="1"/>
  <c r="J174" i="1"/>
  <c r="H174" i="1"/>
  <c r="L175" i="1"/>
  <c r="I174" i="1"/>
  <c r="G174" i="1"/>
  <c r="L174" i="1"/>
  <c r="AP6" i="20"/>
  <c r="AL6" i="14"/>
  <c r="AJ6" i="11"/>
  <c r="AJ6" i="10"/>
  <c r="AI6" i="9"/>
  <c r="AI6" i="8"/>
  <c r="AH6" i="5"/>
  <c r="AG6" i="4"/>
  <c r="AP6" i="22"/>
  <c r="AQ6" i="21"/>
  <c r="AQ22" i="19"/>
  <c r="AQ20" i="19" s="1"/>
  <c r="AQ29" i="19" s="1"/>
  <c r="BQ81" i="17" s="1"/>
  <c r="AL6" i="12"/>
  <c r="AL6" i="13"/>
  <c r="AM6" i="18"/>
  <c r="H173" i="1"/>
  <c r="H172" i="1"/>
  <c r="H171" i="1"/>
  <c r="J173" i="1"/>
  <c r="J172" i="1"/>
  <c r="I171" i="1"/>
  <c r="J171" i="1"/>
  <c r="I173" i="1"/>
  <c r="I172" i="1"/>
  <c r="B178" i="1"/>
  <c r="AG6" i="3"/>
  <c r="AP18" i="20" l="1"/>
  <c r="AP16" i="20"/>
  <c r="AP30" i="20"/>
  <c r="BP82" i="17"/>
  <c r="DX82" i="17" s="1"/>
  <c r="DX81" i="17"/>
  <c r="AF22" i="3"/>
  <c r="BF15" i="17" s="1"/>
  <c r="DN15" i="17" s="1"/>
  <c r="DW86" i="17"/>
  <c r="AP10" i="21"/>
  <c r="BP85" i="17" s="1"/>
  <c r="AP13" i="21"/>
  <c r="BP86" i="17" s="1"/>
  <c r="AP16" i="21"/>
  <c r="BP87" i="17" s="1"/>
  <c r="AP19" i="21"/>
  <c r="BP88" i="17" s="1"/>
  <c r="DX88" i="17" s="1"/>
  <c r="AO16" i="22"/>
  <c r="BO93" i="17" s="1"/>
  <c r="DW93" i="17" s="1"/>
  <c r="AO10" i="22"/>
  <c r="BO91" i="17" s="1"/>
  <c r="AO19" i="22"/>
  <c r="BO94" i="17" s="1"/>
  <c r="DW94" i="17" s="1"/>
  <c r="AO13" i="22"/>
  <c r="BO92" i="17" s="1"/>
  <c r="AQ26" i="19"/>
  <c r="BQ80" i="17" s="1"/>
  <c r="DY80" i="17" s="1"/>
  <c r="AQ32" i="19"/>
  <c r="AK10" i="14"/>
  <c r="BK45" i="17" s="1"/>
  <c r="DS45" i="17" s="1"/>
  <c r="BE11" i="17"/>
  <c r="DM11" i="17" s="1"/>
  <c r="G175" i="1"/>
  <c r="DR33" i="17"/>
  <c r="D156" i="1"/>
  <c r="D158" i="1"/>
  <c r="AK22" i="12"/>
  <c r="BK35" i="17" s="1"/>
  <c r="DR31" i="17"/>
  <c r="BF105" i="17"/>
  <c r="DN105" i="17" s="1"/>
  <c r="AL13" i="18"/>
  <c r="BL19" i="17" s="1"/>
  <c r="DT19" i="17" s="1"/>
  <c r="R164" i="1"/>
  <c r="AL19" i="18"/>
  <c r="BL21" i="17" s="1"/>
  <c r="DT21" i="17" s="1"/>
  <c r="AL10" i="18"/>
  <c r="BL18" i="17" s="1"/>
  <c r="DT18" i="17" s="1"/>
  <c r="AL16" i="18"/>
  <c r="BL20" i="17" s="1"/>
  <c r="DT20" i="17" s="1"/>
  <c r="AK16" i="12"/>
  <c r="BK33" i="17" s="1"/>
  <c r="AK13" i="13"/>
  <c r="BK39" i="17" s="1"/>
  <c r="DS39" i="17" s="1"/>
  <c r="AK19" i="12"/>
  <c r="BK34" i="17" s="1"/>
  <c r="AG13" i="5"/>
  <c r="R172" i="1" s="1"/>
  <c r="AG10" i="5"/>
  <c r="R171" i="1" s="1"/>
  <c r="AK13" i="12"/>
  <c r="BK32" i="17" s="1"/>
  <c r="DS32" i="17" s="1"/>
  <c r="AG16" i="5"/>
  <c r="R174" i="1" s="1"/>
  <c r="AK22" i="14"/>
  <c r="BK49" i="17" s="1"/>
  <c r="DS49" i="17" s="1"/>
  <c r="AF16" i="3"/>
  <c r="D166" i="1" s="1"/>
  <c r="AK13" i="14"/>
  <c r="BK46" i="17" s="1"/>
  <c r="AK22" i="13"/>
  <c r="BK42" i="17" s="1"/>
  <c r="AK19" i="14"/>
  <c r="BK48" i="17" s="1"/>
  <c r="AI10" i="11"/>
  <c r="BI109" i="17" s="1"/>
  <c r="AK16" i="13"/>
  <c r="BK40" i="17" s="1"/>
  <c r="DS40" i="17" s="1"/>
  <c r="AK16" i="14"/>
  <c r="BK47" i="17" s="1"/>
  <c r="DS47" i="17" s="1"/>
  <c r="AK10" i="12"/>
  <c r="BK31" i="17" s="1"/>
  <c r="AK10" i="13"/>
  <c r="BK38" i="17" s="1"/>
  <c r="DS38" i="17" s="1"/>
  <c r="AK19" i="13"/>
  <c r="BK41" i="17" s="1"/>
  <c r="DS41" i="17" s="1"/>
  <c r="DR41" i="17"/>
  <c r="DR40" i="17"/>
  <c r="DR34" i="17"/>
  <c r="DP67" i="17"/>
  <c r="DP64" i="17"/>
  <c r="DP65" i="17"/>
  <c r="DO60" i="17"/>
  <c r="DR32" i="17"/>
  <c r="AF19" i="3"/>
  <c r="AF13" i="3"/>
  <c r="D164" i="1" s="1"/>
  <c r="DO55" i="17" a="1"/>
  <c r="DO55" i="17" s="1"/>
  <c r="DO52" i="17" a="1"/>
  <c r="DO52" i="17" s="1"/>
  <c r="AH13" i="8"/>
  <c r="BH53" i="17" s="1"/>
  <c r="AH16" i="8"/>
  <c r="BH54" i="17" s="1"/>
  <c r="DO53" i="17" a="1"/>
  <c r="DO53" i="17" s="1"/>
  <c r="DP52" i="17" a="1"/>
  <c r="DP52" i="17" s="1"/>
  <c r="DS21" i="17"/>
  <c r="DS18" i="17"/>
  <c r="R163" i="1"/>
  <c r="AH19" i="8"/>
  <c r="G183" i="1" s="1"/>
  <c r="G171" i="1"/>
  <c r="G172" i="1"/>
  <c r="AP4" i="22"/>
  <c r="AP14" i="22"/>
  <c r="IM93" i="17" s="1"/>
  <c r="AP11" i="22"/>
  <c r="IM92" i="17" s="1"/>
  <c r="AP8" i="22"/>
  <c r="IM91" i="17" s="1"/>
  <c r="AP17" i="22"/>
  <c r="IM94" i="17" s="1"/>
  <c r="AG4" i="4"/>
  <c r="AG19" i="4" s="1"/>
  <c r="AG13" i="4"/>
  <c r="AG16" i="4"/>
  <c r="AG10" i="4"/>
  <c r="DR48" i="17"/>
  <c r="AH4" i="5"/>
  <c r="AH10" i="5" s="1"/>
  <c r="AM4" i="18"/>
  <c r="AM19" i="18" s="1"/>
  <c r="BM21" i="17" s="1"/>
  <c r="DU21" i="17" s="1"/>
  <c r="AM8" i="18"/>
  <c r="IJ18" i="17" s="1"/>
  <c r="AM11" i="18"/>
  <c r="IJ19" i="17" s="1"/>
  <c r="AM14" i="18"/>
  <c r="IJ20" i="17" s="1"/>
  <c r="AI4" i="8"/>
  <c r="AI10" i="8" s="1"/>
  <c r="BI52" i="17" s="1"/>
  <c r="BG106" i="17"/>
  <c r="AL14" i="13"/>
  <c r="II40" i="17" s="1"/>
  <c r="AL11" i="13"/>
  <c r="II39" i="17" s="1"/>
  <c r="AL20" i="13"/>
  <c r="II42" i="17" s="1"/>
  <c r="AL8" i="13"/>
  <c r="II38" i="17" s="1"/>
  <c r="AL17" i="13"/>
  <c r="II41" i="17" s="1"/>
  <c r="DR45" i="17"/>
  <c r="AI19" i="10"/>
  <c r="BI67" i="17" s="1"/>
  <c r="AH13" i="9"/>
  <c r="AP4" i="20"/>
  <c r="AP17" i="20"/>
  <c r="IM73" i="17" s="1"/>
  <c r="AP19" i="20"/>
  <c r="BP73" i="17" s="1"/>
  <c r="DX73" i="17" s="1"/>
  <c r="AP10" i="20"/>
  <c r="BP70" i="17" s="1"/>
  <c r="DX70" i="17" s="1"/>
  <c r="BP72" i="17"/>
  <c r="DX72" i="17" s="1"/>
  <c r="AP13" i="20"/>
  <c r="BP71" i="17" s="1"/>
  <c r="DX71" i="17" s="1"/>
  <c r="AJ21" i="10"/>
  <c r="AJ11" i="10"/>
  <c r="AJ14" i="10"/>
  <c r="AI13" i="10"/>
  <c r="BI65" i="17" s="1"/>
  <c r="AH10" i="9"/>
  <c r="AG4" i="3"/>
  <c r="AG19" i="3" s="1"/>
  <c r="BG14" i="17" s="1"/>
  <c r="DO14" i="17" s="1"/>
  <c r="AJ8" i="11"/>
  <c r="DR49" i="17"/>
  <c r="AI16" i="10"/>
  <c r="BI66" i="17" s="1"/>
  <c r="AH19" i="9"/>
  <c r="AL4" i="12"/>
  <c r="AL20" i="12"/>
  <c r="II35" i="17" s="1"/>
  <c r="AL14" i="12"/>
  <c r="II33" i="17" s="1"/>
  <c r="AL17" i="12"/>
  <c r="II34" i="17" s="1"/>
  <c r="AL21" i="12"/>
  <c r="AL11" i="12"/>
  <c r="II32" i="17" s="1"/>
  <c r="AL8" i="12"/>
  <c r="II31" i="17" s="1"/>
  <c r="AQ4" i="21"/>
  <c r="AQ8" i="21"/>
  <c r="IN85" i="17" s="1"/>
  <c r="AQ14" i="21"/>
  <c r="IN87" i="17" s="1"/>
  <c r="AQ11" i="21"/>
  <c r="IN86" i="17" s="1"/>
  <c r="AQ17" i="21"/>
  <c r="IN88" i="17" s="1"/>
  <c r="AL17" i="14"/>
  <c r="II48" i="17" s="1"/>
  <c r="AL11" i="14"/>
  <c r="II46" i="17" s="1"/>
  <c r="AL20" i="14"/>
  <c r="II49" i="17" s="1"/>
  <c r="AL14" i="14"/>
  <c r="II47" i="17" s="1"/>
  <c r="AL8" i="14"/>
  <c r="II45" i="17" s="1"/>
  <c r="DR47" i="17"/>
  <c r="DR46" i="17"/>
  <c r="DR38" i="17"/>
  <c r="DR39" i="17"/>
  <c r="DR42" i="17"/>
  <c r="DP66" i="17"/>
  <c r="AI10" i="10"/>
  <c r="BI64" i="17" s="1"/>
  <c r="BH60" i="17"/>
  <c r="F181" i="1"/>
  <c r="S182" i="1"/>
  <c r="S183" i="1"/>
  <c r="S180" i="1"/>
  <c r="S179" i="1"/>
  <c r="AJ4" i="11"/>
  <c r="AL4" i="13"/>
  <c r="DN59" i="17"/>
  <c r="BG25" i="17"/>
  <c r="F172" i="1"/>
  <c r="DN24" i="17" a="1"/>
  <c r="DN24" i="17" s="1"/>
  <c r="F175" i="1"/>
  <c r="DN103" i="17"/>
  <c r="DN104" i="17"/>
  <c r="DM97" i="17"/>
  <c r="DM100" i="17"/>
  <c r="DN100" i="17"/>
  <c r="D163" i="1"/>
  <c r="F171" i="1"/>
  <c r="BG24" i="17"/>
  <c r="DO28" i="17" a="1"/>
  <c r="DO28" i="17" s="1"/>
  <c r="K172" i="1"/>
  <c r="BG59" i="17"/>
  <c r="F174" i="1"/>
  <c r="BG27" i="17"/>
  <c r="AI28" i="40"/>
  <c r="K175" i="1"/>
  <c r="BG61" i="17"/>
  <c r="K171" i="1"/>
  <c r="BG58" i="17"/>
  <c r="AI27" i="40"/>
  <c r="Q167" i="1"/>
  <c r="Q166" i="1"/>
  <c r="BF99" i="17"/>
  <c r="DN99" i="17" s="1" a="1"/>
  <c r="DN99" i="17" s="1"/>
  <c r="Q163" i="1"/>
  <c r="BF97" i="17"/>
  <c r="Q164" i="1"/>
  <c r="BF98" i="17"/>
  <c r="DN98" i="17" s="1" a="1"/>
  <c r="DN98" i="17" s="1"/>
  <c r="AL4" i="14"/>
  <c r="AW7" i="14"/>
  <c r="AN7" i="18"/>
  <c r="AM2" i="18"/>
  <c r="AI35" i="9"/>
  <c r="AI4" i="9"/>
  <c r="AI16" i="9" s="1"/>
  <c r="K182" i="1"/>
  <c r="V180" i="1"/>
  <c r="U180" i="1"/>
  <c r="U182" i="1"/>
  <c r="V179" i="1"/>
  <c r="U179" i="1"/>
  <c r="V183" i="1"/>
  <c r="V182" i="1"/>
  <c r="U183" i="1"/>
  <c r="O179" i="1"/>
  <c r="O183" i="1"/>
  <c r="O182" i="1"/>
  <c r="O180" i="1"/>
  <c r="P183" i="1"/>
  <c r="E182" i="1"/>
  <c r="N180" i="1"/>
  <c r="N179" i="1"/>
  <c r="N183" i="1"/>
  <c r="N182" i="1"/>
  <c r="M182" i="1"/>
  <c r="P179" i="1"/>
  <c r="M180" i="1"/>
  <c r="P180" i="1"/>
  <c r="M183" i="1"/>
  <c r="P182" i="1"/>
  <c r="M179" i="1"/>
  <c r="E179" i="1"/>
  <c r="E183" i="1"/>
  <c r="E180" i="1"/>
  <c r="AJ4" i="10"/>
  <c r="AJ19" i="10" s="1"/>
  <c r="J183" i="1"/>
  <c r="L182" i="1"/>
  <c r="I183" i="1"/>
  <c r="H183" i="1"/>
  <c r="J182" i="1"/>
  <c r="H182" i="1"/>
  <c r="L183" i="1"/>
  <c r="L180" i="1"/>
  <c r="L179" i="1"/>
  <c r="I182" i="1"/>
  <c r="AQ6" i="20"/>
  <c r="AM6" i="14"/>
  <c r="AK6" i="11"/>
  <c r="AK6" i="10"/>
  <c r="AJ6" i="9"/>
  <c r="AJ6" i="8"/>
  <c r="AI6" i="5"/>
  <c r="AH6" i="4"/>
  <c r="AQ6" i="22"/>
  <c r="AR6" i="21"/>
  <c r="AR22" i="19"/>
  <c r="AR20" i="19" s="1"/>
  <c r="AR29" i="19" s="1"/>
  <c r="BR81" i="17" s="1"/>
  <c r="AM6" i="12"/>
  <c r="AM6" i="13"/>
  <c r="AN6" i="18"/>
  <c r="G179" i="1"/>
  <c r="H181" i="1"/>
  <c r="H180" i="1"/>
  <c r="H179" i="1"/>
  <c r="I181" i="1"/>
  <c r="I180" i="1"/>
  <c r="I179" i="1"/>
  <c r="J180" i="1"/>
  <c r="J181" i="1"/>
  <c r="J179" i="1"/>
  <c r="B186" i="1"/>
  <c r="AH6" i="3"/>
  <c r="AQ18" i="20" l="1"/>
  <c r="AQ16" i="20"/>
  <c r="AQ30" i="20"/>
  <c r="BQ82" i="17"/>
  <c r="DY82" i="17" s="1"/>
  <c r="DY81" i="17"/>
  <c r="D167" i="1"/>
  <c r="BF14" i="17"/>
  <c r="DN14" i="17" s="1"/>
  <c r="AG22" i="3"/>
  <c r="BG15" i="17" s="1"/>
  <c r="DO15" i="17" s="1"/>
  <c r="DX87" i="17"/>
  <c r="DX86" i="17"/>
  <c r="AQ19" i="21"/>
  <c r="BQ88" i="17" s="1"/>
  <c r="DY88" i="17" s="1"/>
  <c r="DX85" i="17"/>
  <c r="AQ10" i="21"/>
  <c r="BQ85" i="17" s="1"/>
  <c r="AP16" i="22"/>
  <c r="BP93" i="17" s="1"/>
  <c r="DX93" i="17" s="1"/>
  <c r="AQ16" i="21"/>
  <c r="BQ87" i="17" s="1"/>
  <c r="AQ13" i="21"/>
  <c r="BQ86" i="17" s="1"/>
  <c r="AP19" i="22"/>
  <c r="BP94" i="17" s="1"/>
  <c r="DX94" i="17" s="1"/>
  <c r="AP10" i="22"/>
  <c r="BP91" i="17" s="1"/>
  <c r="DX91" i="17" s="1"/>
  <c r="AP13" i="22"/>
  <c r="BP92" i="17" s="1"/>
  <c r="DX92" i="17" s="1"/>
  <c r="BG105" i="17"/>
  <c r="DO105" i="17" s="1"/>
  <c r="DW92" i="17"/>
  <c r="DW91" i="17"/>
  <c r="AR26" i="19"/>
  <c r="BR80" i="17" s="1"/>
  <c r="AR32" i="19"/>
  <c r="DS46" i="17"/>
  <c r="G182" i="1"/>
  <c r="BF13" i="17"/>
  <c r="DN13" i="17" s="1"/>
  <c r="DS35" i="17"/>
  <c r="AM10" i="18"/>
  <c r="BM18" i="17" s="1"/>
  <c r="DU18" i="17" s="1"/>
  <c r="AM16" i="18"/>
  <c r="BM20" i="17" s="1"/>
  <c r="DU20" i="17" s="1"/>
  <c r="AM13" i="18"/>
  <c r="BM19" i="17" s="1"/>
  <c r="DU19" i="17" s="1"/>
  <c r="BH55" i="17"/>
  <c r="DP55" i="17" s="1" a="1"/>
  <c r="DP55" i="17" s="1"/>
  <c r="AL16" i="14"/>
  <c r="BL47" i="17" s="1"/>
  <c r="DT47" i="17" s="1"/>
  <c r="G180" i="1"/>
  <c r="BG104" i="17"/>
  <c r="DO104" i="17" s="1"/>
  <c r="AL19" i="13"/>
  <c r="BL41" i="17" s="1"/>
  <c r="DT41" i="17" s="1"/>
  <c r="AL10" i="12"/>
  <c r="BL31" i="17" s="1"/>
  <c r="DT31" i="17" s="1"/>
  <c r="AL13" i="12"/>
  <c r="BL32" i="17" s="1"/>
  <c r="DT32" i="17" s="1"/>
  <c r="AL22" i="12"/>
  <c r="BL35" i="17" s="1"/>
  <c r="GB35" i="17"/>
  <c r="AL13" i="13"/>
  <c r="BL39" i="17" s="1"/>
  <c r="AL10" i="14"/>
  <c r="BL45" i="17" s="1"/>
  <c r="AL13" i="14"/>
  <c r="BL46" i="17" s="1"/>
  <c r="AL19" i="14"/>
  <c r="BL48" i="17" s="1"/>
  <c r="AL22" i="14"/>
  <c r="BL49" i="17" s="1"/>
  <c r="DT49" i="17" s="1"/>
  <c r="AL22" i="13"/>
  <c r="BL42" i="17" s="1"/>
  <c r="AL16" i="13"/>
  <c r="BL40" i="17" s="1"/>
  <c r="DT40" i="17" s="1"/>
  <c r="AL10" i="13"/>
  <c r="BL38" i="17" s="1"/>
  <c r="DT38" i="17" s="1"/>
  <c r="AL19" i="12"/>
  <c r="BL34" i="17" s="1"/>
  <c r="DT34" i="17" s="1"/>
  <c r="AL16" i="12"/>
  <c r="BL33" i="17" s="1"/>
  <c r="DT33" i="17" s="1"/>
  <c r="BG103" i="17"/>
  <c r="DO103" i="17" s="1"/>
  <c r="DS33" i="17"/>
  <c r="DS34" i="17"/>
  <c r="DS48" i="17"/>
  <c r="AJ13" i="10"/>
  <c r="BJ65" i="17" s="1"/>
  <c r="AH19" i="5"/>
  <c r="R183" i="1" s="1"/>
  <c r="AJ10" i="11"/>
  <c r="BJ109" i="17" s="1"/>
  <c r="AJ16" i="10"/>
  <c r="BJ66" i="17" s="1"/>
  <c r="AH16" i="5"/>
  <c r="R182" i="1" s="1"/>
  <c r="AJ23" i="10"/>
  <c r="AH13" i="5"/>
  <c r="BH104" i="17" s="1"/>
  <c r="DS31" i="17"/>
  <c r="DS42" i="17"/>
  <c r="BF12" i="17"/>
  <c r="DN12" i="17" s="1"/>
  <c r="DQ65" i="17"/>
  <c r="DQ67" i="17"/>
  <c r="DQ64" i="17"/>
  <c r="DP60" i="17"/>
  <c r="DO58" i="17"/>
  <c r="DO59" i="17"/>
  <c r="DO61" i="17"/>
  <c r="DP54" i="17"/>
  <c r="DP53" i="17" a="1"/>
  <c r="DP53" i="17" s="1"/>
  <c r="DQ52" i="17" a="1"/>
  <c r="DQ52" i="17" s="1"/>
  <c r="DO24" i="17" a="1"/>
  <c r="DO24" i="17" s="1"/>
  <c r="DO25" i="17" a="1"/>
  <c r="DO25" i="17" s="1"/>
  <c r="AG16" i="3"/>
  <c r="D174" i="1" s="1"/>
  <c r="AG13" i="3"/>
  <c r="D172" i="1" s="1"/>
  <c r="AG10" i="3"/>
  <c r="D171" i="1" s="1"/>
  <c r="AH4" i="4"/>
  <c r="AH19" i="4" s="1"/>
  <c r="AH16" i="4"/>
  <c r="AH13" i="4"/>
  <c r="AH10" i="4"/>
  <c r="BH97" i="17" s="1"/>
  <c r="AI10" i="9"/>
  <c r="AQ4" i="22"/>
  <c r="AQ14" i="22"/>
  <c r="IN93" i="17" s="1"/>
  <c r="AQ11" i="22"/>
  <c r="IN92" i="17" s="1"/>
  <c r="AQ17" i="22"/>
  <c r="IN94" i="17" s="1"/>
  <c r="AQ8" i="22"/>
  <c r="IN91" i="17" s="1"/>
  <c r="AI4" i="5"/>
  <c r="AI16" i="5" s="1"/>
  <c r="AI19" i="9"/>
  <c r="AI13" i="8"/>
  <c r="BI53" i="17" s="1"/>
  <c r="AQ4" i="20"/>
  <c r="AQ17" i="20"/>
  <c r="IN73" i="17" s="1"/>
  <c r="AQ19" i="20"/>
  <c r="BQ73" i="17" s="1"/>
  <c r="DY73" i="17" s="1"/>
  <c r="AQ13" i="20"/>
  <c r="BQ71" i="17" s="1"/>
  <c r="DY71" i="17" s="1"/>
  <c r="BQ72" i="17"/>
  <c r="DY72" i="17" s="1"/>
  <c r="AQ10" i="20"/>
  <c r="BQ70" i="17" s="1"/>
  <c r="DY70" i="17" s="1"/>
  <c r="AN4" i="18"/>
  <c r="AN14" i="18"/>
  <c r="IK20" i="17" s="1"/>
  <c r="AN8" i="18"/>
  <c r="IK18" i="17" s="1"/>
  <c r="AN11" i="18"/>
  <c r="IK19" i="17" s="1"/>
  <c r="AJ4" i="8"/>
  <c r="AJ11" i="8"/>
  <c r="AJ14" i="8"/>
  <c r="AJ17" i="8"/>
  <c r="AJ8" i="8"/>
  <c r="AI13" i="9"/>
  <c r="AI19" i="8"/>
  <c r="BI55" i="17" s="1"/>
  <c r="AM11" i="14"/>
  <c r="IJ46" i="17" s="1"/>
  <c r="AM20" i="14"/>
  <c r="IJ49" i="17" s="1"/>
  <c r="AM14" i="14"/>
  <c r="IJ47" i="17" s="1"/>
  <c r="AM8" i="14"/>
  <c r="IJ45" i="17" s="1"/>
  <c r="AM17" i="14"/>
  <c r="IJ48" i="17" s="1"/>
  <c r="AM8" i="13"/>
  <c r="IJ38" i="17" s="1"/>
  <c r="AM17" i="13"/>
  <c r="IJ41" i="17" s="1"/>
  <c r="AM14" i="13"/>
  <c r="IJ40" i="17" s="1"/>
  <c r="AM11" i="13"/>
  <c r="IJ39" i="17" s="1"/>
  <c r="AM20" i="13"/>
  <c r="IJ42" i="17" s="1"/>
  <c r="AJ14" i="9"/>
  <c r="AJ11" i="9"/>
  <c r="AI16" i="8"/>
  <c r="BI54" i="17" s="1"/>
  <c r="AR4" i="21"/>
  <c r="AR17" i="21"/>
  <c r="AR8" i="21"/>
  <c r="AR14" i="21"/>
  <c r="AR11" i="21"/>
  <c r="AM4" i="12"/>
  <c r="AM20" i="12"/>
  <c r="IJ35" i="17" s="1"/>
  <c r="AM17" i="12"/>
  <c r="IJ34" i="17" s="1"/>
  <c r="AM11" i="12"/>
  <c r="IJ32" i="17" s="1"/>
  <c r="AM14" i="12"/>
  <c r="IJ33" i="17" s="1"/>
  <c r="AM21" i="12"/>
  <c r="GC35" i="17" s="1"/>
  <c r="AM8" i="12"/>
  <c r="IJ31" i="17" s="1"/>
  <c r="AM19" i="12"/>
  <c r="BM34" i="17" s="1"/>
  <c r="DU34" i="17" s="1"/>
  <c r="AM13" i="12"/>
  <c r="BM32" i="17" s="1"/>
  <c r="DU32" i="17" s="1"/>
  <c r="AM16" i="12"/>
  <c r="BM33" i="17" s="1"/>
  <c r="DU33" i="17" s="1"/>
  <c r="AM10" i="12"/>
  <c r="BM31" i="17" s="1"/>
  <c r="DU31" i="17" s="1"/>
  <c r="AK11" i="10"/>
  <c r="IH65" i="17" s="1"/>
  <c r="AK14" i="10"/>
  <c r="IH66" i="17" s="1"/>
  <c r="AK21" i="10"/>
  <c r="DO106" i="17"/>
  <c r="AH4" i="3"/>
  <c r="AH16" i="3" s="1"/>
  <c r="AK8" i="11"/>
  <c r="IH109" i="17" s="1"/>
  <c r="DQ66" i="17"/>
  <c r="AJ10" i="10"/>
  <c r="BJ64" i="17" s="1"/>
  <c r="BJ67" i="17"/>
  <c r="BI60" i="17"/>
  <c r="AM4" i="13"/>
  <c r="F183" i="1"/>
  <c r="F182" i="1"/>
  <c r="S190" i="1"/>
  <c r="S188" i="1"/>
  <c r="S191" i="1"/>
  <c r="S187" i="1"/>
  <c r="AK4" i="11"/>
  <c r="DQ109" i="17"/>
  <c r="F189" i="1"/>
  <c r="F180" i="1"/>
  <c r="K180" i="1"/>
  <c r="BH59" i="17"/>
  <c r="K183" i="1"/>
  <c r="BH61" i="17"/>
  <c r="K179" i="1"/>
  <c r="BH58" i="17"/>
  <c r="F179" i="1"/>
  <c r="BH24" i="17"/>
  <c r="R179" i="1"/>
  <c r="BH103" i="17"/>
  <c r="DN97" i="17"/>
  <c r="Q174" i="1"/>
  <c r="BG99" i="17"/>
  <c r="DO99" i="17" s="1" a="1"/>
  <c r="DO99" i="17" s="1"/>
  <c r="AI24" i="40"/>
  <c r="DO27" i="17"/>
  <c r="Q172" i="1"/>
  <c r="BG98" i="17"/>
  <c r="DO98" i="17" s="1" a="1"/>
  <c r="DO98" i="17" s="1"/>
  <c r="D175" i="1"/>
  <c r="Q175" i="1"/>
  <c r="BG100" i="17"/>
  <c r="Q171" i="1"/>
  <c r="BG97" i="17"/>
  <c r="AM4" i="14"/>
  <c r="AX7" i="14"/>
  <c r="AO7" i="18"/>
  <c r="AN2" i="18"/>
  <c r="K190" i="1"/>
  <c r="AJ35" i="9"/>
  <c r="AJ4" i="9"/>
  <c r="V191" i="1"/>
  <c r="U191" i="1"/>
  <c r="V190" i="1"/>
  <c r="V187" i="1"/>
  <c r="U187" i="1"/>
  <c r="U190" i="1"/>
  <c r="V188" i="1"/>
  <c r="U188" i="1"/>
  <c r="P191" i="1"/>
  <c r="O190" i="1"/>
  <c r="O191" i="1"/>
  <c r="O187" i="1"/>
  <c r="O188" i="1"/>
  <c r="E190" i="1"/>
  <c r="N191" i="1"/>
  <c r="N188" i="1"/>
  <c r="N187" i="1"/>
  <c r="N190" i="1"/>
  <c r="P188" i="1"/>
  <c r="M190" i="1"/>
  <c r="M188" i="1"/>
  <c r="P190" i="1"/>
  <c r="M187" i="1"/>
  <c r="P187" i="1"/>
  <c r="M191" i="1"/>
  <c r="E188" i="1"/>
  <c r="E187" i="1"/>
  <c r="E191" i="1"/>
  <c r="AK4" i="10"/>
  <c r="J191" i="1"/>
  <c r="L190" i="1"/>
  <c r="I191" i="1"/>
  <c r="H191" i="1"/>
  <c r="L188" i="1"/>
  <c r="J190" i="1"/>
  <c r="H190" i="1"/>
  <c r="L191" i="1"/>
  <c r="I190" i="1"/>
  <c r="L187" i="1"/>
  <c r="AR6" i="20"/>
  <c r="AN6" i="14"/>
  <c r="AL6" i="11"/>
  <c r="AL6" i="10"/>
  <c r="AK6" i="9"/>
  <c r="AK6" i="8"/>
  <c r="AJ6" i="5"/>
  <c r="AI6" i="4"/>
  <c r="AR6" i="22"/>
  <c r="AS6" i="21"/>
  <c r="AS22" i="19"/>
  <c r="AS20" i="19" s="1"/>
  <c r="AS29" i="19" s="1"/>
  <c r="BS81" i="17" s="1"/>
  <c r="AN6" i="12"/>
  <c r="AN6" i="13"/>
  <c r="AO6" i="18"/>
  <c r="H188" i="1"/>
  <c r="H187" i="1"/>
  <c r="G187" i="1"/>
  <c r="H189" i="1"/>
  <c r="I187" i="1"/>
  <c r="J189" i="1"/>
  <c r="I188" i="1"/>
  <c r="J188" i="1"/>
  <c r="J187" i="1"/>
  <c r="I189" i="1"/>
  <c r="B194" i="1"/>
  <c r="E195" i="1" s="1"/>
  <c r="AI6" i="3"/>
  <c r="AR30" i="20" l="1"/>
  <c r="AR16" i="20"/>
  <c r="BR82" i="17"/>
  <c r="DZ82" i="17" s="1"/>
  <c r="DZ81" i="17"/>
  <c r="AH22" i="3"/>
  <c r="BH15" i="17" s="1"/>
  <c r="DP15" i="17" s="1"/>
  <c r="AR13" i="21"/>
  <c r="BR86" i="17" s="1"/>
  <c r="AR10" i="21"/>
  <c r="BR85" i="17" s="1"/>
  <c r="DZ85" i="17" s="1"/>
  <c r="AR16" i="21"/>
  <c r="BR87" i="17" s="1"/>
  <c r="AR19" i="21"/>
  <c r="BR88" i="17" s="1"/>
  <c r="DZ88" i="17" s="1"/>
  <c r="DY86" i="17"/>
  <c r="DY87" i="17"/>
  <c r="AQ10" i="22"/>
  <c r="BQ91" i="17" s="1"/>
  <c r="DY91" i="17" s="1"/>
  <c r="AQ16" i="22"/>
  <c r="BQ93" i="17" s="1"/>
  <c r="AQ19" i="22"/>
  <c r="BQ94" i="17" s="1"/>
  <c r="DY85" i="17"/>
  <c r="AQ13" i="22"/>
  <c r="BQ92" i="17" s="1"/>
  <c r="DZ80" i="17"/>
  <c r="AN13" i="18"/>
  <c r="BN19" i="17" s="1"/>
  <c r="DV19" i="17" s="1"/>
  <c r="AM19" i="14"/>
  <c r="BM48" i="17" s="1"/>
  <c r="AN16" i="18"/>
  <c r="BN20" i="17" s="1"/>
  <c r="DV20" i="17" s="1"/>
  <c r="AN19" i="18"/>
  <c r="BN21" i="17" s="1"/>
  <c r="AS26" i="19"/>
  <c r="BS80" i="17" s="1"/>
  <c r="EA80" i="17" s="1"/>
  <c r="AS32" i="19"/>
  <c r="AM19" i="13"/>
  <c r="BM41" i="17" s="1"/>
  <c r="DU41" i="17" s="1"/>
  <c r="AM10" i="13"/>
  <c r="BM38" i="17" s="1"/>
  <c r="DU38" i="17" s="1"/>
  <c r="AM16" i="13"/>
  <c r="BM40" i="17" s="1"/>
  <c r="DU40" i="17" s="1"/>
  <c r="AM13" i="13"/>
  <c r="BM39" i="17" s="1"/>
  <c r="DU39" i="17" s="1"/>
  <c r="AM10" i="14"/>
  <c r="BM45" i="17" s="1"/>
  <c r="DU45" i="17" s="1"/>
  <c r="AM22" i="13"/>
  <c r="BM42" i="17" s="1"/>
  <c r="AM16" i="14"/>
  <c r="BM47" i="17" s="1"/>
  <c r="DU47" i="17" s="1"/>
  <c r="AN10" i="18"/>
  <c r="BN18" i="17" s="1"/>
  <c r="DV18" i="17" s="1"/>
  <c r="AM22" i="14"/>
  <c r="BM49" i="17" s="1"/>
  <c r="DU49" i="17" s="1"/>
  <c r="AM13" i="14"/>
  <c r="BM46" i="17" s="1"/>
  <c r="AJ13" i="9"/>
  <c r="K196" i="1" s="1"/>
  <c r="BG13" i="17"/>
  <c r="DO13" i="17" s="1"/>
  <c r="DT42" i="17"/>
  <c r="BH106" i="17"/>
  <c r="DP106" i="17" s="1"/>
  <c r="BG12" i="17"/>
  <c r="DO12" i="17" s="1"/>
  <c r="DT48" i="17"/>
  <c r="G190" i="1"/>
  <c r="AM22" i="12"/>
  <c r="BM35" i="17" s="1"/>
  <c r="DU35" i="17" s="1"/>
  <c r="AK10" i="11"/>
  <c r="BK109" i="17" s="1"/>
  <c r="DS109" i="17" s="1"/>
  <c r="R180" i="1"/>
  <c r="DT46" i="17"/>
  <c r="DT45" i="17"/>
  <c r="DT39" i="17"/>
  <c r="DT35" i="17"/>
  <c r="BH105" i="17"/>
  <c r="AK23" i="10"/>
  <c r="AK19" i="10"/>
  <c r="BK67" i="17" s="1"/>
  <c r="DS67" i="17" s="1"/>
  <c r="AK13" i="10"/>
  <c r="BK65" i="17" s="1"/>
  <c r="DS65" i="17" s="1"/>
  <c r="AK16" i="10"/>
  <c r="BK66" i="17" s="1"/>
  <c r="DS66" i="17" s="1"/>
  <c r="BG11" i="17"/>
  <c r="DO11" i="17" s="1"/>
  <c r="G191" i="1"/>
  <c r="DP58" i="17"/>
  <c r="AJ10" i="9"/>
  <c r="BJ58" i="17" s="1"/>
  <c r="DP59" i="17"/>
  <c r="DP61" i="17"/>
  <c r="DO97" i="17"/>
  <c r="DP97" i="17"/>
  <c r="AH19" i="3"/>
  <c r="DQ53" i="17" a="1"/>
  <c r="DQ53" i="17" s="1"/>
  <c r="DQ54" i="17"/>
  <c r="DP24" i="17" a="1"/>
  <c r="DP24" i="17" s="1"/>
  <c r="DP104" i="17"/>
  <c r="DP103" i="17"/>
  <c r="AJ19" i="9"/>
  <c r="K199" i="1" s="1"/>
  <c r="AJ16" i="9"/>
  <c r="K198" i="1" s="1"/>
  <c r="AJ19" i="8"/>
  <c r="BJ55" i="17" s="1"/>
  <c r="AJ16" i="8"/>
  <c r="BJ54" i="17" s="1"/>
  <c r="AH13" i="3"/>
  <c r="D180" i="1" s="1"/>
  <c r="AJ10" i="8"/>
  <c r="BJ52" i="17" s="1"/>
  <c r="AI4" i="3"/>
  <c r="AI10" i="3" s="1"/>
  <c r="AL8" i="11"/>
  <c r="II109" i="17" s="1"/>
  <c r="AS4" i="21"/>
  <c r="AS17" i="21"/>
  <c r="AS8" i="21"/>
  <c r="AS14" i="21"/>
  <c r="AS11" i="21"/>
  <c r="DR66" i="17"/>
  <c r="AH10" i="3"/>
  <c r="D179" i="1" s="1"/>
  <c r="AJ13" i="8"/>
  <c r="BJ53" i="17" s="1"/>
  <c r="AI4" i="4"/>
  <c r="AI13" i="4" s="1"/>
  <c r="BI98" i="17" s="1"/>
  <c r="DQ98" i="17" s="1" a="1"/>
  <c r="DQ98" i="17" s="1"/>
  <c r="AI10" i="4"/>
  <c r="DR67" i="17"/>
  <c r="G188" i="1"/>
  <c r="AJ4" i="5"/>
  <c r="AJ19" i="5" s="1"/>
  <c r="R199" i="1" s="1"/>
  <c r="AJ14" i="5"/>
  <c r="AJ11" i="5"/>
  <c r="DR64" i="17"/>
  <c r="DQ55" i="17" a="1"/>
  <c r="DQ55" i="17" s="1"/>
  <c r="AI10" i="5"/>
  <c r="BI103" i="17" s="1"/>
  <c r="AR4" i="22"/>
  <c r="AR17" i="22"/>
  <c r="AR14" i="22"/>
  <c r="AR11" i="22"/>
  <c r="AR8" i="22"/>
  <c r="DR65" i="17"/>
  <c r="AI13" i="5"/>
  <c r="BI104" i="17" s="1"/>
  <c r="AR4" i="20"/>
  <c r="AR17" i="20"/>
  <c r="AR19" i="20"/>
  <c r="BR73" i="17" s="1"/>
  <c r="DZ73" i="17" s="1"/>
  <c r="AR13" i="20"/>
  <c r="BR71" i="17" s="1"/>
  <c r="DZ71" i="17" s="1"/>
  <c r="BR72" i="17"/>
  <c r="DZ72" i="17" s="1"/>
  <c r="AR10" i="20"/>
  <c r="BR70" i="17" s="1"/>
  <c r="DZ70" i="17" s="1"/>
  <c r="AO4" i="18"/>
  <c r="AO19" i="18" s="1"/>
  <c r="BO21" i="17" s="1"/>
  <c r="DW21" i="17" s="1"/>
  <c r="AO14" i="18"/>
  <c r="AO11" i="18"/>
  <c r="AO8" i="18"/>
  <c r="AK4" i="8"/>
  <c r="AK11" i="8"/>
  <c r="IH53" i="17" s="1"/>
  <c r="AK14" i="8"/>
  <c r="IH54" i="17" s="1"/>
  <c r="AK17" i="8"/>
  <c r="IH55" i="17" s="1"/>
  <c r="AK8" i="8"/>
  <c r="IH52" i="17" s="1"/>
  <c r="AN8" i="13"/>
  <c r="IK38" i="17" s="1"/>
  <c r="AN17" i="13"/>
  <c r="IK41" i="17" s="1"/>
  <c r="AN14" i="13"/>
  <c r="IK40" i="17" s="1"/>
  <c r="AN11" i="13"/>
  <c r="IK39" i="17" s="1"/>
  <c r="AN20" i="13"/>
  <c r="IK42" i="17" s="1"/>
  <c r="AN11" i="14"/>
  <c r="AN20" i="14"/>
  <c r="AN14" i="14"/>
  <c r="AN8" i="14"/>
  <c r="AN3" i="14" s="1"/>
  <c r="AN17" i="14"/>
  <c r="AK11" i="9"/>
  <c r="IH59" i="17" s="1"/>
  <c r="AK14" i="9"/>
  <c r="IH60" i="17" s="1"/>
  <c r="AN4" i="12"/>
  <c r="AN21" i="12"/>
  <c r="AN11" i="12"/>
  <c r="IK32" i="17" s="1"/>
  <c r="AN20" i="12"/>
  <c r="IK35" i="17" s="1"/>
  <c r="AN14" i="12"/>
  <c r="IK33" i="17" s="1"/>
  <c r="AN17" i="12"/>
  <c r="IK34" i="17" s="1"/>
  <c r="IK31" i="17"/>
  <c r="AL11" i="10"/>
  <c r="II65" i="17" s="1"/>
  <c r="AL14" i="10"/>
  <c r="II66" i="17" s="1"/>
  <c r="AL21" i="10"/>
  <c r="AI19" i="5"/>
  <c r="R191" i="1" s="1"/>
  <c r="DR109" i="17"/>
  <c r="DQ60" i="17"/>
  <c r="BH28" i="17"/>
  <c r="AK10" i="10"/>
  <c r="BK64" i="17" s="1"/>
  <c r="DS64" i="17" s="1"/>
  <c r="S196" i="1"/>
  <c r="S198" i="1"/>
  <c r="S199" i="1"/>
  <c r="S195" i="1"/>
  <c r="AN4" i="13"/>
  <c r="AL4" i="11"/>
  <c r="BH25" i="17"/>
  <c r="Q179" i="1"/>
  <c r="BH27" i="17"/>
  <c r="K187" i="1"/>
  <c r="BI58" i="17"/>
  <c r="K188" i="1"/>
  <c r="BI59" i="17"/>
  <c r="K191" i="1"/>
  <c r="BI61" i="17"/>
  <c r="R190" i="1"/>
  <c r="BI105" i="17"/>
  <c r="Q182" i="1"/>
  <c r="BH99" i="17"/>
  <c r="DP99" i="17" s="1" a="1"/>
  <c r="DP99" i="17" s="1"/>
  <c r="Q180" i="1"/>
  <c r="BH98" i="17"/>
  <c r="DP98" i="17" s="1" a="1"/>
  <c r="DP98" i="17" s="1"/>
  <c r="D182" i="1"/>
  <c r="BH13" i="17"/>
  <c r="Q183" i="1"/>
  <c r="BH100" i="17"/>
  <c r="DO100" i="17"/>
  <c r="AN4" i="14"/>
  <c r="AY7" i="14"/>
  <c r="AP7" i="18"/>
  <c r="AO2" i="18"/>
  <c r="AK35" i="9"/>
  <c r="AK4" i="9"/>
  <c r="V196" i="1"/>
  <c r="V198" i="1"/>
  <c r="U196" i="1"/>
  <c r="V195" i="1"/>
  <c r="U195" i="1"/>
  <c r="V199" i="1"/>
  <c r="U198" i="1"/>
  <c r="U199" i="1"/>
  <c r="O198" i="1"/>
  <c r="O196" i="1"/>
  <c r="P199" i="1"/>
  <c r="O199" i="1"/>
  <c r="O195" i="1"/>
  <c r="E198" i="1"/>
  <c r="N199" i="1"/>
  <c r="N196" i="1"/>
  <c r="N198" i="1"/>
  <c r="N195" i="1"/>
  <c r="P196" i="1"/>
  <c r="P195" i="1"/>
  <c r="M196" i="1"/>
  <c r="M198" i="1"/>
  <c r="M199" i="1"/>
  <c r="P198" i="1"/>
  <c r="M195" i="1"/>
  <c r="E199" i="1"/>
  <c r="E196" i="1"/>
  <c r="AL4" i="10"/>
  <c r="J199" i="1"/>
  <c r="L198" i="1"/>
  <c r="I199" i="1"/>
  <c r="H199" i="1"/>
  <c r="L196" i="1"/>
  <c r="J198" i="1"/>
  <c r="H198" i="1"/>
  <c r="L199" i="1"/>
  <c r="I198" i="1"/>
  <c r="L195" i="1"/>
  <c r="AS6" i="20"/>
  <c r="AO6" i="14"/>
  <c r="AM6" i="11"/>
  <c r="AM8" i="11" s="1"/>
  <c r="AM6" i="10"/>
  <c r="AL6" i="9"/>
  <c r="AL6" i="8"/>
  <c r="AK6" i="5"/>
  <c r="AJ6" i="4"/>
  <c r="AS6" i="22"/>
  <c r="AT6" i="21"/>
  <c r="AT22" i="19"/>
  <c r="AT20" i="19" s="1"/>
  <c r="AT29" i="19" s="1"/>
  <c r="BT81" i="17" s="1"/>
  <c r="AO6" i="12"/>
  <c r="AO6" i="13"/>
  <c r="AP6" i="18"/>
  <c r="H196" i="1"/>
  <c r="H195" i="1"/>
  <c r="H197" i="1"/>
  <c r="J196" i="1"/>
  <c r="J195" i="1"/>
  <c r="J197" i="1"/>
  <c r="I197" i="1"/>
  <c r="I196" i="1"/>
  <c r="I195" i="1"/>
  <c r="B202" i="1"/>
  <c r="AJ6" i="3"/>
  <c r="AS16" i="20" l="1"/>
  <c r="AS30" i="20"/>
  <c r="BS82" i="17"/>
  <c r="EA82" i="17" s="1"/>
  <c r="EA81" i="17"/>
  <c r="D183" i="1"/>
  <c r="BH14" i="17"/>
  <c r="DP14" i="17" s="1"/>
  <c r="AI22" i="3"/>
  <c r="BI15" i="17" s="1"/>
  <c r="DQ15" i="17" s="1"/>
  <c r="DZ87" i="17"/>
  <c r="AS16" i="21"/>
  <c r="BS87" i="17" s="1"/>
  <c r="AS10" i="21"/>
  <c r="BS85" i="17" s="1"/>
  <c r="AS13" i="21"/>
  <c r="BS86" i="17" s="1"/>
  <c r="AS19" i="21"/>
  <c r="BS88" i="17" s="1"/>
  <c r="EA88" i="17" s="1"/>
  <c r="DZ86" i="17"/>
  <c r="AR19" i="22"/>
  <c r="BR94" i="17" s="1"/>
  <c r="DZ94" i="17" s="1"/>
  <c r="AR16" i="22"/>
  <c r="BR93" i="17" s="1"/>
  <c r="DZ93" i="17" s="1"/>
  <c r="AR13" i="22"/>
  <c r="BR92" i="17" s="1"/>
  <c r="DZ92" i="17" s="1"/>
  <c r="AN19" i="12"/>
  <c r="BN34" i="17" s="1"/>
  <c r="DV34" i="17" s="1"/>
  <c r="AR10" i="22"/>
  <c r="BR91" i="17" s="1"/>
  <c r="DZ91" i="17" s="1"/>
  <c r="DY93" i="17"/>
  <c r="DY94" i="17"/>
  <c r="DY92" i="17"/>
  <c r="DU42" i="17"/>
  <c r="DV21" i="17"/>
  <c r="AN19" i="13"/>
  <c r="BN41" i="17" s="1"/>
  <c r="AN10" i="12"/>
  <c r="BN31" i="17" s="1"/>
  <c r="AT26" i="19"/>
  <c r="BT80" i="17" s="1"/>
  <c r="EB80" i="17" s="1"/>
  <c r="AT32" i="19"/>
  <c r="AO10" i="18"/>
  <c r="BO18" i="17" s="1"/>
  <c r="DW18" i="17" s="1"/>
  <c r="AO13" i="18"/>
  <c r="BO19" i="17" s="1"/>
  <c r="AN13" i="12"/>
  <c r="BN32" i="17" s="1"/>
  <c r="AN19" i="14"/>
  <c r="BN48" i="17" s="1"/>
  <c r="AN16" i="12"/>
  <c r="BN33" i="17" s="1"/>
  <c r="AO16" i="18"/>
  <c r="BO20" i="17" s="1"/>
  <c r="DU48" i="17"/>
  <c r="DU46" i="17"/>
  <c r="AN10" i="13"/>
  <c r="BN38" i="17" s="1"/>
  <c r="AN22" i="13"/>
  <c r="BN42" i="17" s="1"/>
  <c r="AN16" i="13"/>
  <c r="BN40" i="17" s="1"/>
  <c r="AN13" i="13"/>
  <c r="BN39" i="17" s="1"/>
  <c r="AN22" i="12"/>
  <c r="BN35" i="17" s="1"/>
  <c r="DV35" i="17" s="1"/>
  <c r="GD35" i="17"/>
  <c r="AN10" i="14"/>
  <c r="BN45" i="17" s="1"/>
  <c r="AN22" i="14"/>
  <c r="BN49" i="17" s="1"/>
  <c r="AN16" i="14"/>
  <c r="BN47" i="17" s="1"/>
  <c r="AN13" i="14"/>
  <c r="BN46" i="17" s="1"/>
  <c r="G198" i="1"/>
  <c r="AK16" i="9"/>
  <c r="BK60" i="17" s="1"/>
  <c r="DS60" i="17" s="1"/>
  <c r="AK16" i="8"/>
  <c r="BK54" i="17" s="1"/>
  <c r="DS54" i="17" s="1"/>
  <c r="AL13" i="10"/>
  <c r="BL65" i="17" s="1"/>
  <c r="DT65" i="17" s="1"/>
  <c r="G196" i="1"/>
  <c r="K195" i="1"/>
  <c r="AL10" i="11"/>
  <c r="BL109" i="17" s="1"/>
  <c r="DT109" i="17" s="1"/>
  <c r="AL19" i="10"/>
  <c r="BL67" i="17" s="1"/>
  <c r="DT67" i="17" s="1"/>
  <c r="R188" i="1"/>
  <c r="R187" i="1"/>
  <c r="G199" i="1"/>
  <c r="AL23" i="10"/>
  <c r="DP105" i="17"/>
  <c r="AL16" i="10"/>
  <c r="BL66" i="17" s="1"/>
  <c r="DT66" i="17" s="1"/>
  <c r="AK19" i="8"/>
  <c r="BK55" i="17" s="1"/>
  <c r="DS55" i="17" s="1" a="1"/>
  <c r="DS55" i="17" s="1"/>
  <c r="AK13" i="9"/>
  <c r="BK59" i="17" s="1"/>
  <c r="DS59" i="17" s="1"/>
  <c r="AK10" i="9"/>
  <c r="BK58" i="17" s="1"/>
  <c r="DS58" i="17" s="1"/>
  <c r="AK13" i="8"/>
  <c r="BK53" i="17" s="1"/>
  <c r="DS53" i="17" s="1" a="1"/>
  <c r="DS53" i="17" s="1"/>
  <c r="AK19" i="9"/>
  <c r="BK61" i="17" s="1"/>
  <c r="DS61" i="17" s="1"/>
  <c r="AK10" i="8"/>
  <c r="BK52" i="17" s="1"/>
  <c r="DS52" i="17" s="1" a="1"/>
  <c r="DS52" i="17" s="1"/>
  <c r="BH12" i="17"/>
  <c r="AI13" i="3"/>
  <c r="D188" i="1" s="1"/>
  <c r="DR58" i="17"/>
  <c r="DQ59" i="17"/>
  <c r="DQ61" i="17"/>
  <c r="AI19" i="4"/>
  <c r="AI19" i="3"/>
  <c r="BH11" i="17"/>
  <c r="AI16" i="3"/>
  <c r="BI13" i="17" s="1"/>
  <c r="DR52" i="17" a="1"/>
  <c r="DR52" i="17" s="1"/>
  <c r="DR54" i="17"/>
  <c r="DR53" i="17" a="1"/>
  <c r="DR53" i="17" s="1"/>
  <c r="DP100" i="17"/>
  <c r="DP25" i="17" a="1"/>
  <c r="DP25" i="17" s="1"/>
  <c r="DP28" i="17" a="1"/>
  <c r="DP28" i="17" s="1"/>
  <c r="DR55" i="17" a="1"/>
  <c r="DR55" i="17" s="1"/>
  <c r="AJ13" i="5"/>
  <c r="R196" i="1" s="1"/>
  <c r="G195" i="1"/>
  <c r="AJ16" i="5"/>
  <c r="BJ105" i="17" s="1"/>
  <c r="AI16" i="4"/>
  <c r="AO20" i="13"/>
  <c r="AO8" i="13"/>
  <c r="AO17" i="13"/>
  <c r="AO14" i="13"/>
  <c r="AO11" i="13"/>
  <c r="AO4" i="12"/>
  <c r="AO21" i="12"/>
  <c r="AO22" i="12" s="1"/>
  <c r="BO35" i="17" s="1"/>
  <c r="DW35" i="17" s="1"/>
  <c r="AO20" i="12"/>
  <c r="AO17" i="12"/>
  <c r="AO11" i="12"/>
  <c r="AO14" i="12"/>
  <c r="AM11" i="10"/>
  <c r="IJ65" i="17" s="1"/>
  <c r="AM14" i="10"/>
  <c r="IJ66" i="17" s="1"/>
  <c r="AM21" i="10"/>
  <c r="AJ10" i="5"/>
  <c r="R195" i="1" s="1"/>
  <c r="IJ109" i="17"/>
  <c r="AK4" i="5"/>
  <c r="AK19" i="5" s="1"/>
  <c r="AK11" i="5"/>
  <c r="IH104" i="17" s="1"/>
  <c r="AL11" i="9"/>
  <c r="II59" i="17" s="1"/>
  <c r="AL14" i="9"/>
  <c r="II60" i="17" s="1"/>
  <c r="AJ4" i="3"/>
  <c r="AJ13" i="3" s="1"/>
  <c r="AJ8" i="3"/>
  <c r="S203" i="1"/>
  <c r="E203" i="1"/>
  <c r="AT4" i="21"/>
  <c r="AT11" i="21"/>
  <c r="IQ86" i="17" s="1"/>
  <c r="AT17" i="21"/>
  <c r="IQ88" i="17" s="1"/>
  <c r="AT8" i="21"/>
  <c r="IQ85" i="17" s="1"/>
  <c r="AT14" i="21"/>
  <c r="IQ87" i="17" s="1"/>
  <c r="AO20" i="14"/>
  <c r="AO14" i="14"/>
  <c r="AO8" i="14"/>
  <c r="AO17" i="14"/>
  <c r="AO11" i="14"/>
  <c r="BI106" i="17"/>
  <c r="AS4" i="20"/>
  <c r="AS17" i="20"/>
  <c r="AS19" i="20"/>
  <c r="BS73" i="17" s="1"/>
  <c r="EA73" i="17" s="1"/>
  <c r="AS13" i="20"/>
  <c r="BS71" i="17" s="1"/>
  <c r="EA71" i="17" s="1"/>
  <c r="BS72" i="17"/>
  <c r="AS10" i="20"/>
  <c r="BS70" i="17" s="1"/>
  <c r="EA70" i="17" s="1"/>
  <c r="AS4" i="22"/>
  <c r="AS8" i="22"/>
  <c r="AS17" i="22"/>
  <c r="AS14" i="22"/>
  <c r="AS11" i="22"/>
  <c r="AJ4" i="4"/>
  <c r="AJ17" i="4"/>
  <c r="AJ14" i="4"/>
  <c r="AJ11" i="4"/>
  <c r="AJ8" i="4"/>
  <c r="AJ10" i="4"/>
  <c r="BJ106" i="17"/>
  <c r="AP4" i="18"/>
  <c r="AP14" i="18"/>
  <c r="IM20" i="17" s="1"/>
  <c r="IM21" i="17"/>
  <c r="AP8" i="18"/>
  <c r="IM18" i="17" s="1"/>
  <c r="AP11" i="18"/>
  <c r="IM19" i="17" s="1"/>
  <c r="AL4" i="8"/>
  <c r="AL11" i="8"/>
  <c r="II53" i="17" s="1"/>
  <c r="AL17" i="8"/>
  <c r="II55" i="17" s="1"/>
  <c r="AL14" i="8"/>
  <c r="II54" i="17" s="1"/>
  <c r="AL8" i="8"/>
  <c r="II52" i="17" s="1"/>
  <c r="F197" i="1"/>
  <c r="BJ26" i="17"/>
  <c r="AL10" i="10"/>
  <c r="BL64" i="17" s="1"/>
  <c r="DT64" i="17" s="1"/>
  <c r="BJ27" i="17"/>
  <c r="DQ58" i="17"/>
  <c r="S207" i="1"/>
  <c r="S204" i="1"/>
  <c r="S206" i="1"/>
  <c r="AM4" i="11"/>
  <c r="AM10" i="11" s="1"/>
  <c r="BM109" i="17" s="1"/>
  <c r="DU109" i="17" s="1"/>
  <c r="F205" i="1"/>
  <c r="AO4" i="13"/>
  <c r="DQ103" i="17"/>
  <c r="DQ105" i="17"/>
  <c r="DQ104" i="17"/>
  <c r="DP27" i="17"/>
  <c r="BI27" i="17"/>
  <c r="F190" i="1"/>
  <c r="BI24" i="17"/>
  <c r="F187" i="1"/>
  <c r="Q187" i="1"/>
  <c r="BI97" i="17"/>
  <c r="BI28" i="17"/>
  <c r="F191" i="1"/>
  <c r="BI25" i="17"/>
  <c r="F188" i="1"/>
  <c r="DP13" i="17"/>
  <c r="D187" i="1"/>
  <c r="BI11" i="17"/>
  <c r="Q188" i="1"/>
  <c r="AO4" i="14"/>
  <c r="AZ7" i="14"/>
  <c r="AQ7" i="18"/>
  <c r="AP2" i="18"/>
  <c r="AL35" i="9"/>
  <c r="AL4" i="9"/>
  <c r="AL10" i="9" s="1"/>
  <c r="BL58" i="17" s="1"/>
  <c r="V207" i="1"/>
  <c r="U207" i="1"/>
  <c r="V206" i="1"/>
  <c r="U206" i="1"/>
  <c r="V204" i="1"/>
  <c r="U204" i="1"/>
  <c r="V203" i="1"/>
  <c r="U203" i="1"/>
  <c r="P207" i="1"/>
  <c r="O204" i="1"/>
  <c r="O207" i="1"/>
  <c r="O206" i="1"/>
  <c r="O203" i="1"/>
  <c r="E206" i="1"/>
  <c r="N203" i="1"/>
  <c r="N207" i="1"/>
  <c r="N204" i="1"/>
  <c r="N206" i="1"/>
  <c r="P204" i="1"/>
  <c r="M204" i="1"/>
  <c r="P203" i="1"/>
  <c r="M207" i="1"/>
  <c r="P206" i="1"/>
  <c r="M206" i="1"/>
  <c r="M203" i="1"/>
  <c r="E207" i="1"/>
  <c r="E204" i="1"/>
  <c r="AM4" i="10"/>
  <c r="J207" i="1"/>
  <c r="I207" i="1"/>
  <c r="L206" i="1"/>
  <c r="H207" i="1"/>
  <c r="L204" i="1"/>
  <c r="J206" i="1"/>
  <c r="H206" i="1"/>
  <c r="I206" i="1"/>
  <c r="L207" i="1"/>
  <c r="L203" i="1"/>
  <c r="AT6" i="20"/>
  <c r="AP6" i="14"/>
  <c r="AN6" i="11"/>
  <c r="AN8" i="11" s="1"/>
  <c r="AN6" i="10"/>
  <c r="AM6" i="9"/>
  <c r="AM6" i="8"/>
  <c r="AL6" i="5"/>
  <c r="AK6" i="4"/>
  <c r="AT6" i="22"/>
  <c r="AU6" i="21"/>
  <c r="AU22" i="19"/>
  <c r="AU20" i="19" s="1"/>
  <c r="AU29" i="19" s="1"/>
  <c r="BU81" i="17" s="1"/>
  <c r="AP6" i="12"/>
  <c r="AP8" i="12" s="1"/>
  <c r="AP6" i="13"/>
  <c r="AQ6" i="18"/>
  <c r="H205" i="1"/>
  <c r="H204" i="1"/>
  <c r="H203" i="1"/>
  <c r="I205" i="1"/>
  <c r="J203" i="1"/>
  <c r="I204" i="1"/>
  <c r="I203" i="1"/>
  <c r="J205" i="1"/>
  <c r="J204" i="1"/>
  <c r="B210" i="1"/>
  <c r="E211" i="1" s="1"/>
  <c r="AK6" i="3"/>
  <c r="AT16" i="20" l="1"/>
  <c r="AT30" i="20"/>
  <c r="BT82" i="17"/>
  <c r="EB82" i="17" s="1"/>
  <c r="EB81" i="17"/>
  <c r="D191" i="1"/>
  <c r="BI14" i="17"/>
  <c r="DQ14" i="17" s="1"/>
  <c r="AJ22" i="3"/>
  <c r="BJ15" i="17" s="1"/>
  <c r="DR15" i="17" s="1"/>
  <c r="EA72" i="17"/>
  <c r="AT16" i="21"/>
  <c r="BT87" i="17" s="1"/>
  <c r="AT10" i="21"/>
  <c r="BT85" i="17" s="1"/>
  <c r="EB85" i="17" s="1"/>
  <c r="AT13" i="21"/>
  <c r="BT86" i="17" s="1"/>
  <c r="AT19" i="21"/>
  <c r="BT88" i="17" s="1"/>
  <c r="EB88" i="17" s="1"/>
  <c r="AS13" i="22"/>
  <c r="BS92" i="17" s="1"/>
  <c r="EA92" i="17" s="1"/>
  <c r="EA87" i="17"/>
  <c r="EA85" i="17"/>
  <c r="AS19" i="22"/>
  <c r="BS94" i="17" s="1"/>
  <c r="EA94" i="17" s="1"/>
  <c r="AS16" i="22"/>
  <c r="BS93" i="17" s="1"/>
  <c r="EA93" i="17" s="1"/>
  <c r="AS10" i="22"/>
  <c r="BS91" i="17" s="1"/>
  <c r="EA91" i="17" s="1"/>
  <c r="EA86" i="17"/>
  <c r="AP13" i="18"/>
  <c r="BP19" i="17" s="1"/>
  <c r="DX19" i="17" s="1"/>
  <c r="AP19" i="18"/>
  <c r="BP21" i="17" s="1"/>
  <c r="AP10" i="18"/>
  <c r="BP18" i="17" s="1"/>
  <c r="DX18" i="17" s="1"/>
  <c r="AO22" i="14"/>
  <c r="BO49" i="17" s="1"/>
  <c r="DW49" i="17" s="1"/>
  <c r="AP16" i="18"/>
  <c r="BP20" i="17" s="1"/>
  <c r="DX20" i="17" s="1"/>
  <c r="DV41" i="17"/>
  <c r="DW20" i="17"/>
  <c r="DV31" i="17"/>
  <c r="DV33" i="17"/>
  <c r="DV32" i="17"/>
  <c r="DV48" i="17"/>
  <c r="AO19" i="13"/>
  <c r="BO41" i="17" s="1"/>
  <c r="DW19" i="17"/>
  <c r="Q190" i="1"/>
  <c r="BI99" i="17"/>
  <c r="DQ99" i="17" s="1" a="1"/>
  <c r="DQ99" i="17" s="1"/>
  <c r="Q191" i="1"/>
  <c r="BI100" i="17"/>
  <c r="DQ100" i="17" s="1"/>
  <c r="DV42" i="17"/>
  <c r="AU26" i="19"/>
  <c r="BU80" i="17" s="1"/>
  <c r="EC80" i="17" s="1"/>
  <c r="AU32" i="19"/>
  <c r="AO16" i="14"/>
  <c r="BO47" i="17" s="1"/>
  <c r="DW47" i="17" s="1"/>
  <c r="AO13" i="12"/>
  <c r="BO32" i="17" s="1"/>
  <c r="AO13" i="14"/>
  <c r="BO46" i="17" s="1"/>
  <c r="AO16" i="12"/>
  <c r="BO33" i="17" s="1"/>
  <c r="AO10" i="13"/>
  <c r="BO38" i="17" s="1"/>
  <c r="DW38" i="17" s="1"/>
  <c r="AO19" i="14"/>
  <c r="BO48" i="17" s="1"/>
  <c r="AO19" i="12"/>
  <c r="BO34" i="17" s="1"/>
  <c r="AO22" i="13"/>
  <c r="BO42" i="17" s="1"/>
  <c r="AO16" i="13"/>
  <c r="BO40" i="17" s="1"/>
  <c r="DW40" i="17" s="1"/>
  <c r="AO13" i="13"/>
  <c r="BO39" i="17" s="1"/>
  <c r="DW39" i="17" s="1"/>
  <c r="AO10" i="14"/>
  <c r="BO45" i="17" s="1"/>
  <c r="DW45" i="17" s="1"/>
  <c r="AO10" i="12"/>
  <c r="BO31" i="17" s="1"/>
  <c r="DV40" i="17"/>
  <c r="DV49" i="17"/>
  <c r="K206" i="1"/>
  <c r="DV38" i="17"/>
  <c r="DV45" i="17"/>
  <c r="DV39" i="17"/>
  <c r="DV46" i="17"/>
  <c r="DV47" i="17"/>
  <c r="G207" i="1"/>
  <c r="G206" i="1"/>
  <c r="P27" i="40"/>
  <c r="G204" i="1"/>
  <c r="K203" i="1"/>
  <c r="D190" i="1"/>
  <c r="BJ104" i="17"/>
  <c r="DR104" i="17" s="1"/>
  <c r="K207" i="1"/>
  <c r="AM16" i="10"/>
  <c r="BM66" i="17" s="1"/>
  <c r="DU66" i="17" s="1"/>
  <c r="AM19" i="10"/>
  <c r="BM67" i="17" s="1"/>
  <c r="DU67" i="17" s="1"/>
  <c r="AM13" i="10"/>
  <c r="BM65" i="17" s="1"/>
  <c r="AM23" i="10"/>
  <c r="AL10" i="8"/>
  <c r="BL52" i="17" s="1"/>
  <c r="DT52" i="17" s="1" a="1"/>
  <c r="DT52" i="17" s="1"/>
  <c r="G203" i="1"/>
  <c r="AL16" i="8"/>
  <c r="BL54" i="17" s="1"/>
  <c r="R198" i="1"/>
  <c r="K204" i="1"/>
  <c r="BI12" i="17"/>
  <c r="DQ12" i="17" s="1"/>
  <c r="AL13" i="8"/>
  <c r="BL53" i="17" s="1"/>
  <c r="DT53" i="17" s="1" a="1"/>
  <c r="DT53" i="17" s="1"/>
  <c r="AL19" i="8"/>
  <c r="BL55" i="17" s="1"/>
  <c r="DT55" i="17" s="1" a="1"/>
  <c r="DT55" i="17" s="1"/>
  <c r="AL13" i="9"/>
  <c r="BL59" i="17" s="1"/>
  <c r="DT59" i="17" s="1"/>
  <c r="DT58" i="17"/>
  <c r="AL19" i="9"/>
  <c r="BL61" i="17" s="1"/>
  <c r="DT61" i="17" s="1"/>
  <c r="AL16" i="9"/>
  <c r="BL60" i="17" s="1"/>
  <c r="DT60" i="17" s="1"/>
  <c r="DP12" i="17"/>
  <c r="T27" i="40"/>
  <c r="R27" i="40"/>
  <c r="AJ19" i="4"/>
  <c r="BJ100" i="17" s="1"/>
  <c r="DR100" i="17" s="1"/>
  <c r="DQ13" i="17"/>
  <c r="DP11" i="17"/>
  <c r="AJ16" i="3"/>
  <c r="D198" i="1" s="1"/>
  <c r="DR27" i="17"/>
  <c r="Y27" i="40" s="1"/>
  <c r="V27" i="40"/>
  <c r="DR26" i="17" a="1"/>
  <c r="DR26" i="17" s="1"/>
  <c r="Y26" i="40" s="1"/>
  <c r="V26" i="40"/>
  <c r="BK106" i="17"/>
  <c r="DS106" i="17" s="1"/>
  <c r="R207" i="1"/>
  <c r="AK10" i="5"/>
  <c r="R203" i="1" s="1"/>
  <c r="AK13" i="5"/>
  <c r="BJ103" i="17"/>
  <c r="AK16" i="5"/>
  <c r="AJ10" i="3"/>
  <c r="BJ11" i="17" s="1"/>
  <c r="AJ16" i="4"/>
  <c r="AJ13" i="4"/>
  <c r="AP11" i="13"/>
  <c r="IM39" i="17" s="1"/>
  <c r="AP20" i="13"/>
  <c r="IM42" i="17" s="1"/>
  <c r="AP8" i="13"/>
  <c r="IM38" i="17" s="1"/>
  <c r="AP17" i="13"/>
  <c r="IM41" i="17" s="1"/>
  <c r="AP14" i="13"/>
  <c r="IM40" i="17" s="1"/>
  <c r="AM11" i="9"/>
  <c r="IJ59" i="17" s="1"/>
  <c r="AM14" i="9"/>
  <c r="IJ60" i="17" s="1"/>
  <c r="AN21" i="10"/>
  <c r="AN11" i="10"/>
  <c r="IK65" i="17" s="1"/>
  <c r="AN14" i="10"/>
  <c r="IK66" i="17" s="1"/>
  <c r="AN23" i="10"/>
  <c r="AM4" i="8"/>
  <c r="AM11" i="8"/>
  <c r="IJ53" i="17" s="1"/>
  <c r="AM17" i="8"/>
  <c r="IJ55" i="17" s="1"/>
  <c r="AM14" i="8"/>
  <c r="IJ54" i="17" s="1"/>
  <c r="AM8" i="8"/>
  <c r="IJ52" i="17" s="1"/>
  <c r="AK4" i="3"/>
  <c r="AK22" i="3" s="1"/>
  <c r="BK15" i="17" s="1"/>
  <c r="DS15" i="17" s="1"/>
  <c r="AK11" i="3"/>
  <c r="AK17" i="3"/>
  <c r="IH14" i="17" s="1"/>
  <c r="AK8" i="3"/>
  <c r="AK14" i="3"/>
  <c r="AQ4" i="18"/>
  <c r="AQ11" i="18"/>
  <c r="IN19" i="17" s="1"/>
  <c r="AQ8" i="18"/>
  <c r="IN18" i="17" s="1"/>
  <c r="AQ14" i="18"/>
  <c r="IN20" i="17" s="1"/>
  <c r="AU4" i="21"/>
  <c r="AU11" i="21"/>
  <c r="IR86" i="17" s="1"/>
  <c r="AU17" i="21"/>
  <c r="IR88" i="17" s="1"/>
  <c r="AU8" i="21"/>
  <c r="IR85" i="17" s="1"/>
  <c r="AU14" i="21"/>
  <c r="IR87" i="17" s="1"/>
  <c r="AP14" i="14"/>
  <c r="IM47" i="17" s="1"/>
  <c r="AP8" i="14"/>
  <c r="IM45" i="17" s="1"/>
  <c r="AP17" i="14"/>
  <c r="IM48" i="17" s="1"/>
  <c r="AP11" i="14"/>
  <c r="IM46" i="17" s="1"/>
  <c r="AP20" i="14"/>
  <c r="IM49" i="17" s="1"/>
  <c r="DR106" i="17"/>
  <c r="AP4" i="12"/>
  <c r="AP17" i="12"/>
  <c r="IM34" i="17" s="1"/>
  <c r="AP21" i="12"/>
  <c r="GF35" i="17" s="1"/>
  <c r="AP20" i="12"/>
  <c r="IM35" i="17" s="1"/>
  <c r="AP11" i="12"/>
  <c r="IM32" i="17" s="1"/>
  <c r="AP14" i="12"/>
  <c r="IM33" i="17" s="1"/>
  <c r="IM31" i="17"/>
  <c r="AT4" i="22"/>
  <c r="AT8" i="22"/>
  <c r="IQ91" i="17" s="1"/>
  <c r="AT17" i="22"/>
  <c r="IQ94" i="17" s="1"/>
  <c r="AT14" i="22"/>
  <c r="IQ93" i="17" s="1"/>
  <c r="AT11" i="22"/>
  <c r="IQ92" i="17" s="1"/>
  <c r="AT4" i="20"/>
  <c r="AT17" i="20"/>
  <c r="IQ73" i="17" s="1"/>
  <c r="AT19" i="20"/>
  <c r="BT73" i="17" s="1"/>
  <c r="BT72" i="17"/>
  <c r="AT13" i="20"/>
  <c r="BT71" i="17" s="1"/>
  <c r="EB71" i="17" s="1"/>
  <c r="AT10" i="20"/>
  <c r="BT70" i="17" s="1"/>
  <c r="EB70" i="17" s="1"/>
  <c r="AK4" i="4"/>
  <c r="AK11" i="4"/>
  <c r="IH98" i="17" s="1"/>
  <c r="AK14" i="4"/>
  <c r="IH99" i="17" s="1"/>
  <c r="AK8" i="4"/>
  <c r="IH97" i="17" s="1"/>
  <c r="AK17" i="4"/>
  <c r="IH100" i="17" s="1"/>
  <c r="AK10" i="4"/>
  <c r="BK97" i="17" s="1"/>
  <c r="DS97" i="17" s="1"/>
  <c r="DQ106" i="17"/>
  <c r="AJ19" i="3"/>
  <c r="AL4" i="5"/>
  <c r="AL11" i="5"/>
  <c r="II104" i="17" s="1"/>
  <c r="AL14" i="5"/>
  <c r="II105" i="17" s="1"/>
  <c r="DR105" i="17"/>
  <c r="X27" i="40"/>
  <c r="F198" i="1"/>
  <c r="F199" i="1"/>
  <c r="BJ28" i="17"/>
  <c r="T28" i="40" s="1"/>
  <c r="F195" i="1"/>
  <c r="BJ24" i="17"/>
  <c r="T24" i="40" s="1"/>
  <c r="F196" i="1"/>
  <c r="BJ25" i="17"/>
  <c r="T25" i="40" s="1"/>
  <c r="D196" i="1"/>
  <c r="BJ12" i="17"/>
  <c r="Q195" i="1"/>
  <c r="BJ97" i="17"/>
  <c r="AM10" i="10"/>
  <c r="BM64" i="17" s="1"/>
  <c r="DU64" i="17" s="1"/>
  <c r="AP4" i="13"/>
  <c r="F213" i="1"/>
  <c r="S212" i="1"/>
  <c r="S215" i="1"/>
  <c r="S214" i="1"/>
  <c r="AN4" i="11"/>
  <c r="AN10" i="11" s="1"/>
  <c r="BN109" i="17" s="1"/>
  <c r="F207" i="1"/>
  <c r="S211" i="1"/>
  <c r="DQ11" i="17"/>
  <c r="DQ97" i="17"/>
  <c r="DQ25" i="17" a="1"/>
  <c r="DQ25" i="17" s="1"/>
  <c r="DQ24" i="17" a="1"/>
  <c r="DQ24" i="17" s="1"/>
  <c r="DQ28" i="17" a="1"/>
  <c r="DQ28" i="17" s="1"/>
  <c r="DQ27" i="17"/>
  <c r="J27" i="17"/>
  <c r="P27" i="17"/>
  <c r="F204" i="1"/>
  <c r="F203" i="1"/>
  <c r="F206" i="1"/>
  <c r="AP4" i="14"/>
  <c r="BA7" i="14"/>
  <c r="AR7" i="18"/>
  <c r="AQ2" i="18"/>
  <c r="AM35" i="9"/>
  <c r="AM4" i="9"/>
  <c r="AM10" i="9" s="1"/>
  <c r="BM58" i="17" s="1"/>
  <c r="K211" i="1"/>
  <c r="V212" i="1"/>
  <c r="U212" i="1"/>
  <c r="V211" i="1"/>
  <c r="V214" i="1"/>
  <c r="U211" i="1"/>
  <c r="U214" i="1"/>
  <c r="V215" i="1"/>
  <c r="U215" i="1"/>
  <c r="O211" i="1"/>
  <c r="O212" i="1"/>
  <c r="O215" i="1"/>
  <c r="O214" i="1"/>
  <c r="P215" i="1"/>
  <c r="E214" i="1"/>
  <c r="N214" i="1"/>
  <c r="N211" i="1"/>
  <c r="N215" i="1"/>
  <c r="N212" i="1"/>
  <c r="M211" i="1"/>
  <c r="P211" i="1"/>
  <c r="M215" i="1"/>
  <c r="P214" i="1"/>
  <c r="M214" i="1"/>
  <c r="P212" i="1"/>
  <c r="M212" i="1"/>
  <c r="E212" i="1"/>
  <c r="E215" i="1"/>
  <c r="AN4" i="10"/>
  <c r="J215" i="1"/>
  <c r="L215" i="1"/>
  <c r="I215" i="1"/>
  <c r="L214" i="1"/>
  <c r="H215" i="1"/>
  <c r="L212" i="1"/>
  <c r="J214" i="1"/>
  <c r="H214" i="1"/>
  <c r="I214" i="1"/>
  <c r="L211" i="1"/>
  <c r="AU6" i="20"/>
  <c r="AQ6" i="14"/>
  <c r="AO6" i="11"/>
  <c r="AO6" i="10"/>
  <c r="AN6" i="9"/>
  <c r="AN6" i="8"/>
  <c r="AM6" i="5"/>
  <c r="AL6" i="4"/>
  <c r="AU6" i="22"/>
  <c r="AV6" i="21"/>
  <c r="AV22" i="19"/>
  <c r="AV20" i="19" s="1"/>
  <c r="AQ6" i="12"/>
  <c r="AQ8" i="12" s="1"/>
  <c r="AQ6" i="13"/>
  <c r="J213" i="1"/>
  <c r="H211" i="1"/>
  <c r="I213" i="1"/>
  <c r="H213" i="1"/>
  <c r="J212" i="1"/>
  <c r="I212" i="1"/>
  <c r="H212" i="1"/>
  <c r="J211" i="1"/>
  <c r="I211" i="1"/>
  <c r="AR6" i="18"/>
  <c r="B218" i="1"/>
  <c r="E219" i="1" s="1"/>
  <c r="AL6" i="3"/>
  <c r="AU30" i="20" l="1"/>
  <c r="AU16" i="20"/>
  <c r="EB72" i="17"/>
  <c r="AV29" i="19"/>
  <c r="BV81" i="17" s="1"/>
  <c r="AV32" i="19"/>
  <c r="BU82" i="17"/>
  <c r="EC82" i="17" s="1"/>
  <c r="EC81" i="17"/>
  <c r="D199" i="1"/>
  <c r="BJ14" i="17"/>
  <c r="DR14" i="17" s="1"/>
  <c r="AU19" i="21"/>
  <c r="BU88" i="17" s="1"/>
  <c r="EC88" i="17" s="1"/>
  <c r="AU13" i="21"/>
  <c r="BU86" i="17" s="1"/>
  <c r="EB73" i="17"/>
  <c r="AU10" i="21"/>
  <c r="BU85" i="17" s="1"/>
  <c r="AU16" i="21"/>
  <c r="BU87" i="17" s="1"/>
  <c r="EB86" i="17"/>
  <c r="EB87" i="17"/>
  <c r="AT10" i="22"/>
  <c r="BT91" i="17" s="1"/>
  <c r="EB91" i="17" s="1"/>
  <c r="AT19" i="22"/>
  <c r="BT94" i="17" s="1"/>
  <c r="EB94" i="17" s="1"/>
  <c r="AT16" i="22"/>
  <c r="BT93" i="17" s="1"/>
  <c r="EB93" i="17" s="1"/>
  <c r="AT13" i="22"/>
  <c r="BT92" i="17" s="1"/>
  <c r="AP22" i="14"/>
  <c r="BP49" i="17" s="1"/>
  <c r="AP19" i="13"/>
  <c r="BP41" i="17" s="1"/>
  <c r="DX41" i="17" s="1"/>
  <c r="AP13" i="12"/>
  <c r="BP32" i="17" s="1"/>
  <c r="DX32" i="17" s="1"/>
  <c r="AN16" i="10"/>
  <c r="BN66" i="17" s="1"/>
  <c r="DV66" i="17" s="1"/>
  <c r="AP16" i="12"/>
  <c r="BP33" i="17" s="1"/>
  <c r="DX33" i="17" s="1"/>
  <c r="AQ10" i="18"/>
  <c r="BQ18" i="17" s="1"/>
  <c r="DY18" i="17" s="1"/>
  <c r="AP10" i="12"/>
  <c r="BP31" i="17" s="1"/>
  <c r="DX31" i="17" s="1"/>
  <c r="AQ19" i="18"/>
  <c r="BQ21" i="17" s="1"/>
  <c r="AQ13" i="18"/>
  <c r="BQ19" i="17" s="1"/>
  <c r="AQ16" i="18"/>
  <c r="BQ20" i="17" s="1"/>
  <c r="DY20" i="17" s="1"/>
  <c r="AN13" i="10"/>
  <c r="BN65" i="17" s="1"/>
  <c r="DV65" i="17" s="1"/>
  <c r="AN19" i="10"/>
  <c r="BN67" i="17" s="1"/>
  <c r="DV67" i="17" s="1"/>
  <c r="AP10" i="13"/>
  <c r="BP38" i="17" s="1"/>
  <c r="DX38" i="17" s="1"/>
  <c r="DX21" i="17"/>
  <c r="AP13" i="13"/>
  <c r="BP39" i="17" s="1"/>
  <c r="DX39" i="17" s="1"/>
  <c r="AP10" i="14"/>
  <c r="BP45" i="17" s="1"/>
  <c r="DX45" i="17" s="1"/>
  <c r="AP16" i="13"/>
  <c r="BP40" i="17" s="1"/>
  <c r="G214" i="1"/>
  <c r="Q199" i="1"/>
  <c r="AP16" i="14"/>
  <c r="BP47" i="17" s="1"/>
  <c r="DX47" i="17" s="1"/>
  <c r="AP13" i="14"/>
  <c r="BP46" i="17" s="1"/>
  <c r="AP19" i="14"/>
  <c r="BP48" i="17" s="1"/>
  <c r="AP22" i="13"/>
  <c r="BP42" i="17" s="1"/>
  <c r="AP19" i="12"/>
  <c r="BP34" i="17" s="1"/>
  <c r="DX34" i="17" s="1"/>
  <c r="AP22" i="12"/>
  <c r="BP35" i="17" s="1"/>
  <c r="DW31" i="17"/>
  <c r="DW33" i="17"/>
  <c r="DW32" i="17"/>
  <c r="DW42" i="17"/>
  <c r="DW41" i="17"/>
  <c r="DW34" i="17"/>
  <c r="AK19" i="3"/>
  <c r="Q196" i="1"/>
  <c r="BJ98" i="17"/>
  <c r="DR98" i="17" s="1" a="1"/>
  <c r="DR98" i="17" s="1"/>
  <c r="Q198" i="1"/>
  <c r="BJ99" i="17"/>
  <c r="DR99" i="17" s="1" a="1"/>
  <c r="DR99" i="17" s="1"/>
  <c r="DW48" i="17"/>
  <c r="AV26" i="19"/>
  <c r="BV80" i="17" s="1"/>
  <c r="DW46" i="17"/>
  <c r="DV109" i="17"/>
  <c r="DU58" i="17"/>
  <c r="AM16" i="9"/>
  <c r="BM60" i="17" s="1"/>
  <c r="DU60" i="17" s="1"/>
  <c r="AM13" i="9"/>
  <c r="BM59" i="17" s="1"/>
  <c r="DU59" i="17" s="1"/>
  <c r="AM19" i="9"/>
  <c r="BM61" i="17" s="1"/>
  <c r="DU61" i="17" s="1"/>
  <c r="G215" i="1"/>
  <c r="P28" i="40"/>
  <c r="G211" i="1"/>
  <c r="DT54" i="17"/>
  <c r="P24" i="40"/>
  <c r="DU65" i="17"/>
  <c r="P25" i="40"/>
  <c r="K214" i="1"/>
  <c r="AM19" i="8"/>
  <c r="BM55" i="17" s="1"/>
  <c r="DU55" i="17" s="1" a="1"/>
  <c r="DU55" i="17" s="1"/>
  <c r="AM13" i="8"/>
  <c r="BM53" i="17" s="1"/>
  <c r="DU53" i="17" s="1" a="1"/>
  <c r="DU53" i="17" s="1"/>
  <c r="AK13" i="4"/>
  <c r="AM16" i="8"/>
  <c r="BM54" i="17" s="1"/>
  <c r="DU54" i="17" s="1"/>
  <c r="AM10" i="8"/>
  <c r="BM52" i="17" s="1"/>
  <c r="DU52" i="17" s="1" a="1"/>
  <c r="DU52" i="17" s="1"/>
  <c r="AL16" i="5"/>
  <c r="BL105" i="17" s="1"/>
  <c r="DT105" i="17" s="1"/>
  <c r="K212" i="1"/>
  <c r="G212" i="1"/>
  <c r="DR103" i="17"/>
  <c r="R25" i="40"/>
  <c r="R24" i="40"/>
  <c r="R28" i="40"/>
  <c r="K215" i="1"/>
  <c r="AL13" i="5"/>
  <c r="BL104" i="17" s="1"/>
  <c r="DT104" i="17" s="1"/>
  <c r="AL19" i="5"/>
  <c r="BL106" i="17" s="1"/>
  <c r="DT106" i="17" s="1"/>
  <c r="BJ13" i="17"/>
  <c r="AK10" i="3"/>
  <c r="D203" i="1" s="1"/>
  <c r="AK16" i="3"/>
  <c r="BK13" i="17" s="1"/>
  <c r="DS13" i="17" s="1"/>
  <c r="AL10" i="5"/>
  <c r="R211" i="1" s="1"/>
  <c r="AK13" i="3"/>
  <c r="BK12" i="17" s="1"/>
  <c r="DS12" i="17" s="1"/>
  <c r="BK103" i="17"/>
  <c r="DS103" i="17" s="1"/>
  <c r="AK19" i="4"/>
  <c r="AK16" i="4"/>
  <c r="BK99" i="17" s="1"/>
  <c r="DS99" i="17" s="1" a="1"/>
  <c r="DS99" i="17" s="1"/>
  <c r="D195" i="1"/>
  <c r="DR97" i="17"/>
  <c r="Q203" i="1"/>
  <c r="DR12" i="17"/>
  <c r="DR11" i="17"/>
  <c r="DR24" i="17" a="1"/>
  <c r="DR24" i="17" s="1"/>
  <c r="W24" i="40" s="1"/>
  <c r="V24" i="40"/>
  <c r="DR25" i="17" a="1"/>
  <c r="DR25" i="17" s="1"/>
  <c r="Y25" i="40" s="1"/>
  <c r="V25" i="40"/>
  <c r="DR28" i="17" a="1"/>
  <c r="DR28" i="17" s="1"/>
  <c r="W28" i="40" s="1"/>
  <c r="V28" i="40"/>
  <c r="BK105" i="17"/>
  <c r="R206" i="1"/>
  <c r="BK104" i="17"/>
  <c r="R204" i="1"/>
  <c r="AQ4" i="12"/>
  <c r="AQ17" i="12"/>
  <c r="IN34" i="17" s="1"/>
  <c r="AQ21" i="12"/>
  <c r="GG35" i="17" s="1"/>
  <c r="AQ20" i="12"/>
  <c r="IN35" i="17" s="1"/>
  <c r="AQ14" i="12"/>
  <c r="IN33" i="17" s="1"/>
  <c r="IN31" i="17"/>
  <c r="AQ11" i="12"/>
  <c r="IN32" i="17" s="1"/>
  <c r="AO21" i="10"/>
  <c r="AO11" i="10"/>
  <c r="AO14" i="10"/>
  <c r="AO23" i="10"/>
  <c r="AQ11" i="13"/>
  <c r="IN39" i="17" s="1"/>
  <c r="AQ20" i="13"/>
  <c r="IN42" i="17" s="1"/>
  <c r="AQ8" i="13"/>
  <c r="IN38" i="17" s="1"/>
  <c r="AQ17" i="13"/>
  <c r="IN41" i="17" s="1"/>
  <c r="AQ14" i="13"/>
  <c r="IN40" i="17" s="1"/>
  <c r="AL4" i="3"/>
  <c r="AL22" i="3" s="1"/>
  <c r="BL15" i="17" s="1"/>
  <c r="DT15" i="17" s="1"/>
  <c r="AL11" i="3"/>
  <c r="AL14" i="3"/>
  <c r="AL17" i="3"/>
  <c r="II14" i="17" s="1"/>
  <c r="AL8" i="3"/>
  <c r="AO8" i="11"/>
  <c r="AQ14" i="14"/>
  <c r="IN47" i="17" s="1"/>
  <c r="IN45" i="17"/>
  <c r="AQ17" i="14"/>
  <c r="IN48" i="17" s="1"/>
  <c r="AQ11" i="14"/>
  <c r="IN46" i="17" s="1"/>
  <c r="AQ20" i="14"/>
  <c r="IN49" i="17" s="1"/>
  <c r="AU4" i="22"/>
  <c r="AU11" i="22"/>
  <c r="IR92" i="17" s="1"/>
  <c r="AU8" i="22"/>
  <c r="IR91" i="17" s="1"/>
  <c r="AU17" i="22"/>
  <c r="IR94" i="17" s="1"/>
  <c r="AU14" i="22"/>
  <c r="IR93" i="17" s="1"/>
  <c r="AU4" i="20"/>
  <c r="AU17" i="20"/>
  <c r="IR73" i="17" s="1"/>
  <c r="AU19" i="20"/>
  <c r="BU73" i="17" s="1"/>
  <c r="BU72" i="17"/>
  <c r="AU13" i="20"/>
  <c r="BU71" i="17" s="1"/>
  <c r="EC71" i="17" s="1"/>
  <c r="AU10" i="20"/>
  <c r="BU70" i="17" s="1"/>
  <c r="EC70" i="17" s="1"/>
  <c r="AV4" i="21"/>
  <c r="AV11" i="21"/>
  <c r="IS86" i="17" s="1"/>
  <c r="AV17" i="21"/>
  <c r="IS88" i="17" s="1"/>
  <c r="AV8" i="21"/>
  <c r="IS85" i="17" s="1"/>
  <c r="AV14" i="21"/>
  <c r="IS87" i="17" s="1"/>
  <c r="AL4" i="4"/>
  <c r="AL17" i="4"/>
  <c r="II100" i="17" s="1"/>
  <c r="AL8" i="4"/>
  <c r="II97" i="17" s="1"/>
  <c r="AL11" i="4"/>
  <c r="II98" i="17" s="1"/>
  <c r="AL14" i="4"/>
  <c r="II99" i="17" s="1"/>
  <c r="AL10" i="4"/>
  <c r="AN11" i="9"/>
  <c r="IK59" i="17" s="1"/>
  <c r="AN14" i="9"/>
  <c r="IK60" i="17" s="1"/>
  <c r="AR4" i="18"/>
  <c r="AR11" i="18"/>
  <c r="AR14" i="18"/>
  <c r="AR8" i="18"/>
  <c r="AM4" i="5"/>
  <c r="AM11" i="5"/>
  <c r="IJ104" i="17" s="1"/>
  <c r="AM14" i="5"/>
  <c r="IJ105" i="17" s="1"/>
  <c r="AN4" i="8"/>
  <c r="AN17" i="8"/>
  <c r="IK55" i="17" s="1"/>
  <c r="AN8" i="8"/>
  <c r="IK52" i="17" s="1"/>
  <c r="AN14" i="8"/>
  <c r="IK54" i="17" s="1"/>
  <c r="AN11" i="8"/>
  <c r="IK53" i="17" s="1"/>
  <c r="J28" i="17"/>
  <c r="P24" i="17"/>
  <c r="P25" i="17"/>
  <c r="J25" i="17"/>
  <c r="J24" i="17"/>
  <c r="X28" i="40"/>
  <c r="X24" i="40"/>
  <c r="X25" i="40"/>
  <c r="Y28" i="40"/>
  <c r="Y24" i="40"/>
  <c r="T24" i="17"/>
  <c r="P28" i="17"/>
  <c r="AN10" i="10"/>
  <c r="BN64" i="17" s="1"/>
  <c r="DV64" i="17" s="1"/>
  <c r="AO4" i="11"/>
  <c r="F214" i="1"/>
  <c r="F215" i="1"/>
  <c r="S223" i="1"/>
  <c r="S220" i="1"/>
  <c r="S222" i="1"/>
  <c r="S219" i="1"/>
  <c r="F221" i="1"/>
  <c r="AQ4" i="13"/>
  <c r="M24" i="17"/>
  <c r="S24" i="17"/>
  <c r="F212" i="1"/>
  <c r="F211" i="1"/>
  <c r="S28" i="17"/>
  <c r="M28" i="17"/>
  <c r="M25" i="17"/>
  <c r="S25" i="17"/>
  <c r="AQ4" i="14"/>
  <c r="BB7" i="14"/>
  <c r="AS7" i="18"/>
  <c r="AR2" i="18"/>
  <c r="AN35" i="9"/>
  <c r="AN4" i="9"/>
  <c r="AN10" i="9" s="1"/>
  <c r="BN58" i="17" s="1"/>
  <c r="K219" i="1"/>
  <c r="V223" i="1"/>
  <c r="V219" i="1"/>
  <c r="U223" i="1"/>
  <c r="U219" i="1"/>
  <c r="V222" i="1"/>
  <c r="U222" i="1"/>
  <c r="V220" i="1"/>
  <c r="U220" i="1"/>
  <c r="O222" i="1"/>
  <c r="O223" i="1"/>
  <c r="O220" i="1"/>
  <c r="P223" i="1"/>
  <c r="O219" i="1"/>
  <c r="E222" i="1"/>
  <c r="N219" i="1"/>
  <c r="N223" i="1"/>
  <c r="N220" i="1"/>
  <c r="N222" i="1"/>
  <c r="M223" i="1"/>
  <c r="P220" i="1"/>
  <c r="M220" i="1"/>
  <c r="M222" i="1"/>
  <c r="M219" i="1"/>
  <c r="P219" i="1"/>
  <c r="P222" i="1"/>
  <c r="E220" i="1"/>
  <c r="E223" i="1"/>
  <c r="AO4" i="10"/>
  <c r="AO19" i="10" s="1"/>
  <c r="BO67" i="17" s="1"/>
  <c r="DW67" i="17" s="1"/>
  <c r="J223" i="1"/>
  <c r="L223" i="1"/>
  <c r="I223" i="1"/>
  <c r="H223" i="1"/>
  <c r="L222" i="1"/>
  <c r="J222" i="1"/>
  <c r="H222" i="1"/>
  <c r="L219" i="1"/>
  <c r="L220" i="1"/>
  <c r="I222" i="1"/>
  <c r="AV6" i="20"/>
  <c r="AV30" i="20" s="1"/>
  <c r="AR6" i="14"/>
  <c r="AP6" i="11"/>
  <c r="AP6" i="10"/>
  <c r="AO6" i="9"/>
  <c r="AO6" i="8"/>
  <c r="AN6" i="5"/>
  <c r="AM6" i="4"/>
  <c r="AV6" i="22"/>
  <c r="AW6" i="21"/>
  <c r="AW22" i="19"/>
  <c r="AW20" i="19" s="1"/>
  <c r="AW32" i="19" s="1"/>
  <c r="AR6" i="12"/>
  <c r="AR8" i="12" s="1"/>
  <c r="AR6" i="13"/>
  <c r="I221" i="1"/>
  <c r="H221" i="1"/>
  <c r="J220" i="1"/>
  <c r="I220" i="1"/>
  <c r="H220" i="1"/>
  <c r="J219" i="1"/>
  <c r="J221" i="1"/>
  <c r="I219" i="1"/>
  <c r="H219" i="1"/>
  <c r="AS6" i="18"/>
  <c r="B226" i="1"/>
  <c r="AM6" i="3"/>
  <c r="EC72" i="17" l="1"/>
  <c r="BV82" i="17"/>
  <c r="ED81" i="17"/>
  <c r="AW29" i="19"/>
  <c r="BW81" i="17" s="1"/>
  <c r="BK14" i="17"/>
  <c r="DS14" i="17" s="1"/>
  <c r="AV13" i="21"/>
  <c r="BV86" i="17" s="1"/>
  <c r="AV10" i="21"/>
  <c r="BV85" i="17" s="1"/>
  <c r="ED85" i="17" s="1"/>
  <c r="AV16" i="21"/>
  <c r="BV87" i="17" s="1"/>
  <c r="AV19" i="21"/>
  <c r="BV88" i="17" s="1"/>
  <c r="ED88" i="17" s="1"/>
  <c r="EC87" i="17"/>
  <c r="EC73" i="17"/>
  <c r="EC85" i="17"/>
  <c r="EC86" i="17"/>
  <c r="ED80" i="17"/>
  <c r="AU16" i="22"/>
  <c r="BU93" i="17" s="1"/>
  <c r="EC93" i="17" s="1"/>
  <c r="AU10" i="22"/>
  <c r="BU91" i="17" s="1"/>
  <c r="EC91" i="17" s="1"/>
  <c r="AU19" i="22"/>
  <c r="BU94" i="17" s="1"/>
  <c r="EC94" i="17" s="1"/>
  <c r="AU13" i="22"/>
  <c r="BU92" i="17" s="1"/>
  <c r="EC92" i="17" s="1"/>
  <c r="EB92" i="17"/>
  <c r="AQ19" i="14"/>
  <c r="BQ48" i="17" s="1"/>
  <c r="DX49" i="17"/>
  <c r="AR13" i="18"/>
  <c r="BR19" i="17" s="1"/>
  <c r="DZ19" i="17" s="1"/>
  <c r="DX42" i="17"/>
  <c r="AR10" i="18"/>
  <c r="BR18" i="17" s="1"/>
  <c r="DZ18" i="17" s="1"/>
  <c r="AR19" i="18"/>
  <c r="BR21" i="17" s="1"/>
  <c r="DZ21" i="17" s="1"/>
  <c r="AR16" i="18"/>
  <c r="BR20" i="17" s="1"/>
  <c r="AQ16" i="13"/>
  <c r="BQ40" i="17" s="1"/>
  <c r="DY40" i="17" s="1"/>
  <c r="AQ16" i="14"/>
  <c r="BQ47" i="17" s="1"/>
  <c r="DY47" i="17" s="1"/>
  <c r="AQ13" i="14"/>
  <c r="BQ46" i="17" s="1"/>
  <c r="AQ22" i="13"/>
  <c r="BQ42" i="17" s="1"/>
  <c r="AN16" i="8"/>
  <c r="BN54" i="17" s="1"/>
  <c r="DV54" i="17" s="1"/>
  <c r="AQ22" i="14"/>
  <c r="BQ49" i="17" s="1"/>
  <c r="AQ10" i="12"/>
  <c r="BQ31" i="17" s="1"/>
  <c r="DY31" i="17" s="1"/>
  <c r="AQ13" i="12"/>
  <c r="BQ32" i="17" s="1"/>
  <c r="AQ16" i="12"/>
  <c r="BQ33" i="17" s="1"/>
  <c r="DY33" i="17" s="1"/>
  <c r="AO16" i="10"/>
  <c r="BO66" i="17" s="1"/>
  <c r="DW66" i="17" s="1"/>
  <c r="AQ13" i="13"/>
  <c r="BQ39" i="17" s="1"/>
  <c r="DY39" i="17" s="1"/>
  <c r="AO13" i="10"/>
  <c r="BO65" i="17" s="1"/>
  <c r="DW65" i="17" s="1"/>
  <c r="AQ19" i="13"/>
  <c r="BQ41" i="17" s="1"/>
  <c r="AQ19" i="12"/>
  <c r="BQ34" i="17" s="1"/>
  <c r="DY34" i="17" s="1"/>
  <c r="AQ22" i="12"/>
  <c r="BQ35" i="17" s="1"/>
  <c r="DY35" i="17" s="1"/>
  <c r="DX48" i="17"/>
  <c r="DY19" i="17"/>
  <c r="AQ10" i="14"/>
  <c r="BQ45" i="17" s="1"/>
  <c r="AQ10" i="13"/>
  <c r="BQ38" i="17" s="1"/>
  <c r="DY21" i="17"/>
  <c r="K222" i="1"/>
  <c r="K220" i="1"/>
  <c r="DX46" i="17"/>
  <c r="DX35" i="17"/>
  <c r="DX40" i="17"/>
  <c r="G219" i="1"/>
  <c r="K223" i="1"/>
  <c r="BK100" i="17"/>
  <c r="DS100" i="17" s="1"/>
  <c r="BK98" i="17"/>
  <c r="DS98" i="17" s="1" a="1"/>
  <c r="DS98" i="17" s="1"/>
  <c r="HE108" i="17"/>
  <c r="AW26" i="19"/>
  <c r="BW80" i="17" s="1"/>
  <c r="EE80" i="17" s="1"/>
  <c r="BW82" i="17"/>
  <c r="EE82" i="17" s="1"/>
  <c r="AO10" i="11"/>
  <c r="BO109" i="17" s="1"/>
  <c r="AN13" i="8"/>
  <c r="BN53" i="17" s="1"/>
  <c r="DV53" i="17" s="1" a="1"/>
  <c r="DV53" i="17" s="1"/>
  <c r="AN19" i="9"/>
  <c r="BN61" i="17" s="1"/>
  <c r="DV61" i="17" s="1"/>
  <c r="DV58" i="17"/>
  <c r="G222" i="1"/>
  <c r="AN13" i="9"/>
  <c r="BN59" i="17" s="1"/>
  <c r="DV59" i="17" s="1"/>
  <c r="Q204" i="1"/>
  <c r="AN16" i="9"/>
  <c r="BN60" i="17" s="1"/>
  <c r="DV60" i="17" s="1"/>
  <c r="AN19" i="8"/>
  <c r="BN55" i="17" s="1"/>
  <c r="DV55" i="17" s="1" a="1"/>
  <c r="DV55" i="17" s="1"/>
  <c r="AN10" i="8"/>
  <c r="BN52" i="17" s="1"/>
  <c r="DV52" i="17" s="1" a="1"/>
  <c r="DV52" i="17" s="1"/>
  <c r="R214" i="1"/>
  <c r="G223" i="1"/>
  <c r="R212" i="1"/>
  <c r="Q24" i="40"/>
  <c r="D206" i="1"/>
  <c r="G220" i="1"/>
  <c r="BL103" i="17"/>
  <c r="DT103" i="17" s="1"/>
  <c r="AL16" i="4"/>
  <c r="AM16" i="5"/>
  <c r="BM105" i="17" s="1"/>
  <c r="DU105" i="17" s="1"/>
  <c r="AM13" i="5"/>
  <c r="R220" i="1" s="1"/>
  <c r="AM10" i="5"/>
  <c r="R219" i="1" s="1"/>
  <c r="AM19" i="5"/>
  <c r="BM106" i="17" s="1"/>
  <c r="DU106" i="17" s="1"/>
  <c r="Q207" i="1"/>
  <c r="AL10" i="3"/>
  <c r="BL11" i="17" s="1"/>
  <c r="BK11" i="17"/>
  <c r="AL19" i="4"/>
  <c r="R215" i="1"/>
  <c r="S28" i="40"/>
  <c r="DR13" i="17"/>
  <c r="D204" i="1"/>
  <c r="AL16" i="3"/>
  <c r="D214" i="1" s="1"/>
  <c r="AL13" i="3"/>
  <c r="D212" i="1" s="1"/>
  <c r="AL13" i="4"/>
  <c r="AL19" i="3"/>
  <c r="D207" i="1"/>
  <c r="Q211" i="1"/>
  <c r="BL97" i="17"/>
  <c r="Q206" i="1"/>
  <c r="U28" i="40"/>
  <c r="U24" i="40"/>
  <c r="T28" i="17"/>
  <c r="DS104" i="17"/>
  <c r="DS105" i="17"/>
  <c r="AS4" i="18"/>
  <c r="AS19" i="18" s="1"/>
  <c r="BS21" i="17" s="1"/>
  <c r="EA21" i="17" s="1"/>
  <c r="AS8" i="18"/>
  <c r="AS11" i="18"/>
  <c r="AS14" i="18"/>
  <c r="AR14" i="13"/>
  <c r="AR11" i="13"/>
  <c r="AR20" i="13"/>
  <c r="AR8" i="13"/>
  <c r="AR17" i="13"/>
  <c r="AO14" i="9"/>
  <c r="AO11" i="9"/>
  <c r="AM4" i="4"/>
  <c r="AM17" i="4"/>
  <c r="IJ100" i="17" s="1"/>
  <c r="AM8" i="4"/>
  <c r="IJ97" i="17" s="1"/>
  <c r="AM11" i="4"/>
  <c r="IJ98" i="17" s="1"/>
  <c r="AM14" i="4"/>
  <c r="IJ99" i="17" s="1"/>
  <c r="AM10" i="4"/>
  <c r="AN4" i="5"/>
  <c r="AN11" i="5"/>
  <c r="IK104" i="17" s="1"/>
  <c r="AN14" i="5"/>
  <c r="IK105" i="17" s="1"/>
  <c r="AP21" i="10"/>
  <c r="AP11" i="10"/>
  <c r="IM65" i="17" s="1"/>
  <c r="AP14" i="10"/>
  <c r="IM66" i="17" s="1"/>
  <c r="AP23" i="10"/>
  <c r="AO4" i="8"/>
  <c r="AO17" i="8"/>
  <c r="AO8" i="8"/>
  <c r="AO11" i="8"/>
  <c r="AO14" i="8"/>
  <c r="AP8" i="11"/>
  <c r="IM109" i="17" s="1"/>
  <c r="AW4" i="21"/>
  <c r="IT87" i="17"/>
  <c r="AW11" i="21"/>
  <c r="IT86" i="17" s="1"/>
  <c r="AW17" i="21"/>
  <c r="IT88" i="17" s="1"/>
  <c r="AW8" i="21"/>
  <c r="IT85" i="17" s="1"/>
  <c r="AR8" i="14"/>
  <c r="AR17" i="14"/>
  <c r="AR11" i="14"/>
  <c r="AR20" i="14"/>
  <c r="AR14" i="14"/>
  <c r="AR4" i="12"/>
  <c r="AR21" i="12"/>
  <c r="AR22" i="12" s="1"/>
  <c r="BR35" i="17" s="1"/>
  <c r="AR20" i="12"/>
  <c r="AR17" i="12"/>
  <c r="AR14" i="12"/>
  <c r="AR11" i="12"/>
  <c r="AM4" i="3"/>
  <c r="AM22" i="3" s="1"/>
  <c r="BM15" i="17" s="1"/>
  <c r="DU15" i="17" s="1"/>
  <c r="AM17" i="3"/>
  <c r="AM8" i="3"/>
  <c r="IJ11" i="17" s="1"/>
  <c r="IJ12" i="17"/>
  <c r="AM14" i="3"/>
  <c r="IJ13" i="17" s="1"/>
  <c r="S227" i="1"/>
  <c r="E227" i="1"/>
  <c r="AV4" i="22"/>
  <c r="AV11" i="22"/>
  <c r="IS92" i="17" s="1"/>
  <c r="AV8" i="22"/>
  <c r="IS91" i="17" s="1"/>
  <c r="AV17" i="22"/>
  <c r="IS94" i="17" s="1"/>
  <c r="AV14" i="22"/>
  <c r="IS93" i="17" s="1"/>
  <c r="AV4" i="20"/>
  <c r="AV16" i="20" s="1"/>
  <c r="BV72" i="17" s="1"/>
  <c r="ED72" i="17" s="1"/>
  <c r="AV17" i="20"/>
  <c r="IS73" i="17" s="1"/>
  <c r="AV19" i="20"/>
  <c r="BV73" i="17" s="1"/>
  <c r="ED73" i="17" s="1"/>
  <c r="AV13" i="20"/>
  <c r="BV71" i="17" s="1"/>
  <c r="ED71" i="17" s="1"/>
  <c r="AV10" i="20"/>
  <c r="BV70" i="17" s="1"/>
  <c r="AO10" i="10"/>
  <c r="BO64" i="17" s="1"/>
  <c r="DW64" i="17" s="1"/>
  <c r="AR4" i="13"/>
  <c r="F222" i="1"/>
  <c r="F223" i="1"/>
  <c r="F229" i="1"/>
  <c r="S231" i="1"/>
  <c r="S230" i="1"/>
  <c r="S228" i="1"/>
  <c r="AP4" i="11"/>
  <c r="F219" i="1"/>
  <c r="F220" i="1"/>
  <c r="AR4" i="14"/>
  <c r="BC7" i="14"/>
  <c r="AT7" i="18"/>
  <c r="AS2" i="18"/>
  <c r="AO35" i="9"/>
  <c r="AO4" i="9"/>
  <c r="AO10" i="9" s="1"/>
  <c r="BO58" i="17" s="1"/>
  <c r="DW58" i="17" s="1"/>
  <c r="K227" i="1"/>
  <c r="V228" i="1"/>
  <c r="U228" i="1"/>
  <c r="V227" i="1"/>
  <c r="U227" i="1"/>
  <c r="V230" i="1"/>
  <c r="U230" i="1"/>
  <c r="V231" i="1"/>
  <c r="U231" i="1"/>
  <c r="O227" i="1"/>
  <c r="P231" i="1"/>
  <c r="O231" i="1"/>
  <c r="O230" i="1"/>
  <c r="O228" i="1"/>
  <c r="E230" i="1"/>
  <c r="N228" i="1"/>
  <c r="N231" i="1"/>
  <c r="N227" i="1"/>
  <c r="N230" i="1"/>
  <c r="P227" i="1"/>
  <c r="M230" i="1"/>
  <c r="P228" i="1"/>
  <c r="M228" i="1"/>
  <c r="M231" i="1"/>
  <c r="M227" i="1"/>
  <c r="P230" i="1"/>
  <c r="E228" i="1"/>
  <c r="E231" i="1"/>
  <c r="AP4" i="10"/>
  <c r="AP19" i="10" s="1"/>
  <c r="BP67" i="17" s="1"/>
  <c r="J231" i="1"/>
  <c r="I231" i="1"/>
  <c r="L231" i="1"/>
  <c r="H231" i="1"/>
  <c r="L230" i="1"/>
  <c r="J230" i="1"/>
  <c r="H230" i="1"/>
  <c r="L227" i="1"/>
  <c r="I230" i="1"/>
  <c r="L228" i="1"/>
  <c r="AW6" i="20"/>
  <c r="AW30" i="20" s="1"/>
  <c r="AS6" i="14"/>
  <c r="AQ6" i="11"/>
  <c r="AQ6" i="10"/>
  <c r="AP6" i="9"/>
  <c r="AP6" i="8"/>
  <c r="AO6" i="5"/>
  <c r="AN6" i="4"/>
  <c r="AW6" i="22"/>
  <c r="AX6" i="21"/>
  <c r="AX22" i="19"/>
  <c r="AX20" i="19" s="1"/>
  <c r="AS6" i="12"/>
  <c r="AS8" i="12" s="1"/>
  <c r="AS6" i="13"/>
  <c r="AT6" i="18"/>
  <c r="H229" i="1"/>
  <c r="H228" i="1"/>
  <c r="H227" i="1"/>
  <c r="I228" i="1"/>
  <c r="I227" i="1"/>
  <c r="J229" i="1"/>
  <c r="I229" i="1"/>
  <c r="J228" i="1"/>
  <c r="J227" i="1"/>
  <c r="B234" i="1"/>
  <c r="E235" i="1" s="1"/>
  <c r="AN6" i="3"/>
  <c r="ED82" i="17" l="1"/>
  <c r="AW19" i="21"/>
  <c r="BW88" i="17" s="1"/>
  <c r="EE88" i="17" s="1"/>
  <c r="AW16" i="21"/>
  <c r="BW87" i="17" s="1"/>
  <c r="AW13" i="21"/>
  <c r="BW86" i="17" s="1"/>
  <c r="AX29" i="19"/>
  <c r="BX81" i="17" s="1"/>
  <c r="EF81" i="17" s="1"/>
  <c r="AX32" i="19"/>
  <c r="BX82" i="17" s="1"/>
  <c r="EF82" i="17" s="1"/>
  <c r="AW10" i="21"/>
  <c r="BW85" i="17" s="1"/>
  <c r="EE85" i="17" s="1"/>
  <c r="EE81" i="17"/>
  <c r="AR16" i="14"/>
  <c r="BR47" i="17" s="1"/>
  <c r="DZ47" i="17" s="1"/>
  <c r="ED87" i="17"/>
  <c r="D215" i="1"/>
  <c r="BL14" i="17"/>
  <c r="DT14" i="17" s="1"/>
  <c r="IJ14" i="17"/>
  <c r="AV13" i="22"/>
  <c r="BV92" i="17" s="1"/>
  <c r="ED92" i="17" s="1"/>
  <c r="ED86" i="17"/>
  <c r="AV16" i="22"/>
  <c r="BV93" i="17" s="1"/>
  <c r="ED93" i="17" s="1"/>
  <c r="AV10" i="22"/>
  <c r="BV91" i="17" s="1"/>
  <c r="ED91" i="17" s="1"/>
  <c r="AV19" i="22"/>
  <c r="BV94" i="17" s="1"/>
  <c r="ED94" i="17" s="1"/>
  <c r="ED70" i="17"/>
  <c r="AS10" i="18"/>
  <c r="BS18" i="17" s="1"/>
  <c r="EA18" i="17" s="1"/>
  <c r="AS16" i="18"/>
  <c r="BS20" i="17" s="1"/>
  <c r="EA20" i="17" s="1"/>
  <c r="AS13" i="18"/>
  <c r="BS19" i="17" s="1"/>
  <c r="AP10" i="11"/>
  <c r="BP109" i="17" s="1"/>
  <c r="DX109" i="17" s="1"/>
  <c r="AR19" i="12"/>
  <c r="BR34" i="17" s="1"/>
  <c r="DZ34" i="17" s="1"/>
  <c r="DY45" i="17"/>
  <c r="DZ20" i="17"/>
  <c r="DY41" i="17"/>
  <c r="G230" i="1"/>
  <c r="DY49" i="17"/>
  <c r="AR22" i="13"/>
  <c r="BR42" i="17" s="1"/>
  <c r="AR10" i="12"/>
  <c r="BR31" i="17" s="1"/>
  <c r="DZ31" i="17" s="1"/>
  <c r="AR19" i="14"/>
  <c r="BR48" i="17" s="1"/>
  <c r="AR10" i="14"/>
  <c r="BR45" i="17" s="1"/>
  <c r="DZ45" i="17" s="1"/>
  <c r="AR22" i="14"/>
  <c r="BR49" i="17" s="1"/>
  <c r="DY48" i="17"/>
  <c r="AR19" i="13"/>
  <c r="BR41" i="17" s="1"/>
  <c r="DZ41" i="17" s="1"/>
  <c r="AR10" i="13"/>
  <c r="BR38" i="17" s="1"/>
  <c r="DZ38" i="17" s="1"/>
  <c r="AR16" i="13"/>
  <c r="BR40" i="17" s="1"/>
  <c r="AR13" i="13"/>
  <c r="BR39" i="17" s="1"/>
  <c r="DZ39" i="17" s="1"/>
  <c r="AR13" i="12"/>
  <c r="BR32" i="17" s="1"/>
  <c r="DZ32" i="17" s="1"/>
  <c r="AR16" i="12"/>
  <c r="BR33" i="17" s="1"/>
  <c r="DZ33" i="17" s="1"/>
  <c r="AR13" i="14"/>
  <c r="BR46" i="17" s="1"/>
  <c r="DY42" i="17"/>
  <c r="DY32" i="17"/>
  <c r="AP13" i="10"/>
  <c r="BP65" i="17" s="1"/>
  <c r="DX65" i="17" s="1"/>
  <c r="DY46" i="17"/>
  <c r="DX67" i="17"/>
  <c r="DZ35" i="17"/>
  <c r="AP16" i="10"/>
  <c r="BP66" i="17" s="1"/>
  <c r="DY38" i="17"/>
  <c r="K231" i="1"/>
  <c r="G228" i="1"/>
  <c r="K228" i="1"/>
  <c r="G231" i="1"/>
  <c r="DW109" i="17"/>
  <c r="K230" i="1"/>
  <c r="AO16" i="9"/>
  <c r="BO60" i="17" s="1"/>
  <c r="DW60" i="17" s="1"/>
  <c r="AO16" i="8"/>
  <c r="BO54" i="17" s="1"/>
  <c r="Q215" i="1"/>
  <c r="BL100" i="17"/>
  <c r="BL99" i="17"/>
  <c r="Q212" i="1"/>
  <c r="BL98" i="17"/>
  <c r="AO13" i="9"/>
  <c r="BO59" i="17" s="1"/>
  <c r="DW59" i="17" s="1"/>
  <c r="AO19" i="9"/>
  <c r="BO61" i="17" s="1"/>
  <c r="DW61" i="17" s="1"/>
  <c r="AX26" i="19"/>
  <c r="BX80" i="17" s="1"/>
  <c r="EF80" i="17" s="1"/>
  <c r="AN13" i="5"/>
  <c r="R228" i="1" s="1"/>
  <c r="AO19" i="8"/>
  <c r="BO55" i="17" s="1"/>
  <c r="AN10" i="5"/>
  <c r="R227" i="1" s="1"/>
  <c r="AO13" i="8"/>
  <c r="BO53" i="17" s="1"/>
  <c r="AO10" i="8"/>
  <c r="BO52" i="17" s="1"/>
  <c r="DW52" i="17" s="1" a="1"/>
  <c r="DW52" i="17" s="1"/>
  <c r="G227" i="1"/>
  <c r="AM19" i="3"/>
  <c r="AN19" i="5"/>
  <c r="BN106" i="17" s="1"/>
  <c r="DV106" i="17" s="1"/>
  <c r="AN16" i="5"/>
  <c r="R230" i="1" s="1"/>
  <c r="D211" i="1"/>
  <c r="BM103" i="17"/>
  <c r="DS11" i="17"/>
  <c r="Q214" i="1"/>
  <c r="BM104" i="17"/>
  <c r="BL12" i="17"/>
  <c r="AM13" i="4"/>
  <c r="R222" i="1"/>
  <c r="AM16" i="3"/>
  <c r="D222" i="1" s="1"/>
  <c r="R223" i="1"/>
  <c r="AM10" i="3"/>
  <c r="D219" i="1" s="1"/>
  <c r="AM13" i="3"/>
  <c r="BM12" i="17" s="1"/>
  <c r="DU12" i="17" s="1"/>
  <c r="AM16" i="4"/>
  <c r="AM19" i="4"/>
  <c r="BM100" i="17" s="1"/>
  <c r="DU100" i="17" s="1"/>
  <c r="BL13" i="17"/>
  <c r="DT11" i="17"/>
  <c r="Q219" i="1"/>
  <c r="BM97" i="17"/>
  <c r="DU97" i="17" s="1"/>
  <c r="DT97" i="17"/>
  <c r="AT4" i="18"/>
  <c r="AT8" i="18"/>
  <c r="IQ18" i="17" s="1"/>
  <c r="AT14" i="18"/>
  <c r="IQ20" i="17" s="1"/>
  <c r="AT11" i="18"/>
  <c r="IQ19" i="17" s="1"/>
  <c r="AP4" i="8"/>
  <c r="AP14" i="8"/>
  <c r="IM54" i="17" s="1"/>
  <c r="AP17" i="8"/>
  <c r="IM55" i="17" s="1"/>
  <c r="AP8" i="8"/>
  <c r="IM52" i="17" s="1"/>
  <c r="AP11" i="8"/>
  <c r="IM53" i="17" s="1"/>
  <c r="AS14" i="13"/>
  <c r="AS11" i="13"/>
  <c r="AS20" i="13"/>
  <c r="AS8" i="13"/>
  <c r="AS17" i="13"/>
  <c r="AP14" i="9"/>
  <c r="IM60" i="17" s="1"/>
  <c r="AP11" i="9"/>
  <c r="IM59" i="17" s="1"/>
  <c r="AQ14" i="10"/>
  <c r="IN66" i="17" s="1"/>
  <c r="AQ11" i="10"/>
  <c r="IN65" i="17" s="1"/>
  <c r="AQ21" i="10"/>
  <c r="AQ23" i="10"/>
  <c r="AN4" i="3"/>
  <c r="AN16" i="3" s="1"/>
  <c r="AN8" i="3"/>
  <c r="IK11" i="17" s="1"/>
  <c r="AN17" i="3"/>
  <c r="AQ8" i="11"/>
  <c r="IN109" i="17" s="1"/>
  <c r="AX4" i="21"/>
  <c r="AX14" i="21"/>
  <c r="IU87" i="17" s="1"/>
  <c r="AX11" i="21"/>
  <c r="IU86" i="17" s="1"/>
  <c r="AX17" i="21"/>
  <c r="IU88" i="17" s="1"/>
  <c r="AS8" i="14"/>
  <c r="AS17" i="14"/>
  <c r="AS11" i="14"/>
  <c r="AS20" i="14"/>
  <c r="AS14" i="14"/>
  <c r="AO4" i="5"/>
  <c r="AO19" i="5" s="1"/>
  <c r="AO11" i="5"/>
  <c r="AO14" i="5"/>
  <c r="AW4" i="20"/>
  <c r="AW16" i="20" s="1"/>
  <c r="BW72" i="17" s="1"/>
  <c r="EE72" i="17" s="1"/>
  <c r="AW17" i="20"/>
  <c r="IT73" i="17" s="1"/>
  <c r="AW19" i="20"/>
  <c r="BW73" i="17" s="1"/>
  <c r="AW10" i="20"/>
  <c r="BW70" i="17" s="1"/>
  <c r="EE70" i="17" s="1"/>
  <c r="AW13" i="20"/>
  <c r="BW71" i="17" s="1"/>
  <c r="AS4" i="12"/>
  <c r="AS10" i="12" s="1"/>
  <c r="BS31" i="17" s="1"/>
  <c r="EA31" i="17" s="1"/>
  <c r="AS14" i="12"/>
  <c r="AS17" i="12"/>
  <c r="AS21" i="12"/>
  <c r="AS22" i="12" s="1"/>
  <c r="BS35" i="17" s="1"/>
  <c r="EA35" i="17" s="1"/>
  <c r="AS20" i="12"/>
  <c r="AS11" i="12"/>
  <c r="AW4" i="22"/>
  <c r="AW14" i="22"/>
  <c r="IT93" i="17" s="1"/>
  <c r="AW11" i="22"/>
  <c r="IT92" i="17" s="1"/>
  <c r="AW8" i="22"/>
  <c r="IT91" i="17" s="1"/>
  <c r="AW17" i="22"/>
  <c r="IT94" i="17" s="1"/>
  <c r="AN4" i="4"/>
  <c r="AN14" i="4"/>
  <c r="IK99" i="17" s="1"/>
  <c r="AN17" i="4"/>
  <c r="IK100" i="17" s="1"/>
  <c r="AN8" i="4"/>
  <c r="IK97" i="17" s="1"/>
  <c r="AN11" i="4"/>
  <c r="IK98" i="17" s="1"/>
  <c r="AN10" i="4"/>
  <c r="AP10" i="10"/>
  <c r="BP64" i="17" s="1"/>
  <c r="DX64" i="17" s="1"/>
  <c r="S239" i="1"/>
  <c r="S236" i="1"/>
  <c r="S238" i="1"/>
  <c r="AQ4" i="11"/>
  <c r="F237" i="1"/>
  <c r="F231" i="1"/>
  <c r="AS4" i="13"/>
  <c r="S235" i="1"/>
  <c r="F228" i="1"/>
  <c r="F227" i="1"/>
  <c r="F230" i="1"/>
  <c r="BD7" i="14"/>
  <c r="AS4" i="14"/>
  <c r="AU7" i="18"/>
  <c r="AT2" i="18"/>
  <c r="AP35" i="9"/>
  <c r="AP4" i="9"/>
  <c r="K235" i="1"/>
  <c r="V239" i="1"/>
  <c r="U239" i="1"/>
  <c r="V238" i="1"/>
  <c r="V235" i="1"/>
  <c r="U238" i="1"/>
  <c r="V236" i="1"/>
  <c r="U236" i="1"/>
  <c r="U235" i="1"/>
  <c r="P239" i="1"/>
  <c r="O239" i="1"/>
  <c r="O235" i="1"/>
  <c r="O236" i="1"/>
  <c r="O238" i="1"/>
  <c r="E238" i="1"/>
  <c r="N238" i="1"/>
  <c r="N239" i="1"/>
  <c r="N235" i="1"/>
  <c r="N236" i="1"/>
  <c r="M236" i="1"/>
  <c r="M235" i="1"/>
  <c r="P235" i="1"/>
  <c r="M238" i="1"/>
  <c r="P236" i="1"/>
  <c r="M239" i="1"/>
  <c r="P238" i="1"/>
  <c r="E239" i="1"/>
  <c r="E236" i="1"/>
  <c r="AQ4" i="10"/>
  <c r="J239" i="1"/>
  <c r="I239" i="1"/>
  <c r="H239" i="1"/>
  <c r="L239" i="1"/>
  <c r="L238" i="1"/>
  <c r="J238" i="1"/>
  <c r="H238" i="1"/>
  <c r="I238" i="1"/>
  <c r="L236" i="1"/>
  <c r="L235" i="1"/>
  <c r="AX6" i="20"/>
  <c r="AX30" i="20" s="1"/>
  <c r="AT6" i="14"/>
  <c r="AR6" i="11"/>
  <c r="AR6" i="10"/>
  <c r="AQ6" i="9"/>
  <c r="AQ6" i="8"/>
  <c r="AP6" i="5"/>
  <c r="AO6" i="4"/>
  <c r="AX6" i="22"/>
  <c r="AY6" i="21"/>
  <c r="AY22" i="19"/>
  <c r="AY20" i="19" s="1"/>
  <c r="AT6" i="12"/>
  <c r="AT8" i="12" s="1"/>
  <c r="AT6" i="13"/>
  <c r="AU6" i="18"/>
  <c r="H236" i="1"/>
  <c r="H235" i="1"/>
  <c r="H237" i="1"/>
  <c r="J237" i="1"/>
  <c r="J236" i="1"/>
  <c r="J235" i="1"/>
  <c r="I237" i="1"/>
  <c r="I236" i="1"/>
  <c r="I235" i="1"/>
  <c r="B242" i="1"/>
  <c r="E243" i="1" s="1"/>
  <c r="AO6" i="3"/>
  <c r="P91" i="40" l="1"/>
  <c r="P89" i="40"/>
  <c r="P90" i="40"/>
  <c r="AW13" i="22"/>
  <c r="BW92" i="17" s="1"/>
  <c r="EE92" i="17" s="1"/>
  <c r="AX13" i="21"/>
  <c r="BX86" i="17" s="1"/>
  <c r="P96" i="40" s="1"/>
  <c r="AX10" i="21"/>
  <c r="BX85" i="17" s="1"/>
  <c r="EF85" i="17" s="1"/>
  <c r="AX19" i="21"/>
  <c r="BX88" i="17" s="1"/>
  <c r="EF88" i="17" s="1"/>
  <c r="AX16" i="21"/>
  <c r="BX87" i="17" s="1"/>
  <c r="AW19" i="22"/>
  <c r="BW94" i="17" s="1"/>
  <c r="AW16" i="22"/>
  <c r="BW93" i="17" s="1"/>
  <c r="EE93" i="17" s="1"/>
  <c r="AW10" i="22"/>
  <c r="BW91" i="17" s="1"/>
  <c r="EE91" i="17" s="1"/>
  <c r="AY29" i="19"/>
  <c r="BY81" i="17" s="1"/>
  <c r="EG81" i="17" s="1"/>
  <c r="AY32" i="19"/>
  <c r="BY82" i="17" s="1"/>
  <c r="R91" i="40" s="1"/>
  <c r="EE87" i="17"/>
  <c r="EE86" i="17"/>
  <c r="D223" i="1"/>
  <c r="BM14" i="17"/>
  <c r="DU14" i="17" s="1"/>
  <c r="IK14" i="17"/>
  <c r="AN22" i="3"/>
  <c r="BN15" i="17" s="1"/>
  <c r="DV15" i="17" s="1"/>
  <c r="EE73" i="17"/>
  <c r="EE71" i="17"/>
  <c r="AT13" i="18"/>
  <c r="BT19" i="17" s="1"/>
  <c r="EB19" i="17" s="1"/>
  <c r="AS22" i="14"/>
  <c r="BS49" i="17" s="1"/>
  <c r="EA49" i="17" s="1"/>
  <c r="AS16" i="13"/>
  <c r="BS40" i="17" s="1"/>
  <c r="EA40" i="17" s="1"/>
  <c r="AT10" i="18"/>
  <c r="BT18" i="17" s="1"/>
  <c r="AT19" i="18"/>
  <c r="BT21" i="17" s="1"/>
  <c r="AS13" i="14"/>
  <c r="BS46" i="17" s="1"/>
  <c r="AT16" i="18"/>
  <c r="BT20" i="17" s="1"/>
  <c r="AS19" i="14"/>
  <c r="BS48" i="17" s="1"/>
  <c r="AS16" i="14"/>
  <c r="BS47" i="17" s="1"/>
  <c r="AS13" i="13"/>
  <c r="BS39" i="17" s="1"/>
  <c r="EA39" i="17" s="1"/>
  <c r="AS13" i="12"/>
  <c r="BS32" i="17" s="1"/>
  <c r="EA32" i="17" s="1"/>
  <c r="AS10" i="13"/>
  <c r="BS38" i="17" s="1"/>
  <c r="EA38" i="17" s="1"/>
  <c r="AS22" i="13"/>
  <c r="BS42" i="17" s="1"/>
  <c r="AS16" i="12"/>
  <c r="BS33" i="17" s="1"/>
  <c r="EA33" i="17" s="1"/>
  <c r="AS10" i="14"/>
  <c r="BS45" i="17" s="1"/>
  <c r="EA45" i="17" s="1"/>
  <c r="AS19" i="13"/>
  <c r="BS41" i="17" s="1"/>
  <c r="EA41" i="17" s="1"/>
  <c r="AS19" i="12"/>
  <c r="BS34" i="17" s="1"/>
  <c r="EA19" i="17"/>
  <c r="DZ48" i="17"/>
  <c r="DZ40" i="17"/>
  <c r="DZ46" i="17"/>
  <c r="AQ16" i="10"/>
  <c r="BQ66" i="17" s="1"/>
  <c r="DZ49" i="17"/>
  <c r="DZ42" i="17"/>
  <c r="AQ10" i="11"/>
  <c r="BQ109" i="17" s="1"/>
  <c r="AP13" i="9"/>
  <c r="BP59" i="17" s="1"/>
  <c r="DX59" i="17" s="1"/>
  <c r="AP10" i="9"/>
  <c r="BP58" i="17" s="1"/>
  <c r="AP19" i="9"/>
  <c r="BP61" i="17" s="1"/>
  <c r="DX61" i="17" s="1"/>
  <c r="AQ19" i="10"/>
  <c r="BQ67" i="17" s="1"/>
  <c r="AP10" i="8"/>
  <c r="BP52" i="17" s="1"/>
  <c r="DX52" i="17" s="1" a="1"/>
  <c r="DX52" i="17" s="1"/>
  <c r="AQ13" i="10"/>
  <c r="BQ65" i="17" s="1"/>
  <c r="DY65" i="17" s="1"/>
  <c r="AP16" i="9"/>
  <c r="BP60" i="17" s="1"/>
  <c r="DX60" i="17" s="1"/>
  <c r="DX66" i="17"/>
  <c r="G238" i="1"/>
  <c r="AP13" i="8"/>
  <c r="BP53" i="17" s="1"/>
  <c r="DX53" i="17" s="1" a="1"/>
  <c r="DX53" i="17" s="1"/>
  <c r="G236" i="1"/>
  <c r="AP19" i="8"/>
  <c r="BP55" i="17" s="1"/>
  <c r="DX55" i="17" s="1" a="1"/>
  <c r="DX55" i="17" s="1"/>
  <c r="G239" i="1"/>
  <c r="AP16" i="8"/>
  <c r="BP54" i="17" s="1"/>
  <c r="DX54" i="17" s="1"/>
  <c r="BN103" i="17"/>
  <c r="DV103" i="17" s="1"/>
  <c r="R231" i="1"/>
  <c r="K239" i="1"/>
  <c r="BN104" i="17"/>
  <c r="DV104" i="17" s="1"/>
  <c r="BN105" i="17"/>
  <c r="K238" i="1"/>
  <c r="DT98" i="17" a="1"/>
  <c r="DT98" i="17" s="1"/>
  <c r="DW55" i="17" a="1"/>
  <c r="DW55" i="17" s="1"/>
  <c r="DT99" i="17" a="1"/>
  <c r="DT99" i="17" s="1"/>
  <c r="DW54" i="17"/>
  <c r="K236" i="1"/>
  <c r="DT100" i="17"/>
  <c r="DW53" i="17" a="1"/>
  <c r="DW53" i="17" s="1"/>
  <c r="Q220" i="1"/>
  <c r="BM98" i="17"/>
  <c r="DU98" i="17" s="1" a="1"/>
  <c r="DU98" i="17" s="1"/>
  <c r="BM99" i="17"/>
  <c r="DU99" i="17" s="1" a="1"/>
  <c r="DU99" i="17" s="1"/>
  <c r="AN16" i="4"/>
  <c r="BN99" i="17" s="1"/>
  <c r="DV99" i="17" s="1" a="1"/>
  <c r="DV99" i="17" s="1"/>
  <c r="AY26" i="19"/>
  <c r="BY80" i="17" s="1"/>
  <c r="EG80" i="17" s="1"/>
  <c r="AO10" i="5"/>
  <c r="R235" i="1" s="1"/>
  <c r="AN19" i="4"/>
  <c r="BN100" i="17" s="1"/>
  <c r="DV100" i="17" s="1"/>
  <c r="AO14" i="4"/>
  <c r="IL99" i="17" s="1"/>
  <c r="AO11" i="4"/>
  <c r="IL98" i="17" s="1"/>
  <c r="AO13" i="5"/>
  <c r="R236" i="1" s="1"/>
  <c r="AO16" i="5"/>
  <c r="BO105" i="17" s="1"/>
  <c r="DW105" i="17" s="1"/>
  <c r="G235" i="1"/>
  <c r="AN19" i="3"/>
  <c r="AN13" i="3"/>
  <c r="D228" i="1" s="1"/>
  <c r="DU103" i="17"/>
  <c r="R239" i="1"/>
  <c r="BO106" i="17"/>
  <c r="DW106" i="17" s="1"/>
  <c r="AN13" i="4"/>
  <c r="AN10" i="3"/>
  <c r="D227" i="1" s="1"/>
  <c r="Q222" i="1"/>
  <c r="DU104" i="17"/>
  <c r="Q227" i="1"/>
  <c r="BN97" i="17"/>
  <c r="DV97" i="17" s="1"/>
  <c r="D230" i="1"/>
  <c r="BN13" i="17"/>
  <c r="DV13" i="17" s="1"/>
  <c r="DT12" i="17"/>
  <c r="Q223" i="1"/>
  <c r="BM13" i="17"/>
  <c r="DU13" i="17" s="1"/>
  <c r="D220" i="1"/>
  <c r="BM11" i="17"/>
  <c r="DT13" i="17"/>
  <c r="AT14" i="13"/>
  <c r="IQ40" i="17" s="1"/>
  <c r="AT11" i="13"/>
  <c r="IQ39" i="17" s="1"/>
  <c r="AT20" i="13"/>
  <c r="IQ42" i="17" s="1"/>
  <c r="AT17" i="13"/>
  <c r="IQ41" i="17" s="1"/>
  <c r="AT8" i="13"/>
  <c r="IQ38" i="17" s="1"/>
  <c r="AQ14" i="9"/>
  <c r="IN60" i="17" s="1"/>
  <c r="AQ11" i="9"/>
  <c r="IN59" i="17" s="1"/>
  <c r="AP4" i="5"/>
  <c r="AP19" i="5" s="1"/>
  <c r="AP14" i="5"/>
  <c r="IM105" i="17" s="1"/>
  <c r="AP11" i="5"/>
  <c r="IM104" i="17" s="1"/>
  <c r="AR14" i="10"/>
  <c r="AR11" i="10"/>
  <c r="AR21" i="10"/>
  <c r="AR23" i="10"/>
  <c r="AU4" i="18"/>
  <c r="AU8" i="18"/>
  <c r="IR18" i="17" s="1"/>
  <c r="AU11" i="18"/>
  <c r="IR19" i="17" s="1"/>
  <c r="AU14" i="18"/>
  <c r="IR20" i="17" s="1"/>
  <c r="AQ4" i="8"/>
  <c r="AQ11" i="8"/>
  <c r="IN53" i="17" s="1"/>
  <c r="AQ14" i="8"/>
  <c r="IN54" i="17" s="1"/>
  <c r="AQ17" i="8"/>
  <c r="IN55" i="17" s="1"/>
  <c r="AQ8" i="8"/>
  <c r="IN52" i="17" s="1"/>
  <c r="AO4" i="3"/>
  <c r="AO13" i="3" s="1"/>
  <c r="AO17" i="3"/>
  <c r="IL14" i="17" s="1"/>
  <c r="AO8" i="3"/>
  <c r="AO14" i="3"/>
  <c r="AO4" i="4"/>
  <c r="AO17" i="4"/>
  <c r="IL100" i="17" s="1"/>
  <c r="AO8" i="4"/>
  <c r="IL97" i="17" s="1"/>
  <c r="AO10" i="4"/>
  <c r="AY4" i="21"/>
  <c r="IV85" i="17"/>
  <c r="AY14" i="21"/>
  <c r="IV87" i="17" s="1"/>
  <c r="AY11" i="21"/>
  <c r="IV86" i="17" s="1"/>
  <c r="AY17" i="21"/>
  <c r="IV88" i="17" s="1"/>
  <c r="AT17" i="14"/>
  <c r="IQ48" i="17" s="1"/>
  <c r="AT11" i="14"/>
  <c r="IQ46" i="17" s="1"/>
  <c r="AT20" i="14"/>
  <c r="IQ49" i="17" s="1"/>
  <c r="AT14" i="14"/>
  <c r="IQ47" i="17" s="1"/>
  <c r="AT8" i="14"/>
  <c r="IQ45" i="17" s="1"/>
  <c r="AT4" i="12"/>
  <c r="AT10" i="12" s="1"/>
  <c r="BT31" i="17" s="1"/>
  <c r="EB31" i="17" s="1"/>
  <c r="AT20" i="12"/>
  <c r="IQ35" i="17" s="1"/>
  <c r="AT14" i="12"/>
  <c r="IQ33" i="17" s="1"/>
  <c r="AT17" i="12"/>
  <c r="IQ34" i="17" s="1"/>
  <c r="AT21" i="12"/>
  <c r="GJ35" i="17" s="1"/>
  <c r="AT11" i="12"/>
  <c r="IQ32" i="17" s="1"/>
  <c r="AR8" i="11"/>
  <c r="AX4" i="22"/>
  <c r="AX14" i="22"/>
  <c r="IU93" i="17" s="1"/>
  <c r="AX11" i="22"/>
  <c r="IU92" i="17" s="1"/>
  <c r="AX8" i="22"/>
  <c r="IU91" i="17" s="1"/>
  <c r="AX17" i="22"/>
  <c r="IU94" i="17" s="1"/>
  <c r="AX4" i="20"/>
  <c r="AX16" i="20" s="1"/>
  <c r="BX72" i="17" s="1"/>
  <c r="EF72" i="17" s="1"/>
  <c r="AE83" i="40" s="1"/>
  <c r="AX17" i="20"/>
  <c r="IU73" i="17" s="1"/>
  <c r="AX19" i="20"/>
  <c r="BX73" i="17" s="1"/>
  <c r="EF73" i="17" s="1"/>
  <c r="AX10" i="20"/>
  <c r="BX70" i="17" s="1"/>
  <c r="EF70" i="17" s="1"/>
  <c r="AE81" i="40" s="1"/>
  <c r="AX13" i="20"/>
  <c r="BX71" i="17" s="1"/>
  <c r="EF71" i="17" s="1"/>
  <c r="AQ10" i="10"/>
  <c r="BQ64" i="17" s="1"/>
  <c r="DY64" i="17" s="1"/>
  <c r="F245" i="1"/>
  <c r="AT4" i="13"/>
  <c r="F239" i="1"/>
  <c r="F238" i="1"/>
  <c r="S246" i="1"/>
  <c r="S247" i="1"/>
  <c r="S244" i="1"/>
  <c r="AR4" i="11"/>
  <c r="S243" i="1"/>
  <c r="F235" i="1"/>
  <c r="F236" i="1"/>
  <c r="AT4" i="14"/>
  <c r="BE7" i="14"/>
  <c r="AV7" i="18"/>
  <c r="AU2" i="18"/>
  <c r="AQ35" i="9"/>
  <c r="AQ4" i="9"/>
  <c r="V244" i="1"/>
  <c r="U246" i="1"/>
  <c r="U244" i="1"/>
  <c r="V243" i="1"/>
  <c r="U243" i="1"/>
  <c r="V247" i="1"/>
  <c r="V246" i="1"/>
  <c r="U247" i="1"/>
  <c r="O247" i="1"/>
  <c r="O246" i="1"/>
  <c r="O244" i="1"/>
  <c r="P247" i="1"/>
  <c r="O243" i="1"/>
  <c r="E246" i="1"/>
  <c r="N243" i="1"/>
  <c r="N246" i="1"/>
  <c r="N244" i="1"/>
  <c r="N247" i="1"/>
  <c r="P244" i="1"/>
  <c r="M247" i="1"/>
  <c r="M246" i="1"/>
  <c r="P246" i="1"/>
  <c r="M244" i="1"/>
  <c r="P243" i="1"/>
  <c r="M243" i="1"/>
  <c r="E244" i="1"/>
  <c r="E247" i="1"/>
  <c r="AR4" i="10"/>
  <c r="J247" i="1"/>
  <c r="L243" i="1"/>
  <c r="I247" i="1"/>
  <c r="H247" i="1"/>
  <c r="L247" i="1"/>
  <c r="J246" i="1"/>
  <c r="H246" i="1"/>
  <c r="L244" i="1"/>
  <c r="L246" i="1"/>
  <c r="I246" i="1"/>
  <c r="AY6" i="20"/>
  <c r="AU6" i="14"/>
  <c r="AS6" i="11"/>
  <c r="AS6" i="10"/>
  <c r="AR6" i="9"/>
  <c r="AR6" i="8"/>
  <c r="AQ6" i="5"/>
  <c r="AP6" i="4"/>
  <c r="AY6" i="22"/>
  <c r="AZ6" i="21"/>
  <c r="AZ22" i="19"/>
  <c r="AZ20" i="19" s="1"/>
  <c r="AU6" i="12"/>
  <c r="AU8" i="12" s="1"/>
  <c r="AU6" i="13"/>
  <c r="AV6" i="18"/>
  <c r="H244" i="1"/>
  <c r="H243" i="1"/>
  <c r="H245" i="1"/>
  <c r="I245" i="1"/>
  <c r="J244" i="1"/>
  <c r="J243" i="1"/>
  <c r="I244" i="1"/>
  <c r="I243" i="1"/>
  <c r="J245" i="1"/>
  <c r="B250" i="1"/>
  <c r="AP6" i="3"/>
  <c r="P95" i="40" l="1"/>
  <c r="R90" i="40"/>
  <c r="P82" i="40"/>
  <c r="P81" i="40"/>
  <c r="P84" i="40"/>
  <c r="R89" i="40"/>
  <c r="AY30" i="20"/>
  <c r="AY16" i="20"/>
  <c r="BY72" i="17" s="1"/>
  <c r="EG72" i="17" s="1"/>
  <c r="AY16" i="21"/>
  <c r="BY87" i="17" s="1"/>
  <c r="Q84" i="40"/>
  <c r="AY10" i="21"/>
  <c r="BY85" i="17" s="1"/>
  <c r="EG85" i="17" s="1"/>
  <c r="AY13" i="21"/>
  <c r="BY86" i="17" s="1"/>
  <c r="R96" i="40" s="1"/>
  <c r="AY19" i="21"/>
  <c r="BY88" i="17" s="1"/>
  <c r="EG88" i="17" s="1"/>
  <c r="AX16" i="22"/>
  <c r="BX93" i="17" s="1"/>
  <c r="EF93" i="17" s="1"/>
  <c r="EG82" i="17"/>
  <c r="AX13" i="22"/>
  <c r="BX92" i="17" s="1"/>
  <c r="AX10" i="22"/>
  <c r="BX91" i="17" s="1"/>
  <c r="EF91" i="17" s="1"/>
  <c r="EF87" i="17"/>
  <c r="AX19" i="22"/>
  <c r="BX94" i="17" s="1"/>
  <c r="EF94" i="17" s="1"/>
  <c r="EF86" i="17"/>
  <c r="EE94" i="17"/>
  <c r="AR10" i="11"/>
  <c r="BR109" i="17" s="1"/>
  <c r="DZ109" i="17" s="1"/>
  <c r="AZ29" i="19"/>
  <c r="BZ81" i="17" s="1"/>
  <c r="EH81" i="17" s="1"/>
  <c r="AZ32" i="19"/>
  <c r="BZ82" i="17" s="1"/>
  <c r="EH82" i="17" s="1"/>
  <c r="D231" i="1"/>
  <c r="BN14" i="17"/>
  <c r="DV14" i="17" s="1"/>
  <c r="AO22" i="3"/>
  <c r="BO15" i="17" s="1"/>
  <c r="DW15" i="17" s="1"/>
  <c r="EA34" i="17"/>
  <c r="EB20" i="17"/>
  <c r="AU13" i="18"/>
  <c r="BU19" i="17" s="1"/>
  <c r="EC19" i="17" s="1"/>
  <c r="AU19" i="18"/>
  <c r="BU21" i="17" s="1"/>
  <c r="EC21" i="17" s="1"/>
  <c r="AU10" i="18"/>
  <c r="BU18" i="17" s="1"/>
  <c r="EC18" i="17" s="1"/>
  <c r="AU16" i="18"/>
  <c r="BU20" i="17" s="1"/>
  <c r="EC20" i="17" s="1"/>
  <c r="EB21" i="17"/>
  <c r="EB18" i="17"/>
  <c r="EA47" i="17"/>
  <c r="EA48" i="17"/>
  <c r="AT19" i="12"/>
  <c r="BT34" i="17" s="1"/>
  <c r="AT22" i="12"/>
  <c r="BT35" i="17" s="1"/>
  <c r="AT22" i="13"/>
  <c r="BT42" i="17" s="1"/>
  <c r="AT10" i="14"/>
  <c r="BT45" i="17" s="1"/>
  <c r="EB45" i="17" s="1"/>
  <c r="EA42" i="17"/>
  <c r="AT16" i="13"/>
  <c r="BT40" i="17" s="1"/>
  <c r="AT16" i="12"/>
  <c r="BT33" i="17" s="1"/>
  <c r="EB33" i="17" s="1"/>
  <c r="AT19" i="14"/>
  <c r="BT48" i="17" s="1"/>
  <c r="AT13" i="14"/>
  <c r="BT46" i="17" s="1"/>
  <c r="AT22" i="14"/>
  <c r="BT49" i="17" s="1"/>
  <c r="AT13" i="13"/>
  <c r="BT39" i="17" s="1"/>
  <c r="EB39" i="17" s="1"/>
  <c r="AT19" i="13"/>
  <c r="BT41" i="17" s="1"/>
  <c r="EB41" i="17" s="1"/>
  <c r="AT16" i="14"/>
  <c r="BT47" i="17" s="1"/>
  <c r="EB47" i="17" s="1"/>
  <c r="AT10" i="13"/>
  <c r="BT38" i="17" s="1"/>
  <c r="AT13" i="12"/>
  <c r="BT32" i="17" s="1"/>
  <c r="EB32" i="17" s="1"/>
  <c r="EA46" i="17"/>
  <c r="DY66" i="17"/>
  <c r="K244" i="1"/>
  <c r="AR16" i="10"/>
  <c r="BR66" i="17" s="1"/>
  <c r="DZ66" i="17" s="1"/>
  <c r="G243" i="1"/>
  <c r="K243" i="1"/>
  <c r="K247" i="1"/>
  <c r="DY109" i="17"/>
  <c r="AR13" i="10"/>
  <c r="BR65" i="17" s="1"/>
  <c r="DZ65" i="17" s="1"/>
  <c r="AR19" i="10"/>
  <c r="BR67" i="17" s="1"/>
  <c r="DZ67" i="17" s="1"/>
  <c r="DY67" i="17"/>
  <c r="DX58" i="17"/>
  <c r="K246" i="1"/>
  <c r="G246" i="1"/>
  <c r="AQ13" i="9"/>
  <c r="BQ59" i="17" s="1"/>
  <c r="DY59" i="17" s="1"/>
  <c r="AQ19" i="8"/>
  <c r="BQ55" i="17" s="1"/>
  <c r="DY55" i="17" s="1" a="1"/>
  <c r="DY55" i="17" s="1"/>
  <c r="AQ13" i="8"/>
  <c r="BQ53" i="17" s="1"/>
  <c r="DY53" i="17" s="1" a="1"/>
  <c r="DY53" i="17" s="1"/>
  <c r="AQ16" i="8"/>
  <c r="BQ54" i="17" s="1"/>
  <c r="DY54" i="17" s="1"/>
  <c r="G244" i="1"/>
  <c r="AQ10" i="8"/>
  <c r="BQ52" i="17" s="1"/>
  <c r="DY52" i="17" s="1" a="1"/>
  <c r="DY52" i="17" s="1"/>
  <c r="AQ10" i="9"/>
  <c r="BQ58" i="17" s="1"/>
  <c r="AQ19" i="9"/>
  <c r="BQ61" i="17" s="1"/>
  <c r="DY61" i="17" s="1"/>
  <c r="AQ16" i="9"/>
  <c r="BQ60" i="17" s="1"/>
  <c r="DY60" i="17" s="1"/>
  <c r="AP16" i="5"/>
  <c r="R246" i="1" s="1"/>
  <c r="G247" i="1"/>
  <c r="DV105" i="17"/>
  <c r="AP10" i="5"/>
  <c r="R243" i="1" s="1"/>
  <c r="AP13" i="5"/>
  <c r="R244" i="1" s="1"/>
  <c r="AO19" i="3"/>
  <c r="Q231" i="1"/>
  <c r="R238" i="1"/>
  <c r="AO16" i="3"/>
  <c r="BO13" i="17" s="1"/>
  <c r="BO103" i="17"/>
  <c r="BO104" i="17"/>
  <c r="AO16" i="4"/>
  <c r="BO99" i="17" s="1"/>
  <c r="DW99" i="17" s="1" a="1"/>
  <c r="DW99" i="17" s="1"/>
  <c r="R247" i="1"/>
  <c r="BP106" i="17"/>
  <c r="DX106" i="17" s="1"/>
  <c r="Q230" i="1"/>
  <c r="Q228" i="1"/>
  <c r="BN98" i="17"/>
  <c r="AO13" i="4"/>
  <c r="BO98" i="17" s="1"/>
  <c r="DW98" i="17" s="1" a="1"/>
  <c r="DW98" i="17" s="1"/>
  <c r="AZ26" i="19"/>
  <c r="BZ80" i="17" s="1"/>
  <c r="T89" i="40" s="1"/>
  <c r="AO10" i="3"/>
  <c r="BO11" i="17" s="1"/>
  <c r="AO19" i="4"/>
  <c r="BO100" i="17" s="1"/>
  <c r="DW100" i="17" s="1"/>
  <c r="BN11" i="17"/>
  <c r="DV11" i="17" s="1"/>
  <c r="BN12" i="17"/>
  <c r="Q235" i="1"/>
  <c r="BO97" i="17"/>
  <c r="DW97" i="17" s="1"/>
  <c r="D236" i="1"/>
  <c r="BO12" i="17"/>
  <c r="DU11" i="17"/>
  <c r="AU8" i="13"/>
  <c r="IR38" i="17" s="1"/>
  <c r="AU17" i="13"/>
  <c r="IR41" i="17" s="1"/>
  <c r="AU14" i="13"/>
  <c r="IR40" i="17" s="1"/>
  <c r="AU11" i="13"/>
  <c r="IR39" i="17" s="1"/>
  <c r="AU20" i="13"/>
  <c r="IR42" i="17" s="1"/>
  <c r="AR11" i="9"/>
  <c r="AR14" i="9"/>
  <c r="AP4" i="4"/>
  <c r="AP14" i="4"/>
  <c r="IM99" i="17" s="1"/>
  <c r="AP17" i="4"/>
  <c r="IM100" i="17" s="1"/>
  <c r="AP8" i="4"/>
  <c r="IM97" i="17" s="1"/>
  <c r="AP11" i="4"/>
  <c r="IM98" i="17" s="1"/>
  <c r="AP10" i="4"/>
  <c r="AV4" i="18"/>
  <c r="AV14" i="18"/>
  <c r="IS20" i="17" s="1"/>
  <c r="AV8" i="18"/>
  <c r="IS18" i="17" s="1"/>
  <c r="AV11" i="18"/>
  <c r="IS19" i="17" s="1"/>
  <c r="AS8" i="11"/>
  <c r="IP109" i="17" s="1"/>
  <c r="AQ4" i="5"/>
  <c r="AQ19" i="5" s="1"/>
  <c r="AQ14" i="5"/>
  <c r="IN105" i="17" s="1"/>
  <c r="AQ11" i="5"/>
  <c r="IN104" i="17" s="1"/>
  <c r="AZ4" i="21"/>
  <c r="AZ17" i="21"/>
  <c r="IW88" i="17" s="1"/>
  <c r="AZ14" i="21"/>
  <c r="IW87" i="17" s="1"/>
  <c r="AZ11" i="21"/>
  <c r="IW86" i="17" s="1"/>
  <c r="AU11" i="14"/>
  <c r="IR46" i="17" s="1"/>
  <c r="AU20" i="14"/>
  <c r="IR49" i="17" s="1"/>
  <c r="AU14" i="14"/>
  <c r="IR47" i="17" s="1"/>
  <c r="AU8" i="14"/>
  <c r="IR45" i="17" s="1"/>
  <c r="AU17" i="14"/>
  <c r="IR48" i="17" s="1"/>
  <c r="AR4" i="8"/>
  <c r="AR14" i="8"/>
  <c r="AR17" i="8"/>
  <c r="AR8" i="8"/>
  <c r="AR11" i="8"/>
  <c r="AU4" i="12"/>
  <c r="AU10" i="12" s="1"/>
  <c r="BU31" i="17" s="1"/>
  <c r="EC31" i="17" s="1"/>
  <c r="AU20" i="12"/>
  <c r="IR35" i="17" s="1"/>
  <c r="AU17" i="12"/>
  <c r="IR34" i="17" s="1"/>
  <c r="AU11" i="12"/>
  <c r="IR32" i="17" s="1"/>
  <c r="AU21" i="12"/>
  <c r="GK35" i="17" s="1"/>
  <c r="AU14" i="12"/>
  <c r="IR33" i="17" s="1"/>
  <c r="AS11" i="10"/>
  <c r="AS14" i="10"/>
  <c r="AS21" i="10"/>
  <c r="AS23" i="10"/>
  <c r="AP4" i="3"/>
  <c r="AP22" i="3" s="1"/>
  <c r="BP15" i="17" s="1"/>
  <c r="DX15" i="17" s="1"/>
  <c r="AP14" i="3"/>
  <c r="IM13" i="17" s="1"/>
  <c r="IM12" i="17"/>
  <c r="AP17" i="3"/>
  <c r="AP8" i="3"/>
  <c r="IM11" i="17" s="1"/>
  <c r="S251" i="1"/>
  <c r="E251" i="1"/>
  <c r="AY4" i="22"/>
  <c r="AY14" i="22"/>
  <c r="IV93" i="17" s="1"/>
  <c r="AY11" i="22"/>
  <c r="IV92" i="17" s="1"/>
  <c r="AY17" i="22"/>
  <c r="IV94" i="17" s="1"/>
  <c r="AY8" i="22"/>
  <c r="IV91" i="17" s="1"/>
  <c r="AY4" i="20"/>
  <c r="AY17" i="20"/>
  <c r="IV73" i="17" s="1"/>
  <c r="AY19" i="20"/>
  <c r="BY73" i="17" s="1"/>
  <c r="EG73" i="17" s="1"/>
  <c r="AY13" i="20"/>
  <c r="BY71" i="17" s="1"/>
  <c r="AY10" i="20"/>
  <c r="BY70" i="17" s="1"/>
  <c r="EG70" i="17" s="1"/>
  <c r="AR10" i="10"/>
  <c r="BR64" i="17" s="1"/>
  <c r="DZ64" i="17" s="1"/>
  <c r="AS4" i="11"/>
  <c r="S252" i="1"/>
  <c r="S255" i="1"/>
  <c r="S254" i="1"/>
  <c r="F247" i="1"/>
  <c r="F246" i="1"/>
  <c r="F253" i="1"/>
  <c r="AU4" i="13"/>
  <c r="F244" i="1"/>
  <c r="F243" i="1"/>
  <c r="BF7" i="14"/>
  <c r="AU4" i="14"/>
  <c r="AW7" i="18"/>
  <c r="AV2" i="18"/>
  <c r="AR35" i="9"/>
  <c r="AR4" i="9"/>
  <c r="AR19" i="9" s="1"/>
  <c r="BR61" i="17" s="1"/>
  <c r="DZ61" i="17" s="1"/>
  <c r="V255" i="1"/>
  <c r="U255" i="1"/>
  <c r="V254" i="1"/>
  <c r="U254" i="1"/>
  <c r="U251" i="1"/>
  <c r="V252" i="1"/>
  <c r="U252" i="1"/>
  <c r="V251" i="1"/>
  <c r="O254" i="1"/>
  <c r="O255" i="1"/>
  <c r="O251" i="1"/>
  <c r="O252" i="1"/>
  <c r="P255" i="1"/>
  <c r="E254" i="1"/>
  <c r="N252" i="1"/>
  <c r="N251" i="1"/>
  <c r="N254" i="1"/>
  <c r="N255" i="1"/>
  <c r="M252" i="1"/>
  <c r="P252" i="1"/>
  <c r="M254" i="1"/>
  <c r="P254" i="1"/>
  <c r="M255" i="1"/>
  <c r="M251" i="1"/>
  <c r="P251" i="1"/>
  <c r="E252" i="1"/>
  <c r="E255" i="1"/>
  <c r="AS4" i="10"/>
  <c r="J255" i="1"/>
  <c r="L251" i="1"/>
  <c r="I255" i="1"/>
  <c r="H255" i="1"/>
  <c r="L255" i="1"/>
  <c r="J254" i="1"/>
  <c r="H254" i="1"/>
  <c r="L252" i="1"/>
  <c r="I254" i="1"/>
  <c r="L254" i="1"/>
  <c r="AZ6" i="20"/>
  <c r="AV6" i="14"/>
  <c r="AT6" i="11"/>
  <c r="AT6" i="10"/>
  <c r="AS6" i="9"/>
  <c r="AS6" i="8"/>
  <c r="AR6" i="5"/>
  <c r="AQ6" i="4"/>
  <c r="AZ6" i="22"/>
  <c r="BA6" i="21"/>
  <c r="BA22" i="19"/>
  <c r="BA20" i="19" s="1"/>
  <c r="AV6" i="12"/>
  <c r="AV8" i="12" s="1"/>
  <c r="AV6" i="13"/>
  <c r="AW6" i="18"/>
  <c r="H253" i="1"/>
  <c r="H252" i="1"/>
  <c r="H251" i="1"/>
  <c r="I251" i="1"/>
  <c r="J253" i="1"/>
  <c r="I253" i="1"/>
  <c r="J252" i="1"/>
  <c r="J251" i="1"/>
  <c r="I252" i="1"/>
  <c r="B258" i="1"/>
  <c r="E259" i="1" s="1"/>
  <c r="AQ6" i="3"/>
  <c r="P101" i="40" l="1"/>
  <c r="T90" i="40"/>
  <c r="R81" i="40"/>
  <c r="R83" i="40"/>
  <c r="P103" i="40"/>
  <c r="R84" i="40"/>
  <c r="P104" i="40"/>
  <c r="R82" i="40"/>
  <c r="R95" i="40"/>
  <c r="S84" i="40"/>
  <c r="AE91" i="40"/>
  <c r="T91" i="40"/>
  <c r="P102" i="40"/>
  <c r="AE90" i="40"/>
  <c r="AZ16" i="20"/>
  <c r="BZ72" i="17" s="1"/>
  <c r="T83" i="40" s="1"/>
  <c r="AZ30" i="20"/>
  <c r="EG87" i="17"/>
  <c r="EG86" i="17"/>
  <c r="AZ16" i="21"/>
  <c r="BZ87" i="17" s="1"/>
  <c r="EH80" i="17"/>
  <c r="P80" i="17"/>
  <c r="J80" i="17"/>
  <c r="AY13" i="22"/>
  <c r="BY92" i="17" s="1"/>
  <c r="EG92" i="17" s="1"/>
  <c r="AY10" i="22"/>
  <c r="BY91" i="17" s="1"/>
  <c r="EG91" i="17" s="1"/>
  <c r="AZ13" i="21"/>
  <c r="BZ86" i="17" s="1"/>
  <c r="T96" i="40" s="1"/>
  <c r="AZ19" i="21"/>
  <c r="BZ88" i="17" s="1"/>
  <c r="EH88" i="17" s="1"/>
  <c r="AG98" i="40" s="1"/>
  <c r="AZ10" i="21"/>
  <c r="BZ85" i="17" s="1"/>
  <c r="EH85" i="17" s="1"/>
  <c r="AG95" i="40" s="1"/>
  <c r="AY19" i="22"/>
  <c r="BY94" i="17" s="1"/>
  <c r="EG94" i="17" s="1"/>
  <c r="AY16" i="22"/>
  <c r="BY93" i="17" s="1"/>
  <c r="EG71" i="17"/>
  <c r="AF82" i="40" s="1"/>
  <c r="EF92" i="17"/>
  <c r="BA29" i="19"/>
  <c r="CA81" i="17" s="1"/>
  <c r="EI81" i="17" s="1"/>
  <c r="T81" i="17" s="1"/>
  <c r="BA32" i="19"/>
  <c r="CA82" i="17" s="1"/>
  <c r="EI82" i="17" s="1"/>
  <c r="AG91" i="40" s="1"/>
  <c r="BO14" i="17"/>
  <c r="DW14" i="17" s="1"/>
  <c r="IM14" i="17"/>
  <c r="AQ11" i="3"/>
  <c r="AV16" i="18"/>
  <c r="BV20" i="17" s="1"/>
  <c r="ED20" i="17" s="1"/>
  <c r="AV10" i="18"/>
  <c r="BV18" i="17" s="1"/>
  <c r="ED18" i="17" s="1"/>
  <c r="AV13" i="18"/>
  <c r="BV19" i="17" s="1"/>
  <c r="ED19" i="17" s="1"/>
  <c r="AV19" i="18"/>
  <c r="BV21" i="17" s="1"/>
  <c r="ED21" i="17" s="1"/>
  <c r="AU10" i="13"/>
  <c r="BU38" i="17" s="1"/>
  <c r="EC38" i="17" s="1"/>
  <c r="AU16" i="14"/>
  <c r="BU47" i="17" s="1"/>
  <c r="EC47" i="17" s="1"/>
  <c r="AU10" i="14"/>
  <c r="BU45" i="17" s="1"/>
  <c r="EC45" i="17" s="1"/>
  <c r="AU16" i="12"/>
  <c r="BU33" i="17" s="1"/>
  <c r="EC33" i="17" s="1"/>
  <c r="AU19" i="13"/>
  <c r="BU41" i="17" s="1"/>
  <c r="EC41" i="17" s="1"/>
  <c r="AU13" i="13"/>
  <c r="BU39" i="17" s="1"/>
  <c r="EC39" i="17" s="1"/>
  <c r="AU13" i="14"/>
  <c r="BU46" i="17" s="1"/>
  <c r="AU19" i="12"/>
  <c r="BU34" i="17" s="1"/>
  <c r="AU19" i="14"/>
  <c r="BU48" i="17" s="1"/>
  <c r="AU16" i="13"/>
  <c r="BU40" i="17" s="1"/>
  <c r="EC40" i="17" s="1"/>
  <c r="AU13" i="12"/>
  <c r="BU32" i="17" s="1"/>
  <c r="EC32" i="17" s="1"/>
  <c r="AU22" i="12"/>
  <c r="BU35" i="17" s="1"/>
  <c r="AU22" i="13"/>
  <c r="BU42" i="17" s="1"/>
  <c r="AU22" i="14"/>
  <c r="BU49" i="17" s="1"/>
  <c r="EC49" i="17" s="1"/>
  <c r="EB40" i="17"/>
  <c r="EB34" i="17"/>
  <c r="EB49" i="17"/>
  <c r="EB38" i="17"/>
  <c r="EB35" i="17"/>
  <c r="EB46" i="17"/>
  <c r="AS10" i="11"/>
  <c r="BS109" i="17" s="1"/>
  <c r="EB42" i="17"/>
  <c r="AS13" i="10"/>
  <c r="BS65" i="17" s="1"/>
  <c r="EA65" i="17" s="1"/>
  <c r="EB48" i="17"/>
  <c r="AS16" i="10"/>
  <c r="BS66" i="17" s="1"/>
  <c r="EA66" i="17" s="1"/>
  <c r="AS19" i="10"/>
  <c r="BS67" i="17" s="1"/>
  <c r="EA67" i="17" s="1"/>
  <c r="G252" i="1"/>
  <c r="K252" i="1"/>
  <c r="G251" i="1"/>
  <c r="K254" i="1"/>
  <c r="G255" i="1"/>
  <c r="G254" i="1"/>
  <c r="AR13" i="8"/>
  <c r="BR53" i="17" s="1"/>
  <c r="DZ53" i="17" s="1" a="1"/>
  <c r="DZ53" i="17" s="1"/>
  <c r="AR16" i="9"/>
  <c r="BR60" i="17" s="1"/>
  <c r="DZ60" i="17" s="1"/>
  <c r="AR10" i="9"/>
  <c r="BR58" i="17" s="1"/>
  <c r="DZ58" i="17" s="1"/>
  <c r="AR13" i="9"/>
  <c r="BR59" i="17" s="1"/>
  <c r="DZ59" i="17" s="1"/>
  <c r="AR16" i="8"/>
  <c r="BR54" i="17" s="1"/>
  <c r="DZ54" i="17" s="1"/>
  <c r="AR19" i="8"/>
  <c r="BR55" i="17" s="1"/>
  <c r="AR10" i="8"/>
  <c r="BR52" i="17" s="1"/>
  <c r="DZ52" i="17" s="1" a="1"/>
  <c r="DZ52" i="17" s="1"/>
  <c r="K251" i="1"/>
  <c r="D238" i="1"/>
  <c r="D239" i="1"/>
  <c r="BP105" i="17"/>
  <c r="AP16" i="4"/>
  <c r="BP99" i="17" s="1"/>
  <c r="Q238" i="1"/>
  <c r="AP10" i="3"/>
  <c r="BP11" i="17" s="1"/>
  <c r="AQ10" i="5"/>
  <c r="R251" i="1" s="1"/>
  <c r="AQ13" i="5"/>
  <c r="R252" i="1" s="1"/>
  <c r="K255" i="1"/>
  <c r="AQ16" i="5"/>
  <c r="BQ105" i="17" s="1"/>
  <c r="DY58" i="17"/>
  <c r="AP19" i="4"/>
  <c r="Q247" i="1" s="1"/>
  <c r="BP104" i="17"/>
  <c r="DX104" i="17" s="1"/>
  <c r="AP13" i="3"/>
  <c r="BP12" i="17" s="1"/>
  <c r="DX12" i="17" s="1"/>
  <c r="AP16" i="3"/>
  <c r="D246" i="1" s="1"/>
  <c r="AP19" i="3"/>
  <c r="R255" i="1"/>
  <c r="BQ106" i="17"/>
  <c r="AP13" i="4"/>
  <c r="BP98" i="17" s="1"/>
  <c r="BP103" i="17"/>
  <c r="DX103" i="17" s="1"/>
  <c r="DW103" i="17"/>
  <c r="Q236" i="1"/>
  <c r="D235" i="1"/>
  <c r="DW104" i="17"/>
  <c r="Q239" i="1"/>
  <c r="DV12" i="17"/>
  <c r="DV98" i="17" a="1"/>
  <c r="DV98" i="17" s="1"/>
  <c r="Q243" i="1"/>
  <c r="BP97" i="17"/>
  <c r="DW12" i="17"/>
  <c r="DW13" i="17"/>
  <c r="DW11" i="17"/>
  <c r="BA26" i="19"/>
  <c r="CA80" i="17" s="1"/>
  <c r="EI80" i="17" s="1"/>
  <c r="AS4" i="8"/>
  <c r="AS11" i="8"/>
  <c r="AS14" i="8"/>
  <c r="AS17" i="8"/>
  <c r="AS8" i="8"/>
  <c r="AV8" i="13"/>
  <c r="IS38" i="17" s="1"/>
  <c r="AV17" i="13"/>
  <c r="IS41" i="17" s="1"/>
  <c r="AV14" i="13"/>
  <c r="IS40" i="17" s="1"/>
  <c r="AV11" i="13"/>
  <c r="IS39" i="17" s="1"/>
  <c r="AV20" i="13"/>
  <c r="IS42" i="17" s="1"/>
  <c r="AS11" i="9"/>
  <c r="AS14" i="9"/>
  <c r="AW4" i="18"/>
  <c r="AW19" i="18" s="1"/>
  <c r="BW21" i="17" s="1"/>
  <c r="EE21" i="17" s="1"/>
  <c r="AW14" i="18"/>
  <c r="IT20" i="17" s="1"/>
  <c r="AW11" i="18"/>
  <c r="IT19" i="17" s="1"/>
  <c r="AW8" i="18"/>
  <c r="IT18" i="17" s="1"/>
  <c r="AV4" i="12"/>
  <c r="AV10" i="12" s="1"/>
  <c r="BV31" i="17" s="1"/>
  <c r="ED31" i="17" s="1"/>
  <c r="AV21" i="12"/>
  <c r="GL35" i="17" s="1"/>
  <c r="AV20" i="12"/>
  <c r="IS35" i="17" s="1"/>
  <c r="AV14" i="12"/>
  <c r="IS33" i="17" s="1"/>
  <c r="AV17" i="12"/>
  <c r="IS34" i="17" s="1"/>
  <c r="AV11" i="12"/>
  <c r="IS32" i="17" s="1"/>
  <c r="AQ4" i="3"/>
  <c r="AQ14" i="3"/>
  <c r="IN13" i="17" s="1"/>
  <c r="AQ17" i="3"/>
  <c r="AQ8" i="3"/>
  <c r="IN11" i="17" s="1"/>
  <c r="AT8" i="11"/>
  <c r="IQ109" i="17" s="1"/>
  <c r="AR4" i="5"/>
  <c r="AR10" i="5" s="1"/>
  <c r="AR11" i="5"/>
  <c r="AR14" i="5"/>
  <c r="AT11" i="10"/>
  <c r="IQ65" i="17" s="1"/>
  <c r="AT14" i="10"/>
  <c r="IQ66" i="17" s="1"/>
  <c r="AT21" i="10"/>
  <c r="BA4" i="21"/>
  <c r="BA17" i="21"/>
  <c r="BA8" i="21"/>
  <c r="BA14" i="21"/>
  <c r="BA11" i="21"/>
  <c r="AV11" i="14"/>
  <c r="IS46" i="17" s="1"/>
  <c r="AV20" i="14"/>
  <c r="IS49" i="17" s="1"/>
  <c r="AV14" i="14"/>
  <c r="IS47" i="17" s="1"/>
  <c r="AV8" i="14"/>
  <c r="IS45" i="17" s="1"/>
  <c r="AV17" i="14"/>
  <c r="IS48" i="17" s="1"/>
  <c r="AZ4" i="22"/>
  <c r="AZ17" i="22"/>
  <c r="IW94" i="17" s="1"/>
  <c r="AZ14" i="22"/>
  <c r="IW93" i="17" s="1"/>
  <c r="AZ11" i="22"/>
  <c r="IW92" i="17" s="1"/>
  <c r="AZ8" i="22"/>
  <c r="IW91" i="17" s="1"/>
  <c r="AZ4" i="20"/>
  <c r="AZ17" i="20"/>
  <c r="AZ19" i="20"/>
  <c r="BZ73" i="17" s="1"/>
  <c r="EH73" i="17" s="1"/>
  <c r="AG84" i="40" s="1"/>
  <c r="AZ13" i="20"/>
  <c r="BZ71" i="17" s="1"/>
  <c r="EH71" i="17" s="1"/>
  <c r="AZ10" i="20"/>
  <c r="BZ70" i="17" s="1"/>
  <c r="EH70" i="17" s="1"/>
  <c r="U81" i="40" s="1"/>
  <c r="AQ4" i="4"/>
  <c r="AQ11" i="4"/>
  <c r="IN98" i="17" s="1"/>
  <c r="AQ14" i="4"/>
  <c r="IN99" i="17" s="1"/>
  <c r="AQ17" i="4"/>
  <c r="IN100" i="17" s="1"/>
  <c r="AQ8" i="4"/>
  <c r="IN97" i="17" s="1"/>
  <c r="AQ10" i="4"/>
  <c r="AS10" i="10"/>
  <c r="BS64" i="17" s="1"/>
  <c r="EA64" i="17" s="1"/>
  <c r="AV4" i="13"/>
  <c r="S262" i="1"/>
  <c r="S263" i="1"/>
  <c r="S260" i="1"/>
  <c r="AT4" i="11"/>
  <c r="F255" i="1"/>
  <c r="F261" i="1"/>
  <c r="S259" i="1"/>
  <c r="F252" i="1"/>
  <c r="F251" i="1"/>
  <c r="F254" i="1"/>
  <c r="AV4" i="14"/>
  <c r="BG7" i="14"/>
  <c r="AX7" i="18"/>
  <c r="AW2" i="18"/>
  <c r="AS35" i="9"/>
  <c r="AS4" i="9"/>
  <c r="K263" i="1"/>
  <c r="V260" i="1"/>
  <c r="U260" i="1"/>
  <c r="V259" i="1"/>
  <c r="U259" i="1"/>
  <c r="V262" i="1"/>
  <c r="V263" i="1"/>
  <c r="U263" i="1"/>
  <c r="U262" i="1"/>
  <c r="O262" i="1"/>
  <c r="O260" i="1"/>
  <c r="P263" i="1"/>
  <c r="O259" i="1"/>
  <c r="O263" i="1"/>
  <c r="E262" i="1"/>
  <c r="N260" i="1"/>
  <c r="N259" i="1"/>
  <c r="N262" i="1"/>
  <c r="N263" i="1"/>
  <c r="M262" i="1"/>
  <c r="M263" i="1"/>
  <c r="M260" i="1"/>
  <c r="M259" i="1"/>
  <c r="P262" i="1"/>
  <c r="P260" i="1"/>
  <c r="P259" i="1"/>
  <c r="E263" i="1"/>
  <c r="E260" i="1"/>
  <c r="AT4" i="10"/>
  <c r="AT19" i="10" s="1"/>
  <c r="BT67" i="17" s="1"/>
  <c r="J263" i="1"/>
  <c r="I263" i="1"/>
  <c r="L259" i="1"/>
  <c r="H263" i="1"/>
  <c r="J262" i="1"/>
  <c r="H262" i="1"/>
  <c r="I262" i="1"/>
  <c r="L263" i="1"/>
  <c r="L262" i="1"/>
  <c r="L260" i="1"/>
  <c r="BA6" i="20"/>
  <c r="AW6" i="14"/>
  <c r="AU6" i="11"/>
  <c r="AU6" i="10"/>
  <c r="AT6" i="9"/>
  <c r="AT6" i="8"/>
  <c r="AS6" i="5"/>
  <c r="AR6" i="4"/>
  <c r="BA6" i="22"/>
  <c r="BB6" i="21"/>
  <c r="BB22" i="19"/>
  <c r="BB20" i="19" s="1"/>
  <c r="AW6" i="12"/>
  <c r="AW8" i="12" s="1"/>
  <c r="AW6" i="13"/>
  <c r="AX6" i="18"/>
  <c r="H259" i="1"/>
  <c r="H261" i="1"/>
  <c r="H260" i="1"/>
  <c r="J260" i="1"/>
  <c r="J259" i="1"/>
  <c r="I261" i="1"/>
  <c r="I260" i="1"/>
  <c r="I259" i="1"/>
  <c r="J261" i="1"/>
  <c r="B266" i="1"/>
  <c r="E267" i="1" s="1"/>
  <c r="AR6" i="3"/>
  <c r="R104" i="40" l="1"/>
  <c r="R102" i="40"/>
  <c r="U95" i="40"/>
  <c r="T95" i="40"/>
  <c r="V91" i="40"/>
  <c r="T84" i="40"/>
  <c r="R103" i="40"/>
  <c r="W90" i="40"/>
  <c r="T80" i="17"/>
  <c r="AG81" i="40"/>
  <c r="U84" i="40"/>
  <c r="V90" i="40"/>
  <c r="T81" i="40"/>
  <c r="V89" i="40"/>
  <c r="T82" i="17"/>
  <c r="AG90" i="40"/>
  <c r="R101" i="40"/>
  <c r="T82" i="40"/>
  <c r="BA10" i="21"/>
  <c r="CA85" i="17" s="1"/>
  <c r="EI85" i="17" s="1"/>
  <c r="W95" i="40" s="1"/>
  <c r="BA16" i="21"/>
  <c r="CA87" i="17" s="1"/>
  <c r="BA13" i="21"/>
  <c r="CA86" i="17" s="1"/>
  <c r="EI86" i="17" s="1"/>
  <c r="BA19" i="21"/>
  <c r="CA88" i="17" s="1"/>
  <c r="EI88" i="17" s="1"/>
  <c r="AH98" i="40" s="1"/>
  <c r="BA30" i="20"/>
  <c r="BA16" i="20"/>
  <c r="CA72" i="17" s="1"/>
  <c r="EH72" i="17"/>
  <c r="V83" i="40"/>
  <c r="AF102" i="40"/>
  <c r="U82" i="40"/>
  <c r="AG82" i="40"/>
  <c r="W81" i="40"/>
  <c r="AZ10" i="22"/>
  <c r="BZ91" i="17" s="1"/>
  <c r="EH91" i="17" s="1"/>
  <c r="AG101" i="40" s="1"/>
  <c r="M80" i="17"/>
  <c r="AZ13" i="22"/>
  <c r="BZ92" i="17" s="1"/>
  <c r="T102" i="40" s="1"/>
  <c r="AZ19" i="22"/>
  <c r="BZ94" i="17" s="1"/>
  <c r="EH94" i="17" s="1"/>
  <c r="AG104" i="40" s="1"/>
  <c r="AZ16" i="22"/>
  <c r="BZ93" i="17" s="1"/>
  <c r="EH93" i="17" s="1"/>
  <c r="EH86" i="17"/>
  <c r="U96" i="40" s="1"/>
  <c r="EH87" i="17"/>
  <c r="EG93" i="17"/>
  <c r="AS16" i="8"/>
  <c r="BS54" i="17" s="1"/>
  <c r="EA54" i="17" s="1"/>
  <c r="AH82" i="40"/>
  <c r="BB29" i="19"/>
  <c r="CB81" i="17" s="1"/>
  <c r="EJ81" i="17" s="1"/>
  <c r="Y90" i="40" s="1"/>
  <c r="BB32" i="19"/>
  <c r="CB82" i="17" s="1"/>
  <c r="EJ82" i="17" s="1"/>
  <c r="S82" i="17" s="1"/>
  <c r="IN14" i="17"/>
  <c r="D247" i="1"/>
  <c r="BP14" i="17"/>
  <c r="DX14" i="17" s="1"/>
  <c r="EC48" i="17"/>
  <c r="AV10" i="14"/>
  <c r="BV45" i="17" s="1"/>
  <c r="AQ13" i="3"/>
  <c r="D252" i="1" s="1"/>
  <c r="AW16" i="18"/>
  <c r="BW20" i="17" s="1"/>
  <c r="EE20" i="17" s="1"/>
  <c r="AW10" i="18"/>
  <c r="BW18" i="17" s="1"/>
  <c r="EE18" i="17" s="1"/>
  <c r="AV13" i="12"/>
  <c r="BV32" i="17" s="1"/>
  <c r="ED32" i="17" s="1"/>
  <c r="AW13" i="18"/>
  <c r="BW19" i="17" s="1"/>
  <c r="EE19" i="17" s="1"/>
  <c r="AR11" i="3"/>
  <c r="AQ22" i="3"/>
  <c r="BQ15" i="17" s="1"/>
  <c r="DY15" i="17" s="1"/>
  <c r="AV22" i="14"/>
  <c r="BV49" i="17" s="1"/>
  <c r="AS13" i="9"/>
  <c r="BS59" i="17" s="1"/>
  <c r="EA59" i="17" s="1"/>
  <c r="AV19" i="13"/>
  <c r="BV41" i="17" s="1"/>
  <c r="EC34" i="17"/>
  <c r="AV22" i="13"/>
  <c r="BV42" i="17" s="1"/>
  <c r="AV10" i="13"/>
  <c r="BV38" i="17" s="1"/>
  <c r="AV22" i="12"/>
  <c r="BV35" i="17" s="1"/>
  <c r="ED35" i="17" s="1"/>
  <c r="AV19" i="12"/>
  <c r="BV34" i="17" s="1"/>
  <c r="ED34" i="17" s="1"/>
  <c r="AV16" i="13"/>
  <c r="BV40" i="17" s="1"/>
  <c r="AV13" i="13"/>
  <c r="BV39" i="17" s="1"/>
  <c r="ED39" i="17" s="1"/>
  <c r="AV16" i="12"/>
  <c r="BV33" i="17" s="1"/>
  <c r="AS10" i="9"/>
  <c r="BS58" i="17" s="1"/>
  <c r="EA58" i="17" s="1"/>
  <c r="AS19" i="9"/>
  <c r="BS61" i="17" s="1"/>
  <c r="EA61" i="17" s="1"/>
  <c r="AV16" i="14"/>
  <c r="BV47" i="17" s="1"/>
  <c r="AV13" i="14"/>
  <c r="BV46" i="17" s="1"/>
  <c r="AV19" i="14"/>
  <c r="BV48" i="17" s="1"/>
  <c r="EC42" i="17"/>
  <c r="AS16" i="9"/>
  <c r="BS60" i="17" s="1"/>
  <c r="EA60" i="17" s="1"/>
  <c r="EC46" i="17"/>
  <c r="AT23" i="10"/>
  <c r="AT16" i="10"/>
  <c r="BT66" i="17" s="1"/>
  <c r="EB66" i="17" s="1"/>
  <c r="EC35" i="17"/>
  <c r="EB67" i="17"/>
  <c r="EA109" i="17"/>
  <c r="AT13" i="10"/>
  <c r="BT65" i="17" s="1"/>
  <c r="AS19" i="8"/>
  <c r="BS55" i="17" s="1"/>
  <c r="EA55" i="17" s="1" a="1"/>
  <c r="EA55" i="17" s="1"/>
  <c r="AT10" i="11"/>
  <c r="BT109" i="17" s="1"/>
  <c r="EB109" i="17" s="1"/>
  <c r="K260" i="1"/>
  <c r="K259" i="1"/>
  <c r="AS10" i="8"/>
  <c r="BS52" i="17" s="1"/>
  <c r="EA52" i="17" s="1" a="1"/>
  <c r="EA52" i="17" s="1"/>
  <c r="AS13" i="8"/>
  <c r="BS53" i="17" s="1"/>
  <c r="G260" i="1"/>
  <c r="K262" i="1"/>
  <c r="Q246" i="1"/>
  <c r="G263" i="1"/>
  <c r="R254" i="1"/>
  <c r="G259" i="1"/>
  <c r="AQ19" i="3"/>
  <c r="G262" i="1"/>
  <c r="BQ104" i="17"/>
  <c r="DY104" i="17" s="1"/>
  <c r="AR13" i="5"/>
  <c r="BR104" i="17" s="1"/>
  <c r="AQ10" i="3"/>
  <c r="BQ11" i="17" s="1"/>
  <c r="DY11" i="17" s="1"/>
  <c r="AR16" i="5"/>
  <c r="R262" i="1" s="1"/>
  <c r="AR19" i="5"/>
  <c r="R263" i="1" s="1"/>
  <c r="BQ103" i="17"/>
  <c r="DY103" i="17" s="1"/>
  <c r="DX105" i="17"/>
  <c r="DZ55" i="17" a="1"/>
  <c r="DZ55" i="17" s="1"/>
  <c r="AQ19" i="4"/>
  <c r="BQ100" i="17" s="1"/>
  <c r="DY100" i="17" s="1"/>
  <c r="D244" i="1"/>
  <c r="Q244" i="1"/>
  <c r="BP100" i="17"/>
  <c r="AQ16" i="3"/>
  <c r="D254" i="1" s="1"/>
  <c r="D243" i="1"/>
  <c r="DX11" i="17"/>
  <c r="AQ16" i="4"/>
  <c r="BQ99" i="17" s="1"/>
  <c r="AQ13" i="4"/>
  <c r="Q252" i="1" s="1"/>
  <c r="R259" i="1"/>
  <c r="BR103" i="17"/>
  <c r="DZ103" i="17" s="1"/>
  <c r="BP13" i="17"/>
  <c r="Q251" i="1"/>
  <c r="BQ97" i="17"/>
  <c r="DY97" i="17" s="1"/>
  <c r="DY105" i="17"/>
  <c r="DY106" i="17"/>
  <c r="DX98" i="17" a="1"/>
  <c r="DX98" i="17" s="1"/>
  <c r="DX97" i="17"/>
  <c r="DX99" i="17" a="1"/>
  <c r="DX99" i="17" s="1"/>
  <c r="BB26" i="19"/>
  <c r="CB80" i="17" s="1"/>
  <c r="EJ80" i="17" s="1"/>
  <c r="S80" i="17" s="1"/>
  <c r="AR4" i="4"/>
  <c r="AR11" i="4"/>
  <c r="AR14" i="4"/>
  <c r="AR8" i="4"/>
  <c r="AR17" i="4"/>
  <c r="AR10" i="4"/>
  <c r="AS4" i="5"/>
  <c r="AS11" i="5"/>
  <c r="AS14" i="5"/>
  <c r="AX4" i="18"/>
  <c r="AX19" i="18" s="1"/>
  <c r="BX21" i="17" s="1"/>
  <c r="EF21" i="17" s="1"/>
  <c r="AX14" i="18"/>
  <c r="IU20" i="17" s="1"/>
  <c r="AX8" i="18"/>
  <c r="IU18" i="17" s="1"/>
  <c r="AX11" i="18"/>
  <c r="IU19" i="17" s="1"/>
  <c r="AT4" i="8"/>
  <c r="AT11" i="8"/>
  <c r="IQ53" i="17" s="1"/>
  <c r="AT17" i="8"/>
  <c r="IQ55" i="17" s="1"/>
  <c r="AT8" i="8"/>
  <c r="IQ52" i="17" s="1"/>
  <c r="AT14" i="8"/>
  <c r="IQ54" i="17" s="1"/>
  <c r="AR4" i="3"/>
  <c r="AR14" i="3"/>
  <c r="AR8" i="3"/>
  <c r="AR17" i="3"/>
  <c r="IO14" i="17" s="1"/>
  <c r="AU8" i="11"/>
  <c r="IR109" i="17" s="1"/>
  <c r="AW20" i="13"/>
  <c r="IT42" i="17" s="1"/>
  <c r="AW8" i="13"/>
  <c r="IT38" i="17" s="1"/>
  <c r="AW17" i="13"/>
  <c r="IT41" i="17" s="1"/>
  <c r="AW14" i="13"/>
  <c r="IT40" i="17" s="1"/>
  <c r="AW11" i="13"/>
  <c r="IT39" i="17" s="1"/>
  <c r="BB4" i="21"/>
  <c r="BB11" i="21"/>
  <c r="BB17" i="21"/>
  <c r="BB14" i="21"/>
  <c r="BB16" i="21"/>
  <c r="CB87" i="17" s="1"/>
  <c r="EJ87" i="17" s="1"/>
  <c r="BB19" i="21"/>
  <c r="CB88" i="17" s="1"/>
  <c r="EJ88" i="17" s="1"/>
  <c r="AI98" i="40" s="1"/>
  <c r="BB13" i="21"/>
  <c r="CB86" i="17" s="1"/>
  <c r="EJ86" i="17" s="1"/>
  <c r="BB10" i="21"/>
  <c r="CB85" i="17" s="1"/>
  <c r="EJ85" i="17" s="1"/>
  <c r="AI95" i="40" s="1"/>
  <c r="AT11" i="9"/>
  <c r="IQ59" i="17" s="1"/>
  <c r="AT14" i="9"/>
  <c r="IQ60" i="17" s="1"/>
  <c r="AW4" i="12"/>
  <c r="AW10" i="12" s="1"/>
  <c r="BW31" i="17" s="1"/>
  <c r="EE31" i="17" s="1"/>
  <c r="AW21" i="12"/>
  <c r="GM35" i="17" s="1"/>
  <c r="AW20" i="12"/>
  <c r="IT35" i="17" s="1"/>
  <c r="AW11" i="12"/>
  <c r="IT32" i="17" s="1"/>
  <c r="AW14" i="12"/>
  <c r="IT33" i="17" s="1"/>
  <c r="AW17" i="12"/>
  <c r="IT34" i="17" s="1"/>
  <c r="AU11" i="10"/>
  <c r="IR65" i="17" s="1"/>
  <c r="AU14" i="10"/>
  <c r="IR66" i="17" s="1"/>
  <c r="AU21" i="10"/>
  <c r="AW20" i="14"/>
  <c r="IT49" i="17" s="1"/>
  <c r="AW14" i="14"/>
  <c r="IT47" i="17" s="1"/>
  <c r="AW8" i="14"/>
  <c r="IT45" i="17" s="1"/>
  <c r="AW17" i="14"/>
  <c r="IT48" i="17" s="1"/>
  <c r="AW11" i="14"/>
  <c r="IT46" i="17" s="1"/>
  <c r="BA4" i="22"/>
  <c r="BA8" i="22"/>
  <c r="BA17" i="22"/>
  <c r="BA14" i="22"/>
  <c r="BA16" i="22" s="1"/>
  <c r="CA93" i="17" s="1"/>
  <c r="EI93" i="17" s="1"/>
  <c r="BA11" i="22"/>
  <c r="BA4" i="20"/>
  <c r="BA17" i="20"/>
  <c r="BA19" i="20"/>
  <c r="CA73" i="17" s="1"/>
  <c r="EI73" i="17" s="1"/>
  <c r="BA13" i="20"/>
  <c r="CA71" i="17" s="1"/>
  <c r="EI71" i="17" s="1"/>
  <c r="BA10" i="20"/>
  <c r="CA70" i="17" s="1"/>
  <c r="EI70" i="17" s="1"/>
  <c r="AH81" i="40" s="1"/>
  <c r="AT10" i="10"/>
  <c r="BT64" i="17" s="1"/>
  <c r="EB64" i="17" s="1"/>
  <c r="AW4" i="13"/>
  <c r="S268" i="1"/>
  <c r="S271" i="1"/>
  <c r="S270" i="1"/>
  <c r="AU4" i="11"/>
  <c r="F263" i="1"/>
  <c r="F262" i="1"/>
  <c r="F269" i="1"/>
  <c r="S267" i="1"/>
  <c r="F260" i="1"/>
  <c r="F259" i="1"/>
  <c r="AW4" i="14"/>
  <c r="BH7" i="14"/>
  <c r="AY7" i="18"/>
  <c r="AX2" i="18"/>
  <c r="AT35" i="9"/>
  <c r="AT4" i="9"/>
  <c r="AT10" i="9" s="1"/>
  <c r="BT58" i="17" s="1"/>
  <c r="V271" i="1"/>
  <c r="U271" i="1"/>
  <c r="V270" i="1"/>
  <c r="V267" i="1"/>
  <c r="U267" i="1"/>
  <c r="U270" i="1"/>
  <c r="V268" i="1"/>
  <c r="U268" i="1"/>
  <c r="P271" i="1"/>
  <c r="O268" i="1"/>
  <c r="O271" i="1"/>
  <c r="O270" i="1"/>
  <c r="O267" i="1"/>
  <c r="E270" i="1"/>
  <c r="N267" i="1"/>
  <c r="N271" i="1"/>
  <c r="N270" i="1"/>
  <c r="N268" i="1"/>
  <c r="M270" i="1"/>
  <c r="P267" i="1"/>
  <c r="M267" i="1"/>
  <c r="M268" i="1"/>
  <c r="P268" i="1"/>
  <c r="M271" i="1"/>
  <c r="P270" i="1"/>
  <c r="E268" i="1"/>
  <c r="E271" i="1"/>
  <c r="AU4" i="10"/>
  <c r="J271" i="1"/>
  <c r="L268" i="1"/>
  <c r="I271" i="1"/>
  <c r="H271" i="1"/>
  <c r="L267" i="1"/>
  <c r="J270" i="1"/>
  <c r="H270" i="1"/>
  <c r="I270" i="1"/>
  <c r="L271" i="1"/>
  <c r="L270" i="1"/>
  <c r="BB6" i="20"/>
  <c r="AX6" i="14"/>
  <c r="AV6" i="11"/>
  <c r="AV6" i="10"/>
  <c r="AU6" i="9"/>
  <c r="AU6" i="8"/>
  <c r="AT6" i="5"/>
  <c r="AS6" i="4"/>
  <c r="BB6" i="22"/>
  <c r="BC6" i="21"/>
  <c r="BC22" i="19"/>
  <c r="BC20" i="19" s="1"/>
  <c r="AX6" i="12"/>
  <c r="AX8" i="12" s="1"/>
  <c r="IU31" i="17" s="1"/>
  <c r="AX6" i="13"/>
  <c r="AY6" i="18"/>
  <c r="H269" i="1"/>
  <c r="H267" i="1"/>
  <c r="H268" i="1"/>
  <c r="I269" i="1"/>
  <c r="I268" i="1"/>
  <c r="I267" i="1"/>
  <c r="J269" i="1"/>
  <c r="J268" i="1"/>
  <c r="J267" i="1"/>
  <c r="B274" i="1"/>
  <c r="AS6" i="3"/>
  <c r="V96" i="40" l="1"/>
  <c r="BA13" i="22"/>
  <c r="CA92" i="17" s="1"/>
  <c r="EI92" i="17" s="1"/>
  <c r="BA10" i="22"/>
  <c r="CA91" i="17" s="1"/>
  <c r="EI91" i="17" s="1"/>
  <c r="T101" i="40"/>
  <c r="EI87" i="17"/>
  <c r="AH95" i="40"/>
  <c r="P81" i="17"/>
  <c r="M81" i="17"/>
  <c r="X89" i="40"/>
  <c r="V82" i="40"/>
  <c r="Y95" i="40"/>
  <c r="AG103" i="40"/>
  <c r="AF103" i="40"/>
  <c r="W84" i="40"/>
  <c r="AI97" i="40"/>
  <c r="J82" i="17"/>
  <c r="V95" i="40"/>
  <c r="W96" i="40"/>
  <c r="AH84" i="40"/>
  <c r="AG96" i="40"/>
  <c r="AG97" i="40"/>
  <c r="X95" i="40"/>
  <c r="U83" i="40"/>
  <c r="AG83" i="40"/>
  <c r="V84" i="40"/>
  <c r="V81" i="40"/>
  <c r="S81" i="17"/>
  <c r="P21" i="40"/>
  <c r="X90" i="40"/>
  <c r="P82" i="17"/>
  <c r="X91" i="40"/>
  <c r="M82" i="17"/>
  <c r="W82" i="40"/>
  <c r="V102" i="40"/>
  <c r="J81" i="17"/>
  <c r="T104" i="40"/>
  <c r="T103" i="40"/>
  <c r="BA19" i="22"/>
  <c r="CA94" i="17" s="1"/>
  <c r="EI94" i="17" s="1"/>
  <c r="AH104" i="40" s="1"/>
  <c r="X96" i="40"/>
  <c r="BB16" i="20"/>
  <c r="CB72" i="17" s="1"/>
  <c r="EJ72" i="17" s="1"/>
  <c r="BB30" i="20"/>
  <c r="AH96" i="40"/>
  <c r="EI72" i="17"/>
  <c r="W83" i="40" s="1"/>
  <c r="V101" i="40"/>
  <c r="V103" i="40"/>
  <c r="V104" i="40"/>
  <c r="AH101" i="40"/>
  <c r="AH97" i="40"/>
  <c r="G270" i="1"/>
  <c r="EH92" i="17"/>
  <c r="AG102" i="40" s="1"/>
  <c r="AI96" i="40"/>
  <c r="Y96" i="40"/>
  <c r="ED45" i="17"/>
  <c r="AH103" i="40"/>
  <c r="AT16" i="8"/>
  <c r="BT54" i="17" s="1"/>
  <c r="EB54" i="17" s="1"/>
  <c r="AR13" i="3"/>
  <c r="D260" i="1" s="1"/>
  <c r="AX13" i="18"/>
  <c r="BX19" i="17" s="1"/>
  <c r="EF19" i="17" s="1"/>
  <c r="AE19" i="40" s="1"/>
  <c r="AX16" i="18"/>
  <c r="BX20" i="17" s="1"/>
  <c r="EF20" i="17" s="1"/>
  <c r="AX10" i="18"/>
  <c r="BX18" i="17" s="1"/>
  <c r="EF18" i="17" s="1"/>
  <c r="Q18" i="40" s="1"/>
  <c r="BQ12" i="17"/>
  <c r="DY12" i="17" s="1"/>
  <c r="AU10" i="11"/>
  <c r="BU109" i="17" s="1"/>
  <c r="EC109" i="17" s="1"/>
  <c r="ED46" i="17"/>
  <c r="BC29" i="19"/>
  <c r="BC32" i="19"/>
  <c r="K268" i="1"/>
  <c r="K267" i="1"/>
  <c r="AW10" i="13"/>
  <c r="BW38" i="17" s="1"/>
  <c r="EE38" i="17" s="1"/>
  <c r="AW19" i="14"/>
  <c r="BW48" i="17" s="1"/>
  <c r="D255" i="1"/>
  <c r="BQ14" i="17"/>
  <c r="DY14" i="17" s="1"/>
  <c r="AW22" i="12"/>
  <c r="BW35" i="17" s="1"/>
  <c r="EE35" i="17" s="1"/>
  <c r="AW13" i="12"/>
  <c r="BW32" i="17" s="1"/>
  <c r="AW16" i="12"/>
  <c r="BW33" i="17" s="1"/>
  <c r="EE33" i="17" s="1"/>
  <c r="AW19" i="12"/>
  <c r="BW34" i="17" s="1"/>
  <c r="EE34" i="17" s="1"/>
  <c r="AW19" i="13"/>
  <c r="BW41" i="17" s="1"/>
  <c r="EE41" i="17" s="1"/>
  <c r="AW10" i="14"/>
  <c r="BW45" i="17" s="1"/>
  <c r="EE45" i="17" s="1"/>
  <c r="AU16" i="10"/>
  <c r="BU66" i="17" s="1"/>
  <c r="EC66" i="17" s="1"/>
  <c r="AW22" i="14"/>
  <c r="BW49" i="17" s="1"/>
  <c r="EE49" i="17" s="1"/>
  <c r="AW16" i="13"/>
  <c r="BW40" i="17" s="1"/>
  <c r="EE40" i="17" s="1"/>
  <c r="AW13" i="13"/>
  <c r="BW39" i="17" s="1"/>
  <c r="EE39" i="17" s="1"/>
  <c r="AW16" i="14"/>
  <c r="BW47" i="17" s="1"/>
  <c r="EE47" i="17" s="1"/>
  <c r="AW13" i="14"/>
  <c r="BW46" i="17" s="1"/>
  <c r="AW22" i="13"/>
  <c r="BW42" i="17" s="1"/>
  <c r="AS11" i="3"/>
  <c r="AR22" i="3"/>
  <c r="BR15" i="17" s="1"/>
  <c r="DZ15" i="17" s="1"/>
  <c r="AT13" i="9"/>
  <c r="BT59" i="17" s="1"/>
  <c r="EB59" i="17" s="1"/>
  <c r="ED48" i="17"/>
  <c r="ED38" i="17"/>
  <c r="ED40" i="17"/>
  <c r="K270" i="1"/>
  <c r="ED33" i="17"/>
  <c r="ED41" i="17"/>
  <c r="ED47" i="17"/>
  <c r="K271" i="1"/>
  <c r="ED42" i="17"/>
  <c r="ED49" i="17"/>
  <c r="AU19" i="10"/>
  <c r="BU67" i="17" s="1"/>
  <c r="AU13" i="10"/>
  <c r="BU65" i="17" s="1"/>
  <c r="EC65" i="17" s="1"/>
  <c r="AU23" i="10"/>
  <c r="EB58" i="17"/>
  <c r="AT16" i="9"/>
  <c r="BT60" i="17" s="1"/>
  <c r="EB60" i="17" s="1"/>
  <c r="G271" i="1"/>
  <c r="AT19" i="9"/>
  <c r="BT61" i="17" s="1"/>
  <c r="EB61" i="17" s="1"/>
  <c r="EB65" i="17"/>
  <c r="BQ13" i="17"/>
  <c r="DY13" i="17" s="1"/>
  <c r="AT10" i="8"/>
  <c r="BT52" i="17" s="1"/>
  <c r="EB52" i="17" s="1" a="1"/>
  <c r="EB52" i="17" s="1"/>
  <c r="AT19" i="8"/>
  <c r="BT55" i="17" s="1"/>
  <c r="AT13" i="8"/>
  <c r="BT53" i="17" s="1"/>
  <c r="EB53" i="17" s="1" a="1"/>
  <c r="EB53" i="17" s="1"/>
  <c r="G267" i="1"/>
  <c r="G268" i="1"/>
  <c r="R260" i="1"/>
  <c r="BR105" i="17"/>
  <c r="EA53" i="17" a="1"/>
  <c r="EA53" i="17" s="1"/>
  <c r="AS16" i="5"/>
  <c r="R270" i="1" s="1"/>
  <c r="AS13" i="5"/>
  <c r="BS104" i="17" s="1"/>
  <c r="AS10" i="5"/>
  <c r="R267" i="1" s="1"/>
  <c r="AS19" i="5"/>
  <c r="R271" i="1" s="1"/>
  <c r="AR19" i="3"/>
  <c r="Q254" i="1"/>
  <c r="Q255" i="1"/>
  <c r="D251" i="1"/>
  <c r="AR19" i="4"/>
  <c r="BR100" i="17" s="1"/>
  <c r="BR106" i="17"/>
  <c r="AR16" i="4"/>
  <c r="BR99" i="17" s="1"/>
  <c r="AR10" i="3"/>
  <c r="D259" i="1" s="1"/>
  <c r="AR16" i="3"/>
  <c r="D262" i="1" s="1"/>
  <c r="AR13" i="4"/>
  <c r="Q260" i="1" s="1"/>
  <c r="BQ98" i="17"/>
  <c r="DX100" i="17"/>
  <c r="DY99" i="17" a="1"/>
  <c r="DY99" i="17" s="1"/>
  <c r="DZ104" i="17"/>
  <c r="DX13" i="17"/>
  <c r="Q259" i="1"/>
  <c r="BR97" i="17"/>
  <c r="BC26" i="19"/>
  <c r="AU4" i="8"/>
  <c r="AU17" i="8"/>
  <c r="IR55" i="17" s="1"/>
  <c r="AU11" i="8"/>
  <c r="IR53" i="17" s="1"/>
  <c r="AU14" i="8"/>
  <c r="IR54" i="17" s="1"/>
  <c r="AU8" i="8"/>
  <c r="IR52" i="17" s="1"/>
  <c r="AY4" i="18"/>
  <c r="AY11" i="18"/>
  <c r="IV19" i="17" s="1"/>
  <c r="AY14" i="18"/>
  <c r="IV20" i="17" s="1"/>
  <c r="AY8" i="18"/>
  <c r="IV18" i="17" s="1"/>
  <c r="AX11" i="13"/>
  <c r="IU39" i="17" s="1"/>
  <c r="AX20" i="13"/>
  <c r="IU42" i="17" s="1"/>
  <c r="AX8" i="13"/>
  <c r="IU38" i="17" s="1"/>
  <c r="AX17" i="13"/>
  <c r="IU41" i="17" s="1"/>
  <c r="AX14" i="13"/>
  <c r="IU40" i="17" s="1"/>
  <c r="AX4" i="12"/>
  <c r="AX17" i="12"/>
  <c r="IU34" i="17" s="1"/>
  <c r="AX20" i="12"/>
  <c r="IU35" i="17" s="1"/>
  <c r="AX11" i="12"/>
  <c r="IU32" i="17" s="1"/>
  <c r="AX21" i="12"/>
  <c r="GN35" i="17" s="1"/>
  <c r="AX14" i="12"/>
  <c r="IU33" i="17" s="1"/>
  <c r="AS4" i="3"/>
  <c r="AS22" i="3" s="1"/>
  <c r="BS15" i="17" s="1"/>
  <c r="EA15" i="17" s="1"/>
  <c r="AS8" i="3"/>
  <c r="AS17" i="3"/>
  <c r="IP14" i="17" s="1"/>
  <c r="AS14" i="3"/>
  <c r="AS4" i="4"/>
  <c r="AS11" i="4"/>
  <c r="AS14" i="4"/>
  <c r="AS8" i="4"/>
  <c r="AS17" i="4"/>
  <c r="AS10" i="4"/>
  <c r="AU11" i="9"/>
  <c r="IR59" i="17" s="1"/>
  <c r="AU14" i="9"/>
  <c r="IR60" i="17" s="1"/>
  <c r="AV8" i="11"/>
  <c r="IS109" i="17" s="1"/>
  <c r="S275" i="1"/>
  <c r="E275" i="1"/>
  <c r="BC4" i="21"/>
  <c r="BC11" i="21"/>
  <c r="BC17" i="21"/>
  <c r="BC8" i="21"/>
  <c r="BC14" i="21"/>
  <c r="BC19" i="21"/>
  <c r="BC13" i="21"/>
  <c r="BC16" i="21"/>
  <c r="BC10" i="21"/>
  <c r="AX14" i="14"/>
  <c r="IU47" i="17" s="1"/>
  <c r="AX8" i="14"/>
  <c r="IU45" i="17" s="1"/>
  <c r="AX17" i="14"/>
  <c r="IU48" i="17" s="1"/>
  <c r="AX11" i="14"/>
  <c r="IU46" i="17" s="1"/>
  <c r="AX20" i="14"/>
  <c r="IU49" i="17" s="1"/>
  <c r="AT4" i="5"/>
  <c r="AT11" i="5"/>
  <c r="IQ104" i="17" s="1"/>
  <c r="AT14" i="5"/>
  <c r="IQ105" i="17" s="1"/>
  <c r="AV11" i="10"/>
  <c r="IS65" i="17" s="1"/>
  <c r="AV14" i="10"/>
  <c r="IS66" i="17" s="1"/>
  <c r="AV21" i="10"/>
  <c r="BB4" i="22"/>
  <c r="BB8" i="22"/>
  <c r="BB17" i="22"/>
  <c r="BB14" i="22"/>
  <c r="BB11" i="22"/>
  <c r="BB16" i="22"/>
  <c r="CB93" i="17" s="1"/>
  <c r="EJ93" i="17" s="1"/>
  <c r="AI103" i="40" s="1"/>
  <c r="BB10" i="22"/>
  <c r="CB91" i="17" s="1"/>
  <c r="EJ91" i="17" s="1"/>
  <c r="AI101" i="40" s="1"/>
  <c r="BB19" i="22"/>
  <c r="CB94" i="17" s="1"/>
  <c r="EJ94" i="17" s="1"/>
  <c r="AI104" i="40" s="1"/>
  <c r="BB13" i="22"/>
  <c r="CB92" i="17" s="1"/>
  <c r="EJ92" i="17" s="1"/>
  <c r="BB4" i="20"/>
  <c r="BB17" i="20"/>
  <c r="BB19" i="20"/>
  <c r="CB73" i="17" s="1"/>
  <c r="EJ73" i="17" s="1"/>
  <c r="Y84" i="40" s="1"/>
  <c r="BB13" i="20"/>
  <c r="CB71" i="17" s="1"/>
  <c r="EJ71" i="17" s="1"/>
  <c r="Y82" i="40" s="1"/>
  <c r="BB10" i="20"/>
  <c r="CB70" i="17" s="1"/>
  <c r="EJ70" i="17" s="1"/>
  <c r="Y81" i="40" s="1"/>
  <c r="AU10" i="10"/>
  <c r="BU64" i="17" s="1"/>
  <c r="EC64" i="17" s="1"/>
  <c r="F271" i="1"/>
  <c r="F270" i="1"/>
  <c r="F277" i="1"/>
  <c r="S278" i="1"/>
  <c r="S279" i="1"/>
  <c r="S276" i="1"/>
  <c r="AV4" i="11"/>
  <c r="AX4" i="13"/>
  <c r="F268" i="1"/>
  <c r="F267" i="1"/>
  <c r="BI7" i="14"/>
  <c r="AX4" i="14"/>
  <c r="AZ7" i="18"/>
  <c r="AY2" i="18"/>
  <c r="AU35" i="9"/>
  <c r="AU4" i="9"/>
  <c r="AU10" i="9" s="1"/>
  <c r="BU58" i="17" s="1"/>
  <c r="K275" i="1"/>
  <c r="V276" i="1"/>
  <c r="U276" i="1"/>
  <c r="V275" i="1"/>
  <c r="U275" i="1"/>
  <c r="V278" i="1"/>
  <c r="U278" i="1"/>
  <c r="V279" i="1"/>
  <c r="U279" i="1"/>
  <c r="O275" i="1"/>
  <c r="O278" i="1"/>
  <c r="O279" i="1"/>
  <c r="O276" i="1"/>
  <c r="P279" i="1"/>
  <c r="E278" i="1"/>
  <c r="N279" i="1"/>
  <c r="N276" i="1"/>
  <c r="N275" i="1"/>
  <c r="N278" i="1"/>
  <c r="P278" i="1"/>
  <c r="M279" i="1"/>
  <c r="M278" i="1"/>
  <c r="P276" i="1"/>
  <c r="M276" i="1"/>
  <c r="M275" i="1"/>
  <c r="P275" i="1"/>
  <c r="E279" i="1"/>
  <c r="E276" i="1"/>
  <c r="AV4" i="10"/>
  <c r="AV19" i="10" s="1"/>
  <c r="BV67" i="17" s="1"/>
  <c r="ED67" i="17" s="1"/>
  <c r="J279" i="1"/>
  <c r="I279" i="1"/>
  <c r="L276" i="1"/>
  <c r="H279" i="1"/>
  <c r="L275" i="1"/>
  <c r="J278" i="1"/>
  <c r="H278" i="1"/>
  <c r="I278" i="1"/>
  <c r="L278" i="1"/>
  <c r="L279" i="1"/>
  <c r="BC6" i="20"/>
  <c r="AY6" i="14"/>
  <c r="AW6" i="11"/>
  <c r="AW6" i="10"/>
  <c r="AV6" i="9"/>
  <c r="AV6" i="8"/>
  <c r="AU6" i="5"/>
  <c r="AT6" i="4"/>
  <c r="BC6" i="22"/>
  <c r="BD6" i="21"/>
  <c r="BD22" i="19"/>
  <c r="BD20" i="19" s="1"/>
  <c r="AY6" i="12"/>
  <c r="AY8" i="12" s="1"/>
  <c r="IV31" i="17" s="1"/>
  <c r="AY6" i="13"/>
  <c r="AZ6" i="18"/>
  <c r="H277" i="1"/>
  <c r="H276" i="1"/>
  <c r="H275" i="1"/>
  <c r="J277" i="1"/>
  <c r="I276" i="1"/>
  <c r="I275" i="1"/>
  <c r="J276" i="1"/>
  <c r="J275" i="1"/>
  <c r="I277" i="1"/>
  <c r="B282" i="1"/>
  <c r="E283" i="1" s="1"/>
  <c r="AT6" i="3"/>
  <c r="P93" i="17" l="1"/>
  <c r="X103" i="40"/>
  <c r="X83" i="40"/>
  <c r="X104" i="40"/>
  <c r="Q19" i="40"/>
  <c r="P19" i="40"/>
  <c r="AE18" i="40"/>
  <c r="AI82" i="40"/>
  <c r="AH83" i="40"/>
  <c r="J92" i="17"/>
  <c r="AI81" i="40"/>
  <c r="X101" i="40"/>
  <c r="X82" i="40"/>
  <c r="P92" i="17"/>
  <c r="P20" i="40"/>
  <c r="P18" i="40"/>
  <c r="AI84" i="40"/>
  <c r="X102" i="40"/>
  <c r="J93" i="17"/>
  <c r="X84" i="40"/>
  <c r="X81" i="40"/>
  <c r="BR12" i="17"/>
  <c r="Y83" i="40"/>
  <c r="AI83" i="40"/>
  <c r="BC16" i="20"/>
  <c r="BC30" i="20"/>
  <c r="AI102" i="40"/>
  <c r="AH102" i="40"/>
  <c r="AY10" i="18"/>
  <c r="BY18" i="17" s="1"/>
  <c r="EG18" i="17" s="1"/>
  <c r="AF18" i="40" s="1"/>
  <c r="AY19" i="18"/>
  <c r="BY21" i="17" s="1"/>
  <c r="AY13" i="18"/>
  <c r="BY19" i="17" s="1"/>
  <c r="EG19" i="17" s="1"/>
  <c r="AF19" i="40" s="1"/>
  <c r="AY16" i="18"/>
  <c r="BY20" i="17" s="1"/>
  <c r="EG20" i="17" s="1"/>
  <c r="AX13" i="13"/>
  <c r="BX39" i="17" s="1"/>
  <c r="EF39" i="17" s="1"/>
  <c r="AE53" i="40" s="1"/>
  <c r="G278" i="1"/>
  <c r="AU16" i="8"/>
  <c r="BU54" i="17" s="1"/>
  <c r="AX22" i="13"/>
  <c r="BX42" i="17" s="1"/>
  <c r="AX13" i="12"/>
  <c r="BX32" i="17" s="1"/>
  <c r="EF32" i="17" s="1"/>
  <c r="AX10" i="13"/>
  <c r="BX38" i="17" s="1"/>
  <c r="EF38" i="17" s="1"/>
  <c r="AE52" i="40" s="1"/>
  <c r="AX19" i="12"/>
  <c r="BX34" i="17" s="1"/>
  <c r="EF34" i="17" s="1"/>
  <c r="AE50" i="40" s="1"/>
  <c r="AX19" i="13"/>
  <c r="BX41" i="17" s="1"/>
  <c r="EF41" i="17" s="1"/>
  <c r="AX22" i="14"/>
  <c r="BX49" i="17" s="1"/>
  <c r="EF49" i="17" s="1"/>
  <c r="AE61" i="40" s="1"/>
  <c r="AX22" i="12"/>
  <c r="BX35" i="17" s="1"/>
  <c r="EF35" i="17" s="1"/>
  <c r="AX16" i="13"/>
  <c r="BX40" i="17" s="1"/>
  <c r="EF40" i="17" s="1"/>
  <c r="AE54" i="40" s="1"/>
  <c r="AX10" i="14"/>
  <c r="BX45" i="17" s="1"/>
  <c r="EF45" i="17" s="1"/>
  <c r="AE57" i="40" s="1"/>
  <c r="AX19" i="14"/>
  <c r="BX48" i="17" s="1"/>
  <c r="P60" i="40" s="1"/>
  <c r="AX13" i="14"/>
  <c r="BX46" i="17" s="1"/>
  <c r="P58" i="40" s="1"/>
  <c r="AX10" i="12"/>
  <c r="BX31" i="17" s="1"/>
  <c r="P47" i="40" s="1"/>
  <c r="AX16" i="14"/>
  <c r="BX47" i="17" s="1"/>
  <c r="EF47" i="17" s="1"/>
  <c r="AE59" i="40" s="1"/>
  <c r="AX16" i="12"/>
  <c r="BX33" i="17" s="1"/>
  <c r="EF33" i="17" s="1"/>
  <c r="EE46" i="17"/>
  <c r="BD29" i="19"/>
  <c r="BD32" i="19"/>
  <c r="K276" i="1"/>
  <c r="EE42" i="17"/>
  <c r="K278" i="1"/>
  <c r="D263" i="1"/>
  <c r="BR14" i="17"/>
  <c r="DZ14" i="17" s="1"/>
  <c r="EE32" i="17"/>
  <c r="AU13" i="9"/>
  <c r="BU59" i="17" s="1"/>
  <c r="EC59" i="17" s="1"/>
  <c r="AU16" i="9"/>
  <c r="BU60" i="17" s="1"/>
  <c r="EC60" i="17" s="1"/>
  <c r="AV10" i="11"/>
  <c r="BV109" i="17" s="1"/>
  <c r="EE48" i="17"/>
  <c r="AT11" i="3"/>
  <c r="IQ12" i="17" s="1"/>
  <c r="AV23" i="10"/>
  <c r="EC67" i="17"/>
  <c r="AV16" i="10"/>
  <c r="BV66" i="17" s="1"/>
  <c r="AV13" i="10"/>
  <c r="BV65" i="17" s="1"/>
  <c r="AU19" i="9"/>
  <c r="BU61" i="17" s="1"/>
  <c r="EC61" i="17" s="1"/>
  <c r="EC58" i="17"/>
  <c r="K279" i="1"/>
  <c r="AU19" i="8"/>
  <c r="BU55" i="17" s="1"/>
  <c r="EC55" i="17" s="1" a="1"/>
  <c r="EC55" i="17" s="1"/>
  <c r="G279" i="1"/>
  <c r="AU13" i="8"/>
  <c r="BU53" i="17" s="1"/>
  <c r="EC53" i="17" s="1" a="1"/>
  <c r="EC53" i="17" s="1"/>
  <c r="AU10" i="8"/>
  <c r="BU52" i="17" s="1"/>
  <c r="EC52" i="17" s="1" a="1"/>
  <c r="EC52" i="17" s="1"/>
  <c r="BS103" i="17"/>
  <c r="G276" i="1"/>
  <c r="EB55" i="17" a="1"/>
  <c r="EB55" i="17" s="1"/>
  <c r="G275" i="1"/>
  <c r="Q262" i="1"/>
  <c r="AT13" i="5"/>
  <c r="BT104" i="17" s="1"/>
  <c r="BS105" i="17"/>
  <c r="EA105" i="17" s="1"/>
  <c r="AS10" i="3"/>
  <c r="D267" i="1" s="1"/>
  <c r="AT16" i="5"/>
  <c r="BT105" i="17" s="1"/>
  <c r="EB105" i="17" s="1"/>
  <c r="AS16" i="4"/>
  <c r="Q270" i="1" s="1"/>
  <c r="AT10" i="5"/>
  <c r="R275" i="1" s="1"/>
  <c r="AT19" i="5"/>
  <c r="BT106" i="17" s="1"/>
  <c r="EB106" i="17" s="1"/>
  <c r="BS106" i="17"/>
  <c r="EA106" i="17" s="1"/>
  <c r="Q263" i="1"/>
  <c r="AS19" i="3"/>
  <c r="R268" i="1"/>
  <c r="AS19" i="4"/>
  <c r="BS100" i="17" s="1"/>
  <c r="EA100" i="17" s="1"/>
  <c r="AS13" i="3"/>
  <c r="BS12" i="17" s="1"/>
  <c r="EA104" i="17"/>
  <c r="DZ105" i="17"/>
  <c r="DZ106" i="17"/>
  <c r="R276" i="1"/>
  <c r="AS16" i="3"/>
  <c r="BS13" i="17" s="1"/>
  <c r="EA13" i="17" s="1"/>
  <c r="AS13" i="4"/>
  <c r="BS98" i="17" s="1"/>
  <c r="EA98" i="17" s="1" a="1"/>
  <c r="EA98" i="17" s="1"/>
  <c r="BR11" i="17"/>
  <c r="BR98" i="17"/>
  <c r="DZ98" i="17" s="1" a="1"/>
  <c r="DZ98" i="17" s="1"/>
  <c r="BR13" i="17"/>
  <c r="DY98" i="17" a="1"/>
  <c r="DY98" i="17" s="1"/>
  <c r="Q267" i="1"/>
  <c r="BS97" i="17"/>
  <c r="EA97" i="17" s="1"/>
  <c r="DZ12" i="17"/>
  <c r="DZ99" i="17" a="1"/>
  <c r="DZ99" i="17" s="1"/>
  <c r="DZ97" i="17"/>
  <c r="DZ100" i="17"/>
  <c r="BD26" i="19"/>
  <c r="AV4" i="8"/>
  <c r="AV17" i="8"/>
  <c r="IS55" i="17" s="1"/>
  <c r="AV8" i="8"/>
  <c r="IS52" i="17" s="1"/>
  <c r="AV11" i="8"/>
  <c r="IS53" i="17" s="1"/>
  <c r="AV14" i="8"/>
  <c r="IS54" i="17" s="1"/>
  <c r="AY4" i="12"/>
  <c r="AY10" i="12" s="1"/>
  <c r="BY31" i="17" s="1"/>
  <c r="EG31" i="17" s="1"/>
  <c r="AY17" i="12"/>
  <c r="IV34" i="17" s="1"/>
  <c r="AY21" i="12"/>
  <c r="GO35" i="17" s="1"/>
  <c r="AY20" i="12"/>
  <c r="IV35" i="17" s="1"/>
  <c r="AY14" i="12"/>
  <c r="IV33" i="17" s="1"/>
  <c r="AY11" i="12"/>
  <c r="IV32" i="17" s="1"/>
  <c r="AU4" i="5"/>
  <c r="AU19" i="5" s="1"/>
  <c r="AU11" i="5"/>
  <c r="IR104" i="17" s="1"/>
  <c r="AU14" i="5"/>
  <c r="IR105" i="17" s="1"/>
  <c r="AY11" i="13"/>
  <c r="IV39" i="17" s="1"/>
  <c r="AY20" i="13"/>
  <c r="IV42" i="17" s="1"/>
  <c r="AY8" i="13"/>
  <c r="IV38" i="17" s="1"/>
  <c r="AY17" i="13"/>
  <c r="IV41" i="17" s="1"/>
  <c r="AY14" i="13"/>
  <c r="IV40" i="17" s="1"/>
  <c r="AV11" i="9"/>
  <c r="AV14" i="9"/>
  <c r="AT4" i="3"/>
  <c r="AT22" i="3" s="1"/>
  <c r="BT15" i="17" s="1"/>
  <c r="EB15" i="17" s="1"/>
  <c r="AT14" i="3"/>
  <c r="IQ13" i="17" s="1"/>
  <c r="AT17" i="3"/>
  <c r="AT8" i="3"/>
  <c r="IQ11" i="17" s="1"/>
  <c r="AW8" i="11"/>
  <c r="AZ4" i="18"/>
  <c r="AZ19" i="18" s="1"/>
  <c r="BZ21" i="17" s="1"/>
  <c r="EH21" i="17" s="1"/>
  <c r="AZ11" i="18"/>
  <c r="IW19" i="17" s="1"/>
  <c r="AZ14" i="18"/>
  <c r="IW20" i="17" s="1"/>
  <c r="AZ8" i="18"/>
  <c r="IW18" i="17" s="1"/>
  <c r="BD4" i="21"/>
  <c r="BD11" i="21"/>
  <c r="BD17" i="21"/>
  <c r="BD8" i="21"/>
  <c r="BD14" i="21"/>
  <c r="BD19" i="21"/>
  <c r="BD13" i="21"/>
  <c r="BD16" i="21"/>
  <c r="BD10" i="21"/>
  <c r="AW21" i="10"/>
  <c r="AW14" i="10"/>
  <c r="IT66" i="17" s="1"/>
  <c r="AW11" i="10"/>
  <c r="IT65" i="17" s="1"/>
  <c r="AY14" i="14"/>
  <c r="IV47" i="17" s="1"/>
  <c r="AY8" i="14"/>
  <c r="IV45" i="17" s="1"/>
  <c r="AY17" i="14"/>
  <c r="IV48" i="17" s="1"/>
  <c r="AY11" i="14"/>
  <c r="IV46" i="17" s="1"/>
  <c r="AY20" i="14"/>
  <c r="IV49" i="17" s="1"/>
  <c r="BC4" i="22"/>
  <c r="BC11" i="22"/>
  <c r="BC8" i="22"/>
  <c r="BC17" i="22"/>
  <c r="BC14" i="22"/>
  <c r="BC16" i="22"/>
  <c r="BC19" i="22"/>
  <c r="BC10" i="22"/>
  <c r="BC13" i="22"/>
  <c r="BC4" i="20"/>
  <c r="BC17" i="20"/>
  <c r="BC19" i="20"/>
  <c r="BC13" i="20"/>
  <c r="BC10" i="20"/>
  <c r="AT4" i="4"/>
  <c r="AT17" i="4"/>
  <c r="IQ100" i="17" s="1"/>
  <c r="AT8" i="4"/>
  <c r="IQ97" i="17" s="1"/>
  <c r="AT11" i="4"/>
  <c r="IQ98" i="17" s="1"/>
  <c r="AT14" i="4"/>
  <c r="IQ99" i="17" s="1"/>
  <c r="AT10" i="4"/>
  <c r="AV10" i="10"/>
  <c r="BV64" i="17" s="1"/>
  <c r="ED64" i="17" s="1"/>
  <c r="AY4" i="13"/>
  <c r="F278" i="1"/>
  <c r="F279" i="1"/>
  <c r="S284" i="1"/>
  <c r="S286" i="1"/>
  <c r="S287" i="1"/>
  <c r="AW4" i="11"/>
  <c r="F285" i="1"/>
  <c r="S283" i="1"/>
  <c r="F276" i="1"/>
  <c r="F275" i="1"/>
  <c r="AY4" i="14"/>
  <c r="BJ7" i="14"/>
  <c r="BA7" i="18"/>
  <c r="AZ2" i="18"/>
  <c r="K283" i="1"/>
  <c r="AV35" i="9"/>
  <c r="AV4" i="9"/>
  <c r="V287" i="1"/>
  <c r="U287" i="1"/>
  <c r="U283" i="1"/>
  <c r="V286" i="1"/>
  <c r="V283" i="1"/>
  <c r="U286" i="1"/>
  <c r="V284" i="1"/>
  <c r="U284" i="1"/>
  <c r="O287" i="1"/>
  <c r="P287" i="1"/>
  <c r="O284" i="1"/>
  <c r="O283" i="1"/>
  <c r="O286" i="1"/>
  <c r="E286" i="1"/>
  <c r="N284" i="1"/>
  <c r="N287" i="1"/>
  <c r="N286" i="1"/>
  <c r="N283" i="1"/>
  <c r="P286" i="1"/>
  <c r="M284" i="1"/>
  <c r="P283" i="1"/>
  <c r="M287" i="1"/>
  <c r="P284" i="1"/>
  <c r="M283" i="1"/>
  <c r="M286" i="1"/>
  <c r="E287" i="1"/>
  <c r="E284" i="1"/>
  <c r="AW4" i="10"/>
  <c r="J287" i="1"/>
  <c r="I287" i="1"/>
  <c r="L284" i="1"/>
  <c r="H287" i="1"/>
  <c r="L283" i="1"/>
  <c r="J286" i="1"/>
  <c r="H286" i="1"/>
  <c r="L287" i="1"/>
  <c r="L286" i="1"/>
  <c r="I286" i="1"/>
  <c r="BD6" i="20"/>
  <c r="AZ6" i="14"/>
  <c r="AX6" i="11"/>
  <c r="AX6" i="10"/>
  <c r="AW6" i="9"/>
  <c r="AW6" i="8"/>
  <c r="AV6" i="5"/>
  <c r="AU6" i="4"/>
  <c r="BD6" i="22"/>
  <c r="BE6" i="21"/>
  <c r="BE22" i="19"/>
  <c r="BE20" i="19" s="1"/>
  <c r="AZ6" i="12"/>
  <c r="AZ8" i="12" s="1"/>
  <c r="IW31" i="17" s="1"/>
  <c r="AZ6" i="13"/>
  <c r="BA6" i="18"/>
  <c r="H285" i="1"/>
  <c r="H284" i="1"/>
  <c r="H283" i="1"/>
  <c r="J283" i="1"/>
  <c r="J285" i="1"/>
  <c r="J284" i="1"/>
  <c r="I285" i="1"/>
  <c r="I284" i="1"/>
  <c r="I283" i="1"/>
  <c r="B290" i="1"/>
  <c r="AU6" i="3"/>
  <c r="P57" i="40" l="1"/>
  <c r="P52" i="40"/>
  <c r="P50" i="40"/>
  <c r="P51" i="40"/>
  <c r="P54" i="40"/>
  <c r="P59" i="40"/>
  <c r="R58" i="40"/>
  <c r="P49" i="40"/>
  <c r="T21" i="40"/>
  <c r="R21" i="40"/>
  <c r="P56" i="40"/>
  <c r="R18" i="40"/>
  <c r="P48" i="40"/>
  <c r="P53" i="40"/>
  <c r="P61" i="40"/>
  <c r="AE48" i="40"/>
  <c r="P55" i="40"/>
  <c r="R19" i="40"/>
  <c r="R20" i="40"/>
  <c r="AE49" i="40"/>
  <c r="BD30" i="20"/>
  <c r="BD16" i="20"/>
  <c r="R47" i="40"/>
  <c r="R59" i="40"/>
  <c r="AY13" i="12"/>
  <c r="BY32" i="17" s="1"/>
  <c r="EG32" i="17" s="1"/>
  <c r="AY19" i="12"/>
  <c r="BY34" i="17" s="1"/>
  <c r="EG34" i="17" s="1"/>
  <c r="AY16" i="14"/>
  <c r="BY47" i="17" s="1"/>
  <c r="EG47" i="17" s="1"/>
  <c r="AZ13" i="18"/>
  <c r="BZ19" i="17" s="1"/>
  <c r="EH19" i="17" s="1"/>
  <c r="AG19" i="40" s="1"/>
  <c r="AY19" i="13"/>
  <c r="BY41" i="17" s="1"/>
  <c r="EG41" i="17" s="1"/>
  <c r="AZ16" i="18"/>
  <c r="BZ20" i="17" s="1"/>
  <c r="EH20" i="17" s="1"/>
  <c r="AZ10" i="18"/>
  <c r="BZ18" i="17" s="1"/>
  <c r="EH18" i="17" s="1"/>
  <c r="AY13" i="14"/>
  <c r="BY46" i="17" s="1"/>
  <c r="AY19" i="14"/>
  <c r="BY48" i="17" s="1"/>
  <c r="R60" i="40" s="1"/>
  <c r="EG21" i="17"/>
  <c r="AG21" i="40" s="1"/>
  <c r="AY22" i="14"/>
  <c r="BY49" i="17" s="1"/>
  <c r="EG49" i="17" s="1"/>
  <c r="AY16" i="12"/>
  <c r="BY33" i="17" s="1"/>
  <c r="EG33" i="17" s="1"/>
  <c r="AF49" i="40" s="1"/>
  <c r="AY10" i="13"/>
  <c r="BY38" i="17" s="1"/>
  <c r="EG38" i="17" s="1"/>
  <c r="AF52" i="40" s="1"/>
  <c r="AY22" i="13"/>
  <c r="BY42" i="17" s="1"/>
  <c r="AY22" i="12"/>
  <c r="BY35" i="17" s="1"/>
  <c r="AY10" i="14"/>
  <c r="BY45" i="17" s="1"/>
  <c r="R57" i="40" s="1"/>
  <c r="AY13" i="13"/>
  <c r="BY39" i="17" s="1"/>
  <c r="R53" i="40" s="1"/>
  <c r="AY16" i="13"/>
  <c r="BY40" i="17" s="1"/>
  <c r="G286" i="1"/>
  <c r="EC54" i="17"/>
  <c r="EF31" i="17"/>
  <c r="AE47" i="40" s="1"/>
  <c r="AW23" i="10"/>
  <c r="EF46" i="17"/>
  <c r="AE58" i="40" s="1"/>
  <c r="EF42" i="17"/>
  <c r="EF48" i="17"/>
  <c r="K286" i="1"/>
  <c r="AV16" i="8"/>
  <c r="BV54" i="17" s="1"/>
  <c r="K287" i="1"/>
  <c r="BE29" i="19"/>
  <c r="BE32" i="19"/>
  <c r="AW16" i="10"/>
  <c r="BW66" i="17" s="1"/>
  <c r="EE66" i="17" s="1"/>
  <c r="AW13" i="10"/>
  <c r="BW65" i="17" s="1"/>
  <c r="EE65" i="17" s="1"/>
  <c r="AW19" i="10"/>
  <c r="BW67" i="17" s="1"/>
  <c r="AW10" i="11"/>
  <c r="BW109" i="17" s="1"/>
  <c r="EE109" i="17" s="1"/>
  <c r="AV19" i="9"/>
  <c r="BV61" i="17" s="1"/>
  <c r="ED61" i="17" s="1"/>
  <c r="AV10" i="9"/>
  <c r="BV58" i="17" s="1"/>
  <c r="AV13" i="9"/>
  <c r="BV59" i="17" s="1"/>
  <c r="ED59" i="17" s="1"/>
  <c r="AV16" i="9"/>
  <c r="BV60" i="17" s="1"/>
  <c r="ED60" i="17" s="1"/>
  <c r="K284" i="1"/>
  <c r="ED109" i="17"/>
  <c r="IQ14" i="17"/>
  <c r="D271" i="1"/>
  <c r="BS14" i="17"/>
  <c r="AV13" i="8"/>
  <c r="BV53" i="17" s="1"/>
  <c r="ED53" i="17" s="1" a="1"/>
  <c r="ED53" i="17" s="1"/>
  <c r="AV10" i="8"/>
  <c r="BV52" i="17" s="1"/>
  <c r="ED52" i="17" s="1" a="1"/>
  <c r="ED52" i="17" s="1"/>
  <c r="G287" i="1"/>
  <c r="AU11" i="3"/>
  <c r="IR12" i="17" s="1"/>
  <c r="ED65" i="17"/>
  <c r="AV19" i="8"/>
  <c r="BV55" i="17" s="1"/>
  <c r="ED55" i="17" s="1" a="1"/>
  <c r="ED55" i="17" s="1"/>
  <c r="ED66" i="17"/>
  <c r="G283" i="1"/>
  <c r="G284" i="1"/>
  <c r="EB104" i="17"/>
  <c r="EA103" i="17"/>
  <c r="R279" i="1"/>
  <c r="AU10" i="5"/>
  <c r="R283" i="1" s="1"/>
  <c r="AT19" i="3"/>
  <c r="D268" i="1"/>
  <c r="AU16" i="5"/>
  <c r="BU105" i="17" s="1"/>
  <c r="EC105" i="17" s="1"/>
  <c r="AU13" i="5"/>
  <c r="R284" i="1" s="1"/>
  <c r="R287" i="1"/>
  <c r="BU106" i="17"/>
  <c r="EC106" i="17" s="1"/>
  <c r="D270" i="1"/>
  <c r="BS11" i="17"/>
  <c r="EA11" i="17" s="1"/>
  <c r="R278" i="1"/>
  <c r="Q271" i="1"/>
  <c r="BT103" i="17"/>
  <c r="BS99" i="17"/>
  <c r="AT16" i="4"/>
  <c r="BT99" i="17" s="1"/>
  <c r="EB99" i="17" s="1" a="1"/>
  <c r="EB99" i="17" s="1"/>
  <c r="AT19" i="4"/>
  <c r="BT100" i="17" s="1"/>
  <c r="EB100" i="17" s="1"/>
  <c r="AT16" i="3"/>
  <c r="D278" i="1" s="1"/>
  <c r="AT13" i="4"/>
  <c r="Q276" i="1" s="1"/>
  <c r="Q268" i="1"/>
  <c r="AT13" i="3"/>
  <c r="D276" i="1" s="1"/>
  <c r="AT10" i="3"/>
  <c r="D275" i="1" s="1"/>
  <c r="Q275" i="1"/>
  <c r="BT97" i="17"/>
  <c r="EB97" i="17" s="1"/>
  <c r="DZ11" i="17"/>
  <c r="DZ13" i="17"/>
  <c r="EA12" i="17"/>
  <c r="BE26" i="19"/>
  <c r="AU4" i="4"/>
  <c r="AU17" i="4"/>
  <c r="IR100" i="17" s="1"/>
  <c r="AU8" i="4"/>
  <c r="IR97" i="17" s="1"/>
  <c r="AU11" i="4"/>
  <c r="IR98" i="17" s="1"/>
  <c r="AU14" i="4"/>
  <c r="IR99" i="17" s="1"/>
  <c r="AU10" i="4"/>
  <c r="AW4" i="8"/>
  <c r="AW17" i="8"/>
  <c r="IT55" i="17" s="1"/>
  <c r="AW8" i="8"/>
  <c r="IT52" i="17" s="1"/>
  <c r="AW11" i="8"/>
  <c r="IT53" i="17" s="1"/>
  <c r="AW14" i="8"/>
  <c r="IT54" i="17" s="1"/>
  <c r="AZ14" i="13"/>
  <c r="IW40" i="17" s="1"/>
  <c r="AZ11" i="13"/>
  <c r="IW39" i="17" s="1"/>
  <c r="AZ20" i="13"/>
  <c r="IW42" i="17" s="1"/>
  <c r="AZ8" i="13"/>
  <c r="IW38" i="17" s="1"/>
  <c r="AZ17" i="13"/>
  <c r="IW41" i="17" s="1"/>
  <c r="AW14" i="9"/>
  <c r="AW11" i="9"/>
  <c r="AV4" i="5"/>
  <c r="AV11" i="5"/>
  <c r="IS104" i="17" s="1"/>
  <c r="AV14" i="5"/>
  <c r="IS105" i="17" s="1"/>
  <c r="BA4" i="18"/>
  <c r="BA19" i="18" s="1"/>
  <c r="CA21" i="17" s="1"/>
  <c r="EI21" i="17" s="1"/>
  <c r="BA8" i="18"/>
  <c r="BA11" i="18"/>
  <c r="BA14" i="18"/>
  <c r="AX11" i="10"/>
  <c r="IU65" i="17" s="1"/>
  <c r="AX14" i="10"/>
  <c r="IU66" i="17" s="1"/>
  <c r="AX21" i="10"/>
  <c r="AU4" i="3"/>
  <c r="AU17" i="3"/>
  <c r="AU8" i="3"/>
  <c r="IR11" i="17" s="1"/>
  <c r="AU14" i="3"/>
  <c r="IR13" i="17" s="1"/>
  <c r="AX8" i="11"/>
  <c r="IU109" i="17" s="1"/>
  <c r="BE4" i="21"/>
  <c r="BE14" i="21"/>
  <c r="BE11" i="21"/>
  <c r="BE17" i="21"/>
  <c r="BE8" i="21"/>
  <c r="BE19" i="21"/>
  <c r="BE13" i="21"/>
  <c r="BE16" i="21"/>
  <c r="BE10" i="21"/>
  <c r="AZ8" i="14"/>
  <c r="IW45" i="17" s="1"/>
  <c r="AZ17" i="14"/>
  <c r="IW48" i="17" s="1"/>
  <c r="AZ11" i="14"/>
  <c r="IW46" i="17" s="1"/>
  <c r="AZ20" i="14"/>
  <c r="IW49" i="17" s="1"/>
  <c r="AZ14" i="14"/>
  <c r="IW47" i="17" s="1"/>
  <c r="AZ4" i="12"/>
  <c r="AZ21" i="12"/>
  <c r="GP35" i="17" s="1"/>
  <c r="AZ20" i="12"/>
  <c r="IW35" i="17" s="1"/>
  <c r="AZ14" i="12"/>
  <c r="IW33" i="17" s="1"/>
  <c r="AZ17" i="12"/>
  <c r="IW34" i="17" s="1"/>
  <c r="AZ11" i="12"/>
  <c r="IW32" i="17" s="1"/>
  <c r="S291" i="1"/>
  <c r="E291" i="1"/>
  <c r="BD4" i="22"/>
  <c r="BD11" i="22"/>
  <c r="BD8" i="22"/>
  <c r="BD17" i="22"/>
  <c r="BD14" i="22"/>
  <c r="BD16" i="22"/>
  <c r="BD13" i="22"/>
  <c r="BD19" i="22"/>
  <c r="BD10" i="22"/>
  <c r="BD4" i="20"/>
  <c r="BD17" i="20"/>
  <c r="BD19" i="20"/>
  <c r="BD13" i="20"/>
  <c r="BD10" i="20"/>
  <c r="AW10" i="10"/>
  <c r="BW64" i="17" s="1"/>
  <c r="EE64" i="17" s="1"/>
  <c r="AZ4" i="13"/>
  <c r="S292" i="1"/>
  <c r="S294" i="1"/>
  <c r="S295" i="1"/>
  <c r="F293" i="1"/>
  <c r="AX4" i="11"/>
  <c r="F286" i="1"/>
  <c r="F287" i="1"/>
  <c r="F284" i="1"/>
  <c r="F283" i="1"/>
  <c r="AZ4" i="14"/>
  <c r="BK7" i="14"/>
  <c r="BB7" i="18"/>
  <c r="BA2" i="18"/>
  <c r="AW35" i="9"/>
  <c r="AW4" i="9"/>
  <c r="V292" i="1"/>
  <c r="U292" i="1"/>
  <c r="V291" i="1"/>
  <c r="U291" i="1"/>
  <c r="V294" i="1"/>
  <c r="V295" i="1"/>
  <c r="U295" i="1"/>
  <c r="U294" i="1"/>
  <c r="P295" i="1"/>
  <c r="O295" i="1"/>
  <c r="O294" i="1"/>
  <c r="O291" i="1"/>
  <c r="O292" i="1"/>
  <c r="E294" i="1"/>
  <c r="N294" i="1"/>
  <c r="N292" i="1"/>
  <c r="N291" i="1"/>
  <c r="N295" i="1"/>
  <c r="P291" i="1"/>
  <c r="M292" i="1"/>
  <c r="P294" i="1"/>
  <c r="M294" i="1"/>
  <c r="M291" i="1"/>
  <c r="P292" i="1"/>
  <c r="M295" i="1"/>
  <c r="E295" i="1"/>
  <c r="E292" i="1"/>
  <c r="AX4" i="10"/>
  <c r="AX19" i="10" s="1"/>
  <c r="BX67" i="17" s="1"/>
  <c r="EF67" i="17" s="1"/>
  <c r="J295" i="1"/>
  <c r="L294" i="1"/>
  <c r="I295" i="1"/>
  <c r="L292" i="1"/>
  <c r="H295" i="1"/>
  <c r="L291" i="1"/>
  <c r="J294" i="1"/>
  <c r="H294" i="1"/>
  <c r="L295" i="1"/>
  <c r="I294" i="1"/>
  <c r="BE6" i="20"/>
  <c r="BA6" i="14"/>
  <c r="AY6" i="11"/>
  <c r="AY6" i="10"/>
  <c r="AX6" i="9"/>
  <c r="AX6" i="8"/>
  <c r="AW6" i="5"/>
  <c r="AV6" i="4"/>
  <c r="BE6" i="22"/>
  <c r="BF6" i="21"/>
  <c r="BF22" i="19"/>
  <c r="BF20" i="19" s="1"/>
  <c r="BA6" i="12"/>
  <c r="BA8" i="12" s="1"/>
  <c r="BA6" i="13"/>
  <c r="BB6" i="18"/>
  <c r="H293" i="1"/>
  <c r="H292" i="1"/>
  <c r="H291" i="1"/>
  <c r="I292" i="1"/>
  <c r="I291" i="1"/>
  <c r="I293" i="1"/>
  <c r="J293" i="1"/>
  <c r="J292" i="1"/>
  <c r="J291" i="1"/>
  <c r="B298" i="1"/>
  <c r="AV6" i="3"/>
  <c r="R55" i="40" l="1"/>
  <c r="R49" i="40"/>
  <c r="T18" i="40"/>
  <c r="T20" i="40"/>
  <c r="P73" i="40"/>
  <c r="V21" i="40"/>
  <c r="T19" i="40"/>
  <c r="R52" i="40"/>
  <c r="R48" i="40"/>
  <c r="R50" i="40"/>
  <c r="EG42" i="17"/>
  <c r="AF61" i="40"/>
  <c r="R61" i="40"/>
  <c r="AF59" i="40"/>
  <c r="AF50" i="40"/>
  <c r="AF48" i="40"/>
  <c r="R51" i="40"/>
  <c r="R54" i="40"/>
  <c r="AG18" i="40"/>
  <c r="R56" i="40"/>
  <c r="AG20" i="40"/>
  <c r="G294" i="1"/>
  <c r="AZ22" i="14"/>
  <c r="BZ49" i="17" s="1"/>
  <c r="EH49" i="17" s="1"/>
  <c r="AG61" i="40" s="1"/>
  <c r="BA16" i="18"/>
  <c r="CA20" i="17" s="1"/>
  <c r="EI20" i="17" s="1"/>
  <c r="W20" i="40" s="1"/>
  <c r="BA13" i="18"/>
  <c r="CA19" i="17" s="1"/>
  <c r="EI19" i="17" s="1"/>
  <c r="T19" i="17" s="1"/>
  <c r="BE16" i="20"/>
  <c r="BE30" i="20"/>
  <c r="BA10" i="18"/>
  <c r="CA18" i="17" s="1"/>
  <c r="EI18" i="17" s="1"/>
  <c r="W18" i="40" s="1"/>
  <c r="V19" i="40"/>
  <c r="AZ19" i="12"/>
  <c r="BZ34" i="17" s="1"/>
  <c r="T50" i="40" s="1"/>
  <c r="AF47" i="40"/>
  <c r="AZ22" i="13"/>
  <c r="BZ42" i="17" s="1"/>
  <c r="AZ13" i="14"/>
  <c r="BZ46" i="17" s="1"/>
  <c r="EG48" i="17"/>
  <c r="EG46" i="17"/>
  <c r="AF58" i="40" s="1"/>
  <c r="AZ16" i="12"/>
  <c r="BZ33" i="17" s="1"/>
  <c r="EH33" i="17" s="1"/>
  <c r="AG49" i="40" s="1"/>
  <c r="AX10" i="11"/>
  <c r="BX109" i="17" s="1"/>
  <c r="EF109" i="17" s="1"/>
  <c r="AZ10" i="12"/>
  <c r="BZ31" i="17" s="1"/>
  <c r="T47" i="40" s="1"/>
  <c r="AZ16" i="13"/>
  <c r="BZ40" i="17" s="1"/>
  <c r="EH40" i="17" s="1"/>
  <c r="AZ22" i="12"/>
  <c r="BZ35" i="17" s="1"/>
  <c r="EH35" i="17" s="1"/>
  <c r="AZ19" i="14"/>
  <c r="BZ48" i="17" s="1"/>
  <c r="AW16" i="9"/>
  <c r="BW60" i="17" s="1"/>
  <c r="EE60" i="17" s="1"/>
  <c r="AZ10" i="13"/>
  <c r="BZ38" i="17" s="1"/>
  <c r="EH38" i="17" s="1"/>
  <c r="AZ10" i="14"/>
  <c r="BZ45" i="17" s="1"/>
  <c r="EH45" i="17" s="1"/>
  <c r="AZ16" i="14"/>
  <c r="BZ47" i="17" s="1"/>
  <c r="T59" i="40" s="1"/>
  <c r="AZ13" i="13"/>
  <c r="BZ39" i="17" s="1"/>
  <c r="EH39" i="17" s="1"/>
  <c r="AZ19" i="13"/>
  <c r="BZ41" i="17" s="1"/>
  <c r="T55" i="40" s="1"/>
  <c r="AZ13" i="12"/>
  <c r="BZ32" i="17" s="1"/>
  <c r="T48" i="40" s="1"/>
  <c r="AX23" i="10"/>
  <c r="EG40" i="17"/>
  <c r="AF54" i="40" s="1"/>
  <c r="AW13" i="9"/>
  <c r="BW59" i="17" s="1"/>
  <c r="EE59" i="17" s="1"/>
  <c r="W21" i="40"/>
  <c r="T21" i="17"/>
  <c r="AH21" i="40"/>
  <c r="AW19" i="9"/>
  <c r="BW61" i="17" s="1"/>
  <c r="EE61" i="17" s="1"/>
  <c r="EG39" i="17"/>
  <c r="EG35" i="17"/>
  <c r="AW10" i="9"/>
  <c r="BW58" i="17" s="1"/>
  <c r="EE58" i="17" s="1"/>
  <c r="EG45" i="17"/>
  <c r="K291" i="1"/>
  <c r="ED54" i="17"/>
  <c r="AX13" i="10"/>
  <c r="BX65" i="17" s="1"/>
  <c r="EF65" i="17" s="1"/>
  <c r="AE71" i="40" s="1"/>
  <c r="AX16" i="10"/>
  <c r="BX66" i="17" s="1"/>
  <c r="EF66" i="17" s="1"/>
  <c r="AE72" i="40" s="1"/>
  <c r="K295" i="1"/>
  <c r="AW16" i="8"/>
  <c r="BW54" i="17" s="1"/>
  <c r="EE54" i="17" s="1"/>
  <c r="EE67" i="17"/>
  <c r="G292" i="1"/>
  <c r="K292" i="1"/>
  <c r="ED58" i="17"/>
  <c r="G291" i="1"/>
  <c r="BF29" i="19"/>
  <c r="BF32" i="19"/>
  <c r="K294" i="1"/>
  <c r="AW13" i="8"/>
  <c r="BW53" i="17" s="1"/>
  <c r="EE53" i="17" s="1" a="1"/>
  <c r="EE53" i="17" s="1"/>
  <c r="EA14" i="17"/>
  <c r="AW19" i="8"/>
  <c r="BW55" i="17" s="1"/>
  <c r="EE55" i="17" s="1" a="1"/>
  <c r="EE55" i="17" s="1"/>
  <c r="D279" i="1"/>
  <c r="BT14" i="17"/>
  <c r="IR14" i="17"/>
  <c r="AW10" i="8"/>
  <c r="BW52" i="17" s="1"/>
  <c r="EE52" i="17" s="1" a="1"/>
  <c r="EE52" i="17" s="1"/>
  <c r="R286" i="1"/>
  <c r="AV11" i="3"/>
  <c r="IS12" i="17" s="1"/>
  <c r="AU19" i="3"/>
  <c r="BU14" i="17" s="1"/>
  <c r="AU22" i="3"/>
  <c r="BU15" i="17" s="1"/>
  <c r="EC15" i="17" s="1"/>
  <c r="AV16" i="5"/>
  <c r="R294" i="1" s="1"/>
  <c r="BU103" i="17"/>
  <c r="EC103" i="17" s="1"/>
  <c r="G295" i="1"/>
  <c r="AV13" i="5"/>
  <c r="R292" i="1" s="1"/>
  <c r="AV10" i="5"/>
  <c r="BV103" i="17" s="1"/>
  <c r="AV19" i="5"/>
  <c r="R295" i="1" s="1"/>
  <c r="BU104" i="17"/>
  <c r="AU13" i="4"/>
  <c r="Q284" i="1" s="1"/>
  <c r="AU16" i="3"/>
  <c r="D286" i="1" s="1"/>
  <c r="AU19" i="4"/>
  <c r="BU100" i="17" s="1"/>
  <c r="AU16" i="4"/>
  <c r="Q286" i="1" s="1"/>
  <c r="Q279" i="1"/>
  <c r="AU13" i="3"/>
  <c r="D284" i="1" s="1"/>
  <c r="AU10" i="3"/>
  <c r="D283" i="1" s="1"/>
  <c r="BT13" i="17"/>
  <c r="Q283" i="1"/>
  <c r="BU97" i="17"/>
  <c r="EC97" i="17" s="1"/>
  <c r="EA99" i="17" a="1"/>
  <c r="EA99" i="17" s="1"/>
  <c r="EB103" i="17"/>
  <c r="Q278" i="1"/>
  <c r="BT98" i="17"/>
  <c r="BT11" i="17"/>
  <c r="BT12" i="17"/>
  <c r="BF26" i="19"/>
  <c r="AX4" i="8"/>
  <c r="AX14" i="8"/>
  <c r="IU54" i="17" s="1"/>
  <c r="AX17" i="8"/>
  <c r="IU55" i="17" s="1"/>
  <c r="AX8" i="8"/>
  <c r="IU52" i="17" s="1"/>
  <c r="AX11" i="8"/>
  <c r="IU53" i="17" s="1"/>
  <c r="BE4" i="22"/>
  <c r="BE14" i="22"/>
  <c r="BE11" i="22"/>
  <c r="BE8" i="22"/>
  <c r="BE17" i="22"/>
  <c r="BE16" i="22"/>
  <c r="BE13" i="22"/>
  <c r="BE10" i="22"/>
  <c r="BE19" i="22"/>
  <c r="BA14" i="13"/>
  <c r="BA11" i="13"/>
  <c r="BA20" i="13"/>
  <c r="BA8" i="13"/>
  <c r="BA17" i="13"/>
  <c r="AX14" i="9"/>
  <c r="IU60" i="17" s="1"/>
  <c r="AX11" i="9"/>
  <c r="IU59" i="17" s="1"/>
  <c r="BB4" i="18"/>
  <c r="BB8" i="18"/>
  <c r="BB14" i="18"/>
  <c r="BB11" i="18"/>
  <c r="BB13" i="18"/>
  <c r="CB19" i="17" s="1"/>
  <c r="EJ19" i="17" s="1"/>
  <c r="BB16" i="18"/>
  <c r="CB20" i="17" s="1"/>
  <c r="EJ20" i="17" s="1"/>
  <c r="BB19" i="18"/>
  <c r="CB21" i="17" s="1"/>
  <c r="EJ21" i="17" s="1"/>
  <c r="AI21" i="40" s="1"/>
  <c r="BB10" i="18"/>
  <c r="CB18" i="17" s="1"/>
  <c r="EJ18" i="17" s="1"/>
  <c r="M18" i="17" s="1"/>
  <c r="BA4" i="12"/>
  <c r="BA14" i="12"/>
  <c r="BA17" i="12"/>
  <c r="BA21" i="12"/>
  <c r="BA22" i="12" s="1"/>
  <c r="CA35" i="17" s="1"/>
  <c r="EI35" i="17" s="1"/>
  <c r="BA20" i="12"/>
  <c r="BA11" i="12"/>
  <c r="AY14" i="10"/>
  <c r="IV66" i="17" s="1"/>
  <c r="AY21" i="10"/>
  <c r="AY11" i="10"/>
  <c r="IV65" i="17" s="1"/>
  <c r="AW4" i="5"/>
  <c r="AW19" i="5" s="1"/>
  <c r="AW11" i="5"/>
  <c r="IT104" i="17" s="1"/>
  <c r="AW14" i="5"/>
  <c r="IT105" i="17" s="1"/>
  <c r="AY8" i="11"/>
  <c r="IV109" i="17" s="1"/>
  <c r="AV4" i="3"/>
  <c r="AV17" i="3"/>
  <c r="AV8" i="3"/>
  <c r="IS11" i="17" s="1"/>
  <c r="AV14" i="3"/>
  <c r="IS13" i="17" s="1"/>
  <c r="S299" i="1"/>
  <c r="E299" i="1"/>
  <c r="BF4" i="21"/>
  <c r="BF14" i="21"/>
  <c r="BF11" i="21"/>
  <c r="BF17" i="21"/>
  <c r="BF8" i="21"/>
  <c r="BF13" i="21"/>
  <c r="BF16" i="21"/>
  <c r="BF19" i="21"/>
  <c r="BF10" i="21"/>
  <c r="BA8" i="14"/>
  <c r="BA17" i="14"/>
  <c r="BA11" i="14"/>
  <c r="BA20" i="14"/>
  <c r="BA14" i="14"/>
  <c r="BE4" i="20"/>
  <c r="BE17" i="20"/>
  <c r="BE19" i="20"/>
  <c r="BE10" i="20"/>
  <c r="BE13" i="20"/>
  <c r="AV4" i="4"/>
  <c r="AV14" i="4"/>
  <c r="IS99" i="17" s="1"/>
  <c r="AV17" i="4"/>
  <c r="IS100" i="17" s="1"/>
  <c r="AV8" i="4"/>
  <c r="IS97" i="17" s="1"/>
  <c r="AV11" i="4"/>
  <c r="IS98" i="17" s="1"/>
  <c r="AV19" i="4"/>
  <c r="AV13" i="4"/>
  <c r="AV10" i="4"/>
  <c r="AV16" i="4"/>
  <c r="AX10" i="10"/>
  <c r="BX64" i="17" s="1"/>
  <c r="EF64" i="17" s="1"/>
  <c r="AE70" i="40" s="1"/>
  <c r="BA4" i="13"/>
  <c r="BA22" i="13" s="1"/>
  <c r="CA42" i="17" s="1"/>
  <c r="F301" i="1"/>
  <c r="F295" i="1"/>
  <c r="F294" i="1"/>
  <c r="AY4" i="11"/>
  <c r="S300" i="1"/>
  <c r="S302" i="1"/>
  <c r="S303" i="1"/>
  <c r="F292" i="1"/>
  <c r="F291" i="1"/>
  <c r="BL7" i="14"/>
  <c r="BA4" i="14"/>
  <c r="BC7" i="18"/>
  <c r="BB2" i="18"/>
  <c r="AX35" i="9"/>
  <c r="AX4" i="9"/>
  <c r="AX10" i="9" s="1"/>
  <c r="BX58" i="17" s="1"/>
  <c r="K300" i="1"/>
  <c r="V303" i="1"/>
  <c r="U303" i="1"/>
  <c r="V302" i="1"/>
  <c r="U302" i="1"/>
  <c r="U299" i="1"/>
  <c r="V300" i="1"/>
  <c r="V299" i="1"/>
  <c r="U300" i="1"/>
  <c r="P303" i="1"/>
  <c r="O303" i="1"/>
  <c r="O299" i="1"/>
  <c r="O300" i="1"/>
  <c r="O302" i="1"/>
  <c r="E302" i="1"/>
  <c r="N302" i="1"/>
  <c r="N299" i="1"/>
  <c r="N303" i="1"/>
  <c r="N300" i="1"/>
  <c r="M303" i="1"/>
  <c r="M299" i="1"/>
  <c r="P299" i="1"/>
  <c r="M300" i="1"/>
  <c r="M302" i="1"/>
  <c r="P300" i="1"/>
  <c r="P302" i="1"/>
  <c r="E303" i="1"/>
  <c r="E300" i="1"/>
  <c r="AY4" i="10"/>
  <c r="J303" i="1"/>
  <c r="L302" i="1"/>
  <c r="I303" i="1"/>
  <c r="H303" i="1"/>
  <c r="L300" i="1"/>
  <c r="J302" i="1"/>
  <c r="H302" i="1"/>
  <c r="I302" i="1"/>
  <c r="L299" i="1"/>
  <c r="L303" i="1"/>
  <c r="BF6" i="20"/>
  <c r="BB6" i="14"/>
  <c r="AZ6" i="11"/>
  <c r="AZ6" i="10"/>
  <c r="AY6" i="9"/>
  <c r="AY6" i="8"/>
  <c r="AX6" i="5"/>
  <c r="AW6" i="4"/>
  <c r="BF6" i="22"/>
  <c r="BG6" i="21"/>
  <c r="BG22" i="19"/>
  <c r="BG20" i="19" s="1"/>
  <c r="BB6" i="12"/>
  <c r="BB8" i="12" s="1"/>
  <c r="BB6" i="13"/>
  <c r="BC6" i="18"/>
  <c r="H300" i="1"/>
  <c r="H299" i="1"/>
  <c r="H301" i="1"/>
  <c r="J301" i="1"/>
  <c r="J300" i="1"/>
  <c r="J299" i="1"/>
  <c r="I301" i="1"/>
  <c r="I299" i="1"/>
  <c r="I300" i="1"/>
  <c r="B306" i="1"/>
  <c r="AW6" i="3"/>
  <c r="J21" i="17" l="1"/>
  <c r="W19" i="40"/>
  <c r="AH19" i="40"/>
  <c r="V18" i="40"/>
  <c r="AH18" i="40"/>
  <c r="T53" i="40"/>
  <c r="T49" i="40"/>
  <c r="P21" i="17"/>
  <c r="T18" i="17"/>
  <c r="Y18" i="40"/>
  <c r="S18" i="17"/>
  <c r="T58" i="40"/>
  <c r="P71" i="40"/>
  <c r="T61" i="40"/>
  <c r="AI20" i="40"/>
  <c r="X18" i="40"/>
  <c r="V56" i="40"/>
  <c r="X21" i="40"/>
  <c r="T52" i="40"/>
  <c r="AH20" i="40"/>
  <c r="T51" i="40"/>
  <c r="AG53" i="40"/>
  <c r="AF53" i="40"/>
  <c r="AG57" i="40"/>
  <c r="AF57" i="40"/>
  <c r="J18" i="17"/>
  <c r="AI18" i="40"/>
  <c r="T56" i="40"/>
  <c r="T57" i="40"/>
  <c r="M21" i="17"/>
  <c r="T60" i="40"/>
  <c r="AG52" i="40"/>
  <c r="P70" i="40"/>
  <c r="Y21" i="40"/>
  <c r="J20" i="17"/>
  <c r="P72" i="40"/>
  <c r="S21" i="17"/>
  <c r="Q70" i="40"/>
  <c r="T54" i="40"/>
  <c r="T20" i="17"/>
  <c r="V20" i="40"/>
  <c r="Q124" i="40"/>
  <c r="AI19" i="40"/>
  <c r="BA16" i="12"/>
  <c r="CA33" i="17" s="1"/>
  <c r="EI33" i="17" s="1"/>
  <c r="T33" i="17" s="1"/>
  <c r="Y20" i="40"/>
  <c r="M19" i="17"/>
  <c r="P18" i="17"/>
  <c r="M20" i="17"/>
  <c r="Y19" i="40"/>
  <c r="BA16" i="13"/>
  <c r="CA40" i="17" s="1"/>
  <c r="EI40" i="17" s="1"/>
  <c r="AH54" i="40" s="1"/>
  <c r="S19" i="17"/>
  <c r="P19" i="17"/>
  <c r="X19" i="40"/>
  <c r="S20" i="17"/>
  <c r="X20" i="40"/>
  <c r="J19" i="17"/>
  <c r="BA10" i="13"/>
  <c r="CA38" i="17" s="1"/>
  <c r="EI38" i="17" s="1"/>
  <c r="AH52" i="40" s="1"/>
  <c r="BA16" i="14"/>
  <c r="CA47" i="17" s="1"/>
  <c r="EI47" i="17" s="1"/>
  <c r="P20" i="17"/>
  <c r="BA19" i="12"/>
  <c r="CA34" i="17" s="1"/>
  <c r="EI34" i="17" s="1"/>
  <c r="BA19" i="13"/>
  <c r="CA41" i="17" s="1"/>
  <c r="EI41" i="17" s="1"/>
  <c r="BA13" i="13"/>
  <c r="CA39" i="17" s="1"/>
  <c r="EI39" i="17" s="1"/>
  <c r="BA10" i="14"/>
  <c r="CA45" i="17" s="1"/>
  <c r="EI45" i="17" s="1"/>
  <c r="AH57" i="40" s="1"/>
  <c r="BA13" i="12"/>
  <c r="CA32" i="17" s="1"/>
  <c r="EI32" i="17" s="1"/>
  <c r="BA19" i="14"/>
  <c r="CA48" i="17" s="1"/>
  <c r="V60" i="40" s="1"/>
  <c r="BF16" i="20"/>
  <c r="BF30" i="20"/>
  <c r="BA13" i="14"/>
  <c r="CA46" i="17" s="1"/>
  <c r="V58" i="40" s="1"/>
  <c r="BA22" i="14"/>
  <c r="CA49" i="17" s="1"/>
  <c r="BA10" i="12"/>
  <c r="CA31" i="17" s="1"/>
  <c r="EI31" i="17" s="1"/>
  <c r="V51" i="40"/>
  <c r="AY10" i="11"/>
  <c r="BY109" i="17" s="1"/>
  <c r="EG109" i="17" s="1"/>
  <c r="S124" i="40" s="1"/>
  <c r="AH49" i="40"/>
  <c r="EH32" i="17"/>
  <c r="AG48" i="40" s="1"/>
  <c r="EH31" i="17"/>
  <c r="AG47" i="40" s="1"/>
  <c r="AG54" i="40"/>
  <c r="EH41" i="17"/>
  <c r="AG55" i="40" s="1"/>
  <c r="V55" i="40"/>
  <c r="X60" i="40"/>
  <c r="EH47" i="17"/>
  <c r="AG59" i="40" s="1"/>
  <c r="AH51" i="40"/>
  <c r="AG51" i="40"/>
  <c r="Q73" i="40"/>
  <c r="AE73" i="40"/>
  <c r="P64" i="40"/>
  <c r="X50" i="40"/>
  <c r="EH34" i="17"/>
  <c r="AG50" i="40" s="1"/>
  <c r="AE67" i="40"/>
  <c r="K299" i="1"/>
  <c r="K303" i="1"/>
  <c r="EH42" i="17"/>
  <c r="AG56" i="40" s="1"/>
  <c r="AY23" i="10"/>
  <c r="K302" i="1"/>
  <c r="AY19" i="10"/>
  <c r="BY67" i="17" s="1"/>
  <c r="R73" i="40" s="1"/>
  <c r="AY13" i="10"/>
  <c r="BY65" i="17" s="1"/>
  <c r="EG65" i="17" s="1"/>
  <c r="AF71" i="40" s="1"/>
  <c r="AY16" i="10"/>
  <c r="BY66" i="17" s="1"/>
  <c r="EG66" i="17" s="1"/>
  <c r="AF72" i="40" s="1"/>
  <c r="G302" i="1"/>
  <c r="EH46" i="17"/>
  <c r="AG58" i="40" s="1"/>
  <c r="EH48" i="17"/>
  <c r="AG60" i="40" s="1"/>
  <c r="EF58" i="17"/>
  <c r="Q64" i="40" s="1"/>
  <c r="AX13" i="9"/>
  <c r="BX59" i="17" s="1"/>
  <c r="EF59" i="17" s="1"/>
  <c r="AX19" i="9"/>
  <c r="BX61" i="17" s="1"/>
  <c r="EF61" i="17" s="1"/>
  <c r="AX16" i="9"/>
  <c r="BX60" i="17" s="1"/>
  <c r="EF60" i="17" s="1"/>
  <c r="AE66" i="40" s="1"/>
  <c r="G300" i="1"/>
  <c r="AX16" i="8"/>
  <c r="BX54" i="17" s="1"/>
  <c r="P33" i="40" s="1"/>
  <c r="AX13" i="8"/>
  <c r="BX53" i="17" s="1"/>
  <c r="EF53" i="17" s="1" a="1"/>
  <c r="EF53" i="17" s="1"/>
  <c r="AX19" i="8"/>
  <c r="BX55" i="17" s="1"/>
  <c r="P34" i="40" s="1"/>
  <c r="AX10" i="8"/>
  <c r="BX52" i="17" s="1"/>
  <c r="EF52" i="17" s="1" a="1"/>
  <c r="EF52" i="17" s="1"/>
  <c r="D287" i="1"/>
  <c r="G299" i="1"/>
  <c r="BG29" i="19"/>
  <c r="BG32" i="19"/>
  <c r="BV104" i="17"/>
  <c r="ED104" i="17" s="1"/>
  <c r="G303" i="1"/>
  <c r="BV105" i="17"/>
  <c r="EC14" i="17"/>
  <c r="EB14" i="17"/>
  <c r="R291" i="1"/>
  <c r="AW16" i="5"/>
  <c r="R302" i="1" s="1"/>
  <c r="IS14" i="17"/>
  <c r="AW10" i="5"/>
  <c r="R299" i="1" s="1"/>
  <c r="AV16" i="3"/>
  <c r="BV13" i="17" s="1"/>
  <c r="ED13" i="17" s="1"/>
  <c r="AW13" i="5"/>
  <c r="BW104" i="17" s="1"/>
  <c r="EE104" i="17" s="1"/>
  <c r="AW11" i="3"/>
  <c r="IT12" i="17" s="1"/>
  <c r="AV19" i="3"/>
  <c r="AV22" i="3"/>
  <c r="BV15" i="17" s="1"/>
  <c r="ED15" i="17" s="1"/>
  <c r="ED103" i="17"/>
  <c r="R303" i="1"/>
  <c r="BW106" i="17"/>
  <c r="EE106" i="17" s="1"/>
  <c r="BV106" i="17"/>
  <c r="AV10" i="3"/>
  <c r="BV11" i="17" s="1"/>
  <c r="ED11" i="17" s="1"/>
  <c r="AV13" i="3"/>
  <c r="BV12" i="17" s="1"/>
  <c r="ED12" i="17" s="1"/>
  <c r="Q294" i="1"/>
  <c r="BV99" i="17"/>
  <c r="ED99" i="17" s="1" a="1"/>
  <c r="ED99" i="17" s="1"/>
  <c r="Q295" i="1"/>
  <c r="BV100" i="17"/>
  <c r="ED100" i="17" s="1"/>
  <c r="Q291" i="1"/>
  <c r="BV97" i="17"/>
  <c r="ED97" i="17" s="1"/>
  <c r="Q292" i="1"/>
  <c r="BV98" i="17"/>
  <c r="ED98" i="17" s="1" a="1"/>
  <c r="ED98" i="17" s="1"/>
  <c r="EC100" i="17"/>
  <c r="Q287" i="1"/>
  <c r="BU13" i="17"/>
  <c r="EC13" i="17" s="1"/>
  <c r="EC104" i="17"/>
  <c r="BU99" i="17"/>
  <c r="BU98" i="17"/>
  <c r="EC98" i="17" s="1" a="1"/>
  <c r="EC98" i="17" s="1"/>
  <c r="BU12" i="17"/>
  <c r="EC12" i="17" s="1"/>
  <c r="BU11" i="17"/>
  <c r="EC11" i="17" s="1"/>
  <c r="EB13" i="17"/>
  <c r="EB98" i="17" a="1"/>
  <c r="EB98" i="17" s="1"/>
  <c r="EB11" i="17"/>
  <c r="EB12" i="17"/>
  <c r="BG26" i="19"/>
  <c r="AX4" i="5"/>
  <c r="AX14" i="5"/>
  <c r="IU105" i="17" s="1"/>
  <c r="AX11" i="5"/>
  <c r="IU104" i="17" s="1"/>
  <c r="BC4" i="18"/>
  <c r="BC8" i="18"/>
  <c r="BC11" i="18"/>
  <c r="BC14" i="18"/>
  <c r="BC13" i="18"/>
  <c r="BC16" i="18"/>
  <c r="BC19" i="18"/>
  <c r="BC10" i="18"/>
  <c r="AY4" i="8"/>
  <c r="AY14" i="8"/>
  <c r="IV54" i="17" s="1"/>
  <c r="AY17" i="8"/>
  <c r="IV55" i="17" s="1"/>
  <c r="AY8" i="8"/>
  <c r="IV52" i="17" s="1"/>
  <c r="AY11" i="8"/>
  <c r="IV53" i="17" s="1"/>
  <c r="AY16" i="8"/>
  <c r="BY54" i="17" s="1"/>
  <c r="EG54" i="17" s="1"/>
  <c r="BF4" i="22"/>
  <c r="BF14" i="22"/>
  <c r="BF11" i="22"/>
  <c r="BF8" i="22"/>
  <c r="BF17" i="22"/>
  <c r="BF16" i="22"/>
  <c r="BF10" i="22"/>
  <c r="BF19" i="22"/>
  <c r="BF13" i="22"/>
  <c r="AW4" i="4"/>
  <c r="AW14" i="4"/>
  <c r="IT99" i="17" s="1"/>
  <c r="AW17" i="4"/>
  <c r="IT100" i="17" s="1"/>
  <c r="AW8" i="4"/>
  <c r="IT97" i="17" s="1"/>
  <c r="AW11" i="4"/>
  <c r="IT98" i="17" s="1"/>
  <c r="AW19" i="4"/>
  <c r="AW16" i="4"/>
  <c r="AW13" i="4"/>
  <c r="AW10" i="4"/>
  <c r="AY14" i="9"/>
  <c r="IV60" i="17" s="1"/>
  <c r="AY11" i="9"/>
  <c r="IV59" i="17" s="1"/>
  <c r="BB4" i="12"/>
  <c r="BB20" i="12"/>
  <c r="BB14" i="12"/>
  <c r="BB17" i="12"/>
  <c r="BB21" i="12"/>
  <c r="BB11" i="12"/>
  <c r="BB16" i="12"/>
  <c r="CB33" i="17" s="1"/>
  <c r="EJ33" i="17" s="1"/>
  <c r="AI49" i="40" s="1"/>
  <c r="BB22" i="12"/>
  <c r="CB35" i="17" s="1"/>
  <c r="EJ35" i="17" s="1"/>
  <c r="AI51" i="40" s="1"/>
  <c r="BB19" i="12"/>
  <c r="CB34" i="17" s="1"/>
  <c r="EJ34" i="17" s="1"/>
  <c r="BB13" i="12"/>
  <c r="CB32" i="17" s="1"/>
  <c r="EJ32" i="17" s="1"/>
  <c r="BB10" i="12"/>
  <c r="CB31" i="17" s="1"/>
  <c r="EJ31" i="17" s="1"/>
  <c r="AZ14" i="10"/>
  <c r="IW66" i="17" s="1"/>
  <c r="AZ21" i="10"/>
  <c r="AZ11" i="10"/>
  <c r="IW65" i="17" s="1"/>
  <c r="BB14" i="13"/>
  <c r="BB11" i="13"/>
  <c r="BB20" i="13"/>
  <c r="BB17" i="13"/>
  <c r="BB8" i="13"/>
  <c r="BB16" i="13"/>
  <c r="CB40" i="17" s="1"/>
  <c r="EJ40" i="17" s="1"/>
  <c r="BB22" i="13"/>
  <c r="CB42" i="17" s="1"/>
  <c r="EJ42" i="17" s="1"/>
  <c r="BB13" i="13"/>
  <c r="CB39" i="17" s="1"/>
  <c r="EJ39" i="17" s="1"/>
  <c r="BB10" i="13"/>
  <c r="CB38" i="17" s="1"/>
  <c r="EJ38" i="17" s="1"/>
  <c r="BB19" i="13"/>
  <c r="CB41" i="17" s="1"/>
  <c r="EJ41" i="17" s="1"/>
  <c r="AZ8" i="11"/>
  <c r="IW109" i="17" s="1"/>
  <c r="AW4" i="3"/>
  <c r="AW22" i="3" s="1"/>
  <c r="BW15" i="17" s="1"/>
  <c r="EE15" i="17" s="1"/>
  <c r="AW17" i="3"/>
  <c r="IT14" i="17" s="1"/>
  <c r="AW8" i="3"/>
  <c r="IT11" i="17" s="1"/>
  <c r="AW14" i="3"/>
  <c r="IT13" i="17" s="1"/>
  <c r="S307" i="1"/>
  <c r="E307" i="1"/>
  <c r="BG4" i="21"/>
  <c r="BG8" i="21"/>
  <c r="BG14" i="21"/>
  <c r="BG11" i="21"/>
  <c r="BG17" i="21"/>
  <c r="BG13" i="21"/>
  <c r="BG16" i="21"/>
  <c r="BG19" i="21"/>
  <c r="BG10" i="21"/>
  <c r="BB17" i="14"/>
  <c r="BB11" i="14"/>
  <c r="BB20" i="14"/>
  <c r="BB14" i="14"/>
  <c r="BB8" i="14"/>
  <c r="BB16" i="14"/>
  <c r="CB47" i="17" s="1"/>
  <c r="EJ47" i="17" s="1"/>
  <c r="BB22" i="14"/>
  <c r="CB49" i="17" s="1"/>
  <c r="EJ49" i="17" s="1"/>
  <c r="BB13" i="14"/>
  <c r="CB46" i="17" s="1"/>
  <c r="EJ46" i="17" s="1"/>
  <c r="BB19" i="14"/>
  <c r="CB48" i="17" s="1"/>
  <c r="EJ48" i="17" s="1"/>
  <c r="BB10" i="14"/>
  <c r="CB45" i="17" s="1"/>
  <c r="EJ45" i="17" s="1"/>
  <c r="BF4" i="20"/>
  <c r="BF17" i="20"/>
  <c r="BF19" i="20"/>
  <c r="BF10" i="20"/>
  <c r="BF13" i="20"/>
  <c r="AY10" i="10"/>
  <c r="BY64" i="17" s="1"/>
  <c r="EG64" i="17" s="1"/>
  <c r="AF70" i="40" s="1"/>
  <c r="BB4" i="13"/>
  <c r="F309" i="1"/>
  <c r="F303" i="1"/>
  <c r="F302" i="1"/>
  <c r="S311" i="1"/>
  <c r="S308" i="1"/>
  <c r="S310" i="1"/>
  <c r="AZ4" i="11"/>
  <c r="F300" i="1"/>
  <c r="F299" i="1"/>
  <c r="BB4" i="14"/>
  <c r="BM7" i="14"/>
  <c r="BD7" i="18"/>
  <c r="BC2" i="18"/>
  <c r="AY35" i="9"/>
  <c r="AY4" i="9"/>
  <c r="AY13" i="9" s="1"/>
  <c r="BY59" i="17" s="1"/>
  <c r="EG59" i="17" s="1"/>
  <c r="K307" i="1"/>
  <c r="V308" i="1"/>
  <c r="U308" i="1"/>
  <c r="U310" i="1"/>
  <c r="V307" i="1"/>
  <c r="V310" i="1"/>
  <c r="U307" i="1"/>
  <c r="V311" i="1"/>
  <c r="U311" i="1"/>
  <c r="O311" i="1"/>
  <c r="O307" i="1"/>
  <c r="O308" i="1"/>
  <c r="P311" i="1"/>
  <c r="O310" i="1"/>
  <c r="E310" i="1"/>
  <c r="N311" i="1"/>
  <c r="N310" i="1"/>
  <c r="N308" i="1"/>
  <c r="N307" i="1"/>
  <c r="P308" i="1"/>
  <c r="M307" i="1"/>
  <c r="M310" i="1"/>
  <c r="P307" i="1"/>
  <c r="M308" i="1"/>
  <c r="P310" i="1"/>
  <c r="M311" i="1"/>
  <c r="E311" i="1"/>
  <c r="E308" i="1"/>
  <c r="AZ4" i="10"/>
  <c r="J311" i="1"/>
  <c r="L311" i="1"/>
  <c r="I311" i="1"/>
  <c r="H311" i="1"/>
  <c r="L310" i="1"/>
  <c r="L308" i="1"/>
  <c r="J310" i="1"/>
  <c r="H310" i="1"/>
  <c r="I310" i="1"/>
  <c r="L307" i="1"/>
  <c r="BG6" i="20"/>
  <c r="BC6" i="14"/>
  <c r="BA6" i="11"/>
  <c r="BA6" i="10"/>
  <c r="AZ6" i="9"/>
  <c r="AZ6" i="8"/>
  <c r="AY6" i="5"/>
  <c r="AX6" i="4"/>
  <c r="BG6" i="22"/>
  <c r="BH6" i="21"/>
  <c r="BH22" i="19"/>
  <c r="BH20" i="19" s="1"/>
  <c r="BC6" i="12"/>
  <c r="BC8" i="12" s="1"/>
  <c r="BC6" i="13"/>
  <c r="BD6" i="18"/>
  <c r="H308" i="1"/>
  <c r="H307" i="1"/>
  <c r="H309" i="1"/>
  <c r="J308" i="1"/>
  <c r="I309" i="1"/>
  <c r="I308" i="1"/>
  <c r="I307" i="1"/>
  <c r="J307" i="1"/>
  <c r="J309" i="1"/>
  <c r="B314" i="1"/>
  <c r="AX6" i="3"/>
  <c r="P31" i="40" l="1"/>
  <c r="R71" i="40"/>
  <c r="V59" i="40"/>
  <c r="AI53" i="40"/>
  <c r="V54" i="40"/>
  <c r="V52" i="40"/>
  <c r="AI47" i="40"/>
  <c r="V48" i="40"/>
  <c r="X51" i="40"/>
  <c r="V50" i="40"/>
  <c r="V49" i="40"/>
  <c r="AF65" i="40"/>
  <c r="X55" i="40"/>
  <c r="EI49" i="17"/>
  <c r="V61" i="40"/>
  <c r="X56" i="40"/>
  <c r="X57" i="40"/>
  <c r="S33" i="17"/>
  <c r="P33" i="17"/>
  <c r="X49" i="40"/>
  <c r="V53" i="40"/>
  <c r="AH53" i="40"/>
  <c r="X58" i="40"/>
  <c r="P32" i="40"/>
  <c r="V47" i="40"/>
  <c r="V57" i="40"/>
  <c r="J33" i="17"/>
  <c r="AE65" i="40"/>
  <c r="R124" i="40"/>
  <c r="M33" i="17"/>
  <c r="R70" i="40"/>
  <c r="R72" i="40"/>
  <c r="AI48" i="40"/>
  <c r="AI54" i="40"/>
  <c r="R33" i="40"/>
  <c r="AE64" i="40"/>
  <c r="X52" i="40"/>
  <c r="AI57" i="40"/>
  <c r="AI52" i="40"/>
  <c r="AF124" i="40"/>
  <c r="S32" i="17"/>
  <c r="AZ13" i="10"/>
  <c r="BZ65" i="17" s="1"/>
  <c r="P32" i="17"/>
  <c r="X59" i="40"/>
  <c r="X48" i="40"/>
  <c r="K308" i="1"/>
  <c r="X54" i="40"/>
  <c r="J32" i="17"/>
  <c r="EI48" i="17"/>
  <c r="AI60" i="40" s="1"/>
  <c r="P31" i="17"/>
  <c r="X47" i="40"/>
  <c r="X61" i="40"/>
  <c r="X53" i="40"/>
  <c r="M31" i="17"/>
  <c r="EI46" i="17"/>
  <c r="AI58" i="40" s="1"/>
  <c r="EI42" i="17"/>
  <c r="AH56" i="40" s="1"/>
  <c r="J31" i="17"/>
  <c r="BG30" i="20"/>
  <c r="BG16" i="20"/>
  <c r="EG67" i="17"/>
  <c r="AF73" i="40" s="1"/>
  <c r="AI55" i="40"/>
  <c r="AH55" i="40"/>
  <c r="S31" i="17"/>
  <c r="T31" i="17"/>
  <c r="AH47" i="40"/>
  <c r="AI50" i="40"/>
  <c r="AH50" i="40"/>
  <c r="M32" i="17"/>
  <c r="T32" i="17"/>
  <c r="AH48" i="40"/>
  <c r="AI59" i="40"/>
  <c r="AH59" i="40"/>
  <c r="AI56" i="40"/>
  <c r="K311" i="1"/>
  <c r="AZ10" i="11"/>
  <c r="BZ109" i="17" s="1"/>
  <c r="T124" i="40" s="1"/>
  <c r="AY10" i="9"/>
  <c r="BY58" i="17" s="1"/>
  <c r="R64" i="40" s="1"/>
  <c r="AY16" i="9"/>
  <c r="BY60" i="17" s="1"/>
  <c r="EG60" i="17" s="1"/>
  <c r="AG66" i="40" s="1"/>
  <c r="AZ16" i="10"/>
  <c r="BZ66" i="17" s="1"/>
  <c r="EH66" i="17" s="1"/>
  <c r="AG72" i="40" s="1"/>
  <c r="AY19" i="9"/>
  <c r="BY61" i="17" s="1"/>
  <c r="EG61" i="17" s="1"/>
  <c r="AF67" i="40" s="1"/>
  <c r="AZ23" i="10"/>
  <c r="G311" i="1"/>
  <c r="AZ19" i="10"/>
  <c r="BZ67" i="17" s="1"/>
  <c r="T73" i="40" s="1"/>
  <c r="AY10" i="8"/>
  <c r="BY52" i="17" s="1"/>
  <c r="EG52" i="17" s="1" a="1"/>
  <c r="EG52" i="17" s="1"/>
  <c r="AX16" i="5"/>
  <c r="BX105" i="17" s="1"/>
  <c r="EF105" i="17" s="1"/>
  <c r="G308" i="1"/>
  <c r="K310" i="1"/>
  <c r="AY19" i="8"/>
  <c r="BY55" i="17" s="1"/>
  <c r="EG55" i="17" s="1" a="1"/>
  <c r="EG55" i="17" s="1"/>
  <c r="EF55" i="17" a="1"/>
  <c r="EF55" i="17" s="1"/>
  <c r="AY13" i="8"/>
  <c r="BY53" i="17" s="1"/>
  <c r="R32" i="40" s="1"/>
  <c r="EF54" i="17"/>
  <c r="G307" i="1"/>
  <c r="G310" i="1"/>
  <c r="AX10" i="5"/>
  <c r="R307" i="1" s="1"/>
  <c r="AW19" i="3"/>
  <c r="BW14" i="17" s="1"/>
  <c r="EE14" i="17" s="1"/>
  <c r="AX19" i="5"/>
  <c r="R311" i="1" s="1"/>
  <c r="AX13" i="5"/>
  <c r="R308" i="1" s="1"/>
  <c r="ED105" i="17"/>
  <c r="R300" i="1"/>
  <c r="BW105" i="17"/>
  <c r="D294" i="1"/>
  <c r="BH29" i="19"/>
  <c r="BH32" i="19"/>
  <c r="AW10" i="3"/>
  <c r="D299" i="1" s="1"/>
  <c r="BW103" i="17"/>
  <c r="D295" i="1"/>
  <c r="BV14" i="17"/>
  <c r="AW16" i="3"/>
  <c r="BW13" i="17" s="1"/>
  <c r="D291" i="1"/>
  <c r="AW13" i="3"/>
  <c r="D300" i="1" s="1"/>
  <c r="AX11" i="3"/>
  <c r="IU12" i="17" s="1"/>
  <c r="Q299" i="1"/>
  <c r="BW97" i="17"/>
  <c r="EE97" i="17" s="1"/>
  <c r="Q302" i="1"/>
  <c r="BW99" i="17"/>
  <c r="EE99" i="17" s="1" a="1"/>
  <c r="EE99" i="17" s="1"/>
  <c r="D292" i="1"/>
  <c r="Q303" i="1"/>
  <c r="BW100" i="17"/>
  <c r="Q300" i="1"/>
  <c r="BW98" i="17"/>
  <c r="EE98" i="17" s="1" a="1"/>
  <c r="EE98" i="17" s="1"/>
  <c r="ED106" i="17"/>
  <c r="EC99" i="17" a="1"/>
  <c r="EC99" i="17" s="1"/>
  <c r="BH26" i="19"/>
  <c r="AY4" i="5"/>
  <c r="AY19" i="5" s="1"/>
  <c r="AY14" i="5"/>
  <c r="IV105" i="17" s="1"/>
  <c r="AY11" i="5"/>
  <c r="IV104" i="17" s="1"/>
  <c r="BC8" i="13"/>
  <c r="BC17" i="13"/>
  <c r="BC14" i="13"/>
  <c r="BC11" i="13"/>
  <c r="BC20" i="13"/>
  <c r="BC19" i="13"/>
  <c r="BC22" i="13"/>
  <c r="BC13" i="13"/>
  <c r="BC16" i="13"/>
  <c r="BC10" i="13"/>
  <c r="BC4" i="12"/>
  <c r="BC20" i="12"/>
  <c r="BC17" i="12"/>
  <c r="BC11" i="12"/>
  <c r="BC14" i="12"/>
  <c r="BC21" i="12"/>
  <c r="BC22" i="12"/>
  <c r="BC19" i="12"/>
  <c r="BC13" i="12"/>
  <c r="BC16" i="12"/>
  <c r="BC10" i="12"/>
  <c r="BA11" i="10"/>
  <c r="BA14" i="10"/>
  <c r="BA21" i="10"/>
  <c r="AZ4" i="8"/>
  <c r="AZ14" i="8"/>
  <c r="IW54" i="17" s="1"/>
  <c r="AZ17" i="8"/>
  <c r="IW55" i="17" s="1"/>
  <c r="AZ8" i="8"/>
  <c r="IW52" i="17" s="1"/>
  <c r="AZ11" i="8"/>
  <c r="IW53" i="17" s="1"/>
  <c r="AZ16" i="8"/>
  <c r="BZ54" i="17" s="1"/>
  <c r="EH54" i="17" s="1"/>
  <c r="AZ11" i="9"/>
  <c r="AZ14" i="9"/>
  <c r="AZ16" i="9"/>
  <c r="BZ60" i="17" s="1"/>
  <c r="EH60" i="17" s="1"/>
  <c r="AZ13" i="9"/>
  <c r="BZ59" i="17" s="1"/>
  <c r="EH59" i="17" s="1"/>
  <c r="AG65" i="40" s="1"/>
  <c r="AZ10" i="9"/>
  <c r="BZ58" i="17" s="1"/>
  <c r="EH58" i="17" s="1"/>
  <c r="AZ19" i="9"/>
  <c r="BZ61" i="17" s="1"/>
  <c r="EH61" i="17" s="1"/>
  <c r="AX4" i="3"/>
  <c r="AX14" i="3"/>
  <c r="IU13" i="17" s="1"/>
  <c r="AX17" i="3"/>
  <c r="IU14" i="17" s="1"/>
  <c r="AX8" i="3"/>
  <c r="IU11" i="17" s="1"/>
  <c r="BA8" i="11"/>
  <c r="S315" i="1"/>
  <c r="E315" i="1"/>
  <c r="BH4" i="21"/>
  <c r="BH17" i="21"/>
  <c r="BH8" i="21"/>
  <c r="BH14" i="21"/>
  <c r="BH11" i="21"/>
  <c r="BH16" i="21"/>
  <c r="BH19" i="21"/>
  <c r="BH13" i="21"/>
  <c r="BH10" i="21"/>
  <c r="BC11" i="14"/>
  <c r="BC20" i="14"/>
  <c r="BC14" i="14"/>
  <c r="BC8" i="14"/>
  <c r="BC17" i="14"/>
  <c r="BC19" i="14"/>
  <c r="BC13" i="14"/>
  <c r="BC22" i="14"/>
  <c r="BC16" i="14"/>
  <c r="BC10" i="14"/>
  <c r="BG4" i="22"/>
  <c r="BG14" i="22"/>
  <c r="BG11" i="22"/>
  <c r="BG17" i="22"/>
  <c r="BG8" i="22"/>
  <c r="BG16" i="22"/>
  <c r="BG19" i="22"/>
  <c r="BG10" i="22"/>
  <c r="BG13" i="22"/>
  <c r="BG4" i="20"/>
  <c r="BG17" i="20"/>
  <c r="BG19" i="20"/>
  <c r="BG13" i="20"/>
  <c r="BG10" i="20"/>
  <c r="BD4" i="18"/>
  <c r="BD14" i="18"/>
  <c r="BD8" i="18"/>
  <c r="BD11" i="18"/>
  <c r="BD16" i="18"/>
  <c r="BD19" i="18"/>
  <c r="BD10" i="18"/>
  <c r="BD13" i="18"/>
  <c r="AX4" i="4"/>
  <c r="AX14" i="4"/>
  <c r="IU99" i="17" s="1"/>
  <c r="AX17" i="4"/>
  <c r="IU100" i="17" s="1"/>
  <c r="AX8" i="4"/>
  <c r="IU97" i="17" s="1"/>
  <c r="AX11" i="4"/>
  <c r="IU98" i="17" s="1"/>
  <c r="AX10" i="4"/>
  <c r="AZ10" i="10"/>
  <c r="BZ64" i="17" s="1"/>
  <c r="EH64" i="17" s="1"/>
  <c r="U70" i="40" s="1"/>
  <c r="BC4" i="13"/>
  <c r="F311" i="1"/>
  <c r="F310" i="1"/>
  <c r="F317" i="1"/>
  <c r="S319" i="1"/>
  <c r="S318" i="1"/>
  <c r="S316" i="1"/>
  <c r="BA4" i="11"/>
  <c r="F308" i="1"/>
  <c r="F307" i="1"/>
  <c r="BC4" i="14"/>
  <c r="BE7" i="18"/>
  <c r="BD2" i="18"/>
  <c r="AZ35" i="9"/>
  <c r="AZ4" i="9"/>
  <c r="K318" i="1"/>
  <c r="K316" i="1"/>
  <c r="V319" i="1"/>
  <c r="U319" i="1"/>
  <c r="V318" i="1"/>
  <c r="U318" i="1"/>
  <c r="V315" i="1"/>
  <c r="U315" i="1"/>
  <c r="V316" i="1"/>
  <c r="U316" i="1"/>
  <c r="O319" i="1"/>
  <c r="O316" i="1"/>
  <c r="O315" i="1"/>
  <c r="O318" i="1"/>
  <c r="P319" i="1"/>
  <c r="E318" i="1"/>
  <c r="N318" i="1"/>
  <c r="N316" i="1"/>
  <c r="N319" i="1"/>
  <c r="N315" i="1"/>
  <c r="M319" i="1"/>
  <c r="P318" i="1"/>
  <c r="M315" i="1"/>
  <c r="M318" i="1"/>
  <c r="P316" i="1"/>
  <c r="M316" i="1"/>
  <c r="P315" i="1"/>
  <c r="E316" i="1"/>
  <c r="E319" i="1"/>
  <c r="BA4" i="10"/>
  <c r="BA16" i="10" s="1"/>
  <c r="CA66" i="17" s="1"/>
  <c r="EI66" i="17" s="1"/>
  <c r="J319" i="1"/>
  <c r="L319" i="1"/>
  <c r="I319" i="1"/>
  <c r="H319" i="1"/>
  <c r="L318" i="1"/>
  <c r="J318" i="1"/>
  <c r="H318" i="1"/>
  <c r="L315" i="1"/>
  <c r="L316" i="1"/>
  <c r="I318" i="1"/>
  <c r="G318" i="1"/>
  <c r="BH6" i="20"/>
  <c r="BD6" i="14"/>
  <c r="BB6" i="11"/>
  <c r="BB6" i="10"/>
  <c r="BA6" i="9"/>
  <c r="BA6" i="8"/>
  <c r="AZ6" i="5"/>
  <c r="AY6" i="4"/>
  <c r="BH6" i="22"/>
  <c r="BI6" i="21"/>
  <c r="BI22" i="19"/>
  <c r="BI20" i="19" s="1"/>
  <c r="BD6" i="12"/>
  <c r="BD8" i="12" s="1"/>
  <c r="BD6" i="13"/>
  <c r="BE6" i="18"/>
  <c r="H317" i="1"/>
  <c r="H316" i="1"/>
  <c r="H315" i="1"/>
  <c r="G315" i="1"/>
  <c r="I315" i="1"/>
  <c r="I317" i="1"/>
  <c r="I316" i="1"/>
  <c r="J317" i="1"/>
  <c r="J316" i="1"/>
  <c r="J315" i="1"/>
  <c r="B322" i="1"/>
  <c r="E323" i="1" s="1"/>
  <c r="AY6" i="3"/>
  <c r="P120" i="40" l="1"/>
  <c r="AH58" i="40"/>
  <c r="R31" i="40"/>
  <c r="R34" i="40"/>
  <c r="T70" i="40"/>
  <c r="AG70" i="40"/>
  <c r="AH60" i="40"/>
  <c r="T72" i="40"/>
  <c r="AG33" i="40"/>
  <c r="U67" i="40"/>
  <c r="EH65" i="17"/>
  <c r="AG71" i="40" s="1"/>
  <c r="T71" i="40"/>
  <c r="AH72" i="40"/>
  <c r="AF66" i="40"/>
  <c r="AI61" i="40"/>
  <c r="AH61" i="40"/>
  <c r="T33" i="40"/>
  <c r="BA10" i="11"/>
  <c r="CA109" i="17" s="1"/>
  <c r="EI109" i="17" s="1"/>
  <c r="AY10" i="5"/>
  <c r="R315" i="1" s="1"/>
  <c r="BA13" i="10"/>
  <c r="CA65" i="17" s="1"/>
  <c r="BA19" i="10"/>
  <c r="CA67" i="17" s="1"/>
  <c r="EI67" i="17" s="1"/>
  <c r="AY16" i="5"/>
  <c r="AY13" i="5"/>
  <c r="R316" i="1" s="1"/>
  <c r="BH16" i="20"/>
  <c r="BH30" i="20"/>
  <c r="AG67" i="40"/>
  <c r="K315" i="1"/>
  <c r="V72" i="40"/>
  <c r="EH67" i="17"/>
  <c r="U73" i="40" s="1"/>
  <c r="V73" i="40"/>
  <c r="EG58" i="17"/>
  <c r="T64" i="40"/>
  <c r="EH109" i="17"/>
  <c r="T34" i="40"/>
  <c r="P112" i="40"/>
  <c r="AZ13" i="8"/>
  <c r="BZ53" i="17" s="1"/>
  <c r="EH53" i="17" s="1" a="1"/>
  <c r="EH53" i="17" s="1"/>
  <c r="AX19" i="4"/>
  <c r="BX100" i="17" s="1"/>
  <c r="EF100" i="17" s="1"/>
  <c r="K319" i="1"/>
  <c r="AZ10" i="8"/>
  <c r="BZ52" i="17" s="1"/>
  <c r="EH52" i="17" s="1" a="1"/>
  <c r="EH52" i="17" s="1"/>
  <c r="AG31" i="40" s="1"/>
  <c r="AX19" i="3"/>
  <c r="D311" i="1" s="1"/>
  <c r="AZ19" i="8"/>
  <c r="BZ55" i="17" s="1"/>
  <c r="EH55" i="17" s="1" a="1"/>
  <c r="EH55" i="17" s="1"/>
  <c r="AG34" i="40" s="1"/>
  <c r="AX22" i="3"/>
  <c r="BX15" i="17" s="1"/>
  <c r="R310" i="1"/>
  <c r="EG53" i="17" a="1"/>
  <c r="EG53" i="17" s="1"/>
  <c r="AG32" i="40" s="1"/>
  <c r="AX13" i="4"/>
  <c r="Q308" i="1" s="1"/>
  <c r="D303" i="1"/>
  <c r="G316" i="1"/>
  <c r="G319" i="1"/>
  <c r="AX16" i="4"/>
  <c r="BX99" i="17" s="1"/>
  <c r="P114" i="40" s="1"/>
  <c r="BX103" i="17"/>
  <c r="EF103" i="17" s="1"/>
  <c r="R319" i="1"/>
  <c r="BY106" i="17"/>
  <c r="EG106" i="17" s="1"/>
  <c r="R318" i="1"/>
  <c r="BY105" i="17"/>
  <c r="EG105" i="17" s="1"/>
  <c r="AX10" i="3"/>
  <c r="D307" i="1" s="1"/>
  <c r="AX16" i="3"/>
  <c r="D310" i="1" s="1"/>
  <c r="BX106" i="17"/>
  <c r="P121" i="40" s="1"/>
  <c r="AX13" i="3"/>
  <c r="BX12" i="17" s="1"/>
  <c r="EF12" i="17" s="1"/>
  <c r="BX104" i="17"/>
  <c r="Q307" i="1"/>
  <c r="BX97" i="17"/>
  <c r="EF97" i="17" s="1"/>
  <c r="EE103" i="17"/>
  <c r="EE105" i="17"/>
  <c r="BW11" i="17"/>
  <c r="BI29" i="19"/>
  <c r="BI32" i="19"/>
  <c r="BW12" i="17"/>
  <c r="D302" i="1"/>
  <c r="ED14" i="17"/>
  <c r="AY11" i="3"/>
  <c r="IV12" i="17" s="1"/>
  <c r="IV15" i="17"/>
  <c r="EE100" i="17"/>
  <c r="EE13" i="17"/>
  <c r="BI26" i="19"/>
  <c r="BI4" i="21"/>
  <c r="BI17" i="21"/>
  <c r="BI8" i="21"/>
  <c r="BI14" i="21"/>
  <c r="BI11" i="21"/>
  <c r="BI16" i="21"/>
  <c r="BI19" i="21"/>
  <c r="BI13" i="21"/>
  <c r="BI10" i="21"/>
  <c r="AY4" i="4"/>
  <c r="AY11" i="4"/>
  <c r="IV98" i="17" s="1"/>
  <c r="AY14" i="4"/>
  <c r="IV99" i="17" s="1"/>
  <c r="AY17" i="4"/>
  <c r="IV100" i="17" s="1"/>
  <c r="AY8" i="4"/>
  <c r="IV97" i="17" s="1"/>
  <c r="AY10" i="4"/>
  <c r="BE4" i="18"/>
  <c r="BE14" i="18"/>
  <c r="BE11" i="18"/>
  <c r="BE8" i="18"/>
  <c r="BE16" i="18"/>
  <c r="BE19" i="18"/>
  <c r="BE13" i="18"/>
  <c r="BE10" i="18"/>
  <c r="BA4" i="8"/>
  <c r="BA13" i="8" s="1"/>
  <c r="CA53" i="17" s="1"/>
  <c r="EI53" i="17" s="1" a="1"/>
  <c r="EI53" i="17" s="1"/>
  <c r="BA11" i="8"/>
  <c r="BA14" i="8"/>
  <c r="BA17" i="8"/>
  <c r="BA8" i="8"/>
  <c r="BA16" i="8"/>
  <c r="CA54" i="17" s="1"/>
  <c r="EI54" i="17" s="1"/>
  <c r="BD11" i="14"/>
  <c r="BD20" i="14"/>
  <c r="BD14" i="14"/>
  <c r="BD8" i="14"/>
  <c r="BD17" i="14"/>
  <c r="BD19" i="14"/>
  <c r="BD13" i="14"/>
  <c r="BD16" i="14"/>
  <c r="BD22" i="14"/>
  <c r="BD10" i="14"/>
  <c r="BA11" i="9"/>
  <c r="BA14" i="9"/>
  <c r="BA16" i="9"/>
  <c r="CA60" i="17" s="1"/>
  <c r="EI60" i="17" s="1"/>
  <c r="BA19" i="9"/>
  <c r="CA61" i="17" s="1"/>
  <c r="EI61" i="17" s="1"/>
  <c r="BA10" i="9"/>
  <c r="CA58" i="17" s="1"/>
  <c r="EI58" i="17" s="1"/>
  <c r="BA13" i="9"/>
  <c r="CA59" i="17" s="1"/>
  <c r="EI59" i="17" s="1"/>
  <c r="AH65" i="40" s="1"/>
  <c r="AZ4" i="5"/>
  <c r="AZ19" i="5" s="1"/>
  <c r="AZ11" i="5"/>
  <c r="IW104" i="17" s="1"/>
  <c r="AZ14" i="5"/>
  <c r="IW105" i="17" s="1"/>
  <c r="BD4" i="12"/>
  <c r="BD21" i="12"/>
  <c r="BD20" i="12"/>
  <c r="BD14" i="12"/>
  <c r="BD17" i="12"/>
  <c r="BD11" i="12"/>
  <c r="BD19" i="12"/>
  <c r="BD16" i="12"/>
  <c r="BD13" i="12"/>
  <c r="BD22" i="12"/>
  <c r="BD10" i="12"/>
  <c r="BB11" i="10"/>
  <c r="BB14" i="10"/>
  <c r="BB21" i="10"/>
  <c r="BB16" i="10"/>
  <c r="CB66" i="17" s="1"/>
  <c r="EJ66" i="17" s="1"/>
  <c r="AI72" i="40" s="1"/>
  <c r="BB23" i="10"/>
  <c r="BB19" i="10"/>
  <c r="CB67" i="17" s="1"/>
  <c r="EJ67" i="17" s="1"/>
  <c r="Y73" i="40" s="1"/>
  <c r="BB13" i="10"/>
  <c r="CB65" i="17" s="1"/>
  <c r="EJ65" i="17" s="1"/>
  <c r="BD8" i="13"/>
  <c r="BD17" i="13"/>
  <c r="BD14" i="13"/>
  <c r="BD11" i="13"/>
  <c r="BD20" i="13"/>
  <c r="BD19" i="13"/>
  <c r="BD13" i="13"/>
  <c r="BD16" i="13"/>
  <c r="BD22" i="13"/>
  <c r="BD10" i="13"/>
  <c r="AY4" i="3"/>
  <c r="AY22" i="3" s="1"/>
  <c r="BY15" i="17" s="1"/>
  <c r="AY14" i="3"/>
  <c r="IV13" i="17" s="1"/>
  <c r="AY17" i="3"/>
  <c r="IV14" i="17" s="1"/>
  <c r="AY8" i="3"/>
  <c r="IV11" i="17" s="1"/>
  <c r="BB8" i="11"/>
  <c r="BB10" i="11"/>
  <c r="CB109" i="17" s="1"/>
  <c r="EJ109" i="17" s="1"/>
  <c r="BH4" i="22"/>
  <c r="BH17" i="22"/>
  <c r="BH14" i="22"/>
  <c r="BH11" i="22"/>
  <c r="BH8" i="22"/>
  <c r="BH16" i="22"/>
  <c r="BH19" i="22"/>
  <c r="BH10" i="22"/>
  <c r="BH13" i="22"/>
  <c r="BH4" i="20"/>
  <c r="BH17" i="20"/>
  <c r="BH19" i="20"/>
  <c r="BH13" i="20"/>
  <c r="BH10" i="20"/>
  <c r="BA10" i="10"/>
  <c r="CA64" i="17" s="1"/>
  <c r="EI64" i="17" s="1"/>
  <c r="AH70" i="40" s="1"/>
  <c r="S327" i="1"/>
  <c r="S324" i="1"/>
  <c r="S326" i="1"/>
  <c r="BD4" i="13"/>
  <c r="F319" i="1"/>
  <c r="S323" i="1"/>
  <c r="BB4" i="11"/>
  <c r="F325" i="1"/>
  <c r="F316" i="1"/>
  <c r="F315" i="1"/>
  <c r="F318" i="1"/>
  <c r="BD4" i="14"/>
  <c r="BF7" i="18"/>
  <c r="BE2" i="18"/>
  <c r="BA35" i="9"/>
  <c r="BA4" i="9"/>
  <c r="K326" i="1"/>
  <c r="K327" i="1"/>
  <c r="K324" i="1"/>
  <c r="K323" i="1"/>
  <c r="V324" i="1"/>
  <c r="U324" i="1"/>
  <c r="V326" i="1"/>
  <c r="V323" i="1"/>
  <c r="U323" i="1"/>
  <c r="V327" i="1"/>
  <c r="U327" i="1"/>
  <c r="U326" i="1"/>
  <c r="P327" i="1"/>
  <c r="O323" i="1"/>
  <c r="O324" i="1"/>
  <c r="O326" i="1"/>
  <c r="O327" i="1"/>
  <c r="E326" i="1"/>
  <c r="N324" i="1"/>
  <c r="N326" i="1"/>
  <c r="N327" i="1"/>
  <c r="N323" i="1"/>
  <c r="M324" i="1"/>
  <c r="P324" i="1"/>
  <c r="M323" i="1"/>
  <c r="M327" i="1"/>
  <c r="M326" i="1"/>
  <c r="P326" i="1"/>
  <c r="P323" i="1"/>
  <c r="E324" i="1"/>
  <c r="E327" i="1"/>
  <c r="BB4" i="10"/>
  <c r="J327" i="1"/>
  <c r="L327" i="1"/>
  <c r="I327" i="1"/>
  <c r="H327" i="1"/>
  <c r="L326" i="1"/>
  <c r="J326" i="1"/>
  <c r="H326" i="1"/>
  <c r="L323" i="1"/>
  <c r="I326" i="1"/>
  <c r="G326" i="1"/>
  <c r="L324" i="1"/>
  <c r="BI6" i="20"/>
  <c r="BE6" i="14"/>
  <c r="BC6" i="11"/>
  <c r="BC6" i="10"/>
  <c r="BB6" i="9"/>
  <c r="BB6" i="8"/>
  <c r="BA6" i="5"/>
  <c r="AZ6" i="4"/>
  <c r="BI6" i="22"/>
  <c r="BJ6" i="21"/>
  <c r="BJ22" i="19"/>
  <c r="BJ20" i="19" s="1"/>
  <c r="BE6" i="12"/>
  <c r="BE8" i="12" s="1"/>
  <c r="BE6" i="13"/>
  <c r="H325" i="1"/>
  <c r="J324" i="1"/>
  <c r="I324" i="1"/>
  <c r="H324" i="1"/>
  <c r="J323" i="1"/>
  <c r="I323" i="1"/>
  <c r="I325" i="1"/>
  <c r="J325" i="1"/>
  <c r="H323" i="1"/>
  <c r="BF6" i="18"/>
  <c r="B330" i="1"/>
  <c r="AZ6" i="3"/>
  <c r="AG73" i="40" l="1"/>
  <c r="Y124" i="40"/>
  <c r="V70" i="40"/>
  <c r="W70" i="40"/>
  <c r="AI73" i="40"/>
  <c r="X73" i="40"/>
  <c r="T32" i="40"/>
  <c r="V64" i="40"/>
  <c r="BX14" i="17"/>
  <c r="V124" i="40"/>
  <c r="V33" i="40"/>
  <c r="P115" i="40"/>
  <c r="AF64" i="40"/>
  <c r="S64" i="40"/>
  <c r="T31" i="40"/>
  <c r="U124" i="40"/>
  <c r="AG124" i="40"/>
  <c r="X72" i="40"/>
  <c r="AH66" i="40"/>
  <c r="P12" i="40"/>
  <c r="BY103" i="17"/>
  <c r="EG103" i="17" s="1"/>
  <c r="R15" i="40"/>
  <c r="P15" i="40"/>
  <c r="R120" i="40"/>
  <c r="P118" i="40"/>
  <c r="AH64" i="40"/>
  <c r="P119" i="40"/>
  <c r="AH67" i="40"/>
  <c r="AH33" i="40"/>
  <c r="EI65" i="17"/>
  <c r="V71" i="40"/>
  <c r="AZ10" i="5"/>
  <c r="R323" i="1" s="1"/>
  <c r="X124" i="40"/>
  <c r="BY104" i="17"/>
  <c r="EG104" i="17" s="1"/>
  <c r="X71" i="40"/>
  <c r="Q311" i="1"/>
  <c r="BA10" i="8"/>
  <c r="CA52" i="17" s="1"/>
  <c r="EI52" i="17" s="1" a="1"/>
  <c r="EI52" i="17" s="1"/>
  <c r="BA19" i="8"/>
  <c r="CA55" i="17" s="1"/>
  <c r="EI55" i="17" s="1" a="1"/>
  <c r="EI55" i="17" s="1"/>
  <c r="W34" i="40" s="1"/>
  <c r="AZ13" i="5"/>
  <c r="BZ104" i="17" s="1"/>
  <c r="EH104" i="17" s="1"/>
  <c r="AZ16" i="5"/>
  <c r="BI30" i="20"/>
  <c r="BI16" i="20"/>
  <c r="AH34" i="40"/>
  <c r="V32" i="40"/>
  <c r="G324" i="1"/>
  <c r="W64" i="40"/>
  <c r="U64" i="40"/>
  <c r="AG64" i="40"/>
  <c r="G323" i="1"/>
  <c r="W73" i="40"/>
  <c r="AH73" i="40"/>
  <c r="R118" i="40"/>
  <c r="V31" i="40"/>
  <c r="AE115" i="40"/>
  <c r="AI124" i="40"/>
  <c r="AH124" i="40"/>
  <c r="W124" i="40"/>
  <c r="R121" i="40"/>
  <c r="AH31" i="40"/>
  <c r="W31" i="40"/>
  <c r="BX11" i="17"/>
  <c r="EF11" i="17" s="1"/>
  <c r="G327" i="1"/>
  <c r="AY10" i="3"/>
  <c r="D315" i="1" s="1"/>
  <c r="Q310" i="1"/>
  <c r="AY16" i="3"/>
  <c r="D318" i="1" s="1"/>
  <c r="AY19" i="4"/>
  <c r="Q319" i="1" s="1"/>
  <c r="AY19" i="3"/>
  <c r="D319" i="1" s="1"/>
  <c r="AY13" i="3"/>
  <c r="D316" i="1" s="1"/>
  <c r="BX98" i="17"/>
  <c r="P113" i="40" s="1"/>
  <c r="EF99" i="17" a="1"/>
  <c r="EF99" i="17" s="1"/>
  <c r="EF15" i="17"/>
  <c r="R326" i="1"/>
  <c r="BZ105" i="17"/>
  <c r="T120" i="40" s="1"/>
  <c r="AH32" i="40"/>
  <c r="W32" i="40"/>
  <c r="BZ103" i="17"/>
  <c r="EH103" i="17" s="1"/>
  <c r="AG118" i="40" s="1"/>
  <c r="EG15" i="17"/>
  <c r="R327" i="1"/>
  <c r="BZ106" i="17"/>
  <c r="EH106" i="17" s="1"/>
  <c r="AY13" i="4"/>
  <c r="Q316" i="1" s="1"/>
  <c r="AY16" i="4"/>
  <c r="Q318" i="1" s="1"/>
  <c r="D308" i="1"/>
  <c r="BX13" i="17"/>
  <c r="P13" i="40" s="1"/>
  <c r="EF106" i="17"/>
  <c r="Q315" i="1"/>
  <c r="BY97" i="17"/>
  <c r="R112" i="40" s="1"/>
  <c r="EF104" i="17"/>
  <c r="EE12" i="17"/>
  <c r="EE11" i="17"/>
  <c r="EF14" i="17"/>
  <c r="BJ29" i="19"/>
  <c r="BJ32" i="19"/>
  <c r="BJ26" i="19"/>
  <c r="AZ4" i="4"/>
  <c r="AZ11" i="4"/>
  <c r="IW98" i="17" s="1"/>
  <c r="AZ14" i="4"/>
  <c r="IW99" i="17" s="1"/>
  <c r="AZ8" i="4"/>
  <c r="IW97" i="17" s="1"/>
  <c r="AZ17" i="4"/>
  <c r="IW100" i="17" s="1"/>
  <c r="AZ10" i="4"/>
  <c r="BF4" i="18"/>
  <c r="BF14" i="18"/>
  <c r="BF8" i="18"/>
  <c r="BF11" i="18"/>
  <c r="BF19" i="18"/>
  <c r="BF10" i="18"/>
  <c r="BF13" i="18"/>
  <c r="BF16" i="18"/>
  <c r="BA4" i="5"/>
  <c r="BA11" i="5"/>
  <c r="BA14" i="5"/>
  <c r="BI4" i="22"/>
  <c r="BI8" i="22"/>
  <c r="BI17" i="22"/>
  <c r="BI14" i="22"/>
  <c r="BI11" i="22"/>
  <c r="BI16" i="22"/>
  <c r="BI10" i="22"/>
  <c r="BI13" i="22"/>
  <c r="BI19" i="22"/>
  <c r="BB4" i="8"/>
  <c r="BB11" i="8"/>
  <c r="BB14" i="8"/>
  <c r="BB17" i="8"/>
  <c r="BB8" i="8"/>
  <c r="BB13" i="8"/>
  <c r="CB53" i="17" s="1"/>
  <c r="EJ53" i="17" s="1" a="1"/>
  <c r="EJ53" i="17" s="1"/>
  <c r="AI32" i="40" s="1"/>
  <c r="BB19" i="8"/>
  <c r="CB55" i="17" s="1"/>
  <c r="EJ55" i="17" s="1" a="1"/>
  <c r="EJ55" i="17" s="1"/>
  <c r="Y34" i="40" s="1"/>
  <c r="BB10" i="8"/>
  <c r="CB52" i="17" s="1"/>
  <c r="EJ52" i="17" s="1" a="1"/>
  <c r="EJ52" i="17" s="1"/>
  <c r="BB16" i="8"/>
  <c r="CB54" i="17" s="1"/>
  <c r="EJ54" i="17" s="1"/>
  <c r="AI33" i="40" s="1"/>
  <c r="BE20" i="13"/>
  <c r="BE8" i="13"/>
  <c r="BE17" i="13"/>
  <c r="BE14" i="13"/>
  <c r="BE11" i="13"/>
  <c r="BE19" i="13"/>
  <c r="BE13" i="13"/>
  <c r="BE16" i="13"/>
  <c r="BE22" i="13"/>
  <c r="BE10" i="13"/>
  <c r="BB11" i="9"/>
  <c r="BB14" i="9"/>
  <c r="BB16" i="9"/>
  <c r="CB60" i="17" s="1"/>
  <c r="EJ60" i="17" s="1"/>
  <c r="AI66" i="40" s="1"/>
  <c r="BB19" i="9"/>
  <c r="CB61" i="17" s="1"/>
  <c r="EJ61" i="17" s="1"/>
  <c r="AI67" i="40" s="1"/>
  <c r="BB13" i="9"/>
  <c r="CB59" i="17" s="1"/>
  <c r="EJ59" i="17" s="1"/>
  <c r="AI65" i="40" s="1"/>
  <c r="BB10" i="9"/>
  <c r="CB58" i="17" s="1"/>
  <c r="EJ58" i="17" s="1"/>
  <c r="AI64" i="40" s="1"/>
  <c r="BI4" i="20"/>
  <c r="BI17" i="20"/>
  <c r="BI19" i="20"/>
  <c r="BI13" i="20"/>
  <c r="BI10" i="20"/>
  <c r="BE4" i="12"/>
  <c r="BE21" i="12"/>
  <c r="BE20" i="12"/>
  <c r="BE11" i="12"/>
  <c r="BE14" i="12"/>
  <c r="BE17" i="12"/>
  <c r="BE19" i="12"/>
  <c r="BE16" i="12"/>
  <c r="BE22" i="12"/>
  <c r="BE13" i="12"/>
  <c r="BE10" i="12"/>
  <c r="BC11" i="10"/>
  <c r="BC14" i="10"/>
  <c r="BC21" i="10"/>
  <c r="BC16" i="10"/>
  <c r="BC23" i="10"/>
  <c r="BC13" i="10"/>
  <c r="BC19" i="10"/>
  <c r="AZ4" i="3"/>
  <c r="AZ22" i="3" s="1"/>
  <c r="BZ15" i="17" s="1"/>
  <c r="EH15" i="17" s="1"/>
  <c r="AZ14" i="3"/>
  <c r="IW13" i="17" s="1"/>
  <c r="AZ17" i="3"/>
  <c r="IW14" i="17" s="1"/>
  <c r="AZ8" i="3"/>
  <c r="IW11" i="17" s="1"/>
  <c r="BC8" i="11"/>
  <c r="BC10" i="11"/>
  <c r="S331" i="1"/>
  <c r="E331" i="1"/>
  <c r="BJ4" i="21"/>
  <c r="BJ11" i="21"/>
  <c r="BJ17" i="21"/>
  <c r="BJ8" i="21"/>
  <c r="BJ14" i="21"/>
  <c r="BJ16" i="21"/>
  <c r="BJ19" i="21"/>
  <c r="BJ13" i="21"/>
  <c r="BJ10" i="21"/>
  <c r="BE20" i="14"/>
  <c r="BE14" i="14"/>
  <c r="BE8" i="14"/>
  <c r="BE17" i="14"/>
  <c r="BE11" i="14"/>
  <c r="BE19" i="14"/>
  <c r="BE13" i="14"/>
  <c r="BE22" i="14"/>
  <c r="BE16" i="14"/>
  <c r="BE10" i="14"/>
  <c r="BB10" i="10"/>
  <c r="CB64" i="17" s="1"/>
  <c r="EJ64" i="17" s="1"/>
  <c r="Y70" i="40" s="1"/>
  <c r="F333" i="1"/>
  <c r="BE4" i="13"/>
  <c r="F326" i="1"/>
  <c r="F327" i="1"/>
  <c r="S334" i="1"/>
  <c r="S335" i="1"/>
  <c r="S332" i="1"/>
  <c r="BC4" i="11"/>
  <c r="F324" i="1"/>
  <c r="F323" i="1"/>
  <c r="BE4" i="14"/>
  <c r="BG7" i="18"/>
  <c r="BF2" i="18"/>
  <c r="BB35" i="9"/>
  <c r="BB4" i="9"/>
  <c r="K335" i="1"/>
  <c r="K332" i="1"/>
  <c r="K334" i="1"/>
  <c r="K331" i="1"/>
  <c r="V335" i="1"/>
  <c r="U335" i="1"/>
  <c r="V334" i="1"/>
  <c r="U334" i="1"/>
  <c r="V331" i="1"/>
  <c r="V332" i="1"/>
  <c r="U331" i="1"/>
  <c r="U332" i="1"/>
  <c r="O334" i="1"/>
  <c r="P335" i="1"/>
  <c r="O331" i="1"/>
  <c r="O335" i="1"/>
  <c r="O332" i="1"/>
  <c r="E334" i="1"/>
  <c r="N334" i="1"/>
  <c r="N331" i="1"/>
  <c r="N332" i="1"/>
  <c r="N335" i="1"/>
  <c r="P332" i="1"/>
  <c r="M335" i="1"/>
  <c r="M334" i="1"/>
  <c r="P334" i="1"/>
  <c r="M331" i="1"/>
  <c r="P331" i="1"/>
  <c r="M332" i="1"/>
  <c r="E332" i="1"/>
  <c r="E335" i="1"/>
  <c r="BC4" i="10"/>
  <c r="J335" i="1"/>
  <c r="I335" i="1"/>
  <c r="H335" i="1"/>
  <c r="L335" i="1"/>
  <c r="J334" i="1"/>
  <c r="H334" i="1"/>
  <c r="I334" i="1"/>
  <c r="G334" i="1"/>
  <c r="L334" i="1"/>
  <c r="L332" i="1"/>
  <c r="L331" i="1"/>
  <c r="BJ6" i="20"/>
  <c r="BF6" i="14"/>
  <c r="BD6" i="11"/>
  <c r="BD6" i="10"/>
  <c r="BC6" i="9"/>
  <c r="BC6" i="8"/>
  <c r="BB6" i="5"/>
  <c r="BA6" i="4"/>
  <c r="BJ6" i="22"/>
  <c r="BK6" i="21"/>
  <c r="BK22" i="19"/>
  <c r="BK20" i="19" s="1"/>
  <c r="BF6" i="12"/>
  <c r="BF8" i="12" s="1"/>
  <c r="BF6" i="13"/>
  <c r="J332" i="1"/>
  <c r="I332" i="1"/>
  <c r="H332" i="1"/>
  <c r="J331" i="1"/>
  <c r="I331" i="1"/>
  <c r="J333" i="1"/>
  <c r="H331" i="1"/>
  <c r="H333" i="1"/>
  <c r="I333" i="1"/>
  <c r="BG6" i="18"/>
  <c r="G332" i="1"/>
  <c r="G331" i="1"/>
  <c r="B338" i="1"/>
  <c r="BA6" i="3"/>
  <c r="X70" i="40" l="1"/>
  <c r="AI34" i="40"/>
  <c r="T119" i="40"/>
  <c r="T118" i="40"/>
  <c r="Y64" i="40"/>
  <c r="X32" i="40"/>
  <c r="Y32" i="40"/>
  <c r="G335" i="1"/>
  <c r="V34" i="40"/>
  <c r="T15" i="40"/>
  <c r="R119" i="40"/>
  <c r="AG119" i="40"/>
  <c r="AE15" i="40"/>
  <c r="Q15" i="40"/>
  <c r="X31" i="40"/>
  <c r="T121" i="40"/>
  <c r="X64" i="40"/>
  <c r="AI70" i="40"/>
  <c r="P14" i="40"/>
  <c r="AE114" i="40"/>
  <c r="Q14" i="40"/>
  <c r="X33" i="40"/>
  <c r="AI71" i="40"/>
  <c r="AH71" i="40"/>
  <c r="P11" i="40"/>
  <c r="AE14" i="40"/>
  <c r="Y31" i="40"/>
  <c r="X34" i="40"/>
  <c r="BY11" i="17"/>
  <c r="R11" i="40" s="1"/>
  <c r="R324" i="1"/>
  <c r="BA13" i="5"/>
  <c r="BA10" i="5"/>
  <c r="R331" i="1" s="1"/>
  <c r="BA16" i="5"/>
  <c r="CA105" i="17" s="1"/>
  <c r="EI105" i="17" s="1"/>
  <c r="AZ13" i="3"/>
  <c r="D324" i="1" s="1"/>
  <c r="BA19" i="5"/>
  <c r="CA106" i="17" s="1"/>
  <c r="V121" i="40" s="1"/>
  <c r="AI31" i="40"/>
  <c r="AZ19" i="3"/>
  <c r="D327" i="1" s="1"/>
  <c r="BJ16" i="20"/>
  <c r="BJ30" i="20"/>
  <c r="BY100" i="17"/>
  <c r="BY98" i="17"/>
  <c r="EG98" i="17" s="1" a="1"/>
  <c r="EG98" i="17" s="1"/>
  <c r="R334" i="1"/>
  <c r="S15" i="40"/>
  <c r="AF15" i="40"/>
  <c r="BY12" i="17"/>
  <c r="R12" i="40" s="1"/>
  <c r="CA103" i="17"/>
  <c r="EI103" i="17" s="1"/>
  <c r="AH118" i="40" s="1"/>
  <c r="AZ16" i="4"/>
  <c r="BZ99" i="17" s="1"/>
  <c r="EH99" i="17" s="1" a="1"/>
  <c r="EH99" i="17" s="1"/>
  <c r="BY14" i="17"/>
  <c r="R14" i="40" s="1"/>
  <c r="R332" i="1"/>
  <c r="CA104" i="17"/>
  <c r="EI104" i="17" s="1"/>
  <c r="EF98" i="17" a="1"/>
  <c r="EF98" i="17" s="1"/>
  <c r="BY13" i="17"/>
  <c r="EG13" i="17" s="1"/>
  <c r="AZ19" i="4"/>
  <c r="BZ100" i="17" s="1"/>
  <c r="BY99" i="17"/>
  <c r="R114" i="40" s="1"/>
  <c r="AZ13" i="4"/>
  <c r="Q324" i="1" s="1"/>
  <c r="AZ16" i="3"/>
  <c r="D326" i="1" s="1"/>
  <c r="AZ10" i="3"/>
  <c r="D323" i="1" s="1"/>
  <c r="Q323" i="1"/>
  <c r="BZ97" i="17"/>
  <c r="EH97" i="17" s="1"/>
  <c r="EH105" i="17"/>
  <c r="AG120" i="40" s="1"/>
  <c r="U15" i="40"/>
  <c r="AG15" i="40"/>
  <c r="AG121" i="40"/>
  <c r="U121" i="40"/>
  <c r="EF13" i="17"/>
  <c r="AH119" i="40"/>
  <c r="EG97" i="17"/>
  <c r="AG112" i="40" s="1"/>
  <c r="BK29" i="19"/>
  <c r="BK32" i="19"/>
  <c r="BK26" i="19"/>
  <c r="BG4" i="18"/>
  <c r="BG11" i="18"/>
  <c r="BG8" i="18"/>
  <c r="BG14" i="18"/>
  <c r="BG10" i="18"/>
  <c r="BG16" i="18"/>
  <c r="BG19" i="18"/>
  <c r="BG13" i="18"/>
  <c r="BB4" i="5"/>
  <c r="BB11" i="5"/>
  <c r="BB14" i="5"/>
  <c r="BB16" i="5"/>
  <c r="BB19" i="5"/>
  <c r="BB10" i="5"/>
  <c r="BB13" i="5"/>
  <c r="BC4" i="8"/>
  <c r="BC11" i="8"/>
  <c r="BC14" i="8"/>
  <c r="BC17" i="8"/>
  <c r="BC8" i="8"/>
  <c r="BC19" i="8"/>
  <c r="BC16" i="8"/>
  <c r="BC13" i="8"/>
  <c r="BC10" i="8"/>
  <c r="BF11" i="13"/>
  <c r="BF20" i="13"/>
  <c r="BF8" i="13"/>
  <c r="BF17" i="13"/>
  <c r="BF14" i="13"/>
  <c r="BF22" i="13"/>
  <c r="BF16" i="13"/>
  <c r="BF19" i="13"/>
  <c r="BF10" i="13"/>
  <c r="BF13" i="13"/>
  <c r="BC11" i="9"/>
  <c r="BC14" i="9"/>
  <c r="BC16" i="9"/>
  <c r="BC19" i="9"/>
  <c r="BC13" i="9"/>
  <c r="BC10" i="9"/>
  <c r="BA4" i="4"/>
  <c r="BA11" i="4"/>
  <c r="BA14" i="4"/>
  <c r="BA17" i="4"/>
  <c r="BA8" i="4"/>
  <c r="BA10" i="4"/>
  <c r="BF4" i="12"/>
  <c r="BF17" i="12"/>
  <c r="BF20" i="12"/>
  <c r="BF11" i="12"/>
  <c r="BF21" i="12"/>
  <c r="BF14" i="12"/>
  <c r="BF16" i="12"/>
  <c r="BF22" i="12"/>
  <c r="BF19" i="12"/>
  <c r="BF13" i="12"/>
  <c r="BF10" i="12"/>
  <c r="BD11" i="10"/>
  <c r="BD14" i="10"/>
  <c r="BD21" i="10"/>
  <c r="BD23" i="10"/>
  <c r="BD16" i="10"/>
  <c r="BD19" i="10"/>
  <c r="BD13" i="10"/>
  <c r="BD8" i="11"/>
  <c r="BD10" i="11"/>
  <c r="S339" i="1"/>
  <c r="E339" i="1"/>
  <c r="BK4" i="21"/>
  <c r="BK11" i="21"/>
  <c r="BK17" i="21"/>
  <c r="BK8" i="21"/>
  <c r="BK14" i="21"/>
  <c r="BK19" i="21"/>
  <c r="BK13" i="21"/>
  <c r="BK16" i="21"/>
  <c r="BK10" i="21"/>
  <c r="BF14" i="14"/>
  <c r="BF8" i="14"/>
  <c r="BF17" i="14"/>
  <c r="BF11" i="14"/>
  <c r="BF20" i="14"/>
  <c r="BF22" i="14"/>
  <c r="BF19" i="14"/>
  <c r="BF13" i="14"/>
  <c r="BF10" i="14"/>
  <c r="BF16" i="14"/>
  <c r="BA4" i="3"/>
  <c r="BA13" i="3" s="1"/>
  <c r="BA17" i="3"/>
  <c r="IX14" i="17" s="1"/>
  <c r="BA8" i="3"/>
  <c r="BA14" i="3"/>
  <c r="BA19" i="3"/>
  <c r="BJ4" i="22"/>
  <c r="BJ8" i="22"/>
  <c r="BJ17" i="22"/>
  <c r="BJ14" i="22"/>
  <c r="BJ11" i="22"/>
  <c r="BJ16" i="22"/>
  <c r="BJ10" i="22"/>
  <c r="BJ19" i="22"/>
  <c r="BJ13" i="22"/>
  <c r="BJ4" i="20"/>
  <c r="BJ17" i="20"/>
  <c r="BJ19" i="20"/>
  <c r="BJ10" i="20"/>
  <c r="BJ13" i="20"/>
  <c r="BC10" i="10"/>
  <c r="BF4" i="13"/>
  <c r="F334" i="1"/>
  <c r="F335" i="1"/>
  <c r="F341" i="1"/>
  <c r="S343" i="1"/>
  <c r="S340" i="1"/>
  <c r="S342" i="1"/>
  <c r="BD4" i="11"/>
  <c r="F332" i="1"/>
  <c r="F331" i="1"/>
  <c r="BF4" i="14"/>
  <c r="BH7" i="18"/>
  <c r="BG2" i="18"/>
  <c r="BC35" i="9"/>
  <c r="BC4" i="9"/>
  <c r="K340" i="1"/>
  <c r="K342" i="1"/>
  <c r="K339" i="1"/>
  <c r="K343" i="1"/>
  <c r="V340" i="1"/>
  <c r="U340" i="1"/>
  <c r="V339" i="1"/>
  <c r="U339" i="1"/>
  <c r="U342" i="1"/>
  <c r="V343" i="1"/>
  <c r="U343" i="1"/>
  <c r="V342" i="1"/>
  <c r="O342" i="1"/>
  <c r="O343" i="1"/>
  <c r="O340" i="1"/>
  <c r="O339" i="1"/>
  <c r="P343" i="1"/>
  <c r="E342" i="1"/>
  <c r="N343" i="1"/>
  <c r="N342" i="1"/>
  <c r="N339" i="1"/>
  <c r="N340" i="1"/>
  <c r="M343" i="1"/>
  <c r="M342" i="1"/>
  <c r="M339" i="1"/>
  <c r="P340" i="1"/>
  <c r="P339" i="1"/>
  <c r="M340" i="1"/>
  <c r="P342" i="1"/>
  <c r="E340" i="1"/>
  <c r="E343" i="1"/>
  <c r="BD4" i="10"/>
  <c r="J343" i="1"/>
  <c r="L339" i="1"/>
  <c r="I343" i="1"/>
  <c r="H343" i="1"/>
  <c r="G343" i="1"/>
  <c r="L343" i="1"/>
  <c r="J342" i="1"/>
  <c r="H342" i="1"/>
  <c r="L340" i="1"/>
  <c r="I342" i="1"/>
  <c r="G342" i="1"/>
  <c r="L342" i="1"/>
  <c r="BK6" i="20"/>
  <c r="BG6" i="14"/>
  <c r="BE6" i="11"/>
  <c r="BE6" i="10"/>
  <c r="BD6" i="9"/>
  <c r="BD6" i="8"/>
  <c r="BC6" i="5"/>
  <c r="BB6" i="4"/>
  <c r="BK6" i="22"/>
  <c r="BL6" i="21"/>
  <c r="BL22" i="19"/>
  <c r="BL20" i="19" s="1"/>
  <c r="BG6" i="12"/>
  <c r="BG8" i="12" s="1"/>
  <c r="BG6" i="13"/>
  <c r="BH6" i="18"/>
  <c r="H341" i="1"/>
  <c r="G340" i="1"/>
  <c r="H340" i="1"/>
  <c r="G339" i="1"/>
  <c r="H339" i="1"/>
  <c r="J341" i="1"/>
  <c r="J340" i="1"/>
  <c r="J339" i="1"/>
  <c r="I339" i="1"/>
  <c r="I341" i="1"/>
  <c r="I340" i="1"/>
  <c r="B346" i="1"/>
  <c r="BB6" i="3"/>
  <c r="BB11" i="3" s="1"/>
  <c r="T112" i="40" l="1"/>
  <c r="V120" i="40"/>
  <c r="V118" i="40"/>
  <c r="BA22" i="3"/>
  <c r="CA15" i="17" s="1"/>
  <c r="EI15" i="17" s="1"/>
  <c r="R340" i="1"/>
  <c r="CB104" i="17"/>
  <c r="EJ104" i="17" s="1"/>
  <c r="V15" i="40"/>
  <c r="R335" i="1"/>
  <c r="EG100" i="17"/>
  <c r="AF115" i="40" s="1"/>
  <c r="R115" i="40"/>
  <c r="R339" i="1"/>
  <c r="CB103" i="17"/>
  <c r="EJ103" i="17" s="1"/>
  <c r="R113" i="40"/>
  <c r="R343" i="1"/>
  <c r="CB106" i="17"/>
  <c r="EJ106" i="17" s="1"/>
  <c r="AE113" i="40"/>
  <c r="AI118" i="40"/>
  <c r="V119" i="40"/>
  <c r="R342" i="1"/>
  <c r="CB105" i="17"/>
  <c r="EJ105" i="17" s="1"/>
  <c r="AI120" i="40" s="1"/>
  <c r="AH15" i="40"/>
  <c r="P15" i="17"/>
  <c r="R13" i="40"/>
  <c r="BA16" i="3"/>
  <c r="CA13" i="17" s="1"/>
  <c r="EI13" i="17" s="1"/>
  <c r="BA16" i="4"/>
  <c r="EG11" i="17"/>
  <c r="W15" i="40"/>
  <c r="AI119" i="40"/>
  <c r="BZ12" i="17"/>
  <c r="EH12" i="17" s="1"/>
  <c r="Q326" i="1"/>
  <c r="BZ14" i="17"/>
  <c r="EI106" i="17"/>
  <c r="X121" i="40"/>
  <c r="BA10" i="3"/>
  <c r="CA11" i="17" s="1"/>
  <c r="EI11" i="17" s="1"/>
  <c r="BA19" i="4"/>
  <c r="Q335" i="1" s="1"/>
  <c r="BK16" i="20"/>
  <c r="BK30" i="20"/>
  <c r="Q327" i="1"/>
  <c r="AG115" i="40"/>
  <c r="T115" i="40"/>
  <c r="X119" i="40"/>
  <c r="X118" i="40"/>
  <c r="EH100" i="17"/>
  <c r="BA13" i="4"/>
  <c r="Q332" i="1" s="1"/>
  <c r="V114" i="40"/>
  <c r="BZ13" i="17"/>
  <c r="EG99" i="17" a="1"/>
  <c r="EG99" i="17" s="1"/>
  <c r="AF114" i="40" s="1"/>
  <c r="T114" i="40"/>
  <c r="D334" i="1"/>
  <c r="Q334" i="1"/>
  <c r="CA99" i="17"/>
  <c r="EI99" i="17" s="1" a="1"/>
  <c r="EI99" i="17" s="1"/>
  <c r="AH120" i="40"/>
  <c r="EG14" i="17"/>
  <c r="D335" i="1"/>
  <c r="CA14" i="17"/>
  <c r="EI14" i="17" s="1"/>
  <c r="Q331" i="1"/>
  <c r="CA97" i="17"/>
  <c r="EG12" i="17"/>
  <c r="T12" i="40"/>
  <c r="CA98" i="17"/>
  <c r="EI98" i="17" s="1" a="1"/>
  <c r="EI98" i="17" s="1"/>
  <c r="T13" i="40"/>
  <c r="AF113" i="40"/>
  <c r="D332" i="1"/>
  <c r="CA12" i="17"/>
  <c r="EI12" i="17" s="1"/>
  <c r="J15" i="17"/>
  <c r="V112" i="40"/>
  <c r="BZ98" i="17"/>
  <c r="T113" i="40" s="1"/>
  <c r="BZ11" i="17"/>
  <c r="T11" i="40" s="1"/>
  <c r="BL29" i="19"/>
  <c r="BL32" i="19"/>
  <c r="BB22" i="3"/>
  <c r="CB15" i="17" s="1"/>
  <c r="EJ15" i="17" s="1"/>
  <c r="AI15" i="40" s="1"/>
  <c r="BL26" i="19"/>
  <c r="S347" i="1"/>
  <c r="E347" i="1"/>
  <c r="BB4" i="3"/>
  <c r="BB13" i="3" s="1"/>
  <c r="BB14" i="3"/>
  <c r="BB17" i="3"/>
  <c r="IY14" i="17" s="1"/>
  <c r="BB8" i="3"/>
  <c r="BB19" i="3"/>
  <c r="BB16" i="3"/>
  <c r="BB10" i="3"/>
  <c r="BK4" i="22"/>
  <c r="BK11" i="22"/>
  <c r="BK8" i="22"/>
  <c r="BK17" i="22"/>
  <c r="BK14" i="22"/>
  <c r="BK16" i="22"/>
  <c r="BK10" i="22"/>
  <c r="BK19" i="22"/>
  <c r="BK13" i="22"/>
  <c r="BB4" i="4"/>
  <c r="BB17" i="4"/>
  <c r="BB8" i="4"/>
  <c r="BB11" i="4"/>
  <c r="BB14" i="4"/>
  <c r="BB19" i="4"/>
  <c r="BB13" i="4"/>
  <c r="BB10" i="4"/>
  <c r="BB16" i="4"/>
  <c r="BC4" i="5"/>
  <c r="BC11" i="5"/>
  <c r="BC14" i="5"/>
  <c r="BC16" i="5"/>
  <c r="R350" i="1" s="1"/>
  <c r="BC19" i="5"/>
  <c r="R351" i="1" s="1"/>
  <c r="BC10" i="5"/>
  <c r="R347" i="1" s="1"/>
  <c r="BC13" i="5"/>
  <c r="R348" i="1" s="1"/>
  <c r="BH4" i="18"/>
  <c r="BH11" i="18"/>
  <c r="BH14" i="18"/>
  <c r="BH8" i="18"/>
  <c r="BH10" i="18"/>
  <c r="BH13" i="18"/>
  <c r="BH16" i="18"/>
  <c r="BH19" i="18"/>
  <c r="BD4" i="8"/>
  <c r="BD17" i="8"/>
  <c r="BD8" i="8"/>
  <c r="BD11" i="8"/>
  <c r="BD14" i="8"/>
  <c r="BD19" i="8"/>
  <c r="BD16" i="8"/>
  <c r="BD13" i="8"/>
  <c r="BD10" i="8"/>
  <c r="BE8" i="11"/>
  <c r="BE10" i="11"/>
  <c r="BG11" i="13"/>
  <c r="BG20" i="13"/>
  <c r="BG8" i="13"/>
  <c r="BG17" i="13"/>
  <c r="BG14" i="13"/>
  <c r="BG22" i="13"/>
  <c r="BG19" i="13"/>
  <c r="BG13" i="13"/>
  <c r="BG16" i="13"/>
  <c r="BG10" i="13"/>
  <c r="BD11" i="9"/>
  <c r="BD14" i="9"/>
  <c r="BD16" i="9"/>
  <c r="BD10" i="9"/>
  <c r="BD13" i="9"/>
  <c r="BD19" i="9"/>
  <c r="BG4" i="12"/>
  <c r="BG17" i="12"/>
  <c r="BG21" i="12"/>
  <c r="BG20" i="12"/>
  <c r="BG14" i="12"/>
  <c r="BG11" i="12"/>
  <c r="BG22" i="12"/>
  <c r="BG19" i="12"/>
  <c r="BG16" i="12"/>
  <c r="BG10" i="12"/>
  <c r="BG13" i="12"/>
  <c r="BL4" i="21"/>
  <c r="BL11" i="21"/>
  <c r="BL17" i="21"/>
  <c r="BL8" i="21"/>
  <c r="BL14" i="21"/>
  <c r="BL19" i="21"/>
  <c r="BL13" i="21"/>
  <c r="BL16" i="21"/>
  <c r="BL10" i="21"/>
  <c r="BG14" i="14"/>
  <c r="BG8" i="14"/>
  <c r="BG17" i="14"/>
  <c r="BG11" i="14"/>
  <c r="BG20" i="14"/>
  <c r="BG22" i="14"/>
  <c r="BG19" i="14"/>
  <c r="BG13" i="14"/>
  <c r="BG16" i="14"/>
  <c r="BG10" i="14"/>
  <c r="BE21" i="10"/>
  <c r="BE14" i="10"/>
  <c r="BE11" i="10"/>
  <c r="BE16" i="10"/>
  <c r="BE23" i="10"/>
  <c r="BE19" i="10"/>
  <c r="BE13" i="10"/>
  <c r="BK4" i="20"/>
  <c r="BK17" i="20"/>
  <c r="BK19" i="20"/>
  <c r="BK13" i="20"/>
  <c r="BK10" i="20"/>
  <c r="BD10" i="10"/>
  <c r="F342" i="1"/>
  <c r="F343" i="1"/>
  <c r="S350" i="1"/>
  <c r="S351" i="1"/>
  <c r="S348" i="1"/>
  <c r="BE4" i="11"/>
  <c r="BG4" i="13"/>
  <c r="F349" i="1"/>
  <c r="F340" i="1"/>
  <c r="F339" i="1"/>
  <c r="BG4" i="14"/>
  <c r="BI7" i="18"/>
  <c r="BH2" i="18"/>
  <c r="BD35" i="9"/>
  <c r="BD4" i="9"/>
  <c r="K348" i="1"/>
  <c r="K350" i="1"/>
  <c r="K347" i="1"/>
  <c r="K351" i="1"/>
  <c r="V351" i="1"/>
  <c r="V347" i="1"/>
  <c r="U351" i="1"/>
  <c r="U347" i="1"/>
  <c r="V350" i="1"/>
  <c r="U350" i="1"/>
  <c r="V348" i="1"/>
  <c r="U348" i="1"/>
  <c r="O348" i="1"/>
  <c r="P351" i="1"/>
  <c r="O347" i="1"/>
  <c r="O351" i="1"/>
  <c r="O350" i="1"/>
  <c r="E350" i="1"/>
  <c r="N350" i="1"/>
  <c r="N348" i="1"/>
  <c r="N347" i="1"/>
  <c r="N351" i="1"/>
  <c r="M350" i="1"/>
  <c r="P347" i="1"/>
  <c r="M348" i="1"/>
  <c r="M347" i="1"/>
  <c r="P350" i="1"/>
  <c r="M351" i="1"/>
  <c r="P348" i="1"/>
  <c r="E351" i="1"/>
  <c r="E348" i="1"/>
  <c r="BE4" i="10"/>
  <c r="J351" i="1"/>
  <c r="I351" i="1"/>
  <c r="L347" i="1"/>
  <c r="H351" i="1"/>
  <c r="G351" i="1"/>
  <c r="L351" i="1"/>
  <c r="J350" i="1"/>
  <c r="H350" i="1"/>
  <c r="L348" i="1"/>
  <c r="I350" i="1"/>
  <c r="G350" i="1"/>
  <c r="L350" i="1"/>
  <c r="BL6" i="20"/>
  <c r="BH6" i="14"/>
  <c r="BF6" i="11"/>
  <c r="BF6" i="10"/>
  <c r="BE6" i="9"/>
  <c r="BE6" i="8"/>
  <c r="BD6" i="5"/>
  <c r="BC6" i="4"/>
  <c r="BL6" i="22"/>
  <c r="BM6" i="21"/>
  <c r="BM22" i="19"/>
  <c r="BH6" i="12"/>
  <c r="BH8" i="12" s="1"/>
  <c r="BH6" i="13"/>
  <c r="BI6" i="18"/>
  <c r="G348" i="1"/>
  <c r="H348" i="1"/>
  <c r="G347" i="1"/>
  <c r="H347" i="1"/>
  <c r="H349" i="1"/>
  <c r="J347" i="1"/>
  <c r="J348" i="1"/>
  <c r="I349" i="1"/>
  <c r="I348" i="1"/>
  <c r="J349" i="1"/>
  <c r="I347" i="1"/>
  <c r="B354" i="1"/>
  <c r="E355" i="1" s="1"/>
  <c r="BC6" i="3"/>
  <c r="BC11" i="3" s="1"/>
  <c r="D331" i="1" l="1"/>
  <c r="V14" i="40"/>
  <c r="T14" i="40"/>
  <c r="Q339" i="1"/>
  <c r="CB97" i="17"/>
  <c r="EJ97" i="17" s="1"/>
  <c r="P14" i="17"/>
  <c r="W121" i="40"/>
  <c r="AH121" i="40"/>
  <c r="Q340" i="1"/>
  <c r="CB98" i="17"/>
  <c r="EJ98" i="17" s="1" a="1"/>
  <c r="EJ98" i="17" s="1"/>
  <c r="D340" i="1"/>
  <c r="CB12" i="17"/>
  <c r="EH14" i="17"/>
  <c r="AH14" i="40" s="1"/>
  <c r="P12" i="17"/>
  <c r="V12" i="40"/>
  <c r="Q343" i="1"/>
  <c r="CB100" i="17"/>
  <c r="EJ100" i="17" s="1"/>
  <c r="D339" i="1"/>
  <c r="CB11" i="17"/>
  <c r="Y15" i="40"/>
  <c r="D342" i="1"/>
  <c r="CB13" i="17"/>
  <c r="X15" i="40"/>
  <c r="AF14" i="40"/>
  <c r="S14" i="40"/>
  <c r="D343" i="1"/>
  <c r="CB14" i="17"/>
  <c r="EJ14" i="17" s="1"/>
  <c r="P13" i="17"/>
  <c r="X120" i="40"/>
  <c r="Q342" i="1"/>
  <c r="CB99" i="17"/>
  <c r="EJ99" i="17" s="1" a="1"/>
  <c r="EJ99" i="17" s="1"/>
  <c r="AI114" i="40" s="1"/>
  <c r="L14" i="17"/>
  <c r="X14" i="40"/>
  <c r="CA100" i="17"/>
  <c r="V115" i="40" s="1"/>
  <c r="AI121" i="40"/>
  <c r="Y121" i="40"/>
  <c r="AZ81" i="17"/>
  <c r="DH81" i="17" s="1"/>
  <c r="GJ81" i="17"/>
  <c r="IV80" i="17"/>
  <c r="AV81" i="17"/>
  <c r="DD81" i="17" s="1"/>
  <c r="FU81" i="17"/>
  <c r="IW81" i="17"/>
  <c r="BB81" i="17"/>
  <c r="DJ81" i="17" s="1"/>
  <c r="HV81" i="17"/>
  <c r="FN81" i="17"/>
  <c r="GQ82" i="17"/>
  <c r="HS81" i="17"/>
  <c r="IV82" i="17"/>
  <c r="FR81" i="17"/>
  <c r="AX81" i="17"/>
  <c r="DF81" i="17" s="1"/>
  <c r="BG81" i="17"/>
  <c r="DO81" i="17" s="1"/>
  <c r="GO81" i="17"/>
  <c r="FX81" i="17"/>
  <c r="IX82" i="17"/>
  <c r="GP81" i="17"/>
  <c r="FM81" i="17"/>
  <c r="FW81" i="17"/>
  <c r="BK81" i="17"/>
  <c r="DS81" i="17" s="1"/>
  <c r="AY81" i="17"/>
  <c r="DG81" i="17" s="1"/>
  <c r="IB81" i="17"/>
  <c r="GE81" i="17"/>
  <c r="IE81" i="17"/>
  <c r="GG81" i="17"/>
  <c r="GH81" i="17"/>
  <c r="BE81" i="17"/>
  <c r="DM81" i="17" s="1"/>
  <c r="GP80" i="17"/>
  <c r="BL81" i="17"/>
  <c r="DT81" i="17" s="1"/>
  <c r="IN81" i="17"/>
  <c r="BD81" i="17"/>
  <c r="DL81" i="17" s="1"/>
  <c r="IW80" i="17"/>
  <c r="IU80" i="17"/>
  <c r="HR81" i="17"/>
  <c r="FV81" i="17"/>
  <c r="IG81" i="17"/>
  <c r="GQ81" i="17"/>
  <c r="BC81" i="17"/>
  <c r="DK81" i="17" s="1"/>
  <c r="GD81" i="17"/>
  <c r="HT81" i="17"/>
  <c r="IL81" i="17"/>
  <c r="HU81" i="17"/>
  <c r="IJ81" i="17"/>
  <c r="IA81" i="17"/>
  <c r="IH81" i="17"/>
  <c r="BH81" i="17"/>
  <c r="DP81" i="17" s="1"/>
  <c r="GK81" i="17"/>
  <c r="HX81" i="17"/>
  <c r="AU81" i="17"/>
  <c r="DC81" i="17" s="1"/>
  <c r="IW82" i="17"/>
  <c r="IX80" i="17"/>
  <c r="IP81" i="17"/>
  <c r="AT81" i="17"/>
  <c r="DB81" i="17" s="1"/>
  <c r="BA81" i="17"/>
  <c r="DI81" i="17" s="1"/>
  <c r="FK81" i="17"/>
  <c r="FO81" i="17"/>
  <c r="IQ81" i="17"/>
  <c r="GI81" i="17"/>
  <c r="IU82" i="17"/>
  <c r="GN82" i="17"/>
  <c r="IC81" i="17"/>
  <c r="BI81" i="17"/>
  <c r="DQ81" i="17" s="1"/>
  <c r="FZ81" i="17"/>
  <c r="HW81" i="17"/>
  <c r="FJ81" i="17"/>
  <c r="GC81" i="17"/>
  <c r="GP82" i="17"/>
  <c r="GO80" i="17"/>
  <c r="FT81" i="17"/>
  <c r="II81" i="17"/>
  <c r="FY81" i="17"/>
  <c r="IT81" i="17"/>
  <c r="BM81" i="17"/>
  <c r="DU81" i="17" s="1"/>
  <c r="ID81" i="17"/>
  <c r="BJ81" i="17"/>
  <c r="DR81" i="17" s="1"/>
  <c r="GN81" i="17"/>
  <c r="S90" i="40" s="1"/>
  <c r="GN80" i="17"/>
  <c r="FS81" i="17"/>
  <c r="IR81" i="17"/>
  <c r="IX81" i="17"/>
  <c r="IM81" i="17"/>
  <c r="FQ81" i="17"/>
  <c r="GL81" i="17"/>
  <c r="GF81" i="17"/>
  <c r="GA81" i="17"/>
  <c r="HY81" i="17"/>
  <c r="IK81" i="17"/>
  <c r="GM81" i="17"/>
  <c r="GO82" i="17"/>
  <c r="IF81" i="17"/>
  <c r="BF81" i="17"/>
  <c r="DN81" i="17" s="1"/>
  <c r="IU81" i="17"/>
  <c r="FL81" i="17"/>
  <c r="AW81" i="17"/>
  <c r="DE81" i="17" s="1"/>
  <c r="IV81" i="17"/>
  <c r="IO81" i="17"/>
  <c r="IS81" i="17"/>
  <c r="FP81" i="17"/>
  <c r="GB81" i="17"/>
  <c r="GQ80" i="17"/>
  <c r="HZ81" i="17"/>
  <c r="IX86" i="17"/>
  <c r="GN85" i="17"/>
  <c r="GO86" i="17"/>
  <c r="GP86" i="17"/>
  <c r="GO87" i="17"/>
  <c r="GN86" i="17"/>
  <c r="GO88" i="17"/>
  <c r="GM88" i="17"/>
  <c r="GN87" i="17"/>
  <c r="GQ87" i="17"/>
  <c r="IX85" i="17"/>
  <c r="GM85" i="17"/>
  <c r="IX87" i="17"/>
  <c r="IX88" i="17"/>
  <c r="GP85" i="17"/>
  <c r="IU85" i="17"/>
  <c r="GP88" i="17"/>
  <c r="GP87" i="17"/>
  <c r="GQ88" i="17"/>
  <c r="GO85" i="17"/>
  <c r="GN88" i="17"/>
  <c r="IW85" i="17"/>
  <c r="GM87" i="17"/>
  <c r="GQ85" i="17"/>
  <c r="GM86" i="17"/>
  <c r="GQ86" i="17"/>
  <c r="BL30" i="20"/>
  <c r="BL16" i="20"/>
  <c r="EH13" i="17"/>
  <c r="AG13" i="40" s="1"/>
  <c r="V13" i="40"/>
  <c r="J14" i="17"/>
  <c r="J12" i="17"/>
  <c r="S12" i="17"/>
  <c r="AH12" i="40"/>
  <c r="W12" i="40"/>
  <c r="M12" i="17"/>
  <c r="W14" i="40"/>
  <c r="AG14" i="40"/>
  <c r="U14" i="40"/>
  <c r="V11" i="40"/>
  <c r="P11" i="17"/>
  <c r="X115" i="40"/>
  <c r="U12" i="40"/>
  <c r="AG12" i="40"/>
  <c r="EH98" i="17" a="1"/>
  <c r="EH98" i="17" s="1"/>
  <c r="AG113" i="40" s="1"/>
  <c r="V113" i="40"/>
  <c r="X113" i="40"/>
  <c r="EI97" i="17"/>
  <c r="X112" i="40"/>
  <c r="AH114" i="40"/>
  <c r="AG114" i="40"/>
  <c r="EH11" i="17"/>
  <c r="AG11" i="40" s="1"/>
  <c r="Y14" i="40"/>
  <c r="AI14" i="40"/>
  <c r="GI82" i="17"/>
  <c r="IR82" i="17"/>
  <c r="GK82" i="17"/>
  <c r="GL80" i="17"/>
  <c r="W89" i="40" s="1"/>
  <c r="IS80" i="17"/>
  <c r="IP82" i="17"/>
  <c r="IT82" i="17"/>
  <c r="IQ82" i="17"/>
  <c r="GK80" i="17"/>
  <c r="GJ82" i="17"/>
  <c r="GJ80" i="17"/>
  <c r="IT80" i="17"/>
  <c r="IQ80" i="17"/>
  <c r="IP80" i="17"/>
  <c r="GM82" i="17"/>
  <c r="GM80" i="17"/>
  <c r="IS82" i="17"/>
  <c r="IR80" i="17"/>
  <c r="GL82" i="17"/>
  <c r="W91" i="40" s="1"/>
  <c r="GI80" i="17"/>
  <c r="GL86" i="17"/>
  <c r="GK86" i="17"/>
  <c r="GK85" i="17"/>
  <c r="GL88" i="17"/>
  <c r="GK87" i="17"/>
  <c r="GL87" i="17"/>
  <c r="GJ85" i="17"/>
  <c r="GJ88" i="17"/>
  <c r="GL85" i="17"/>
  <c r="GK88" i="17"/>
  <c r="GJ86" i="17"/>
  <c r="GJ87" i="17"/>
  <c r="BC22" i="3"/>
  <c r="IP87" i="17"/>
  <c r="IP88" i="17"/>
  <c r="GI87" i="17"/>
  <c r="GI86" i="17"/>
  <c r="GI88" i="17"/>
  <c r="IP86" i="17"/>
  <c r="GI85" i="17"/>
  <c r="IP85" i="17"/>
  <c r="FP82" i="17"/>
  <c r="IE80" i="17"/>
  <c r="GD82" i="17"/>
  <c r="HW80" i="17"/>
  <c r="HZ82" i="17"/>
  <c r="GA82" i="17"/>
  <c r="FM82" i="17"/>
  <c r="IG80" i="17"/>
  <c r="HU80" i="17"/>
  <c r="FJ82" i="17"/>
  <c r="IB82" i="17"/>
  <c r="GH80" i="17"/>
  <c r="HV80" i="17"/>
  <c r="FT82" i="17"/>
  <c r="IC80" i="17"/>
  <c r="ID80" i="17"/>
  <c r="IE82" i="17"/>
  <c r="IM82" i="17"/>
  <c r="FO82" i="17"/>
  <c r="ID82" i="17"/>
  <c r="FS82" i="17"/>
  <c r="FU82" i="17"/>
  <c r="IG82" i="17"/>
  <c r="IA82" i="17"/>
  <c r="IJ82" i="17"/>
  <c r="FR82" i="17"/>
  <c r="GF82" i="17"/>
  <c r="FQ82" i="17"/>
  <c r="IK82" i="17"/>
  <c r="HS80" i="17"/>
  <c r="IO82" i="17"/>
  <c r="IA80" i="17"/>
  <c r="HV82" i="17"/>
  <c r="FL82" i="17"/>
  <c r="HR82" i="17"/>
  <c r="HR80" i="17"/>
  <c r="HW82" i="17"/>
  <c r="HU82" i="17"/>
  <c r="IH82" i="17"/>
  <c r="HQ80" i="17"/>
  <c r="IO80" i="17"/>
  <c r="HY80" i="17"/>
  <c r="HZ80" i="17"/>
  <c r="IF80" i="17"/>
  <c r="GG82" i="17"/>
  <c r="GB82" i="17"/>
  <c r="IF82" i="17"/>
  <c r="II80" i="17"/>
  <c r="FW82" i="17"/>
  <c r="HT82" i="17"/>
  <c r="FK82" i="17"/>
  <c r="IN80" i="17"/>
  <c r="HQ82" i="17"/>
  <c r="FX82" i="17"/>
  <c r="HY82" i="17"/>
  <c r="IJ80" i="17"/>
  <c r="IH80" i="17"/>
  <c r="HT80" i="17"/>
  <c r="IM80" i="17"/>
  <c r="FZ82" i="17"/>
  <c r="IB80" i="17"/>
  <c r="GF80" i="17"/>
  <c r="FY82" i="17"/>
  <c r="GH82" i="17"/>
  <c r="HX80" i="17"/>
  <c r="FN82" i="17"/>
  <c r="HX82" i="17"/>
  <c r="FV82" i="17"/>
  <c r="IL82" i="17"/>
  <c r="GE82" i="17"/>
  <c r="IC82" i="17"/>
  <c r="IN82" i="17"/>
  <c r="GG80" i="17"/>
  <c r="IL80" i="17"/>
  <c r="II82" i="17"/>
  <c r="GC82" i="17"/>
  <c r="IK80" i="17"/>
  <c r="HS82" i="17"/>
  <c r="IO88" i="17"/>
  <c r="GH88" i="17"/>
  <c r="GG88" i="17"/>
  <c r="GG87" i="17"/>
  <c r="GF87" i="17"/>
  <c r="GH87" i="17"/>
  <c r="GF86" i="17"/>
  <c r="GG85" i="17"/>
  <c r="GF88" i="17"/>
  <c r="IO87" i="17"/>
  <c r="GF85" i="17"/>
  <c r="GH86" i="17"/>
  <c r="IO85" i="17"/>
  <c r="GG86" i="17"/>
  <c r="IO86" i="17"/>
  <c r="GH85" i="17"/>
  <c r="GB87" i="17"/>
  <c r="GE87" i="17"/>
  <c r="GD87" i="17"/>
  <c r="GE88" i="17"/>
  <c r="GA87" i="17"/>
  <c r="GD86" i="17"/>
  <c r="IL87" i="17"/>
  <c r="IL86" i="17"/>
  <c r="GE86" i="17"/>
  <c r="GC85" i="17"/>
  <c r="GA88" i="17"/>
  <c r="GC88" i="17"/>
  <c r="GC86" i="17"/>
  <c r="GB86" i="17"/>
  <c r="GD85" i="17"/>
  <c r="GB88" i="17"/>
  <c r="GC87" i="17"/>
  <c r="IL85" i="17"/>
  <c r="GA86" i="17"/>
  <c r="GE85" i="17"/>
  <c r="IL88" i="17"/>
  <c r="GD88" i="17"/>
  <c r="GA85" i="17"/>
  <c r="GB85" i="17"/>
  <c r="FO80" i="17"/>
  <c r="FW80" i="17"/>
  <c r="AW80" i="17"/>
  <c r="DE80" i="17" s="1"/>
  <c r="GB80" i="17"/>
  <c r="GA80" i="17"/>
  <c r="BA80" i="17"/>
  <c r="DI80" i="17" s="1"/>
  <c r="FK80" i="17"/>
  <c r="FY80" i="17"/>
  <c r="FS80" i="17"/>
  <c r="FM80" i="17"/>
  <c r="GE80" i="17"/>
  <c r="FQ80" i="17"/>
  <c r="FN80" i="17"/>
  <c r="FJ80" i="17"/>
  <c r="BI80" i="17"/>
  <c r="AX80" i="17"/>
  <c r="DF80" i="17" s="1"/>
  <c r="BB80" i="17"/>
  <c r="DJ80" i="17" s="1"/>
  <c r="AY80" i="17"/>
  <c r="DG80" i="17" s="1"/>
  <c r="BD80" i="17"/>
  <c r="AV80" i="17"/>
  <c r="DD80" i="17" s="1"/>
  <c r="FZ80" i="17"/>
  <c r="FX80" i="17"/>
  <c r="FR80" i="17"/>
  <c r="FL80" i="17"/>
  <c r="BH80" i="17"/>
  <c r="DP80" i="17" s="1"/>
  <c r="FV80" i="17"/>
  <c r="AZ80" i="17"/>
  <c r="DH80" i="17" s="1"/>
  <c r="BG80" i="17"/>
  <c r="DO80" i="17" s="1"/>
  <c r="BE80" i="17"/>
  <c r="AU80" i="17"/>
  <c r="DC80" i="17" s="1"/>
  <c r="GC80" i="17"/>
  <c r="AT80" i="17"/>
  <c r="DB80" i="17" s="1"/>
  <c r="GD80" i="17"/>
  <c r="FP80" i="17"/>
  <c r="FU80" i="17"/>
  <c r="FT80" i="17"/>
  <c r="BF80" i="17"/>
  <c r="DN80" i="17" s="1"/>
  <c r="BD4" i="5"/>
  <c r="BD11" i="5"/>
  <c r="BD14" i="5"/>
  <c r="BD16" i="5"/>
  <c r="R358" i="1" s="1"/>
  <c r="BD19" i="5"/>
  <c r="R359" i="1" s="1"/>
  <c r="BD10" i="5"/>
  <c r="R355" i="1" s="1"/>
  <c r="BD13" i="5"/>
  <c r="R356" i="1" s="1"/>
  <c r="BI4" i="18"/>
  <c r="BI8" i="18"/>
  <c r="BI11" i="18"/>
  <c r="BI14" i="18"/>
  <c r="BI13" i="18"/>
  <c r="BI16" i="18"/>
  <c r="BI19" i="18"/>
  <c r="BI10" i="18"/>
  <c r="BE4" i="8"/>
  <c r="BE17" i="8"/>
  <c r="BE8" i="8"/>
  <c r="BE11" i="8"/>
  <c r="BE14" i="8"/>
  <c r="BE19" i="8"/>
  <c r="BE10" i="8"/>
  <c r="BE16" i="8"/>
  <c r="BE13" i="8"/>
  <c r="BC4" i="4"/>
  <c r="BC17" i="4"/>
  <c r="BC8" i="4"/>
  <c r="BC11" i="4"/>
  <c r="BC14" i="4"/>
  <c r="BC19" i="4"/>
  <c r="Q351" i="1" s="1"/>
  <c r="BC13" i="4"/>
  <c r="Q348" i="1" s="1"/>
  <c r="BC16" i="4"/>
  <c r="Q350" i="1" s="1"/>
  <c r="BC10" i="4"/>
  <c r="Q347" i="1" s="1"/>
  <c r="BH14" i="13"/>
  <c r="BH11" i="13"/>
  <c r="BH20" i="13"/>
  <c r="BH8" i="13"/>
  <c r="BH17" i="13"/>
  <c r="BH22" i="13"/>
  <c r="BH19" i="13"/>
  <c r="BH13" i="13"/>
  <c r="BH16" i="13"/>
  <c r="BH10" i="13"/>
  <c r="BE14" i="9"/>
  <c r="BE11" i="9"/>
  <c r="BE16" i="9"/>
  <c r="BE10" i="9"/>
  <c r="BE19" i="9"/>
  <c r="BE13" i="9"/>
  <c r="BH4" i="12"/>
  <c r="BH21" i="12"/>
  <c r="BH20" i="12"/>
  <c r="BH17" i="12"/>
  <c r="BH14" i="12"/>
  <c r="BH11" i="12"/>
  <c r="BH22" i="12"/>
  <c r="BH19" i="12"/>
  <c r="BH16" i="12"/>
  <c r="BH10" i="12"/>
  <c r="BH13" i="12"/>
  <c r="BF11" i="10"/>
  <c r="BF21" i="10"/>
  <c r="BF14" i="10"/>
  <c r="BF16" i="10"/>
  <c r="BF23" i="10"/>
  <c r="BF13" i="10"/>
  <c r="BF19" i="10"/>
  <c r="BC4" i="3"/>
  <c r="BC17" i="3"/>
  <c r="BC8" i="3"/>
  <c r="BC14" i="3"/>
  <c r="BC16" i="3"/>
  <c r="D350" i="1" s="1"/>
  <c r="BC10" i="3"/>
  <c r="D347" i="1" s="1"/>
  <c r="BC13" i="3"/>
  <c r="D348" i="1" s="1"/>
  <c r="BC19" i="3"/>
  <c r="D351" i="1" s="1"/>
  <c r="BF8" i="11"/>
  <c r="BF10" i="11"/>
  <c r="BM14" i="21"/>
  <c r="BM11" i="21"/>
  <c r="BM17" i="21"/>
  <c r="BM8" i="21"/>
  <c r="BM19" i="21"/>
  <c r="BM13" i="21"/>
  <c r="BM16" i="21"/>
  <c r="BM10" i="21"/>
  <c r="FZ87" i="17"/>
  <c r="FZ88" i="17"/>
  <c r="BJ88" i="17"/>
  <c r="FZ86" i="17"/>
  <c r="IG85" i="17"/>
  <c r="IG87" i="17"/>
  <c r="BJ87" i="17"/>
  <c r="IG88" i="17"/>
  <c r="FZ85" i="17"/>
  <c r="IG86" i="17"/>
  <c r="BH8" i="14"/>
  <c r="BH17" i="14"/>
  <c r="BH11" i="14"/>
  <c r="BH20" i="14"/>
  <c r="BH14" i="14"/>
  <c r="BH22" i="14"/>
  <c r="BH16" i="14"/>
  <c r="BH19" i="14"/>
  <c r="BH13" i="14"/>
  <c r="BH10" i="14"/>
  <c r="BL4" i="22"/>
  <c r="BL11" i="22"/>
  <c r="BL8" i="22"/>
  <c r="BL17" i="22"/>
  <c r="BL14" i="22"/>
  <c r="BL16" i="22"/>
  <c r="BL13" i="22"/>
  <c r="BL19" i="22"/>
  <c r="BL10" i="22"/>
  <c r="BL4" i="20"/>
  <c r="BL17" i="20"/>
  <c r="BL19" i="20"/>
  <c r="BL13" i="20"/>
  <c r="BL10" i="20"/>
  <c r="BE10" i="10"/>
  <c r="F357" i="1"/>
  <c r="F351" i="1"/>
  <c r="F350" i="1"/>
  <c r="S359" i="1"/>
  <c r="S358" i="1"/>
  <c r="S356" i="1"/>
  <c r="BH4" i="13"/>
  <c r="IE87" i="17"/>
  <c r="FY88" i="17"/>
  <c r="FW86" i="17"/>
  <c r="IE86" i="17"/>
  <c r="FW87" i="17"/>
  <c r="FX86" i="17"/>
  <c r="ID86" i="17"/>
  <c r="IE88" i="17"/>
  <c r="FW85" i="17"/>
  <c r="FY85" i="17"/>
  <c r="FX88" i="17"/>
  <c r="ID88" i="17"/>
  <c r="FX85" i="17"/>
  <c r="FW88" i="17"/>
  <c r="IF85" i="17"/>
  <c r="IE85" i="17"/>
  <c r="ID87" i="17"/>
  <c r="ID85" i="17"/>
  <c r="FY86" i="17"/>
  <c r="IF87" i="17"/>
  <c r="FX87" i="17"/>
  <c r="FY87" i="17"/>
  <c r="IF86" i="17"/>
  <c r="IF88" i="17"/>
  <c r="BF4" i="11"/>
  <c r="S355" i="1"/>
  <c r="F348" i="1"/>
  <c r="F347" i="1"/>
  <c r="HS86" i="17"/>
  <c r="FV86" i="17"/>
  <c r="HV85" i="17"/>
  <c r="HS85" i="17"/>
  <c r="FM86" i="17"/>
  <c r="IB85" i="17"/>
  <c r="IB88" i="17"/>
  <c r="IC87" i="17"/>
  <c r="HZ87" i="17"/>
  <c r="HV88" i="17"/>
  <c r="FT87" i="17"/>
  <c r="HY87" i="17"/>
  <c r="IA86" i="17"/>
  <c r="FV87" i="17"/>
  <c r="HU88" i="17"/>
  <c r="FP86" i="17"/>
  <c r="FV85" i="17"/>
  <c r="FQ86" i="17"/>
  <c r="FO85" i="17"/>
  <c r="FU86" i="17"/>
  <c r="FS88" i="17"/>
  <c r="IC86" i="17"/>
  <c r="HW87" i="17"/>
  <c r="FR86" i="17"/>
  <c r="FS85" i="17"/>
  <c r="FR88" i="17"/>
  <c r="FN85" i="17"/>
  <c r="FR85" i="17"/>
  <c r="FV88" i="17"/>
  <c r="IA85" i="17"/>
  <c r="FL85" i="17"/>
  <c r="FO88" i="17"/>
  <c r="HZ85" i="17"/>
  <c r="FP87" i="17"/>
  <c r="FT86" i="17"/>
  <c r="HZ86" i="17"/>
  <c r="IC88" i="17"/>
  <c r="FN88" i="17"/>
  <c r="FL88" i="17"/>
  <c r="HV87" i="17"/>
  <c r="IC85" i="17"/>
  <c r="FU85" i="17"/>
  <c r="IB87" i="17"/>
  <c r="IB86" i="17"/>
  <c r="HT87" i="17"/>
  <c r="HV86" i="17"/>
  <c r="HW85" i="17"/>
  <c r="FT85" i="17"/>
  <c r="HU87" i="17"/>
  <c r="FR87" i="17"/>
  <c r="HT86" i="17"/>
  <c r="FN87" i="17"/>
  <c r="FO87" i="17"/>
  <c r="IA87" i="17"/>
  <c r="FT88" i="17"/>
  <c r="FM88" i="17"/>
  <c r="IA88" i="17"/>
  <c r="HX85" i="17"/>
  <c r="HX87" i="17"/>
  <c r="FM87" i="17"/>
  <c r="HU86" i="17"/>
  <c r="FP88" i="17"/>
  <c r="FS86" i="17"/>
  <c r="HY85" i="17"/>
  <c r="HW88" i="17"/>
  <c r="FQ87" i="17"/>
  <c r="FO86" i="17"/>
  <c r="FP85" i="17"/>
  <c r="FS87" i="17"/>
  <c r="FU88" i="17"/>
  <c r="HZ88" i="17"/>
  <c r="HU85" i="17"/>
  <c r="FU87" i="17"/>
  <c r="FN86" i="17"/>
  <c r="HY86" i="17"/>
  <c r="FQ85" i="17"/>
  <c r="HW86" i="17"/>
  <c r="FQ88" i="17"/>
  <c r="HX88" i="17"/>
  <c r="HX86" i="17"/>
  <c r="HY88" i="17"/>
  <c r="BH4" i="14"/>
  <c r="BJ7" i="18"/>
  <c r="BI2" i="18"/>
  <c r="K355" i="1"/>
  <c r="K359" i="1"/>
  <c r="K356" i="1"/>
  <c r="BE35" i="9"/>
  <c r="BE4" i="9"/>
  <c r="BM20" i="19"/>
  <c r="BM4" i="21"/>
  <c r="BA88" i="17"/>
  <c r="DI88" i="17" s="1"/>
  <c r="BA86" i="17"/>
  <c r="DI86" i="17" s="1"/>
  <c r="BB85" i="17"/>
  <c r="BC85" i="17"/>
  <c r="BC87" i="17"/>
  <c r="BB88" i="17"/>
  <c r="BA87" i="17"/>
  <c r="DI87" i="17" s="1"/>
  <c r="BB87" i="17"/>
  <c r="BC88" i="17"/>
  <c r="DK88" i="17" s="1"/>
  <c r="BC86" i="17"/>
  <c r="BB86" i="17"/>
  <c r="V356" i="1"/>
  <c r="U358" i="1"/>
  <c r="U356" i="1"/>
  <c r="V355" i="1"/>
  <c r="V358" i="1"/>
  <c r="U355" i="1"/>
  <c r="V359" i="1"/>
  <c r="U359" i="1"/>
  <c r="O355" i="1"/>
  <c r="O359" i="1"/>
  <c r="O356" i="1"/>
  <c r="P359" i="1"/>
  <c r="O358" i="1"/>
  <c r="E358" i="1"/>
  <c r="N358" i="1"/>
  <c r="N356" i="1"/>
  <c r="N359" i="1"/>
  <c r="N355" i="1"/>
  <c r="P358" i="1"/>
  <c r="M355" i="1"/>
  <c r="M359" i="1"/>
  <c r="P355" i="1"/>
  <c r="M356" i="1"/>
  <c r="P356" i="1"/>
  <c r="M358" i="1"/>
  <c r="E359" i="1"/>
  <c r="E356" i="1"/>
  <c r="BF4" i="10"/>
  <c r="J359" i="1"/>
  <c r="I359" i="1"/>
  <c r="L355" i="1"/>
  <c r="H359" i="1"/>
  <c r="G359" i="1"/>
  <c r="J358" i="1"/>
  <c r="H358" i="1"/>
  <c r="L358" i="1"/>
  <c r="L359" i="1"/>
  <c r="I358" i="1"/>
  <c r="G358" i="1"/>
  <c r="L356" i="1"/>
  <c r="K358" i="1"/>
  <c r="AY85" i="17"/>
  <c r="DG85" i="17" s="1"/>
  <c r="AY87" i="17"/>
  <c r="AY86" i="17"/>
  <c r="DG86" i="17" s="1"/>
  <c r="AY88" i="17"/>
  <c r="DG88" i="17" s="1"/>
  <c r="AZ85" i="17"/>
  <c r="DH85" i="17" s="1"/>
  <c r="AZ86" i="17"/>
  <c r="AZ87" i="17"/>
  <c r="AZ88" i="17"/>
  <c r="DH88" i="17" s="1"/>
  <c r="BM6" i="20"/>
  <c r="BI6" i="14"/>
  <c r="BG6" i="11"/>
  <c r="BG6" i="10"/>
  <c r="BF6" i="9"/>
  <c r="BF6" i="8"/>
  <c r="BE6" i="5"/>
  <c r="BD6" i="4"/>
  <c r="BM6" i="22"/>
  <c r="BI6" i="12"/>
  <c r="BI8" i="12" s="1"/>
  <c r="BI6" i="13"/>
  <c r="BJ6" i="18"/>
  <c r="G356" i="1"/>
  <c r="H356" i="1"/>
  <c r="G355" i="1"/>
  <c r="H355" i="1"/>
  <c r="H357" i="1"/>
  <c r="I356" i="1"/>
  <c r="I355" i="1"/>
  <c r="I357" i="1"/>
  <c r="J357" i="1"/>
  <c r="J356" i="1"/>
  <c r="J355" i="1"/>
  <c r="B362" i="1"/>
  <c r="E363" i="1" s="1"/>
  <c r="BD6" i="3"/>
  <c r="BD11" i="3" s="1"/>
  <c r="U90" i="40" l="1"/>
  <c r="X114" i="40"/>
  <c r="EJ12" i="17"/>
  <c r="X12" i="40"/>
  <c r="EJ11" i="17"/>
  <c r="X11" i="40"/>
  <c r="J11" i="17"/>
  <c r="NN86" i="17"/>
  <c r="EJ13" i="17"/>
  <c r="AI13" i="40" s="1"/>
  <c r="X13" i="40"/>
  <c r="NN87" i="17"/>
  <c r="NN88" i="17"/>
  <c r="EI100" i="17"/>
  <c r="R81" i="17"/>
  <c r="J13" i="17"/>
  <c r="AI112" i="40"/>
  <c r="AH112" i="40"/>
  <c r="NN85" i="17"/>
  <c r="Q90" i="40"/>
  <c r="MN81" i="17"/>
  <c r="K81" i="17"/>
  <c r="Q81" i="17"/>
  <c r="U81" i="17" s="1"/>
  <c r="BM30" i="20"/>
  <c r="BM16" i="20"/>
  <c r="GP72" i="17"/>
  <c r="GK70" i="17"/>
  <c r="IR72" i="17"/>
  <c r="IS71" i="17"/>
  <c r="IV72" i="17"/>
  <c r="IU70" i="17"/>
  <c r="IU71" i="17"/>
  <c r="GL70" i="17"/>
  <c r="GM71" i="17"/>
  <c r="IW73" i="17"/>
  <c r="IV70" i="17"/>
  <c r="GP71" i="17"/>
  <c r="IV71" i="17"/>
  <c r="IW71" i="17"/>
  <c r="GK72" i="17"/>
  <c r="IX72" i="17"/>
  <c r="GQ71" i="17"/>
  <c r="IX73" i="17"/>
  <c r="GN70" i="17"/>
  <c r="GQ70" i="17"/>
  <c r="GL72" i="17"/>
  <c r="IT70" i="17"/>
  <c r="GP70" i="17"/>
  <c r="GN73" i="17"/>
  <c r="GP73" i="17"/>
  <c r="IT71" i="17"/>
  <c r="GM73" i="17"/>
  <c r="IX71" i="17"/>
  <c r="GM72" i="17"/>
  <c r="GQ73" i="17"/>
  <c r="GO70" i="17"/>
  <c r="GO73" i="17"/>
  <c r="IX70" i="17"/>
  <c r="IR70" i="17"/>
  <c r="GM70" i="17"/>
  <c r="GQ72" i="17"/>
  <c r="GL73" i="17"/>
  <c r="IW70" i="17"/>
  <c r="GK73" i="17"/>
  <c r="GK71" i="17"/>
  <c r="GO71" i="17"/>
  <c r="IT72" i="17"/>
  <c r="IS72" i="17"/>
  <c r="GN71" i="17"/>
  <c r="IU72" i="17"/>
  <c r="IW72" i="17"/>
  <c r="IR71" i="17"/>
  <c r="GL71" i="17"/>
  <c r="GN72" i="17"/>
  <c r="GO72" i="17"/>
  <c r="IS70" i="17"/>
  <c r="NN81" i="17"/>
  <c r="MS81" i="17"/>
  <c r="MK81" i="17"/>
  <c r="MU81" i="17"/>
  <c r="MP81" i="17"/>
  <c r="MI81" i="17"/>
  <c r="MY81" i="17"/>
  <c r="MO81" i="17"/>
  <c r="NF81" i="17"/>
  <c r="NK81" i="17"/>
  <c r="NB81" i="17"/>
  <c r="MX81" i="17"/>
  <c r="NA81" i="17"/>
  <c r="MG81" i="17"/>
  <c r="MQ81" i="17"/>
  <c r="NG81" i="17"/>
  <c r="ND81" i="17"/>
  <c r="MT81" i="17"/>
  <c r="MJ81" i="17"/>
  <c r="MH81" i="17"/>
  <c r="ML81" i="17"/>
  <c r="NC81" i="17"/>
  <c r="NH81" i="17"/>
  <c r="MW81" i="17"/>
  <c r="NJ81" i="17"/>
  <c r="NE81" i="17"/>
  <c r="MZ81" i="17"/>
  <c r="NL81" i="17"/>
  <c r="AE81" i="17" s="1"/>
  <c r="MV81" i="17"/>
  <c r="NM81" i="17"/>
  <c r="NP81" i="17"/>
  <c r="MM81" i="17"/>
  <c r="NI81" i="17"/>
  <c r="MR81" i="17"/>
  <c r="LE81" i="17"/>
  <c r="AD81" i="17" s="1"/>
  <c r="LO81" i="17"/>
  <c r="KD81" i="17"/>
  <c r="LR81" i="17"/>
  <c r="JY81" i="17"/>
  <c r="KX81" i="17"/>
  <c r="KM81" i="17"/>
  <c r="JZ81" i="17"/>
  <c r="LL81" i="17"/>
  <c r="KV81" i="17"/>
  <c r="KT81" i="17"/>
  <c r="KB81" i="17"/>
  <c r="LA81" i="17"/>
  <c r="KF81" i="17"/>
  <c r="KS81" i="17"/>
  <c r="LD81" i="17"/>
  <c r="KY81" i="17"/>
  <c r="LG81" i="17"/>
  <c r="KO81" i="17"/>
  <c r="KA81" i="17"/>
  <c r="KN81" i="17"/>
  <c r="KG81" i="17"/>
  <c r="LJ81" i="17"/>
  <c r="KL81" i="17"/>
  <c r="LC81" i="17"/>
  <c r="KH81" i="17"/>
  <c r="KP81" i="17"/>
  <c r="LQ81" i="17"/>
  <c r="KR81" i="17"/>
  <c r="KW81" i="17"/>
  <c r="LB81" i="17"/>
  <c r="KJ81" i="17"/>
  <c r="LP81" i="17"/>
  <c r="LN81" i="17"/>
  <c r="KQ81" i="17"/>
  <c r="LH81" i="17"/>
  <c r="KU81" i="17"/>
  <c r="LK81" i="17"/>
  <c r="LF81" i="17"/>
  <c r="KC81" i="17"/>
  <c r="LM81" i="17"/>
  <c r="KE81" i="17"/>
  <c r="KK81" i="17"/>
  <c r="LI81" i="17"/>
  <c r="KI81" i="17"/>
  <c r="KZ81" i="17"/>
  <c r="L81" i="17"/>
  <c r="NO81" i="17"/>
  <c r="IX94" i="17"/>
  <c r="IX91" i="17"/>
  <c r="GN91" i="17"/>
  <c r="GP92" i="17"/>
  <c r="GP91" i="17"/>
  <c r="IX92" i="17"/>
  <c r="GN93" i="17"/>
  <c r="GM92" i="17"/>
  <c r="GQ94" i="17"/>
  <c r="GM93" i="17"/>
  <c r="GO93" i="17"/>
  <c r="GO92" i="17"/>
  <c r="GN92" i="17"/>
  <c r="GQ91" i="17"/>
  <c r="GM94" i="17"/>
  <c r="GM91" i="17"/>
  <c r="GQ93" i="17"/>
  <c r="IX93" i="17"/>
  <c r="GP93" i="17"/>
  <c r="GO91" i="17"/>
  <c r="GP94" i="17"/>
  <c r="GQ92" i="17"/>
  <c r="GO94" i="17"/>
  <c r="GN94" i="17"/>
  <c r="M13" i="17"/>
  <c r="S13" i="17"/>
  <c r="AH13" i="40"/>
  <c r="NM86" i="17"/>
  <c r="AI11" i="40"/>
  <c r="AH11" i="40"/>
  <c r="AI113" i="40"/>
  <c r="AH113" i="40"/>
  <c r="NM88" i="17"/>
  <c r="NM87" i="17"/>
  <c r="NM85" i="17"/>
  <c r="NL86" i="17"/>
  <c r="NN80" i="17"/>
  <c r="NL80" i="17"/>
  <c r="NM80" i="17"/>
  <c r="NP80" i="17"/>
  <c r="NO80" i="17"/>
  <c r="NN82" i="17"/>
  <c r="NM82" i="17"/>
  <c r="NO82" i="17"/>
  <c r="NP82" i="17"/>
  <c r="NL82" i="17"/>
  <c r="NL87" i="17"/>
  <c r="NL85" i="17"/>
  <c r="NL88" i="17"/>
  <c r="NK85" i="17"/>
  <c r="NK86" i="17"/>
  <c r="NK87" i="17"/>
  <c r="NK88" i="17"/>
  <c r="NJ85" i="17"/>
  <c r="NJ86" i="17"/>
  <c r="NJ87" i="17"/>
  <c r="NJ88" i="17"/>
  <c r="BM29" i="19"/>
  <c r="R80" i="26" s="1"/>
  <c r="BM32" i="19"/>
  <c r="Q80" i="17"/>
  <c r="Y91" i="40"/>
  <c r="S97" i="40"/>
  <c r="GK92" i="17"/>
  <c r="GJ94" i="17"/>
  <c r="GJ93" i="17"/>
  <c r="GL94" i="17"/>
  <c r="GL93" i="17"/>
  <c r="GJ92" i="17"/>
  <c r="GJ91" i="17"/>
  <c r="GL92" i="17"/>
  <c r="GK94" i="17"/>
  <c r="GK93" i="17"/>
  <c r="GK91" i="17"/>
  <c r="GL91" i="17"/>
  <c r="GJ70" i="17"/>
  <c r="IQ72" i="17"/>
  <c r="GJ73" i="17"/>
  <c r="GJ72" i="17"/>
  <c r="GJ71" i="17"/>
  <c r="IQ70" i="17"/>
  <c r="IQ71" i="17"/>
  <c r="BD22" i="3"/>
  <c r="NI88" i="17"/>
  <c r="NH82" i="17"/>
  <c r="NK82" i="17"/>
  <c r="NI85" i="17"/>
  <c r="NI87" i="17"/>
  <c r="NI82" i="17"/>
  <c r="NJ82" i="17"/>
  <c r="NI86" i="17"/>
  <c r="NK80" i="17"/>
  <c r="NJ80" i="17"/>
  <c r="NI80" i="17"/>
  <c r="NH80" i="17"/>
  <c r="NH85" i="17"/>
  <c r="NH88" i="17"/>
  <c r="NH87" i="17"/>
  <c r="NH86" i="17"/>
  <c r="NG87" i="17"/>
  <c r="NG88" i="17"/>
  <c r="NG85" i="17"/>
  <c r="NG86" i="17"/>
  <c r="S91" i="40"/>
  <c r="NF85" i="17"/>
  <c r="U98" i="40"/>
  <c r="NF88" i="17"/>
  <c r="NF86" i="17"/>
  <c r="NF87" i="17"/>
  <c r="GI91" i="17"/>
  <c r="GI94" i="17"/>
  <c r="GI93" i="17"/>
  <c r="IP92" i="17"/>
  <c r="IP94" i="17"/>
  <c r="IP91" i="17"/>
  <c r="IP93" i="17"/>
  <c r="GI92" i="17"/>
  <c r="IP73" i="17"/>
  <c r="GI70" i="17"/>
  <c r="IP71" i="17"/>
  <c r="GI72" i="17"/>
  <c r="Q83" i="40" s="1"/>
  <c r="IP70" i="17"/>
  <c r="GI71" i="17"/>
  <c r="IP72" i="17"/>
  <c r="GI73" i="17"/>
  <c r="S98" i="40"/>
  <c r="U91" i="40"/>
  <c r="NE87" i="17"/>
  <c r="NE88" i="17"/>
  <c r="NE86" i="17"/>
  <c r="NE85" i="17"/>
  <c r="Q91" i="40"/>
  <c r="MG82" i="17"/>
  <c r="U97" i="40"/>
  <c r="K82" i="17"/>
  <c r="Q82" i="17"/>
  <c r="NF80" i="17"/>
  <c r="MY80" i="17"/>
  <c r="ML80" i="17"/>
  <c r="MN80" i="17"/>
  <c r="MP80" i="17"/>
  <c r="MH80" i="17"/>
  <c r="MM80" i="17"/>
  <c r="MI80" i="17"/>
  <c r="NE80" i="17"/>
  <c r="MF80" i="17"/>
  <c r="NB80" i="17"/>
  <c r="NG80" i="17"/>
  <c r="MS80" i="17"/>
  <c r="MJ80" i="17"/>
  <c r="MO80" i="17"/>
  <c r="MQ80" i="17"/>
  <c r="MZ80" i="17"/>
  <c r="NA80" i="17"/>
  <c r="MG80" i="17"/>
  <c r="MR80" i="17"/>
  <c r="MK80" i="17"/>
  <c r="NC80" i="17"/>
  <c r="MX80" i="17"/>
  <c r="MV80" i="17"/>
  <c r="MW80" i="17"/>
  <c r="MU80" i="17"/>
  <c r="MT80" i="17"/>
  <c r="MP82" i="17"/>
  <c r="KN82" i="17"/>
  <c r="L82" i="17"/>
  <c r="ND82" i="17"/>
  <c r="MJ82" i="17"/>
  <c r="NG82" i="17"/>
  <c r="MX82" i="17"/>
  <c r="MR82" i="17"/>
  <c r="MM82" i="17"/>
  <c r="NF82" i="17"/>
  <c r="MF82" i="17"/>
  <c r="MI82" i="17"/>
  <c r="MQ82" i="17"/>
  <c r="ML82" i="17"/>
  <c r="MU82" i="17"/>
  <c r="NA82" i="17"/>
  <c r="MK82" i="17"/>
  <c r="MT82" i="17"/>
  <c r="MW82" i="17"/>
  <c r="NB82" i="17"/>
  <c r="MS82" i="17"/>
  <c r="MH82" i="17"/>
  <c r="MV82" i="17"/>
  <c r="MY82" i="17"/>
  <c r="MO82" i="17"/>
  <c r="MZ82" i="17"/>
  <c r="NE82" i="17"/>
  <c r="NC82" i="17"/>
  <c r="MN82" i="17"/>
  <c r="R82" i="17"/>
  <c r="IO93" i="17"/>
  <c r="GH93" i="17"/>
  <c r="GG93" i="17"/>
  <c r="IO94" i="17"/>
  <c r="GG94" i="17"/>
  <c r="GH94" i="17"/>
  <c r="IO92" i="17"/>
  <c r="GF93" i="17"/>
  <c r="GH92" i="17"/>
  <c r="GF91" i="17"/>
  <c r="IO91" i="17"/>
  <c r="GG92" i="17"/>
  <c r="GH91" i="17"/>
  <c r="GF94" i="17"/>
  <c r="GF92" i="17"/>
  <c r="GG91" i="17"/>
  <c r="IO71" i="17"/>
  <c r="GG73" i="17"/>
  <c r="IN72" i="17"/>
  <c r="GH70" i="17"/>
  <c r="GH72" i="17"/>
  <c r="IO73" i="17"/>
  <c r="GH71" i="17"/>
  <c r="GF71" i="17"/>
  <c r="IN70" i="17"/>
  <c r="IM71" i="17"/>
  <c r="GG70" i="17"/>
  <c r="IN71" i="17"/>
  <c r="GG72" i="17"/>
  <c r="IM70" i="17"/>
  <c r="IO72" i="17"/>
  <c r="GG71" i="17"/>
  <c r="GF70" i="17"/>
  <c r="GF72" i="17"/>
  <c r="IM72" i="17"/>
  <c r="GH73" i="17"/>
  <c r="IO70" i="17"/>
  <c r="GF73" i="17"/>
  <c r="LH82" i="17"/>
  <c r="KX82" i="17"/>
  <c r="KI82" i="17"/>
  <c r="KW82" i="17"/>
  <c r="KV82" i="17"/>
  <c r="KP82" i="17"/>
  <c r="KK82" i="17"/>
  <c r="KS82" i="17"/>
  <c r="LE82" i="17"/>
  <c r="LQ82" i="17"/>
  <c r="LO82" i="17"/>
  <c r="LK82" i="17"/>
  <c r="KJ82" i="17"/>
  <c r="KL82" i="17"/>
  <c r="KM82" i="17"/>
  <c r="KA82" i="17"/>
  <c r="LI82" i="17"/>
  <c r="KB82" i="17"/>
  <c r="KF82" i="17"/>
  <c r="KD82" i="17"/>
  <c r="LF82" i="17"/>
  <c r="KR82" i="17"/>
  <c r="KG82" i="17"/>
  <c r="LM82" i="17"/>
  <c r="LJ82" i="17"/>
  <c r="LL82" i="17"/>
  <c r="KH82" i="17"/>
  <c r="KT82" i="17"/>
  <c r="LN82" i="17"/>
  <c r="JY82" i="17"/>
  <c r="KZ82" i="17"/>
  <c r="KY82" i="17"/>
  <c r="KU82" i="17"/>
  <c r="JZ82" i="17"/>
  <c r="KE82" i="17"/>
  <c r="LD82" i="17"/>
  <c r="KC82" i="17"/>
  <c r="LA82" i="17"/>
  <c r="LR82" i="17"/>
  <c r="KO82" i="17"/>
  <c r="LG82" i="17"/>
  <c r="LB82" i="17"/>
  <c r="LP82" i="17"/>
  <c r="LC82" i="17"/>
  <c r="KQ82" i="17"/>
  <c r="L80" i="17"/>
  <c r="ND80" i="17"/>
  <c r="ND86" i="17"/>
  <c r="NC85" i="17"/>
  <c r="ND85" i="17"/>
  <c r="ND88" i="17"/>
  <c r="ND87" i="17"/>
  <c r="Q89" i="40"/>
  <c r="NC88" i="17"/>
  <c r="NC86" i="17"/>
  <c r="NC87" i="17"/>
  <c r="S89" i="40"/>
  <c r="NB86" i="17"/>
  <c r="NB87" i="17"/>
  <c r="Y89" i="40"/>
  <c r="R80" i="17"/>
  <c r="NB88" i="17"/>
  <c r="NB85" i="17"/>
  <c r="AG89" i="40"/>
  <c r="DM80" i="17"/>
  <c r="DQ80" i="17"/>
  <c r="AE89" i="40"/>
  <c r="DL80" i="17"/>
  <c r="BM26" i="19"/>
  <c r="R79" i="26" s="1"/>
  <c r="K80" i="17"/>
  <c r="U89" i="40"/>
  <c r="JY80" i="17"/>
  <c r="JZ80" i="17"/>
  <c r="KA80" i="17"/>
  <c r="GE91" i="17"/>
  <c r="GE93" i="17"/>
  <c r="GA91" i="17"/>
  <c r="GE94" i="17"/>
  <c r="GD94" i="17"/>
  <c r="GC91" i="17"/>
  <c r="GD92" i="17"/>
  <c r="GB92" i="17"/>
  <c r="GA92" i="17"/>
  <c r="GD93" i="17"/>
  <c r="GE92" i="17"/>
  <c r="GB93" i="17"/>
  <c r="GD91" i="17"/>
  <c r="IL93" i="17"/>
  <c r="GB94" i="17"/>
  <c r="GA93" i="17"/>
  <c r="GB91" i="17"/>
  <c r="IL94" i="17"/>
  <c r="GC92" i="17"/>
  <c r="IL92" i="17"/>
  <c r="GA94" i="17"/>
  <c r="GC93" i="17"/>
  <c r="GC94" i="17"/>
  <c r="IL91" i="17"/>
  <c r="IJ72" i="17"/>
  <c r="GE72" i="17"/>
  <c r="GA70" i="17"/>
  <c r="IL73" i="17"/>
  <c r="GC71" i="17"/>
  <c r="IK72" i="17"/>
  <c r="IH70" i="17"/>
  <c r="GC72" i="17"/>
  <c r="GE71" i="17"/>
  <c r="IL71" i="17"/>
  <c r="GA72" i="17"/>
  <c r="IJ71" i="17"/>
  <c r="GE73" i="17"/>
  <c r="GB72" i="17"/>
  <c r="IK70" i="17"/>
  <c r="II72" i="17"/>
  <c r="GA73" i="17"/>
  <c r="IL72" i="17"/>
  <c r="GE70" i="17"/>
  <c r="GC70" i="17"/>
  <c r="IL70" i="17"/>
  <c r="IJ70" i="17"/>
  <c r="IK71" i="17"/>
  <c r="GA71" i="17"/>
  <c r="IH72" i="17"/>
  <c r="GB70" i="17"/>
  <c r="GD71" i="17"/>
  <c r="II70" i="17"/>
  <c r="IH71" i="17"/>
  <c r="II71" i="17"/>
  <c r="GB71" i="17"/>
  <c r="GD72" i="17"/>
  <c r="GD73" i="17"/>
  <c r="GC73" i="17"/>
  <c r="GD70" i="17"/>
  <c r="GB73" i="17"/>
  <c r="NA88" i="17"/>
  <c r="NA87" i="17"/>
  <c r="NA85" i="17"/>
  <c r="NA86" i="17"/>
  <c r="MZ88" i="17"/>
  <c r="R97" i="40"/>
  <c r="P97" i="40"/>
  <c r="MZ87" i="17"/>
  <c r="MZ85" i="17"/>
  <c r="R98" i="40"/>
  <c r="P98" i="40"/>
  <c r="MZ86" i="17"/>
  <c r="MY87" i="17"/>
  <c r="MY85" i="17"/>
  <c r="MY88" i="17"/>
  <c r="MY86" i="17"/>
  <c r="MX87" i="17"/>
  <c r="MX85" i="17"/>
  <c r="MX88" i="17"/>
  <c r="V97" i="40"/>
  <c r="T97" i="40"/>
  <c r="V98" i="40"/>
  <c r="T98" i="40"/>
  <c r="MX86" i="17"/>
  <c r="MW88" i="17"/>
  <c r="MW87" i="17"/>
  <c r="MW85" i="17"/>
  <c r="MW86" i="17"/>
  <c r="BF4" i="8"/>
  <c r="BF14" i="8"/>
  <c r="BF17" i="8"/>
  <c r="BF8" i="8"/>
  <c r="BF11" i="8"/>
  <c r="BF16" i="8"/>
  <c r="BF10" i="8"/>
  <c r="BF13" i="8"/>
  <c r="BF19" i="8"/>
  <c r="X97" i="40"/>
  <c r="DR87" i="17"/>
  <c r="BE4" i="5"/>
  <c r="BE11" i="5"/>
  <c r="BE14" i="5"/>
  <c r="BE16" i="5"/>
  <c r="R366" i="1" s="1"/>
  <c r="BE19" i="5"/>
  <c r="R367" i="1" s="1"/>
  <c r="BE10" i="5"/>
  <c r="R363" i="1" s="1"/>
  <c r="BE13" i="5"/>
  <c r="R364" i="1" s="1"/>
  <c r="BI4" i="12"/>
  <c r="BI14" i="12"/>
  <c r="BI17" i="12"/>
  <c r="BI21" i="12"/>
  <c r="BI20" i="12"/>
  <c r="BI11" i="12"/>
  <c r="BI16" i="12"/>
  <c r="BI10" i="12"/>
  <c r="BI22" i="12"/>
  <c r="BI19" i="12"/>
  <c r="BI13" i="12"/>
  <c r="BJ4" i="18"/>
  <c r="BJ8" i="18"/>
  <c r="BJ14" i="18"/>
  <c r="BJ11" i="18"/>
  <c r="BJ13" i="18"/>
  <c r="BJ16" i="18"/>
  <c r="BJ19" i="18"/>
  <c r="BJ10" i="18"/>
  <c r="BF14" i="9"/>
  <c r="BF11" i="9"/>
  <c r="BF16" i="9"/>
  <c r="BF19" i="9"/>
  <c r="BF10" i="9"/>
  <c r="BF13" i="9"/>
  <c r="BI14" i="13"/>
  <c r="BI11" i="13"/>
  <c r="BI20" i="13"/>
  <c r="BI8" i="13"/>
  <c r="BI17" i="13"/>
  <c r="BI16" i="13"/>
  <c r="BI19" i="13"/>
  <c r="BI22" i="13"/>
  <c r="BI13" i="13"/>
  <c r="BI10" i="13"/>
  <c r="BG14" i="10"/>
  <c r="BG21" i="10"/>
  <c r="BG11" i="10"/>
  <c r="BG23" i="10"/>
  <c r="BG16" i="10"/>
  <c r="BG13" i="10"/>
  <c r="BG19" i="10"/>
  <c r="BG8" i="11"/>
  <c r="BG10" i="11"/>
  <c r="BD4" i="3"/>
  <c r="BD8" i="3"/>
  <c r="BD17" i="3"/>
  <c r="BD14" i="3"/>
  <c r="BD16" i="3"/>
  <c r="D358" i="1" s="1"/>
  <c r="BD10" i="3"/>
  <c r="D355" i="1" s="1"/>
  <c r="BD13" i="3"/>
  <c r="D356" i="1" s="1"/>
  <c r="BD19" i="3"/>
  <c r="D359" i="1" s="1"/>
  <c r="BM14" i="22"/>
  <c r="BM11" i="22"/>
  <c r="BM8" i="22"/>
  <c r="BM17" i="22"/>
  <c r="BM16" i="22"/>
  <c r="BM13" i="22"/>
  <c r="BM19" i="22"/>
  <c r="BM10" i="22"/>
  <c r="IG91" i="17"/>
  <c r="FZ94" i="17"/>
  <c r="Y104" i="40" s="1"/>
  <c r="FZ93" i="17"/>
  <c r="IG94" i="17"/>
  <c r="IG92" i="17"/>
  <c r="FZ92" i="17"/>
  <c r="FZ91" i="17"/>
  <c r="IG93" i="17"/>
  <c r="BI8" i="14"/>
  <c r="BI17" i="14"/>
  <c r="BI11" i="14"/>
  <c r="BI20" i="14"/>
  <c r="BI14" i="14"/>
  <c r="BI22" i="14"/>
  <c r="BI16" i="14"/>
  <c r="BI19" i="14"/>
  <c r="BI13" i="14"/>
  <c r="BI10" i="14"/>
  <c r="BM17" i="20"/>
  <c r="BM19" i="20"/>
  <c r="BM10" i="20"/>
  <c r="BM13" i="20"/>
  <c r="FZ73" i="17"/>
  <c r="FY72" i="17"/>
  <c r="IF72" i="17"/>
  <c r="IF71" i="17"/>
  <c r="IG72" i="17"/>
  <c r="FZ72" i="17"/>
  <c r="FY70" i="17"/>
  <c r="IF70" i="17"/>
  <c r="IF73" i="17"/>
  <c r="IG73" i="17"/>
  <c r="FY71" i="17"/>
  <c r="IG71" i="17"/>
  <c r="IG70" i="17"/>
  <c r="FZ71" i="17"/>
  <c r="FZ70" i="17"/>
  <c r="FY73" i="17"/>
  <c r="DR88" i="17"/>
  <c r="X98" i="40"/>
  <c r="BD4" i="4"/>
  <c r="BD14" i="4"/>
  <c r="BD17" i="4"/>
  <c r="BD8" i="4"/>
  <c r="BD11" i="4"/>
  <c r="BD19" i="4"/>
  <c r="Q359" i="1" s="1"/>
  <c r="BD16" i="4"/>
  <c r="Q358" i="1" s="1"/>
  <c r="BD10" i="4"/>
  <c r="Q355" i="1" s="1"/>
  <c r="BD13" i="4"/>
  <c r="Q356" i="1" s="1"/>
  <c r="MV87" i="17"/>
  <c r="MV88" i="17"/>
  <c r="MV86" i="17"/>
  <c r="MV85" i="17"/>
  <c r="R85" i="17"/>
  <c r="BF10" i="10"/>
  <c r="DG87" i="17"/>
  <c r="F358" i="1"/>
  <c r="FR73" i="17"/>
  <c r="IE70" i="17"/>
  <c r="FV70" i="17"/>
  <c r="ID73" i="17"/>
  <c r="IA71" i="17"/>
  <c r="FV71" i="17"/>
  <c r="IB73" i="17"/>
  <c r="IB70" i="17"/>
  <c r="IA73" i="17"/>
  <c r="FX70" i="17"/>
  <c r="FS73" i="17"/>
  <c r="FX73" i="17"/>
  <c r="IE72" i="17"/>
  <c r="FT70" i="17"/>
  <c r="IC70" i="17"/>
  <c r="IC73" i="17"/>
  <c r="HY71" i="17"/>
  <c r="FS72" i="17"/>
  <c r="FT72" i="17"/>
  <c r="IB71" i="17"/>
  <c r="FT71" i="17"/>
  <c r="HZ70" i="17"/>
  <c r="IE71" i="17"/>
  <c r="FW73" i="17"/>
  <c r="HZ71" i="17"/>
  <c r="FV73" i="17"/>
  <c r="HY72" i="17"/>
  <c r="ID70" i="17"/>
  <c r="IA72" i="17"/>
  <c r="FU71" i="17"/>
  <c r="ID71" i="17"/>
  <c r="FW70" i="17"/>
  <c r="FU70" i="17"/>
  <c r="FT73" i="17"/>
  <c r="HY70" i="17"/>
  <c r="IC71" i="17"/>
  <c r="HZ72" i="17"/>
  <c r="HY73" i="17"/>
  <c r="FR71" i="17"/>
  <c r="HZ73" i="17"/>
  <c r="FU73" i="17"/>
  <c r="FR72" i="17"/>
  <c r="IB72" i="17"/>
  <c r="FU72" i="17"/>
  <c r="IC72" i="17"/>
  <c r="FS71" i="17"/>
  <c r="FR70" i="17"/>
  <c r="FS70" i="17"/>
  <c r="IE73" i="17"/>
  <c r="FX72" i="17"/>
  <c r="ID72" i="17"/>
  <c r="FW71" i="17"/>
  <c r="IA70" i="17"/>
  <c r="FX71" i="17"/>
  <c r="FV72" i="17"/>
  <c r="FW72" i="17"/>
  <c r="F365" i="1"/>
  <c r="K76" i="17"/>
  <c r="Q76" i="17"/>
  <c r="IE92" i="17"/>
  <c r="FT92" i="17"/>
  <c r="FR91" i="17"/>
  <c r="IF92" i="17"/>
  <c r="IC94" i="17"/>
  <c r="FU93" i="17"/>
  <c r="FS92" i="17"/>
  <c r="HZ92" i="17"/>
  <c r="ID91" i="17"/>
  <c r="IB91" i="17"/>
  <c r="IF94" i="17"/>
  <c r="FR93" i="17"/>
  <c r="FT94" i="17"/>
  <c r="FU94" i="17"/>
  <c r="FT93" i="17"/>
  <c r="HY94" i="17"/>
  <c r="ID93" i="17"/>
  <c r="FV94" i="17"/>
  <c r="IE91" i="17"/>
  <c r="FX91" i="17"/>
  <c r="FY93" i="17"/>
  <c r="IC93" i="17"/>
  <c r="IF93" i="17"/>
  <c r="FW93" i="17"/>
  <c r="HZ93" i="17"/>
  <c r="IF91" i="17"/>
  <c r="ID94" i="17"/>
  <c r="IA93" i="17"/>
  <c r="HZ91" i="17"/>
  <c r="FX93" i="17"/>
  <c r="FY92" i="17"/>
  <c r="HZ94" i="17"/>
  <c r="FY94" i="17"/>
  <c r="FY91" i="17"/>
  <c r="FU92" i="17"/>
  <c r="IC91" i="17"/>
  <c r="HY91" i="17"/>
  <c r="IA94" i="17"/>
  <c r="HY92" i="17"/>
  <c r="ID92" i="17"/>
  <c r="FR92" i="17"/>
  <c r="FR94" i="17"/>
  <c r="HY93" i="17"/>
  <c r="IA91" i="17"/>
  <c r="FU91" i="17"/>
  <c r="FW91" i="17"/>
  <c r="FW92" i="17"/>
  <c r="FX92" i="17"/>
  <c r="FS94" i="17"/>
  <c r="FV91" i="17"/>
  <c r="IA92" i="17"/>
  <c r="FW94" i="17"/>
  <c r="IE93" i="17"/>
  <c r="IB92" i="17"/>
  <c r="FV93" i="17"/>
  <c r="FS91" i="17"/>
  <c r="IE94" i="17"/>
  <c r="IB93" i="17"/>
  <c r="FT91" i="17"/>
  <c r="IB94" i="17"/>
  <c r="FS93" i="17"/>
  <c r="FX94" i="17"/>
  <c r="FV92" i="17"/>
  <c r="IC92" i="17"/>
  <c r="R86" i="17"/>
  <c r="K77" i="17"/>
  <c r="Q77" i="17"/>
  <c r="BI4" i="13"/>
  <c r="R76" i="17"/>
  <c r="S366" i="1"/>
  <c r="S367" i="1"/>
  <c r="S364" i="1"/>
  <c r="BG4" i="11"/>
  <c r="MU76" i="17"/>
  <c r="R77" i="17"/>
  <c r="S363" i="1"/>
  <c r="MU85" i="17"/>
  <c r="MU87" i="17"/>
  <c r="F356" i="1"/>
  <c r="F355" i="1"/>
  <c r="F359" i="1"/>
  <c r="MU77" i="17"/>
  <c r="MU86" i="17"/>
  <c r="MU88" i="17"/>
  <c r="DJ86" i="17"/>
  <c r="MT86" i="17"/>
  <c r="MT87" i="17"/>
  <c r="MT76" i="17"/>
  <c r="MS88" i="17"/>
  <c r="MT88" i="17"/>
  <c r="AE88" i="40"/>
  <c r="MS77" i="17"/>
  <c r="MT77" i="17"/>
  <c r="DK86" i="17"/>
  <c r="Q96" i="40" s="1"/>
  <c r="KC85" i="17"/>
  <c r="MT85" i="17"/>
  <c r="Q97" i="40"/>
  <c r="Q98" i="40"/>
  <c r="DH87" i="17"/>
  <c r="DK85" i="17"/>
  <c r="DH86" i="17"/>
  <c r="DJ85" i="17"/>
  <c r="DJ88" i="17"/>
  <c r="DK87" i="17"/>
  <c r="DJ87" i="17"/>
  <c r="MS87" i="17"/>
  <c r="MS76" i="17"/>
  <c r="MS86" i="17"/>
  <c r="AE87" i="40"/>
  <c r="AF87" i="40"/>
  <c r="MS85" i="17"/>
  <c r="MN85" i="17"/>
  <c r="MR88" i="17"/>
  <c r="LA88" i="17"/>
  <c r="KE88" i="17"/>
  <c r="LK88" i="17"/>
  <c r="KJ88" i="17"/>
  <c r="KX88" i="17"/>
  <c r="LF88" i="17"/>
  <c r="KK88" i="17"/>
  <c r="LB88" i="17"/>
  <c r="LD88" i="17"/>
  <c r="KF88" i="17"/>
  <c r="LG88" i="17"/>
  <c r="KD88" i="17"/>
  <c r="LN88" i="17"/>
  <c r="KM88" i="17"/>
  <c r="LP88" i="17"/>
  <c r="KH88" i="17"/>
  <c r="LJ88" i="17"/>
  <c r="LL88" i="17"/>
  <c r="LI88" i="17"/>
  <c r="KZ88" i="17"/>
  <c r="KV88" i="17"/>
  <c r="KU88" i="17"/>
  <c r="KQ88" i="17"/>
  <c r="KC88" i="17"/>
  <c r="KI88" i="17"/>
  <c r="KR88" i="17"/>
  <c r="KO88" i="17"/>
  <c r="LC88" i="17"/>
  <c r="KA88" i="17"/>
  <c r="KG88" i="17"/>
  <c r="LM88" i="17"/>
  <c r="KS88" i="17"/>
  <c r="KN88" i="17"/>
  <c r="KL88" i="17"/>
  <c r="LH88" i="17"/>
  <c r="KB88" i="17"/>
  <c r="KY88" i="17"/>
  <c r="LE88" i="17"/>
  <c r="LO88" i="17"/>
  <c r="KP88" i="17"/>
  <c r="KW88" i="17"/>
  <c r="LQ88" i="17"/>
  <c r="KT88" i="17"/>
  <c r="KI85" i="17"/>
  <c r="LE85" i="17"/>
  <c r="KE85" i="17"/>
  <c r="KW85" i="17"/>
  <c r="LH85" i="17"/>
  <c r="LM85" i="17"/>
  <c r="KL85" i="17"/>
  <c r="KS85" i="17"/>
  <c r="KB85" i="17"/>
  <c r="KG85" i="17"/>
  <c r="KF85" i="17"/>
  <c r="KT85" i="17"/>
  <c r="LJ85" i="17"/>
  <c r="KR85" i="17"/>
  <c r="LO85" i="17"/>
  <c r="LR85" i="17"/>
  <c r="KZ85" i="17"/>
  <c r="LP85" i="17"/>
  <c r="KK85" i="17"/>
  <c r="KJ85" i="17"/>
  <c r="LN85" i="17"/>
  <c r="KM85" i="17"/>
  <c r="LK85" i="17"/>
  <c r="LQ85" i="17"/>
  <c r="KU85" i="17"/>
  <c r="KP85" i="17"/>
  <c r="LA85" i="17"/>
  <c r="KD85" i="17"/>
  <c r="KH85" i="17"/>
  <c r="KA85" i="17"/>
  <c r="LF85" i="17"/>
  <c r="KO85" i="17"/>
  <c r="KY85" i="17"/>
  <c r="LL85" i="17"/>
  <c r="KQ85" i="17"/>
  <c r="KV85" i="17"/>
  <c r="LI85" i="17"/>
  <c r="LG85" i="17"/>
  <c r="LC85" i="17"/>
  <c r="KN85" i="17"/>
  <c r="LD85" i="17"/>
  <c r="LB85" i="17"/>
  <c r="KX85" i="17"/>
  <c r="MP88" i="17"/>
  <c r="MO88" i="17"/>
  <c r="MM88" i="17"/>
  <c r="MN88" i="17"/>
  <c r="MQ88" i="17"/>
  <c r="R88" i="17"/>
  <c r="MP87" i="17"/>
  <c r="MP85" i="17"/>
  <c r="K87" i="17"/>
  <c r="Q87" i="17"/>
  <c r="LG87" i="17"/>
  <c r="KZ87" i="17"/>
  <c r="MQ85" i="17"/>
  <c r="S96" i="40"/>
  <c r="K88" i="17"/>
  <c r="Q88" i="17"/>
  <c r="LR88" i="17"/>
  <c r="LM86" i="17"/>
  <c r="KI86" i="17"/>
  <c r="KO86" i="17"/>
  <c r="LL86" i="17"/>
  <c r="LR86" i="17"/>
  <c r="KR86" i="17"/>
  <c r="LK86" i="17"/>
  <c r="LJ86" i="17"/>
  <c r="LH86" i="17"/>
  <c r="LQ86" i="17"/>
  <c r="KX86" i="17"/>
  <c r="LF86" i="17"/>
  <c r="KP86" i="17"/>
  <c r="KT86" i="17"/>
  <c r="KM86" i="17"/>
  <c r="KZ86" i="17"/>
  <c r="LB86" i="17"/>
  <c r="KH86" i="17"/>
  <c r="KQ86" i="17"/>
  <c r="LI86" i="17"/>
  <c r="LP86" i="17"/>
  <c r="KF86" i="17"/>
  <c r="LO86" i="17"/>
  <c r="KD86" i="17"/>
  <c r="KW86" i="17"/>
  <c r="KB86" i="17"/>
  <c r="KE86" i="17"/>
  <c r="LN86" i="17"/>
  <c r="LA86" i="17"/>
  <c r="KV86" i="17"/>
  <c r="LE86" i="17"/>
  <c r="KL86" i="17"/>
  <c r="LC86" i="17"/>
  <c r="KC86" i="17"/>
  <c r="KU86" i="17"/>
  <c r="KJ86" i="17"/>
  <c r="KN86" i="17"/>
  <c r="KG86" i="17"/>
  <c r="KS86" i="17"/>
  <c r="LD86" i="17"/>
  <c r="AF98" i="40"/>
  <c r="KD87" i="17"/>
  <c r="LA87" i="17"/>
  <c r="KH87" i="17"/>
  <c r="KE87" i="17"/>
  <c r="KY87" i="17"/>
  <c r="KW87" i="17"/>
  <c r="KT87" i="17"/>
  <c r="LL87" i="17"/>
  <c r="KM87" i="17"/>
  <c r="LK87" i="17"/>
  <c r="KB87" i="17"/>
  <c r="KI87" i="17"/>
  <c r="LI87" i="17"/>
  <c r="KK87" i="17"/>
  <c r="LE87" i="17"/>
  <c r="KP87" i="17"/>
  <c r="KS87" i="17"/>
  <c r="LJ87" i="17"/>
  <c r="KQ87" i="17"/>
  <c r="KR87" i="17"/>
  <c r="KX87" i="17"/>
  <c r="LB87" i="17"/>
  <c r="KL87" i="17"/>
  <c r="LH87" i="17"/>
  <c r="KV87" i="17"/>
  <c r="LO87" i="17"/>
  <c r="KG87" i="17"/>
  <c r="KC87" i="17"/>
  <c r="LM87" i="17"/>
  <c r="LD87" i="17"/>
  <c r="LF87" i="17"/>
  <c r="KO87" i="17"/>
  <c r="LR87" i="17"/>
  <c r="LC87" i="17"/>
  <c r="LQ87" i="17"/>
  <c r="KU87" i="17"/>
  <c r="LP87" i="17"/>
  <c r="KN87" i="17"/>
  <c r="KJ87" i="17"/>
  <c r="LN87" i="17"/>
  <c r="MN87" i="17"/>
  <c r="MO85" i="17"/>
  <c r="MR87" i="17"/>
  <c r="MM87" i="17"/>
  <c r="MQ87" i="17"/>
  <c r="KF87" i="17"/>
  <c r="MM85" i="17"/>
  <c r="K86" i="17"/>
  <c r="Q86" i="17"/>
  <c r="KK86" i="17"/>
  <c r="LG86" i="17"/>
  <c r="KY86" i="17"/>
  <c r="R87" i="17"/>
  <c r="MR85" i="17"/>
  <c r="K85" i="17"/>
  <c r="Q85" i="17"/>
  <c r="MO87" i="17"/>
  <c r="MQ86" i="17"/>
  <c r="MP86" i="17"/>
  <c r="MR86" i="17"/>
  <c r="MN86" i="17"/>
  <c r="MO86" i="17"/>
  <c r="MM86" i="17"/>
  <c r="LP78" i="17"/>
  <c r="KV80" i="17"/>
  <c r="KX80" i="17"/>
  <c r="LG80" i="17"/>
  <c r="MR76" i="17"/>
  <c r="MP76" i="17"/>
  <c r="KP78" i="17"/>
  <c r="KZ78" i="17"/>
  <c r="KE78" i="17"/>
  <c r="KF78" i="17"/>
  <c r="LH78" i="17"/>
  <c r="KI78" i="17"/>
  <c r="KN78" i="17"/>
  <c r="KS78" i="17"/>
  <c r="LG78" i="17"/>
  <c r="KA78" i="17"/>
  <c r="LC78" i="17"/>
  <c r="LI78" i="17"/>
  <c r="KJ78" i="17"/>
  <c r="LE78" i="17"/>
  <c r="LK78" i="17"/>
  <c r="LB78" i="17"/>
  <c r="LR78" i="17"/>
  <c r="KC78" i="17"/>
  <c r="KO78" i="17"/>
  <c r="LD78" i="17"/>
  <c r="KH78" i="17"/>
  <c r="KQ78" i="17"/>
  <c r="KG78" i="17"/>
  <c r="LQ78" i="17"/>
  <c r="LN78" i="17"/>
  <c r="KR78" i="17"/>
  <c r="KM78" i="17"/>
  <c r="LL78" i="17"/>
  <c r="LA78" i="17"/>
  <c r="KX78" i="17"/>
  <c r="LO78" i="17"/>
  <c r="KT78" i="17"/>
  <c r="LM78" i="17"/>
  <c r="LF78" i="17"/>
  <c r="KY78" i="17"/>
  <c r="LJ78" i="17"/>
  <c r="KU78" i="17"/>
  <c r="KV78" i="17"/>
  <c r="KW78" i="17"/>
  <c r="KK78" i="17"/>
  <c r="KD78" i="17"/>
  <c r="KB78" i="17"/>
  <c r="KL78" i="17"/>
  <c r="KO80" i="17"/>
  <c r="KQ80" i="17"/>
  <c r="LD80" i="17"/>
  <c r="LK80" i="17"/>
  <c r="LN80" i="17"/>
  <c r="KT80" i="17"/>
  <c r="KC80" i="17"/>
  <c r="KW80" i="17"/>
  <c r="KY80" i="17"/>
  <c r="LM80" i="17"/>
  <c r="KP80" i="17"/>
  <c r="LI80" i="17"/>
  <c r="KK80" i="17"/>
  <c r="KI80" i="17"/>
  <c r="LQ80" i="17"/>
  <c r="LH80" i="17"/>
  <c r="KD80" i="17"/>
  <c r="LA80" i="17"/>
  <c r="LL80" i="17"/>
  <c r="LO80" i="17"/>
  <c r="LB80" i="17"/>
  <c r="KS80" i="17"/>
  <c r="KN80" i="17"/>
  <c r="KZ80" i="17"/>
  <c r="LC80" i="17"/>
  <c r="LP80" i="17"/>
  <c r="KJ80" i="17"/>
  <c r="KH80" i="17"/>
  <c r="LE80" i="17"/>
  <c r="LR80" i="17"/>
  <c r="LJ80" i="17"/>
  <c r="KE80" i="17"/>
  <c r="LF80" i="17"/>
  <c r="KL80" i="17"/>
  <c r="KR80" i="17"/>
  <c r="KG80" i="17"/>
  <c r="KU80" i="17"/>
  <c r="KB80" i="17"/>
  <c r="KM80" i="17"/>
  <c r="MQ76" i="17"/>
  <c r="MM76" i="17"/>
  <c r="MN76" i="17"/>
  <c r="MO76" i="17"/>
  <c r="MO77" i="17"/>
  <c r="MR77" i="17"/>
  <c r="MQ77" i="17"/>
  <c r="MM77" i="17"/>
  <c r="MP77" i="17"/>
  <c r="MN77" i="17"/>
  <c r="LA77" i="17"/>
  <c r="KS77" i="17"/>
  <c r="KE77" i="17"/>
  <c r="KO77" i="17"/>
  <c r="LB77" i="17"/>
  <c r="KF77" i="17"/>
  <c r="LK77" i="17"/>
  <c r="KZ77" i="17"/>
  <c r="KQ77" i="17"/>
  <c r="LP77" i="17"/>
  <c r="KT77" i="17"/>
  <c r="LD77" i="17"/>
  <c r="LM77" i="17"/>
  <c r="KJ77" i="17"/>
  <c r="LF77" i="17"/>
  <c r="KI77" i="17"/>
  <c r="KR77" i="17"/>
  <c r="KN77" i="17"/>
  <c r="LC77" i="17"/>
  <c r="KA77" i="17"/>
  <c r="KW77" i="17"/>
  <c r="KD77" i="17"/>
  <c r="KH77" i="17"/>
  <c r="LQ77" i="17"/>
  <c r="LI77" i="17"/>
  <c r="KX77" i="17"/>
  <c r="LE77" i="17"/>
  <c r="LL77" i="17"/>
  <c r="KU77" i="17"/>
  <c r="KY77" i="17"/>
  <c r="KV77" i="17"/>
  <c r="LG77" i="17"/>
  <c r="KC77" i="17"/>
  <c r="LO77" i="17"/>
  <c r="KG77" i="17"/>
  <c r="JZ77" i="17"/>
  <c r="LR77" i="17"/>
  <c r="KP77" i="17"/>
  <c r="KK77" i="17"/>
  <c r="LH77" i="17"/>
  <c r="KL77" i="17"/>
  <c r="LJ77" i="17"/>
  <c r="KB77" i="17"/>
  <c r="KM77" i="17"/>
  <c r="LN77" i="17"/>
  <c r="KP76" i="17"/>
  <c r="KC76" i="17"/>
  <c r="KD76" i="17"/>
  <c r="LO76" i="17"/>
  <c r="KH76" i="17"/>
  <c r="KK76" i="17"/>
  <c r="LB76" i="17"/>
  <c r="LG76" i="17"/>
  <c r="KB76" i="17"/>
  <c r="LF76" i="17"/>
  <c r="KS76" i="17"/>
  <c r="LM76" i="17"/>
  <c r="KY76" i="17"/>
  <c r="LN76" i="17"/>
  <c r="KF76" i="17"/>
  <c r="KJ76" i="17"/>
  <c r="LH76" i="17"/>
  <c r="KV76" i="17"/>
  <c r="KE76" i="17"/>
  <c r="KR76" i="17"/>
  <c r="KA76" i="17"/>
  <c r="LP76" i="17"/>
  <c r="LC76" i="17"/>
  <c r="KT76" i="17"/>
  <c r="KG76" i="17"/>
  <c r="LD76" i="17"/>
  <c r="LR76" i="17"/>
  <c r="LE76" i="17"/>
  <c r="KQ76" i="17"/>
  <c r="KZ76" i="17"/>
  <c r="KN76" i="17"/>
  <c r="LL76" i="17"/>
  <c r="LK76" i="17"/>
  <c r="KI76" i="17"/>
  <c r="KW76" i="17"/>
  <c r="KL76" i="17"/>
  <c r="LQ76" i="17"/>
  <c r="JZ76" i="17"/>
  <c r="KX76" i="17"/>
  <c r="KM76" i="17"/>
  <c r="KU76" i="17"/>
  <c r="LA76" i="17"/>
  <c r="KO76" i="17"/>
  <c r="LI76" i="17"/>
  <c r="LJ76" i="17"/>
  <c r="KF80" i="17"/>
  <c r="S95" i="40"/>
  <c r="Q95" i="40"/>
  <c r="BI4" i="14"/>
  <c r="BK7" i="18"/>
  <c r="BJ2" i="18"/>
  <c r="AF88" i="40"/>
  <c r="BM4" i="22"/>
  <c r="BC94" i="17"/>
  <c r="DK94" i="17" s="1"/>
  <c r="BB93" i="17"/>
  <c r="DJ93" i="17" s="1"/>
  <c r="BB92" i="17"/>
  <c r="DJ92" i="17" s="1"/>
  <c r="BB91" i="17"/>
  <c r="DJ91" i="17" s="1"/>
  <c r="BC91" i="17"/>
  <c r="DK91" i="17" s="1"/>
  <c r="FQ93" i="17"/>
  <c r="HS94" i="17"/>
  <c r="HQ93" i="17"/>
  <c r="HX93" i="17"/>
  <c r="HQ92" i="17"/>
  <c r="HX91" i="17"/>
  <c r="FQ92" i="17"/>
  <c r="HR91" i="17"/>
  <c r="HV92" i="17"/>
  <c r="FQ91" i="17"/>
  <c r="HU94" i="17"/>
  <c r="HS93" i="17"/>
  <c r="HR94" i="17"/>
  <c r="HX94" i="17"/>
  <c r="HU93" i="17"/>
  <c r="HS91" i="17"/>
  <c r="HT91" i="17"/>
  <c r="HQ91" i="17"/>
  <c r="FQ94" i="17"/>
  <c r="HT92" i="17"/>
  <c r="HU91" i="17"/>
  <c r="HR92" i="17"/>
  <c r="HX92" i="17"/>
  <c r="HW92" i="17"/>
  <c r="HW91" i="17"/>
  <c r="HW93" i="17"/>
  <c r="BB94" i="17"/>
  <c r="DJ94" i="17" s="1"/>
  <c r="HU92" i="17"/>
  <c r="HR93" i="17"/>
  <c r="HT94" i="17"/>
  <c r="HS92" i="17"/>
  <c r="HV91" i="17"/>
  <c r="HW94" i="17"/>
  <c r="HV94" i="17"/>
  <c r="HV93" i="17"/>
  <c r="HQ94" i="17"/>
  <c r="HT93" i="17"/>
  <c r="BM4" i="20"/>
  <c r="BB71" i="17"/>
  <c r="BC70" i="17"/>
  <c r="BC73" i="17"/>
  <c r="DK73" i="17" s="1"/>
  <c r="FO71" i="17"/>
  <c r="HR70" i="17"/>
  <c r="FP71" i="17"/>
  <c r="HS72" i="17"/>
  <c r="FQ73" i="17"/>
  <c r="FQ71" i="17"/>
  <c r="HV71" i="17"/>
  <c r="HS70" i="17"/>
  <c r="HX73" i="17"/>
  <c r="HV70" i="17"/>
  <c r="HW70" i="17"/>
  <c r="HT70" i="17"/>
  <c r="BB73" i="17"/>
  <c r="HW71" i="17"/>
  <c r="HW73" i="17"/>
  <c r="HT73" i="17"/>
  <c r="HT71" i="17"/>
  <c r="HU70" i="17"/>
  <c r="HU73" i="17"/>
  <c r="HR72" i="17"/>
  <c r="FQ70" i="17"/>
  <c r="HV72" i="17"/>
  <c r="HX70" i="17"/>
  <c r="HQ71" i="17"/>
  <c r="HX72" i="17"/>
  <c r="FP70" i="17"/>
  <c r="HS73" i="17"/>
  <c r="HT72" i="17"/>
  <c r="HW72" i="17"/>
  <c r="HU71" i="17"/>
  <c r="HQ70" i="17"/>
  <c r="FO73" i="17"/>
  <c r="HX71" i="17"/>
  <c r="FQ72" i="17"/>
  <c r="HQ72" i="17"/>
  <c r="BC72" i="17"/>
  <c r="FP72" i="17"/>
  <c r="HR71" i="17"/>
  <c r="FP73" i="17"/>
  <c r="FL70" i="17"/>
  <c r="FN73" i="17"/>
  <c r="FN71" i="17"/>
  <c r="FK73" i="17"/>
  <c r="FL71" i="17"/>
  <c r="FM72" i="17"/>
  <c r="FM70" i="17"/>
  <c r="FN72" i="17"/>
  <c r="FL72" i="17"/>
  <c r="HS71" i="17"/>
  <c r="FN70" i="17"/>
  <c r="FK70" i="17"/>
  <c r="FO72" i="17"/>
  <c r="FO70" i="17"/>
  <c r="FM73" i="17"/>
  <c r="FM71" i="17"/>
  <c r="FK72" i="17"/>
  <c r="FL73" i="17"/>
  <c r="HU72" i="17"/>
  <c r="FK71" i="17"/>
  <c r="HV73" i="17"/>
  <c r="M84" i="26"/>
  <c r="K364" i="1"/>
  <c r="K366" i="1"/>
  <c r="K363" i="1"/>
  <c r="K367" i="1"/>
  <c r="BF35" i="9"/>
  <c r="BF4" i="9"/>
  <c r="V367" i="1"/>
  <c r="U367" i="1"/>
  <c r="V366" i="1"/>
  <c r="U366" i="1"/>
  <c r="V364" i="1"/>
  <c r="U363" i="1"/>
  <c r="U364" i="1"/>
  <c r="V363" i="1"/>
  <c r="O366" i="1"/>
  <c r="O363" i="1"/>
  <c r="P367" i="1"/>
  <c r="O364" i="1"/>
  <c r="O367" i="1"/>
  <c r="E366" i="1"/>
  <c r="N366" i="1"/>
  <c r="N363" i="1"/>
  <c r="N364" i="1"/>
  <c r="N367" i="1"/>
  <c r="M363" i="1"/>
  <c r="P366" i="1"/>
  <c r="P363" i="1"/>
  <c r="M366" i="1"/>
  <c r="M367" i="1"/>
  <c r="M364" i="1"/>
  <c r="P364" i="1"/>
  <c r="E364" i="1"/>
  <c r="E367" i="1"/>
  <c r="BG4" i="10"/>
  <c r="J367" i="1"/>
  <c r="L364" i="1"/>
  <c r="I367" i="1"/>
  <c r="H367" i="1"/>
  <c r="L363" i="1"/>
  <c r="G367" i="1"/>
  <c r="J366" i="1"/>
  <c r="H366" i="1"/>
  <c r="L366" i="1"/>
  <c r="I366" i="1"/>
  <c r="G366" i="1"/>
  <c r="L367" i="1"/>
  <c r="FP91" i="17"/>
  <c r="AY92" i="17"/>
  <c r="DG92" i="17" s="1"/>
  <c r="AY93" i="17"/>
  <c r="DG93" i="17" s="1"/>
  <c r="FP93" i="17"/>
  <c r="FP94" i="17"/>
  <c r="FO91" i="17"/>
  <c r="FO94" i="17"/>
  <c r="FO92" i="17"/>
  <c r="FO93" i="17"/>
  <c r="AY91" i="17"/>
  <c r="DG91" i="17" s="1"/>
  <c r="FP92" i="17"/>
  <c r="AY94" i="17"/>
  <c r="DG94" i="17" s="1"/>
  <c r="J87" i="17"/>
  <c r="P87" i="17"/>
  <c r="AY72" i="17"/>
  <c r="DG72" i="17" s="1"/>
  <c r="AZ72" i="17"/>
  <c r="DH72" i="17" s="1"/>
  <c r="AZ73" i="17"/>
  <c r="AY73" i="17"/>
  <c r="DG73" i="17" s="1"/>
  <c r="AZ70" i="17"/>
  <c r="DH70" i="17" s="1"/>
  <c r="AZ71" i="17"/>
  <c r="AY70" i="17"/>
  <c r="DG70" i="17" s="1"/>
  <c r="AY71" i="17"/>
  <c r="DG71" i="17" s="1"/>
  <c r="S88" i="17"/>
  <c r="M88" i="17"/>
  <c r="J77" i="17"/>
  <c r="P77" i="17"/>
  <c r="J86" i="17"/>
  <c r="P86" i="17"/>
  <c r="T86" i="17"/>
  <c r="P85" i="17"/>
  <c r="J85" i="17"/>
  <c r="T88" i="17"/>
  <c r="T76" i="17"/>
  <c r="P88" i="17"/>
  <c r="J88" i="17"/>
  <c r="J76" i="17"/>
  <c r="P76" i="17"/>
  <c r="L77" i="17"/>
  <c r="M77" i="17"/>
  <c r="S77" i="17"/>
  <c r="L85" i="17"/>
  <c r="S85" i="17"/>
  <c r="M85" i="17"/>
  <c r="M86" i="17"/>
  <c r="S86" i="17"/>
  <c r="T85" i="17"/>
  <c r="MH85" i="17"/>
  <c r="L76" i="17"/>
  <c r="M76" i="17"/>
  <c r="S76" i="17"/>
  <c r="T77" i="17"/>
  <c r="L87" i="17"/>
  <c r="M87" i="17"/>
  <c r="S87" i="17"/>
  <c r="FM92" i="17"/>
  <c r="FM91" i="17"/>
  <c r="FN91" i="17"/>
  <c r="FM93" i="17"/>
  <c r="FN94" i="17"/>
  <c r="FM94" i="17"/>
  <c r="FN93" i="17"/>
  <c r="FN92" i="17"/>
  <c r="FJ92" i="17"/>
  <c r="FL92" i="17"/>
  <c r="FK94" i="17"/>
  <c r="JZ94" i="17" s="1"/>
  <c r="FL91" i="17"/>
  <c r="FL94" i="17"/>
  <c r="FK93" i="17"/>
  <c r="L88" i="17"/>
  <c r="L86" i="17"/>
  <c r="BJ6" i="14"/>
  <c r="BH6" i="11"/>
  <c r="BH6" i="10"/>
  <c r="BG6" i="9"/>
  <c r="BG6" i="8"/>
  <c r="BF6" i="5"/>
  <c r="BE6" i="4"/>
  <c r="BJ6" i="12"/>
  <c r="BJ8" i="12" s="1"/>
  <c r="BJ6" i="13"/>
  <c r="BK6" i="18"/>
  <c r="H365" i="1"/>
  <c r="G364" i="1"/>
  <c r="H364" i="1"/>
  <c r="G363" i="1"/>
  <c r="H363" i="1"/>
  <c r="J365" i="1"/>
  <c r="J364" i="1"/>
  <c r="J363" i="1"/>
  <c r="I363" i="1"/>
  <c r="I365" i="1"/>
  <c r="I364" i="1"/>
  <c r="B370" i="1"/>
  <c r="E371" i="1" s="1"/>
  <c r="BE6" i="3"/>
  <c r="BE11" i="3" s="1"/>
  <c r="AF81" i="17" l="1"/>
  <c r="AC81" i="17" s="1"/>
  <c r="Y12" i="40"/>
  <c r="AI12" i="40"/>
  <c r="NN91" i="17"/>
  <c r="Y81" i="17"/>
  <c r="AA81" i="17" s="1"/>
  <c r="X81" i="17" s="1"/>
  <c r="NN71" i="17"/>
  <c r="NN92" i="17"/>
  <c r="NN94" i="17"/>
  <c r="AI115" i="40"/>
  <c r="AH115" i="40"/>
  <c r="NN73" i="17"/>
  <c r="Z81" i="17"/>
  <c r="NN70" i="17"/>
  <c r="NN93" i="17"/>
  <c r="NN72" i="17"/>
  <c r="S83" i="40"/>
  <c r="Y102" i="40"/>
  <c r="NM73" i="17"/>
  <c r="NM94" i="17"/>
  <c r="NM71" i="17"/>
  <c r="NM70" i="17"/>
  <c r="NM91" i="17"/>
  <c r="NM93" i="17"/>
  <c r="NM72" i="17"/>
  <c r="NM92" i="17"/>
  <c r="NL72" i="17"/>
  <c r="NL73" i="17"/>
  <c r="NL94" i="17"/>
  <c r="NL92" i="17"/>
  <c r="NL93" i="17"/>
  <c r="NL71" i="17"/>
  <c r="NL70" i="17"/>
  <c r="NL91" i="17"/>
  <c r="NK71" i="17"/>
  <c r="NK91" i="17"/>
  <c r="NK93" i="17"/>
  <c r="NK70" i="17"/>
  <c r="NK72" i="17"/>
  <c r="NK92" i="17"/>
  <c r="NK73" i="17"/>
  <c r="NK94" i="17"/>
  <c r="U80" i="17"/>
  <c r="NJ72" i="17"/>
  <c r="NJ92" i="17"/>
  <c r="NJ73" i="17"/>
  <c r="NJ94" i="17"/>
  <c r="NJ93" i="17"/>
  <c r="NJ71" i="17"/>
  <c r="NJ91" i="17"/>
  <c r="NJ70" i="17"/>
  <c r="P80" i="26"/>
  <c r="O80" i="26"/>
  <c r="K80" i="26"/>
  <c r="J80" i="26"/>
  <c r="S80" i="26"/>
  <c r="Q80" i="26"/>
  <c r="T80" i="26"/>
  <c r="N80" i="26"/>
  <c r="L80" i="26"/>
  <c r="M80" i="26"/>
  <c r="R81" i="26"/>
  <c r="T81" i="26"/>
  <c r="Q81" i="26"/>
  <c r="P81" i="26"/>
  <c r="N81" i="26"/>
  <c r="J81" i="26"/>
  <c r="K81" i="26"/>
  <c r="L81" i="26"/>
  <c r="O81" i="26"/>
  <c r="S81" i="26"/>
  <c r="M81" i="26"/>
  <c r="NI73" i="17"/>
  <c r="NI94" i="17"/>
  <c r="BE22" i="3"/>
  <c r="NI93" i="17"/>
  <c r="NI70" i="17"/>
  <c r="NI91" i="17"/>
  <c r="NI71" i="17"/>
  <c r="NI92" i="17"/>
  <c r="NI72" i="17"/>
  <c r="NH92" i="17"/>
  <c r="NH72" i="17"/>
  <c r="NH73" i="17"/>
  <c r="NH93" i="17"/>
  <c r="NH94" i="17"/>
  <c r="NH91" i="17"/>
  <c r="NH70" i="17"/>
  <c r="NH71" i="17"/>
  <c r="NG70" i="17"/>
  <c r="NG71" i="17"/>
  <c r="NG92" i="17"/>
  <c r="NG73" i="17"/>
  <c r="NG94" i="17"/>
  <c r="NG93" i="17"/>
  <c r="NG91" i="17"/>
  <c r="NG72" i="17"/>
  <c r="AE82" i="17"/>
  <c r="NF73" i="17"/>
  <c r="NF72" i="17"/>
  <c r="NF93" i="17"/>
  <c r="NF91" i="17"/>
  <c r="NF71" i="17"/>
  <c r="NF70" i="17"/>
  <c r="NF94" i="17"/>
  <c r="NF92" i="17"/>
  <c r="Y82" i="17"/>
  <c r="NE70" i="17"/>
  <c r="Z82" i="17"/>
  <c r="AD82" i="17"/>
  <c r="NE91" i="17"/>
  <c r="NE94" i="17"/>
  <c r="NE71" i="17"/>
  <c r="NE93" i="17"/>
  <c r="NE72" i="17"/>
  <c r="NE92" i="17"/>
  <c r="NE73" i="17"/>
  <c r="Z80" i="17"/>
  <c r="U82" i="17"/>
  <c r="L79" i="26"/>
  <c r="ND72" i="17"/>
  <c r="ND91" i="17"/>
  <c r="P79" i="26"/>
  <c r="ND92" i="17"/>
  <c r="ND71" i="17"/>
  <c r="ND73" i="17"/>
  <c r="ND94" i="17"/>
  <c r="ND70" i="17"/>
  <c r="ND93" i="17"/>
  <c r="Y78" i="17"/>
  <c r="AB78" i="17" s="1"/>
  <c r="NC94" i="17"/>
  <c r="NC73" i="17"/>
  <c r="NC91" i="17"/>
  <c r="NC72" i="17"/>
  <c r="NC71" i="17"/>
  <c r="NC93" i="17"/>
  <c r="NC70" i="17"/>
  <c r="NC92" i="17"/>
  <c r="U76" i="17"/>
  <c r="N79" i="26"/>
  <c r="O79" i="26"/>
  <c r="J79" i="26"/>
  <c r="U77" i="17"/>
  <c r="NB93" i="17"/>
  <c r="NB70" i="17"/>
  <c r="S102" i="40"/>
  <c r="R70" i="17"/>
  <c r="NB72" i="17"/>
  <c r="NB71" i="17"/>
  <c r="NB94" i="17"/>
  <c r="NB92" i="17"/>
  <c r="NB91" i="17"/>
  <c r="NB73" i="17"/>
  <c r="Q79" i="26"/>
  <c r="M79" i="26"/>
  <c r="K79" i="26"/>
  <c r="Y103" i="40"/>
  <c r="T79" i="26"/>
  <c r="Y101" i="40"/>
  <c r="S79" i="26"/>
  <c r="W103" i="40"/>
  <c r="NA94" i="17"/>
  <c r="NA91" i="17"/>
  <c r="NA70" i="17"/>
  <c r="NA72" i="17"/>
  <c r="NA73" i="17"/>
  <c r="NA71" i="17"/>
  <c r="NA93" i="17"/>
  <c r="NA92" i="17"/>
  <c r="MZ70" i="17"/>
  <c r="MZ72" i="17"/>
  <c r="MZ73" i="17"/>
  <c r="MZ71" i="17"/>
  <c r="MZ92" i="17"/>
  <c r="MZ94" i="17"/>
  <c r="MZ93" i="17"/>
  <c r="MZ91" i="17"/>
  <c r="MX94" i="17"/>
  <c r="MY94" i="17"/>
  <c r="MY92" i="17"/>
  <c r="MY70" i="17"/>
  <c r="MY72" i="17"/>
  <c r="MY71" i="17"/>
  <c r="MY93" i="17"/>
  <c r="MY91" i="17"/>
  <c r="MY73" i="17"/>
  <c r="U85" i="17"/>
  <c r="MX91" i="17"/>
  <c r="MX92" i="17"/>
  <c r="MX70" i="17"/>
  <c r="MX72" i="17"/>
  <c r="MX71" i="17"/>
  <c r="MX93" i="17"/>
  <c r="MX73" i="17"/>
  <c r="U101" i="40"/>
  <c r="Y98" i="40"/>
  <c r="W98" i="40"/>
  <c r="U86" i="17"/>
  <c r="Y97" i="40"/>
  <c r="W97" i="40"/>
  <c r="Q82" i="40"/>
  <c r="MW71" i="17"/>
  <c r="MW73" i="17"/>
  <c r="MW91" i="17"/>
  <c r="MW93" i="17"/>
  <c r="W104" i="40"/>
  <c r="Q104" i="40"/>
  <c r="Q101" i="40"/>
  <c r="MW92" i="17"/>
  <c r="T87" i="17"/>
  <c r="MW70" i="17"/>
  <c r="MW72" i="17"/>
  <c r="MW94" i="17"/>
  <c r="S103" i="40"/>
  <c r="U102" i="40"/>
  <c r="W101" i="40"/>
  <c r="BJ14" i="13"/>
  <c r="BJ11" i="13"/>
  <c r="BJ20" i="13"/>
  <c r="BJ8" i="13"/>
  <c r="BJ17" i="13"/>
  <c r="BJ16" i="13"/>
  <c r="BJ22" i="13"/>
  <c r="BJ19" i="13"/>
  <c r="BJ10" i="13"/>
  <c r="BJ13" i="13"/>
  <c r="BJ17" i="14"/>
  <c r="BJ11" i="14"/>
  <c r="BJ20" i="14"/>
  <c r="BJ14" i="14"/>
  <c r="BJ8" i="14"/>
  <c r="BJ22" i="14"/>
  <c r="BJ16" i="14"/>
  <c r="BJ19" i="14"/>
  <c r="BJ13" i="14"/>
  <c r="BJ10" i="14"/>
  <c r="BJ4" i="12"/>
  <c r="BJ20" i="12"/>
  <c r="BJ14" i="12"/>
  <c r="BJ21" i="12"/>
  <c r="BJ17" i="12"/>
  <c r="BJ11" i="12"/>
  <c r="BJ16" i="12"/>
  <c r="BJ22" i="12"/>
  <c r="BJ13" i="12"/>
  <c r="BJ19" i="12"/>
  <c r="BJ10" i="12"/>
  <c r="K70" i="17"/>
  <c r="Q70" i="17"/>
  <c r="BE4" i="3"/>
  <c r="BE17" i="3"/>
  <c r="BE8" i="3"/>
  <c r="BE14" i="3"/>
  <c r="BE10" i="3"/>
  <c r="D363" i="1" s="1"/>
  <c r="BE19" i="3"/>
  <c r="D367" i="1" s="1"/>
  <c r="BE13" i="3"/>
  <c r="D364" i="1" s="1"/>
  <c r="BE16" i="3"/>
  <c r="D366" i="1" s="1"/>
  <c r="BE4" i="4"/>
  <c r="BE14" i="4"/>
  <c r="BE17" i="4"/>
  <c r="BE8" i="4"/>
  <c r="BE11" i="4"/>
  <c r="BE19" i="4"/>
  <c r="Q367" i="1" s="1"/>
  <c r="BE16" i="4"/>
  <c r="Q366" i="1" s="1"/>
  <c r="BE13" i="4"/>
  <c r="Q364" i="1" s="1"/>
  <c r="BE10" i="4"/>
  <c r="Q363" i="1" s="1"/>
  <c r="K71" i="17"/>
  <c r="Q71" i="17"/>
  <c r="K72" i="17"/>
  <c r="Q72" i="17"/>
  <c r="BF4" i="5"/>
  <c r="BF14" i="5"/>
  <c r="BF11" i="5"/>
  <c r="BF16" i="5"/>
  <c r="R374" i="1" s="1"/>
  <c r="BF19" i="5"/>
  <c r="R375" i="1" s="1"/>
  <c r="BF13" i="5"/>
  <c r="R372" i="1" s="1"/>
  <c r="BF10" i="5"/>
  <c r="R371" i="1" s="1"/>
  <c r="BG14" i="9"/>
  <c r="BG11" i="9"/>
  <c r="BG16" i="9"/>
  <c r="BG13" i="9"/>
  <c r="BG19" i="9"/>
  <c r="BG10" i="9"/>
  <c r="W102" i="40"/>
  <c r="BH14" i="10"/>
  <c r="BH11" i="10"/>
  <c r="BH21" i="10"/>
  <c r="BH23" i="10"/>
  <c r="BH16" i="10"/>
  <c r="BH19" i="10"/>
  <c r="BH13" i="10"/>
  <c r="BG4" i="8"/>
  <c r="BG11" i="8"/>
  <c r="BG14" i="8"/>
  <c r="BG17" i="8"/>
  <c r="BG8" i="8"/>
  <c r="BG16" i="8"/>
  <c r="BG10" i="8"/>
  <c r="BG13" i="8"/>
  <c r="BG19" i="8"/>
  <c r="BK4" i="18"/>
  <c r="BK8" i="18"/>
  <c r="BK11" i="18"/>
  <c r="BK14" i="18"/>
  <c r="BK13" i="18"/>
  <c r="BK16" i="18"/>
  <c r="BK19" i="18"/>
  <c r="BK10" i="18"/>
  <c r="BH8" i="11"/>
  <c r="BH10" i="11"/>
  <c r="K73" i="17"/>
  <c r="Q73" i="17"/>
  <c r="U104" i="40"/>
  <c r="Q102" i="40"/>
  <c r="S101" i="40"/>
  <c r="S104" i="40"/>
  <c r="U103" i="40"/>
  <c r="Q103" i="40"/>
  <c r="MV70" i="17"/>
  <c r="S82" i="40"/>
  <c r="MV92" i="17"/>
  <c r="MV94" i="17"/>
  <c r="MV73" i="17"/>
  <c r="MV91" i="17"/>
  <c r="MV71" i="17"/>
  <c r="MV93" i="17"/>
  <c r="MV72" i="17"/>
  <c r="BG10" i="10"/>
  <c r="Y80" i="17"/>
  <c r="L90" i="26"/>
  <c r="BH4" i="11"/>
  <c r="F373" i="1"/>
  <c r="R72" i="17"/>
  <c r="S374" i="1"/>
  <c r="S372" i="1"/>
  <c r="S375" i="1"/>
  <c r="F366" i="1"/>
  <c r="R73" i="17"/>
  <c r="BJ4" i="13"/>
  <c r="R71" i="17"/>
  <c r="S371" i="1"/>
  <c r="U87" i="17"/>
  <c r="MU92" i="17"/>
  <c r="MU94" i="17"/>
  <c r="MU91" i="17"/>
  <c r="MU71" i="17"/>
  <c r="MU72" i="17"/>
  <c r="MU73" i="17"/>
  <c r="MU93" i="17"/>
  <c r="MU70" i="17"/>
  <c r="F364" i="1"/>
  <c r="F363" i="1"/>
  <c r="F367" i="1"/>
  <c r="AF96" i="40"/>
  <c r="MT91" i="17"/>
  <c r="MT93" i="17"/>
  <c r="MT70" i="17"/>
  <c r="MT92" i="17"/>
  <c r="MT94" i="17"/>
  <c r="MT71" i="17"/>
  <c r="MT72" i="17"/>
  <c r="MT73" i="17"/>
  <c r="DK70" i="17"/>
  <c r="Q81" i="40" s="1"/>
  <c r="DH71" i="17"/>
  <c r="DK72" i="17"/>
  <c r="DJ71" i="17"/>
  <c r="DH73" i="17"/>
  <c r="DJ73" i="17"/>
  <c r="K84" i="26"/>
  <c r="S84" i="26"/>
  <c r="MS92" i="17"/>
  <c r="R84" i="26"/>
  <c r="MS94" i="17"/>
  <c r="MS91" i="17"/>
  <c r="L84" i="26"/>
  <c r="MS71" i="17"/>
  <c r="MS72" i="17"/>
  <c r="MS73" i="17"/>
  <c r="J84" i="26"/>
  <c r="MS93" i="17"/>
  <c r="AF84" i="40"/>
  <c r="MS70" i="17"/>
  <c r="U88" i="17"/>
  <c r="AE104" i="40"/>
  <c r="AF104" i="40"/>
  <c r="AE103" i="40"/>
  <c r="AE102" i="40"/>
  <c r="AF101" i="40"/>
  <c r="AE101" i="40"/>
  <c r="AE96" i="40"/>
  <c r="AF95" i="40"/>
  <c r="AE97" i="40"/>
  <c r="AE95" i="40"/>
  <c r="AF97" i="40"/>
  <c r="AE98" i="40"/>
  <c r="MR71" i="17"/>
  <c r="MR72" i="17"/>
  <c r="MR73" i="17"/>
  <c r="MR93" i="17"/>
  <c r="MR70" i="17"/>
  <c r="Q84" i="26"/>
  <c r="R87" i="26"/>
  <c r="MR92" i="17"/>
  <c r="MR94" i="17"/>
  <c r="MR91" i="17"/>
  <c r="MQ91" i="17"/>
  <c r="L86" i="26"/>
  <c r="Q86" i="26"/>
  <c r="L85" i="26"/>
  <c r="Q85" i="26"/>
  <c r="BJ4" i="14"/>
  <c r="R85" i="26"/>
  <c r="BL7" i="18"/>
  <c r="BK2" i="18"/>
  <c r="MQ94" i="17"/>
  <c r="MQ70" i="17"/>
  <c r="MQ93" i="17"/>
  <c r="MQ71" i="17"/>
  <c r="MQ72" i="17"/>
  <c r="MQ73" i="17"/>
  <c r="MQ92" i="17"/>
  <c r="M85" i="26"/>
  <c r="J85" i="26"/>
  <c r="MP91" i="17"/>
  <c r="R86" i="26"/>
  <c r="K86" i="26"/>
  <c r="J86" i="26"/>
  <c r="MP71" i="17"/>
  <c r="MP72" i="17"/>
  <c r="MP73" i="17"/>
  <c r="MP94" i="17"/>
  <c r="MP70" i="17"/>
  <c r="MP93" i="17"/>
  <c r="MP92" i="17"/>
  <c r="S85" i="26"/>
  <c r="K85" i="26"/>
  <c r="S86" i="26"/>
  <c r="M86" i="26"/>
  <c r="K375" i="1"/>
  <c r="K372" i="1"/>
  <c r="K374" i="1"/>
  <c r="K371" i="1"/>
  <c r="KZ71" i="17"/>
  <c r="KF71" i="17"/>
  <c r="KD71" i="17"/>
  <c r="LR71" i="17"/>
  <c r="KI71" i="17"/>
  <c r="LP71" i="17"/>
  <c r="KU71" i="17"/>
  <c r="LC71" i="17"/>
  <c r="LF71" i="17"/>
  <c r="LM71" i="17"/>
  <c r="LH71" i="17"/>
  <c r="LQ71" i="17"/>
  <c r="KL71" i="17"/>
  <c r="LK71" i="17"/>
  <c r="LL71" i="17"/>
  <c r="LD71" i="17"/>
  <c r="KJ71" i="17"/>
  <c r="LN71" i="17"/>
  <c r="KT71" i="17"/>
  <c r="KW71" i="17"/>
  <c r="KS71" i="17"/>
  <c r="KN71" i="17"/>
  <c r="LB71" i="17"/>
  <c r="LI71" i="17"/>
  <c r="LG71" i="17"/>
  <c r="LA71" i="17"/>
  <c r="KY71" i="17"/>
  <c r="LO71" i="17"/>
  <c r="KG71" i="17"/>
  <c r="KB71" i="17"/>
  <c r="JZ71" i="17"/>
  <c r="KH71" i="17"/>
  <c r="KO71" i="17"/>
  <c r="KM71" i="17"/>
  <c r="LJ71" i="17"/>
  <c r="KA71" i="17"/>
  <c r="KX71" i="17"/>
  <c r="KE71" i="17"/>
  <c r="KP71" i="17"/>
  <c r="LE71" i="17"/>
  <c r="KQ71" i="17"/>
  <c r="KV71" i="17"/>
  <c r="KR71" i="17"/>
  <c r="KC71" i="17"/>
  <c r="KL70" i="17"/>
  <c r="LA70" i="17"/>
  <c r="KS70" i="17"/>
  <c r="KX70" i="17"/>
  <c r="LQ70" i="17"/>
  <c r="LP70" i="17"/>
  <c r="LL70" i="17"/>
  <c r="KZ70" i="17"/>
  <c r="LM70" i="17"/>
  <c r="KO70" i="17"/>
  <c r="JZ70" i="17"/>
  <c r="LH70" i="17"/>
  <c r="LC70" i="17"/>
  <c r="LK70" i="17"/>
  <c r="KI70" i="17"/>
  <c r="KN70" i="17"/>
  <c r="KB70" i="17"/>
  <c r="KH70" i="17"/>
  <c r="LO70" i="17"/>
  <c r="KU70" i="17"/>
  <c r="KP70" i="17"/>
  <c r="LI70" i="17"/>
  <c r="KD70" i="17"/>
  <c r="KK70" i="17"/>
  <c r="LG70" i="17"/>
  <c r="KC70" i="17"/>
  <c r="KE70" i="17"/>
  <c r="KW70" i="17"/>
  <c r="LB70" i="17"/>
  <c r="LN70" i="17"/>
  <c r="LF70" i="17"/>
  <c r="KF70" i="17"/>
  <c r="KJ70" i="17"/>
  <c r="LJ70" i="17"/>
  <c r="LR70" i="17"/>
  <c r="LE70" i="17"/>
  <c r="KQ70" i="17"/>
  <c r="KT70" i="17"/>
  <c r="KA70" i="17"/>
  <c r="KG70" i="17"/>
  <c r="KY70" i="17"/>
  <c r="KV70" i="17"/>
  <c r="KR70" i="17"/>
  <c r="KN73" i="17"/>
  <c r="LM73" i="17"/>
  <c r="LK73" i="17"/>
  <c r="LQ73" i="17"/>
  <c r="LP73" i="17"/>
  <c r="KE73" i="17"/>
  <c r="KY73" i="17"/>
  <c r="KF73" i="17"/>
  <c r="LH73" i="17"/>
  <c r="JZ73" i="17"/>
  <c r="LR73" i="17"/>
  <c r="LF73" i="17"/>
  <c r="KB73" i="17"/>
  <c r="KX73" i="17"/>
  <c r="LG73" i="17"/>
  <c r="KH73" i="17"/>
  <c r="KD73" i="17"/>
  <c r="KP73" i="17"/>
  <c r="KQ73" i="17"/>
  <c r="KO73" i="17"/>
  <c r="LO73" i="17"/>
  <c r="KS73" i="17"/>
  <c r="KC73" i="17"/>
  <c r="KK73" i="17"/>
  <c r="LA73" i="17"/>
  <c r="LN73" i="17"/>
  <c r="KI73" i="17"/>
  <c r="KM73" i="17"/>
  <c r="LL73" i="17"/>
  <c r="KG73" i="17"/>
  <c r="KL73" i="17"/>
  <c r="LC73" i="17"/>
  <c r="LB73" i="17"/>
  <c r="LI73" i="17"/>
  <c r="KU73" i="17"/>
  <c r="KV73" i="17"/>
  <c r="KR73" i="17"/>
  <c r="KA73" i="17"/>
  <c r="LE73" i="17"/>
  <c r="KJ73" i="17"/>
  <c r="KT73" i="17"/>
  <c r="KW73" i="17"/>
  <c r="KZ73" i="17"/>
  <c r="LJ73" i="17"/>
  <c r="LD73" i="17"/>
  <c r="KM70" i="17"/>
  <c r="LD70" i="17"/>
  <c r="MO92" i="17"/>
  <c r="MN92" i="17"/>
  <c r="MM92" i="17"/>
  <c r="MO72" i="17"/>
  <c r="MM72" i="17"/>
  <c r="MN72" i="17"/>
  <c r="MN73" i="17"/>
  <c r="MM94" i="17"/>
  <c r="MN94" i="17"/>
  <c r="MO94" i="17"/>
  <c r="BG35" i="9"/>
  <c r="BG4" i="9"/>
  <c r="KC72" i="17"/>
  <c r="KE72" i="17"/>
  <c r="LB72" i="17"/>
  <c r="LN72" i="17"/>
  <c r="KY72" i="17"/>
  <c r="LF72" i="17"/>
  <c r="KT72" i="17"/>
  <c r="LR72" i="17"/>
  <c r="KX72" i="17"/>
  <c r="KA72" i="17"/>
  <c r="LM72" i="17"/>
  <c r="LO72" i="17"/>
  <c r="KQ72" i="17"/>
  <c r="LP72" i="17"/>
  <c r="KM72" i="17"/>
  <c r="KN72" i="17"/>
  <c r="KB72" i="17"/>
  <c r="KR72" i="17"/>
  <c r="LI72" i="17"/>
  <c r="KG72" i="17"/>
  <c r="KV72" i="17"/>
  <c r="LQ72" i="17"/>
  <c r="LG72" i="17"/>
  <c r="KF72" i="17"/>
  <c r="LH72" i="17"/>
  <c r="KD72" i="17"/>
  <c r="LD72" i="17"/>
  <c r="LA72" i="17"/>
  <c r="KU72" i="17"/>
  <c r="LL72" i="17"/>
  <c r="LC72" i="17"/>
  <c r="LE72" i="17"/>
  <c r="KL72" i="17"/>
  <c r="KW72" i="17"/>
  <c r="KJ72" i="17"/>
  <c r="LK72" i="17"/>
  <c r="KK72" i="17"/>
  <c r="KS72" i="17"/>
  <c r="KZ72" i="17"/>
  <c r="JZ72" i="17"/>
  <c r="KO72" i="17"/>
  <c r="LJ72" i="17"/>
  <c r="KH72" i="17"/>
  <c r="KI72" i="17"/>
  <c r="KP72" i="17"/>
  <c r="MM93" i="17"/>
  <c r="MO93" i="17"/>
  <c r="MN93" i="17"/>
  <c r="P84" i="26"/>
  <c r="O84" i="26"/>
  <c r="T84" i="26"/>
  <c r="N84" i="26"/>
  <c r="MM73" i="17"/>
  <c r="MO73" i="17"/>
  <c r="MN91" i="17"/>
  <c r="MM91" i="17"/>
  <c r="MO91" i="17"/>
  <c r="O86" i="26"/>
  <c r="T86" i="26"/>
  <c r="P86" i="26"/>
  <c r="N86" i="26"/>
  <c r="MO71" i="17"/>
  <c r="MM71" i="17"/>
  <c r="MN71" i="17"/>
  <c r="P85" i="26"/>
  <c r="N85" i="26"/>
  <c r="O85" i="26"/>
  <c r="T85" i="26"/>
  <c r="MM70" i="17"/>
  <c r="MO70" i="17"/>
  <c r="MN70" i="17"/>
  <c r="P91" i="17"/>
  <c r="J91" i="17"/>
  <c r="J94" i="17"/>
  <c r="P94" i="17"/>
  <c r="KK71" i="17"/>
  <c r="V372" i="1"/>
  <c r="U372" i="1"/>
  <c r="V371" i="1"/>
  <c r="V374" i="1"/>
  <c r="U371" i="1"/>
  <c r="U374" i="1"/>
  <c r="V375" i="1"/>
  <c r="U375" i="1"/>
  <c r="O372" i="1"/>
  <c r="O375" i="1"/>
  <c r="O374" i="1"/>
  <c r="P375" i="1"/>
  <c r="O371" i="1"/>
  <c r="E374" i="1"/>
  <c r="N374" i="1"/>
  <c r="N371" i="1"/>
  <c r="N372" i="1"/>
  <c r="N375" i="1"/>
  <c r="M372" i="1"/>
  <c r="M375" i="1"/>
  <c r="P372" i="1"/>
  <c r="M371" i="1"/>
  <c r="P374" i="1"/>
  <c r="P371" i="1"/>
  <c r="M374" i="1"/>
  <c r="E372" i="1"/>
  <c r="E375" i="1"/>
  <c r="BH4" i="10"/>
  <c r="KB91" i="17"/>
  <c r="KD91" i="17"/>
  <c r="KC93" i="17"/>
  <c r="KB94" i="17"/>
  <c r="KB93" i="17"/>
  <c r="KC94" i="17"/>
  <c r="KD94" i="17"/>
  <c r="KL94" i="17"/>
  <c r="LF94" i="17"/>
  <c r="LB94" i="17"/>
  <c r="LO94" i="17"/>
  <c r="LL94" i="17"/>
  <c r="LA94" i="17"/>
  <c r="LP94" i="17"/>
  <c r="LD94" i="17"/>
  <c r="LC94" i="17"/>
  <c r="LM94" i="17"/>
  <c r="KH94" i="17"/>
  <c r="LK94" i="17"/>
  <c r="LE94" i="17"/>
  <c r="KT94" i="17"/>
  <c r="KJ94" i="17"/>
  <c r="KF94" i="17"/>
  <c r="LJ94" i="17"/>
  <c r="KE94" i="17"/>
  <c r="LN94" i="17"/>
  <c r="KS94" i="17"/>
  <c r="KG94" i="17"/>
  <c r="KW94" i="17"/>
  <c r="LI94" i="17"/>
  <c r="KU94" i="17"/>
  <c r="KZ94" i="17"/>
  <c r="KR94" i="17"/>
  <c r="LH94" i="17"/>
  <c r="KP94" i="17"/>
  <c r="KO94" i="17"/>
  <c r="KN94" i="17"/>
  <c r="KK94" i="17"/>
  <c r="KQ94" i="17"/>
  <c r="LQ94" i="17"/>
  <c r="KV94" i="17"/>
  <c r="KY94" i="17"/>
  <c r="LG94" i="17"/>
  <c r="KI94" i="17"/>
  <c r="LR94" i="17"/>
  <c r="KX94" i="17"/>
  <c r="KM94" i="17"/>
  <c r="Q94" i="17"/>
  <c r="KA94" i="17"/>
  <c r="KD93" i="17"/>
  <c r="LC93" i="17"/>
  <c r="LI93" i="17"/>
  <c r="KY93" i="17"/>
  <c r="KW93" i="17"/>
  <c r="KJ93" i="17"/>
  <c r="LM93" i="17"/>
  <c r="KN93" i="17"/>
  <c r="KG93" i="17"/>
  <c r="KE93" i="17"/>
  <c r="KT93" i="17"/>
  <c r="LH93" i="17"/>
  <c r="LN93" i="17"/>
  <c r="LQ93" i="17"/>
  <c r="KH93" i="17"/>
  <c r="KU93" i="17"/>
  <c r="LR93" i="17"/>
  <c r="LL93" i="17"/>
  <c r="KL93" i="17"/>
  <c r="KF93" i="17"/>
  <c r="LJ93" i="17"/>
  <c r="KQ93" i="17"/>
  <c r="KX93" i="17"/>
  <c r="KK93" i="17"/>
  <c r="LE93" i="17"/>
  <c r="LB93" i="17"/>
  <c r="LO93" i="17"/>
  <c r="KZ93" i="17"/>
  <c r="LG93" i="17"/>
  <c r="LF93" i="17"/>
  <c r="KS93" i="17"/>
  <c r="KI93" i="17"/>
  <c r="LD93" i="17"/>
  <c r="LP93" i="17"/>
  <c r="KR93" i="17"/>
  <c r="LA93" i="17"/>
  <c r="KP93" i="17"/>
  <c r="KO93" i="17"/>
  <c r="KV93" i="17"/>
  <c r="LK93" i="17"/>
  <c r="KM93" i="17"/>
  <c r="JZ93" i="17"/>
  <c r="KA93" i="17"/>
  <c r="Q92" i="17"/>
  <c r="KA92" i="17"/>
  <c r="KD92" i="17"/>
  <c r="KC92" i="17"/>
  <c r="R92" i="17"/>
  <c r="KB92" i="17"/>
  <c r="LG92" i="17"/>
  <c r="KI92" i="17"/>
  <c r="LI92" i="17"/>
  <c r="LL92" i="17"/>
  <c r="LB92" i="17"/>
  <c r="LH92" i="17"/>
  <c r="KH92" i="17"/>
  <c r="LE92" i="17"/>
  <c r="KV92" i="17"/>
  <c r="KL92" i="17"/>
  <c r="KS92" i="17"/>
  <c r="LM92" i="17"/>
  <c r="LR92" i="17"/>
  <c r="LA92" i="17"/>
  <c r="LC92" i="17"/>
  <c r="LK92" i="17"/>
  <c r="KK92" i="17"/>
  <c r="LJ92" i="17"/>
  <c r="KQ92" i="17"/>
  <c r="KW92" i="17"/>
  <c r="KZ92" i="17"/>
  <c r="KY92" i="17"/>
  <c r="KP92" i="17"/>
  <c r="KX92" i="17"/>
  <c r="KR92" i="17"/>
  <c r="LD92" i="17"/>
  <c r="KU92" i="17"/>
  <c r="KT92" i="17"/>
  <c r="KJ92" i="17"/>
  <c r="KN92" i="17"/>
  <c r="LO92" i="17"/>
  <c r="KM92" i="17"/>
  <c r="LP92" i="17"/>
  <c r="KO92" i="17"/>
  <c r="LF92" i="17"/>
  <c r="LN92" i="17"/>
  <c r="KG92" i="17"/>
  <c r="KF92" i="17"/>
  <c r="LQ92" i="17"/>
  <c r="KE92" i="17"/>
  <c r="JY92" i="17"/>
  <c r="JZ92" i="17"/>
  <c r="Q91" i="17"/>
  <c r="KA91" i="17"/>
  <c r="KZ91" i="17"/>
  <c r="LO91" i="17"/>
  <c r="LN91" i="17"/>
  <c r="KL91" i="17"/>
  <c r="KI91" i="17"/>
  <c r="KK91" i="17"/>
  <c r="KW91" i="17"/>
  <c r="LI91" i="17"/>
  <c r="KE91" i="17"/>
  <c r="KV91" i="17"/>
  <c r="LE91" i="17"/>
  <c r="KH91" i="17"/>
  <c r="KT91" i="17"/>
  <c r="LG91" i="17"/>
  <c r="LR91" i="17"/>
  <c r="LF91" i="17"/>
  <c r="LL91" i="17"/>
  <c r="LD91" i="17"/>
  <c r="KR91" i="17"/>
  <c r="KN91" i="17"/>
  <c r="LA91" i="17"/>
  <c r="LH91" i="17"/>
  <c r="KP91" i="17"/>
  <c r="LK91" i="17"/>
  <c r="KO91" i="17"/>
  <c r="KX91" i="17"/>
  <c r="LM91" i="17"/>
  <c r="LB91" i="17"/>
  <c r="KY91" i="17"/>
  <c r="KF91" i="17"/>
  <c r="KQ91" i="17"/>
  <c r="KJ91" i="17"/>
  <c r="LP91" i="17"/>
  <c r="LQ91" i="17"/>
  <c r="LC91" i="17"/>
  <c r="LJ91" i="17"/>
  <c r="KS91" i="17"/>
  <c r="KM91" i="17"/>
  <c r="KU91" i="17"/>
  <c r="KG91" i="17"/>
  <c r="KC91" i="17"/>
  <c r="J375" i="1"/>
  <c r="L374" i="1"/>
  <c r="I375" i="1"/>
  <c r="L372" i="1"/>
  <c r="H375" i="1"/>
  <c r="G375" i="1"/>
  <c r="L371" i="1"/>
  <c r="J374" i="1"/>
  <c r="I374" i="1"/>
  <c r="H374" i="1"/>
  <c r="L375" i="1"/>
  <c r="G374" i="1"/>
  <c r="MH87" i="17"/>
  <c r="T91" i="17"/>
  <c r="T92" i="17"/>
  <c r="S92" i="17"/>
  <c r="M92" i="17"/>
  <c r="T94" i="17"/>
  <c r="T93" i="17"/>
  <c r="L94" i="17"/>
  <c r="S94" i="17"/>
  <c r="M94" i="17"/>
  <c r="L91" i="17"/>
  <c r="M91" i="17"/>
  <c r="S91" i="17"/>
  <c r="L93" i="17"/>
  <c r="S93" i="17"/>
  <c r="M93" i="17"/>
  <c r="MG85" i="17"/>
  <c r="MH88" i="17"/>
  <c r="MH86" i="17"/>
  <c r="L70" i="17"/>
  <c r="S70" i="17"/>
  <c r="M70" i="17"/>
  <c r="P71" i="17"/>
  <c r="J71" i="17"/>
  <c r="LZ86" i="17"/>
  <c r="ME86" i="17"/>
  <c r="AD86" i="17"/>
  <c r="ML86" i="17"/>
  <c r="Z86" i="17" s="1"/>
  <c r="MK86" i="17"/>
  <c r="MB86" i="17"/>
  <c r="LY86" i="17"/>
  <c r="MA86" i="17"/>
  <c r="MI86" i="17"/>
  <c r="MC86" i="17"/>
  <c r="Y86" i="17"/>
  <c r="MD86" i="17"/>
  <c r="MJ86" i="17"/>
  <c r="MF86" i="17"/>
  <c r="LY80" i="17"/>
  <c r="J70" i="17"/>
  <c r="P70" i="17"/>
  <c r="LZ87" i="17"/>
  <c r="MF87" i="17"/>
  <c r="ML87" i="17"/>
  <c r="Z87" i="17" s="1"/>
  <c r="MK87" i="17"/>
  <c r="ME87" i="17"/>
  <c r="MB87" i="17"/>
  <c r="LY87" i="17"/>
  <c r="MG87" i="17"/>
  <c r="MI87" i="17"/>
  <c r="MD87" i="17"/>
  <c r="MJ87" i="17"/>
  <c r="Y87" i="17"/>
  <c r="AD87" i="17"/>
  <c r="MA87" i="17"/>
  <c r="MC87" i="17"/>
  <c r="LY78" i="17"/>
  <c r="MK76" i="17"/>
  <c r="AD76" i="17"/>
  <c r="ME76" i="17"/>
  <c r="MI76" i="17"/>
  <c r="MC76" i="17"/>
  <c r="MH76" i="17"/>
  <c r="MJ76" i="17"/>
  <c r="MG76" i="17"/>
  <c r="Y76" i="17"/>
  <c r="MF76" i="17"/>
  <c r="MD76" i="17"/>
  <c r="ML76" i="17"/>
  <c r="Z76" i="17" s="1"/>
  <c r="LZ76" i="17"/>
  <c r="MA76" i="17"/>
  <c r="MB76" i="17"/>
  <c r="LY76" i="17"/>
  <c r="T72" i="17"/>
  <c r="J73" i="17"/>
  <c r="P73" i="17"/>
  <c r="L71" i="17"/>
  <c r="M71" i="17"/>
  <c r="S71" i="17"/>
  <c r="J72" i="17"/>
  <c r="P72" i="17"/>
  <c r="Y77" i="17"/>
  <c r="ME77" i="17"/>
  <c r="ML77" i="17"/>
  <c r="Z77" i="17" s="1"/>
  <c r="AD77" i="17"/>
  <c r="MF77" i="17"/>
  <c r="MK77" i="17"/>
  <c r="MJ77" i="17"/>
  <c r="MB77" i="17"/>
  <c r="MI77" i="17"/>
  <c r="MD77" i="17"/>
  <c r="LZ77" i="17"/>
  <c r="LY77" i="17"/>
  <c r="MG77" i="17"/>
  <c r="MA77" i="17"/>
  <c r="MC77" i="17"/>
  <c r="MH77" i="17"/>
  <c r="MB88" i="17"/>
  <c r="MD88" i="17"/>
  <c r="MJ88" i="17"/>
  <c r="MC88" i="17"/>
  <c r="LY88" i="17"/>
  <c r="Y88" i="17"/>
  <c r="AD88" i="17"/>
  <c r="MI88" i="17"/>
  <c r="LZ88" i="17"/>
  <c r="ME88" i="17"/>
  <c r="ML88" i="17"/>
  <c r="Z88" i="17" s="1"/>
  <c r="MK88" i="17"/>
  <c r="MA88" i="17"/>
  <c r="MF88" i="17"/>
  <c r="MG88" i="17"/>
  <c r="T73" i="17"/>
  <c r="T70" i="17"/>
  <c r="L72" i="17"/>
  <c r="S72" i="17"/>
  <c r="M72" i="17"/>
  <c r="MG86" i="17"/>
  <c r="MI85" i="17"/>
  <c r="MB85" i="17"/>
  <c r="ML85" i="17"/>
  <c r="Z85" i="17" s="1"/>
  <c r="LZ85" i="17"/>
  <c r="MD85" i="17"/>
  <c r="MJ85" i="17"/>
  <c r="MC85" i="17"/>
  <c r="LY85" i="17"/>
  <c r="MA85" i="17"/>
  <c r="ME85" i="17"/>
  <c r="AD85" i="17"/>
  <c r="Y85" i="17"/>
  <c r="MK85" i="17"/>
  <c r="AE85" i="17" s="1"/>
  <c r="MF85" i="17"/>
  <c r="T71" i="17"/>
  <c r="L73" i="17"/>
  <c r="S73" i="17"/>
  <c r="M73" i="17"/>
  <c r="R93" i="17"/>
  <c r="R94" i="17"/>
  <c r="R91" i="17"/>
  <c r="K93" i="17"/>
  <c r="Q93" i="17"/>
  <c r="AE87" i="17"/>
  <c r="K92" i="17"/>
  <c r="MH93" i="17"/>
  <c r="K94" i="17"/>
  <c r="K91" i="17"/>
  <c r="L92" i="17"/>
  <c r="BK6" i="14"/>
  <c r="BI6" i="11"/>
  <c r="BI6" i="10"/>
  <c r="BH6" i="9"/>
  <c r="BH6" i="8"/>
  <c r="BG6" i="5"/>
  <c r="BF6" i="4"/>
  <c r="BK6" i="12"/>
  <c r="BK8" i="12" s="1"/>
  <c r="BK6" i="13"/>
  <c r="BL6" i="18"/>
  <c r="G371" i="1"/>
  <c r="H371" i="1"/>
  <c r="H373" i="1"/>
  <c r="G372" i="1"/>
  <c r="H372" i="1"/>
  <c r="I373" i="1"/>
  <c r="I372" i="1"/>
  <c r="J372" i="1"/>
  <c r="I371" i="1"/>
  <c r="J371" i="1"/>
  <c r="J373" i="1"/>
  <c r="B378" i="1"/>
  <c r="E379" i="1" s="1"/>
  <c r="BF6" i="3"/>
  <c r="BF11" i="3" s="1"/>
  <c r="AB81" i="17" l="1"/>
  <c r="V80" i="26"/>
  <c r="AB80" i="17"/>
  <c r="BF22" i="3"/>
  <c r="AF82" i="17"/>
  <c r="AC82" i="17" s="1"/>
  <c r="AB82" i="17"/>
  <c r="AA82" i="17"/>
  <c r="X82" i="17" s="1"/>
  <c r="U70" i="17"/>
  <c r="V79" i="26"/>
  <c r="AB77" i="17"/>
  <c r="AB76" i="17"/>
  <c r="V81" i="26"/>
  <c r="U73" i="17"/>
  <c r="U72" i="17"/>
  <c r="U71" i="17"/>
  <c r="BK4" i="12"/>
  <c r="BK20" i="12"/>
  <c r="BK17" i="12"/>
  <c r="BK11" i="12"/>
  <c r="BK21" i="12"/>
  <c r="BK14" i="12"/>
  <c r="BK22" i="12"/>
  <c r="BK13" i="12"/>
  <c r="BK19" i="12"/>
  <c r="BK16" i="12"/>
  <c r="BK10" i="12"/>
  <c r="BF4" i="3"/>
  <c r="BF14" i="3"/>
  <c r="BF17" i="3"/>
  <c r="BF8" i="3"/>
  <c r="BF10" i="3"/>
  <c r="D371" i="1" s="1"/>
  <c r="BF13" i="3"/>
  <c r="D372" i="1" s="1"/>
  <c r="BF19" i="3"/>
  <c r="D375" i="1" s="1"/>
  <c r="BF16" i="3"/>
  <c r="D374" i="1" s="1"/>
  <c r="BG4" i="5"/>
  <c r="BG14" i="5"/>
  <c r="BG11" i="5"/>
  <c r="BG19" i="5"/>
  <c r="R383" i="1" s="1"/>
  <c r="BG16" i="5"/>
  <c r="R382" i="1" s="1"/>
  <c r="BG13" i="5"/>
  <c r="R380" i="1" s="1"/>
  <c r="BG10" i="5"/>
  <c r="R379" i="1" s="1"/>
  <c r="BH4" i="8"/>
  <c r="BH14" i="8"/>
  <c r="BH17" i="8"/>
  <c r="BH8" i="8"/>
  <c r="BH11" i="8"/>
  <c r="BH13" i="8"/>
  <c r="BH16" i="8"/>
  <c r="BH19" i="8"/>
  <c r="BH10" i="8"/>
  <c r="BH11" i="9"/>
  <c r="BH14" i="9"/>
  <c r="BH16" i="9"/>
  <c r="BH13" i="9"/>
  <c r="BH19" i="9"/>
  <c r="BH10" i="9"/>
  <c r="BI11" i="10"/>
  <c r="BI14" i="10"/>
  <c r="BI21" i="10"/>
  <c r="BI23" i="10"/>
  <c r="BI16" i="10"/>
  <c r="BI19" i="10"/>
  <c r="BI13" i="10"/>
  <c r="BL4" i="18"/>
  <c r="BL14" i="18"/>
  <c r="BL8" i="18"/>
  <c r="BL11" i="18"/>
  <c r="BL16" i="18"/>
  <c r="BL19" i="18"/>
  <c r="BL13" i="18"/>
  <c r="BL10" i="18"/>
  <c r="BI8" i="11"/>
  <c r="BI10" i="11"/>
  <c r="BF4" i="4"/>
  <c r="BF14" i="4"/>
  <c r="BF17" i="4"/>
  <c r="BF8" i="4"/>
  <c r="BF11" i="4"/>
  <c r="BF19" i="4"/>
  <c r="Q375" i="1" s="1"/>
  <c r="BF16" i="4"/>
  <c r="Q374" i="1" s="1"/>
  <c r="BF10" i="4"/>
  <c r="Q371" i="1" s="1"/>
  <c r="BF13" i="4"/>
  <c r="Q372" i="1" s="1"/>
  <c r="BK8" i="13"/>
  <c r="BK17" i="13"/>
  <c r="BK14" i="13"/>
  <c r="BK11" i="13"/>
  <c r="BK20" i="13"/>
  <c r="BK19" i="13"/>
  <c r="BK22" i="13"/>
  <c r="BK10" i="13"/>
  <c r="BK13" i="13"/>
  <c r="BK16" i="13"/>
  <c r="BK11" i="14"/>
  <c r="BK20" i="14"/>
  <c r="BK14" i="14"/>
  <c r="BK8" i="14"/>
  <c r="BK17" i="14"/>
  <c r="BK19" i="14"/>
  <c r="BK13" i="14"/>
  <c r="BK16" i="14"/>
  <c r="BK22" i="14"/>
  <c r="BK10" i="14"/>
  <c r="BH10" i="10"/>
  <c r="F375" i="1"/>
  <c r="F374" i="1"/>
  <c r="F381" i="1"/>
  <c r="S382" i="1"/>
  <c r="S380" i="1"/>
  <c r="S383" i="1"/>
  <c r="S379" i="1"/>
  <c r="BI4" i="11"/>
  <c r="BK4" i="13"/>
  <c r="F372" i="1"/>
  <c r="F371" i="1"/>
  <c r="S87" i="26"/>
  <c r="T87" i="26"/>
  <c r="J87" i="26"/>
  <c r="N87" i="26"/>
  <c r="P87" i="26"/>
  <c r="U92" i="17"/>
  <c r="AB85" i="17"/>
  <c r="AF81" i="40"/>
  <c r="S81" i="40"/>
  <c r="AB86" i="17"/>
  <c r="AB88" i="17"/>
  <c r="AB87" i="17"/>
  <c r="AF83" i="40"/>
  <c r="AE82" i="40"/>
  <c r="AE84" i="40"/>
  <c r="O87" i="26"/>
  <c r="L87" i="26"/>
  <c r="Q87" i="26"/>
  <c r="M87" i="26"/>
  <c r="K87" i="26"/>
  <c r="N90" i="26"/>
  <c r="Q90" i="26"/>
  <c r="K91" i="26"/>
  <c r="Q91" i="26"/>
  <c r="S69" i="26"/>
  <c r="Q69" i="26"/>
  <c r="S93" i="26"/>
  <c r="Q93" i="26"/>
  <c r="R71" i="26"/>
  <c r="Q71" i="26"/>
  <c r="R92" i="26"/>
  <c r="Q92" i="26"/>
  <c r="J70" i="26"/>
  <c r="Q70" i="26"/>
  <c r="S72" i="26"/>
  <c r="Q72" i="26"/>
  <c r="BK4" i="14"/>
  <c r="BM7" i="18"/>
  <c r="BM2" i="18" s="1"/>
  <c r="BL2" i="18"/>
  <c r="L72" i="26"/>
  <c r="R72" i="26"/>
  <c r="M72" i="26"/>
  <c r="K72" i="26"/>
  <c r="J72" i="26"/>
  <c r="AA78" i="17"/>
  <c r="X78" i="17" s="1"/>
  <c r="AA77" i="17"/>
  <c r="X77" i="17" s="1"/>
  <c r="AA76" i="17"/>
  <c r="X76" i="17" s="1"/>
  <c r="AA80" i="17"/>
  <c r="X80" i="17" s="1"/>
  <c r="L91" i="26"/>
  <c r="K90" i="26"/>
  <c r="M70" i="26"/>
  <c r="K70" i="26"/>
  <c r="S90" i="26"/>
  <c r="M90" i="26"/>
  <c r="S70" i="26"/>
  <c r="J90" i="26"/>
  <c r="R90" i="26"/>
  <c r="L70" i="26"/>
  <c r="R70" i="26"/>
  <c r="S91" i="26"/>
  <c r="R91" i="26"/>
  <c r="J91" i="26"/>
  <c r="N91" i="26"/>
  <c r="M91" i="26"/>
  <c r="R69" i="26"/>
  <c r="M69" i="26"/>
  <c r="L69" i="26"/>
  <c r="K69" i="26"/>
  <c r="J69" i="26"/>
  <c r="M93" i="26"/>
  <c r="N92" i="26"/>
  <c r="L71" i="26"/>
  <c r="S71" i="26"/>
  <c r="J71" i="26"/>
  <c r="K71" i="26"/>
  <c r="M71" i="26"/>
  <c r="N93" i="26"/>
  <c r="R93" i="26"/>
  <c r="L93" i="26"/>
  <c r="K93" i="26"/>
  <c r="J93" i="26"/>
  <c r="V84" i="26"/>
  <c r="M92" i="26"/>
  <c r="L92" i="26"/>
  <c r="K92" i="26"/>
  <c r="J92" i="26"/>
  <c r="S92" i="26"/>
  <c r="V86" i="26"/>
  <c r="V85" i="26"/>
  <c r="BH35" i="9"/>
  <c r="BH4" i="9"/>
  <c r="N69" i="26"/>
  <c r="T69" i="26"/>
  <c r="P69" i="26"/>
  <c r="O69" i="26"/>
  <c r="N71" i="26"/>
  <c r="P71" i="26"/>
  <c r="T71" i="26"/>
  <c r="O71" i="26"/>
  <c r="T90" i="26"/>
  <c r="P90" i="26"/>
  <c r="O90" i="26"/>
  <c r="O70" i="26"/>
  <c r="P70" i="26"/>
  <c r="T70" i="26"/>
  <c r="N70" i="26"/>
  <c r="T91" i="26"/>
  <c r="P91" i="26"/>
  <c r="O91" i="26"/>
  <c r="P72" i="26"/>
  <c r="N72" i="26"/>
  <c r="O72" i="26"/>
  <c r="T72" i="26"/>
  <c r="T93" i="26"/>
  <c r="O93" i="26"/>
  <c r="P93" i="26"/>
  <c r="T92" i="26"/>
  <c r="P92" i="26"/>
  <c r="O92" i="26"/>
  <c r="K379" i="1"/>
  <c r="K383" i="1"/>
  <c r="K380" i="1"/>
  <c r="K382" i="1"/>
  <c r="AF87" i="17"/>
  <c r="AC87" i="17" s="1"/>
  <c r="AA88" i="17"/>
  <c r="X88" i="17" s="1"/>
  <c r="AA87" i="17"/>
  <c r="X87" i="17" s="1"/>
  <c r="AA85" i="17"/>
  <c r="X85" i="17" s="1"/>
  <c r="AA86" i="17"/>
  <c r="X86" i="17" s="1"/>
  <c r="V383" i="1"/>
  <c r="U383" i="1"/>
  <c r="V382" i="1"/>
  <c r="U379" i="1"/>
  <c r="U382" i="1"/>
  <c r="V380" i="1"/>
  <c r="U380" i="1"/>
  <c r="V379" i="1"/>
  <c r="P383" i="1"/>
  <c r="O379" i="1"/>
  <c r="O380" i="1"/>
  <c r="O382" i="1"/>
  <c r="O383" i="1"/>
  <c r="E382" i="1"/>
  <c r="N382" i="1"/>
  <c r="N383" i="1"/>
  <c r="N380" i="1"/>
  <c r="N379" i="1"/>
  <c r="M383" i="1"/>
  <c r="M382" i="1"/>
  <c r="M379" i="1"/>
  <c r="M380" i="1"/>
  <c r="P380" i="1"/>
  <c r="P379" i="1"/>
  <c r="P382" i="1"/>
  <c r="E383" i="1"/>
  <c r="E380" i="1"/>
  <c r="BI4" i="10"/>
  <c r="U91" i="17"/>
  <c r="AF85" i="17"/>
  <c r="AC85" i="17" s="1"/>
  <c r="AE86" i="17"/>
  <c r="AF86" i="17" s="1"/>
  <c r="AC86" i="17" s="1"/>
  <c r="U93" i="17"/>
  <c r="J383" i="1"/>
  <c r="L382" i="1"/>
  <c r="I383" i="1"/>
  <c r="H383" i="1"/>
  <c r="L380" i="1"/>
  <c r="G383" i="1"/>
  <c r="J382" i="1"/>
  <c r="I382" i="1"/>
  <c r="H382" i="1"/>
  <c r="L383" i="1"/>
  <c r="L379" i="1"/>
  <c r="G382" i="1"/>
  <c r="MF91" i="17"/>
  <c r="MH92" i="17"/>
  <c r="MG94" i="17"/>
  <c r="MG93" i="17"/>
  <c r="MH94" i="17"/>
  <c r="MD93" i="17"/>
  <c r="MK93" i="17"/>
  <c r="LY93" i="17"/>
  <c r="ME93" i="17"/>
  <c r="ML93" i="17"/>
  <c r="Z93" i="17" s="1"/>
  <c r="MF93" i="17"/>
  <c r="MC93" i="17"/>
  <c r="MJ93" i="17"/>
  <c r="MB93" i="17"/>
  <c r="MI93" i="17"/>
  <c r="MA93" i="17"/>
  <c r="LZ93" i="17"/>
  <c r="MH91" i="17"/>
  <c r="MJ92" i="17"/>
  <c r="MA92" i="17"/>
  <c r="MB92" i="17"/>
  <c r="ML92" i="17"/>
  <c r="Z92" i="17" s="1"/>
  <c r="MI92" i="17"/>
  <c r="MC92" i="17"/>
  <c r="MD92" i="17"/>
  <c r="LZ92" i="17"/>
  <c r="LY92" i="17"/>
  <c r="ME92" i="17"/>
  <c r="MK92" i="17"/>
  <c r="MF92" i="17"/>
  <c r="MG92" i="17"/>
  <c r="MK94" i="17"/>
  <c r="MI94" i="17"/>
  <c r="MF94" i="17"/>
  <c r="MJ94" i="17"/>
  <c r="MA94" i="17"/>
  <c r="MB94" i="17"/>
  <c r="ML94" i="17"/>
  <c r="Z94" i="17" s="1"/>
  <c r="MD94" i="17"/>
  <c r="LZ94" i="17"/>
  <c r="ME94" i="17"/>
  <c r="MC94" i="17"/>
  <c r="AD94" i="17"/>
  <c r="LY94" i="17"/>
  <c r="LY91" i="17"/>
  <c r="MK91" i="17"/>
  <c r="MB91" i="17"/>
  <c r="MI91" i="17"/>
  <c r="MC91" i="17"/>
  <c r="ME91" i="17"/>
  <c r="ML91" i="17"/>
  <c r="Z91" i="17" s="1"/>
  <c r="MJ91" i="17"/>
  <c r="MA91" i="17"/>
  <c r="MD91" i="17"/>
  <c r="LZ91" i="17"/>
  <c r="MG91" i="17"/>
  <c r="AE88" i="17"/>
  <c r="Y70" i="17"/>
  <c r="MD70" i="17"/>
  <c r="ML70" i="17"/>
  <c r="Z70" i="17" s="1"/>
  <c r="MI70" i="17"/>
  <c r="LZ70" i="17"/>
  <c r="LY70" i="17"/>
  <c r="ME70" i="17"/>
  <c r="MF70" i="17"/>
  <c r="AD70" i="17"/>
  <c r="MA70" i="17"/>
  <c r="MH70" i="17"/>
  <c r="MK70" i="17"/>
  <c r="MB70" i="17"/>
  <c r="MG70" i="17"/>
  <c r="MJ70" i="17"/>
  <c r="MC70" i="17"/>
  <c r="AD72" i="17"/>
  <c r="MJ72" i="17"/>
  <c r="MD72" i="17"/>
  <c r="MK72" i="17"/>
  <c r="ME72" i="17"/>
  <c r="LY72" i="17"/>
  <c r="MF72" i="17"/>
  <c r="Y72" i="17"/>
  <c r="MA72" i="17"/>
  <c r="MG72" i="17"/>
  <c r="MI72" i="17"/>
  <c r="LZ72" i="17"/>
  <c r="MC72" i="17"/>
  <c r="MB72" i="17"/>
  <c r="ML72" i="17"/>
  <c r="Z72" i="17" s="1"/>
  <c r="MH72" i="17"/>
  <c r="LZ71" i="17"/>
  <c r="MG71" i="17"/>
  <c r="MH71" i="17"/>
  <c r="MB71" i="17"/>
  <c r="MF71" i="17"/>
  <c r="ML71" i="17"/>
  <c r="Z71" i="17" s="1"/>
  <c r="MA71" i="17"/>
  <c r="MI71" i="17"/>
  <c r="ME71" i="17"/>
  <c r="MC71" i="17"/>
  <c r="MK71" i="17"/>
  <c r="AE71" i="17" s="1"/>
  <c r="LY71" i="17"/>
  <c r="MJ71" i="17"/>
  <c r="MD71" i="17"/>
  <c r="LY73" i="17"/>
  <c r="MJ73" i="17"/>
  <c r="LZ73" i="17"/>
  <c r="MA73" i="17"/>
  <c r="MG73" i="17"/>
  <c r="MD73" i="17"/>
  <c r="MF73" i="17"/>
  <c r="MK73" i="17"/>
  <c r="ML73" i="17"/>
  <c r="Z73" i="17" s="1"/>
  <c r="MB73" i="17"/>
  <c r="MH73" i="17"/>
  <c r="ME73" i="17"/>
  <c r="MI73" i="17"/>
  <c r="MC73" i="17"/>
  <c r="AF80" i="17"/>
  <c r="AC80" i="17" s="1"/>
  <c r="AE77" i="17"/>
  <c r="AF77" i="17" s="1"/>
  <c r="AC77" i="17" s="1"/>
  <c r="AF78" i="17"/>
  <c r="AC78" i="17" s="1"/>
  <c r="AE76" i="17"/>
  <c r="AF76" i="17" s="1"/>
  <c r="AC76" i="17" s="1"/>
  <c r="AD91" i="17"/>
  <c r="Y91" i="17"/>
  <c r="AD93" i="17"/>
  <c r="Y93" i="17"/>
  <c r="AE92" i="17"/>
  <c r="Y94" i="17"/>
  <c r="AE94" i="17"/>
  <c r="AD92" i="17"/>
  <c r="Y92" i="17"/>
  <c r="AE93" i="17"/>
  <c r="AE91" i="17"/>
  <c r="U94" i="17"/>
  <c r="BL6" i="14"/>
  <c r="BJ6" i="11"/>
  <c r="BJ6" i="10"/>
  <c r="BI6" i="9"/>
  <c r="BI6" i="8"/>
  <c r="BH6" i="5"/>
  <c r="BG6" i="4"/>
  <c r="BL6" i="12"/>
  <c r="BL8" i="12" s="1"/>
  <c r="BL6" i="13"/>
  <c r="BM6" i="18"/>
  <c r="H381" i="1"/>
  <c r="G380" i="1"/>
  <c r="G379" i="1"/>
  <c r="H379" i="1"/>
  <c r="H380" i="1"/>
  <c r="I379" i="1"/>
  <c r="I381" i="1"/>
  <c r="J381" i="1"/>
  <c r="J380" i="1"/>
  <c r="J379" i="1"/>
  <c r="I380" i="1"/>
  <c r="B386" i="1"/>
  <c r="BG6" i="3"/>
  <c r="BG11" i="3" s="1"/>
  <c r="GO19" i="17" l="1"/>
  <c r="GP18" i="17"/>
  <c r="GN20" i="17"/>
  <c r="IW21" i="17"/>
  <c r="GQ18" i="17"/>
  <c r="GP19" i="17"/>
  <c r="GN18" i="17"/>
  <c r="GQ20" i="17"/>
  <c r="GO20" i="17"/>
  <c r="IV21" i="17"/>
  <c r="IU21" i="17"/>
  <c r="GO18" i="17"/>
  <c r="GP20" i="17"/>
  <c r="IX21" i="17"/>
  <c r="GQ19" i="17"/>
  <c r="IX18" i="17"/>
  <c r="IX20" i="17"/>
  <c r="GN19" i="17"/>
  <c r="GN21" i="17"/>
  <c r="GQ21" i="17"/>
  <c r="IX19" i="17"/>
  <c r="GO21" i="17"/>
  <c r="GP21" i="17"/>
  <c r="GK21" i="17"/>
  <c r="IR21" i="17"/>
  <c r="IS21" i="17"/>
  <c r="IT21" i="17"/>
  <c r="GM21" i="17"/>
  <c r="GJ21" i="17"/>
  <c r="GL19" i="17"/>
  <c r="GL18" i="17"/>
  <c r="GJ18" i="17"/>
  <c r="GM18" i="17"/>
  <c r="GJ20" i="17"/>
  <c r="GM19" i="17"/>
  <c r="GL20" i="17"/>
  <c r="GL21" i="17"/>
  <c r="GM20" i="17"/>
  <c r="GK19" i="17"/>
  <c r="GJ19" i="17"/>
  <c r="IQ21" i="17"/>
  <c r="GK18" i="17"/>
  <c r="GK20" i="17"/>
  <c r="BG22" i="3"/>
  <c r="IP21" i="17"/>
  <c r="IP18" i="17"/>
  <c r="GI18" i="17"/>
  <c r="IP19" i="17"/>
  <c r="GI19" i="17"/>
  <c r="GI20" i="17"/>
  <c r="GI21" i="17"/>
  <c r="IP20" i="17"/>
  <c r="IO18" i="17"/>
  <c r="GG18" i="17"/>
  <c r="GF19" i="17"/>
  <c r="GG20" i="17"/>
  <c r="GH19" i="17"/>
  <c r="GG21" i="17"/>
  <c r="GF21" i="17"/>
  <c r="IO20" i="17"/>
  <c r="GH20" i="17"/>
  <c r="GF18" i="17"/>
  <c r="IO21" i="17"/>
  <c r="IN21" i="17"/>
  <c r="GF20" i="17"/>
  <c r="IO19" i="17"/>
  <c r="GH18" i="17"/>
  <c r="GG19" i="17"/>
  <c r="GH21" i="17"/>
  <c r="GC18" i="17"/>
  <c r="IL20" i="17"/>
  <c r="GD19" i="17"/>
  <c r="IJ21" i="17"/>
  <c r="GA20" i="17"/>
  <c r="GA18" i="17"/>
  <c r="GD20" i="17"/>
  <c r="GD18" i="17"/>
  <c r="GA21" i="17"/>
  <c r="GC21" i="17"/>
  <c r="IH21" i="17"/>
  <c r="GE20" i="17"/>
  <c r="GE21" i="17"/>
  <c r="GE19" i="17"/>
  <c r="IL19" i="17"/>
  <c r="IL18" i="17"/>
  <c r="II21" i="17"/>
  <c r="IL21" i="17"/>
  <c r="GB19" i="17"/>
  <c r="GE18" i="17"/>
  <c r="GC20" i="17"/>
  <c r="IK21" i="17"/>
  <c r="GB20" i="17"/>
  <c r="GB18" i="17"/>
  <c r="GA19" i="17"/>
  <c r="GC19" i="17"/>
  <c r="GD21" i="17"/>
  <c r="GB21" i="17"/>
  <c r="BL4" i="12"/>
  <c r="BL21" i="12"/>
  <c r="BL20" i="12"/>
  <c r="BL14" i="12"/>
  <c r="BL17" i="12"/>
  <c r="BL11" i="12"/>
  <c r="BL19" i="12"/>
  <c r="BL16" i="12"/>
  <c r="BL13" i="12"/>
  <c r="BL22" i="12"/>
  <c r="BL10" i="12"/>
  <c r="BL8" i="13"/>
  <c r="BL17" i="13"/>
  <c r="BL14" i="13"/>
  <c r="BL11" i="13"/>
  <c r="BL20" i="13"/>
  <c r="BL19" i="13"/>
  <c r="BL13" i="13"/>
  <c r="BL16" i="13"/>
  <c r="BL10" i="13"/>
  <c r="BL22" i="13"/>
  <c r="BG4" i="4"/>
  <c r="BG11" i="4"/>
  <c r="BG14" i="4"/>
  <c r="BG17" i="4"/>
  <c r="BG8" i="4"/>
  <c r="BG19" i="4"/>
  <c r="Q383" i="1" s="1"/>
  <c r="BG10" i="4"/>
  <c r="Q379" i="1" s="1"/>
  <c r="BG16" i="4"/>
  <c r="Q382" i="1" s="1"/>
  <c r="BG13" i="4"/>
  <c r="Q380" i="1" s="1"/>
  <c r="BH4" i="5"/>
  <c r="BH11" i="5"/>
  <c r="BH14" i="5"/>
  <c r="BH19" i="5"/>
  <c r="R391" i="1" s="1"/>
  <c r="BH16" i="5"/>
  <c r="R390" i="1" s="1"/>
  <c r="BH10" i="5"/>
  <c r="R387" i="1" s="1"/>
  <c r="BH13" i="5"/>
  <c r="R388" i="1" s="1"/>
  <c r="BL11" i="14"/>
  <c r="BL20" i="14"/>
  <c r="BL14" i="14"/>
  <c r="BL8" i="14"/>
  <c r="BL17" i="14"/>
  <c r="BL19" i="14"/>
  <c r="BL13" i="14"/>
  <c r="BL22" i="14"/>
  <c r="BL16" i="14"/>
  <c r="BL10" i="14"/>
  <c r="S387" i="1"/>
  <c r="E387" i="1"/>
  <c r="BI4" i="8"/>
  <c r="BI11" i="8"/>
  <c r="BI14" i="8"/>
  <c r="BI17" i="8"/>
  <c r="BI8" i="8"/>
  <c r="BI16" i="8"/>
  <c r="BI13" i="8"/>
  <c r="BI19" i="8"/>
  <c r="BI10" i="8"/>
  <c r="BI11" i="9"/>
  <c r="BI14" i="9"/>
  <c r="BI16" i="9"/>
  <c r="BI19" i="9"/>
  <c r="BI10" i="9"/>
  <c r="BI13" i="9"/>
  <c r="BG4" i="3"/>
  <c r="BG14" i="3"/>
  <c r="BG17" i="3"/>
  <c r="BG8" i="3"/>
  <c r="BG10" i="3"/>
  <c r="D379" i="1" s="1"/>
  <c r="BG13" i="3"/>
  <c r="D380" i="1" s="1"/>
  <c r="BG19" i="3"/>
  <c r="D383" i="1" s="1"/>
  <c r="BG16" i="3"/>
  <c r="D382" i="1" s="1"/>
  <c r="BJ11" i="10"/>
  <c r="BJ14" i="10"/>
  <c r="BJ21" i="10"/>
  <c r="BJ16" i="10"/>
  <c r="BJ23" i="10"/>
  <c r="BJ19" i="10"/>
  <c r="BJ13" i="10"/>
  <c r="BM14" i="18"/>
  <c r="BM11" i="18"/>
  <c r="BM8" i="18"/>
  <c r="BM16" i="18"/>
  <c r="BM19" i="18"/>
  <c r="BM10" i="18"/>
  <c r="BM13" i="18"/>
  <c r="FZ18" i="17"/>
  <c r="FZ19" i="17"/>
  <c r="FZ21" i="17"/>
  <c r="IG20" i="17"/>
  <c r="FZ20" i="17"/>
  <c r="IG19" i="17"/>
  <c r="IG18" i="17"/>
  <c r="IG21" i="17"/>
  <c r="BJ8" i="11"/>
  <c r="BJ10" i="11"/>
  <c r="BI10" i="10"/>
  <c r="F383" i="1"/>
  <c r="F382" i="1"/>
  <c r="BL4" i="13"/>
  <c r="F389" i="1"/>
  <c r="S388" i="1"/>
  <c r="S390" i="1"/>
  <c r="S391" i="1"/>
  <c r="FU18" i="17"/>
  <c r="IB19" i="17"/>
  <c r="ID18" i="17"/>
  <c r="FV20" i="17"/>
  <c r="IC18" i="17"/>
  <c r="ID20" i="17"/>
  <c r="IF19" i="17"/>
  <c r="FX21" i="17"/>
  <c r="IF21" i="17"/>
  <c r="IE20" i="17"/>
  <c r="ID19" i="17"/>
  <c r="BA21" i="17"/>
  <c r="DI21" i="17" s="1"/>
  <c r="AY21" i="17"/>
  <c r="DG21" i="17" s="1"/>
  <c r="AS21" i="17"/>
  <c r="DA21" i="17" s="1"/>
  <c r="IC21" i="17"/>
  <c r="FY18" i="17"/>
  <c r="Q18" i="17" s="1"/>
  <c r="FV18" i="17"/>
  <c r="BB21" i="17"/>
  <c r="DJ21" i="17" s="1"/>
  <c r="FV19" i="17"/>
  <c r="IE18" i="17"/>
  <c r="FW20" i="17"/>
  <c r="FW19" i="17"/>
  <c r="FU19" i="17"/>
  <c r="IC20" i="17"/>
  <c r="IB18" i="17"/>
  <c r="FY21" i="17"/>
  <c r="FY19" i="17"/>
  <c r="Q19" i="17" s="1"/>
  <c r="FU20" i="17"/>
  <c r="ID21" i="17"/>
  <c r="IE21" i="17"/>
  <c r="AZ21" i="17"/>
  <c r="DH21" i="17" s="1"/>
  <c r="AW21" i="17"/>
  <c r="DE21" i="17" s="1"/>
  <c r="AU21" i="17"/>
  <c r="DC21" i="17" s="1"/>
  <c r="IF18" i="17"/>
  <c r="IF20" i="17"/>
  <c r="BC21" i="17"/>
  <c r="DK21" i="17" s="1"/>
  <c r="FU21" i="17"/>
  <c r="AX21" i="17"/>
  <c r="DF21" i="17" s="1"/>
  <c r="IC19" i="17"/>
  <c r="AT21" i="17"/>
  <c r="DB21" i="17" s="1"/>
  <c r="FX18" i="17"/>
  <c r="IB20" i="17"/>
  <c r="FX20" i="17"/>
  <c r="FV21" i="17"/>
  <c r="FX19" i="17"/>
  <c r="FW18" i="17"/>
  <c r="IE19" i="17"/>
  <c r="IB21" i="17"/>
  <c r="FY20" i="17"/>
  <c r="FW21" i="17"/>
  <c r="AV21" i="17"/>
  <c r="DD21" i="17" s="1"/>
  <c r="BJ4" i="11"/>
  <c r="F379" i="1"/>
  <c r="F380" i="1"/>
  <c r="V87" i="26"/>
  <c r="BL4" i="14"/>
  <c r="FN20" i="17"/>
  <c r="FN21" i="17"/>
  <c r="HX20" i="17"/>
  <c r="HT18" i="17"/>
  <c r="FO18" i="17"/>
  <c r="FP21" i="17"/>
  <c r="FL21" i="17"/>
  <c r="HR18" i="17"/>
  <c r="FM21" i="17"/>
  <c r="HV21" i="17"/>
  <c r="FQ18" i="17"/>
  <c r="FK20" i="17"/>
  <c r="FO19" i="17"/>
  <c r="FR20" i="17"/>
  <c r="FS20" i="17"/>
  <c r="HX19" i="17"/>
  <c r="FO20" i="17"/>
  <c r="FN19" i="17"/>
  <c r="HW20" i="17"/>
  <c r="FK19" i="17"/>
  <c r="HY18" i="17"/>
  <c r="HY19" i="17"/>
  <c r="HS20" i="17"/>
  <c r="FI20" i="17"/>
  <c r="FM19" i="17"/>
  <c r="FJ21" i="17"/>
  <c r="HZ18" i="17"/>
  <c r="HQ21" i="17"/>
  <c r="HV18" i="17"/>
  <c r="HP20" i="17"/>
  <c r="FJ20" i="17"/>
  <c r="IA19" i="17"/>
  <c r="HV19" i="17"/>
  <c r="HW18" i="17"/>
  <c r="FQ21" i="17"/>
  <c r="HQ19" i="17"/>
  <c r="FP20" i="17"/>
  <c r="HP18" i="17"/>
  <c r="HS19" i="17"/>
  <c r="FI19" i="17"/>
  <c r="FS19" i="17"/>
  <c r="FR19" i="17"/>
  <c r="FR21" i="17"/>
  <c r="FT18" i="17"/>
  <c r="HT21" i="17"/>
  <c r="FR18" i="17"/>
  <c r="HR19" i="17"/>
  <c r="FK18" i="17"/>
  <c r="FQ19" i="17"/>
  <c r="FM18" i="17"/>
  <c r="FM20" i="17"/>
  <c r="HZ21" i="17"/>
  <c r="FO21" i="17"/>
  <c r="HS21" i="17"/>
  <c r="FK21" i="17"/>
  <c r="HU21" i="17"/>
  <c r="HR21" i="17"/>
  <c r="HZ20" i="17"/>
  <c r="FL20" i="17"/>
  <c r="IA20" i="17"/>
  <c r="HU20" i="17"/>
  <c r="IA18" i="17"/>
  <c r="HV20" i="17"/>
  <c r="HX21" i="17"/>
  <c r="FT21" i="17"/>
  <c r="HW21" i="17"/>
  <c r="HS18" i="17"/>
  <c r="FS21" i="17"/>
  <c r="HQ20" i="17"/>
  <c r="FT19" i="17"/>
  <c r="FQ20" i="17"/>
  <c r="FL19" i="17"/>
  <c r="FN18" i="17"/>
  <c r="FJ18" i="17"/>
  <c r="HT19" i="17"/>
  <c r="FP18" i="17"/>
  <c r="HQ18" i="17"/>
  <c r="HP21" i="17"/>
  <c r="FL18" i="17"/>
  <c r="IA21" i="17"/>
  <c r="HU18" i="17"/>
  <c r="HY20" i="17"/>
  <c r="HT20" i="17"/>
  <c r="HU19" i="17"/>
  <c r="HP19" i="17"/>
  <c r="HY21" i="17"/>
  <c r="FS18" i="17"/>
  <c r="FJ19" i="17"/>
  <c r="HZ19" i="17"/>
  <c r="FT20" i="17"/>
  <c r="FP19" i="17"/>
  <c r="FI18" i="17"/>
  <c r="HW19" i="17"/>
  <c r="HR20" i="17"/>
  <c r="FI21" i="17"/>
  <c r="HX18" i="17"/>
  <c r="V71" i="26"/>
  <c r="V92" i="26"/>
  <c r="V90" i="26"/>
  <c r="V72" i="26"/>
  <c r="V70" i="26"/>
  <c r="V91" i="26"/>
  <c r="V69" i="26"/>
  <c r="V93" i="26"/>
  <c r="BI35" i="9"/>
  <c r="BI4" i="9"/>
  <c r="K391" i="1"/>
  <c r="K388" i="1"/>
  <c r="K390" i="1"/>
  <c r="K387" i="1"/>
  <c r="BM4" i="18"/>
  <c r="U18" i="40"/>
  <c r="U19" i="40"/>
  <c r="V388" i="1"/>
  <c r="U390" i="1"/>
  <c r="U388" i="1"/>
  <c r="V390" i="1"/>
  <c r="V387" i="1"/>
  <c r="U387" i="1"/>
  <c r="V391" i="1"/>
  <c r="U391" i="1"/>
  <c r="O388" i="1"/>
  <c r="O387" i="1"/>
  <c r="O390" i="1"/>
  <c r="P391" i="1"/>
  <c r="O391" i="1"/>
  <c r="E390" i="1"/>
  <c r="N390" i="1"/>
  <c r="N388" i="1"/>
  <c r="N391" i="1"/>
  <c r="N387" i="1"/>
  <c r="M388" i="1"/>
  <c r="P387" i="1"/>
  <c r="M387" i="1"/>
  <c r="P390" i="1"/>
  <c r="M391" i="1"/>
  <c r="P388" i="1"/>
  <c r="M390" i="1"/>
  <c r="E388" i="1"/>
  <c r="E391" i="1"/>
  <c r="AA72" i="17"/>
  <c r="X72" i="17" s="1"/>
  <c r="BJ4" i="10"/>
  <c r="AA70" i="17"/>
  <c r="X70" i="17" s="1"/>
  <c r="AF88" i="17"/>
  <c r="AC88" i="17" s="1"/>
  <c r="AB70" i="17"/>
  <c r="AB72" i="17"/>
  <c r="AA94" i="17"/>
  <c r="X94" i="17" s="1"/>
  <c r="AB94" i="17"/>
  <c r="AA93" i="17"/>
  <c r="X93" i="17" s="1"/>
  <c r="AB93" i="17"/>
  <c r="AA92" i="17"/>
  <c r="X92" i="17" s="1"/>
  <c r="AB92" i="17"/>
  <c r="AA91" i="17"/>
  <c r="X91" i="17" s="1"/>
  <c r="AB91" i="17"/>
  <c r="J391" i="1"/>
  <c r="L390" i="1"/>
  <c r="I391" i="1"/>
  <c r="H391" i="1"/>
  <c r="L388" i="1"/>
  <c r="G391" i="1"/>
  <c r="J390" i="1"/>
  <c r="I390" i="1"/>
  <c r="H390" i="1"/>
  <c r="L391" i="1"/>
  <c r="L387" i="1"/>
  <c r="G390" i="1"/>
  <c r="AE70" i="17"/>
  <c r="AF70" i="17" s="1"/>
  <c r="AC70" i="17" s="1"/>
  <c r="Y73" i="17"/>
  <c r="AD73" i="17"/>
  <c r="AE73" i="17"/>
  <c r="Y71" i="17"/>
  <c r="AD71" i="17"/>
  <c r="AE72" i="17"/>
  <c r="AF72" i="17" s="1"/>
  <c r="AC72" i="17" s="1"/>
  <c r="AF94" i="17"/>
  <c r="AC94" i="17" s="1"/>
  <c r="AF93" i="17"/>
  <c r="AC93" i="17" s="1"/>
  <c r="AF92" i="17"/>
  <c r="AC92" i="17" s="1"/>
  <c r="AF91" i="17"/>
  <c r="AC91" i="17" s="1"/>
  <c r="BM6" i="14"/>
  <c r="BK6" i="11"/>
  <c r="BK6" i="10"/>
  <c r="BJ6" i="9"/>
  <c r="BJ6" i="8"/>
  <c r="BI6" i="5"/>
  <c r="BH6" i="4"/>
  <c r="BM6" i="12"/>
  <c r="BM6" i="13"/>
  <c r="H389" i="1"/>
  <c r="G388" i="1"/>
  <c r="H388" i="1"/>
  <c r="G387" i="1"/>
  <c r="H387" i="1"/>
  <c r="J388" i="1"/>
  <c r="J387" i="1"/>
  <c r="J389" i="1"/>
  <c r="I389" i="1"/>
  <c r="I388" i="1"/>
  <c r="I387" i="1"/>
  <c r="B394" i="1"/>
  <c r="E395" i="1" s="1"/>
  <c r="BH6" i="3"/>
  <c r="BH11" i="3" s="1"/>
  <c r="NN18" i="17" l="1"/>
  <c r="NN21" i="17"/>
  <c r="NN19" i="17"/>
  <c r="NN20" i="17"/>
  <c r="IX40" i="17"/>
  <c r="GO39" i="17"/>
  <c r="GN42" i="17"/>
  <c r="GQ38" i="17"/>
  <c r="GQ39" i="17"/>
  <c r="GQ41" i="17"/>
  <c r="GP39" i="17"/>
  <c r="GP41" i="17"/>
  <c r="GN39" i="17"/>
  <c r="IX42" i="17"/>
  <c r="GP40" i="17"/>
  <c r="GP42" i="17"/>
  <c r="GN38" i="17"/>
  <c r="GN41" i="17"/>
  <c r="GO38" i="17"/>
  <c r="IX38" i="17"/>
  <c r="GO40" i="17"/>
  <c r="GP38" i="17"/>
  <c r="GO41" i="17"/>
  <c r="GQ40" i="17"/>
  <c r="IX39" i="17"/>
  <c r="IX41" i="17"/>
  <c r="GN40" i="17"/>
  <c r="GQ42" i="17"/>
  <c r="GO42" i="17"/>
  <c r="GQ34" i="17"/>
  <c r="GQ32" i="17"/>
  <c r="GO33" i="17"/>
  <c r="GQ35" i="17"/>
  <c r="GP33" i="17"/>
  <c r="GO34" i="17"/>
  <c r="GO31" i="17"/>
  <c r="IX35" i="17"/>
  <c r="GN31" i="17"/>
  <c r="IX33" i="17"/>
  <c r="IX31" i="17"/>
  <c r="IX32" i="17"/>
  <c r="GP32" i="17"/>
  <c r="GN34" i="17"/>
  <c r="GP31" i="17"/>
  <c r="GQ33" i="17"/>
  <c r="GN33" i="17"/>
  <c r="GP34" i="17"/>
  <c r="GQ31" i="17"/>
  <c r="GO32" i="17"/>
  <c r="IX34" i="17"/>
  <c r="GN32" i="17"/>
  <c r="IX48" i="17"/>
  <c r="GQ46" i="17"/>
  <c r="GN46" i="17"/>
  <c r="GP46" i="17"/>
  <c r="IX46" i="17"/>
  <c r="GO47" i="17"/>
  <c r="GO46" i="17"/>
  <c r="GQ47" i="17"/>
  <c r="GN45" i="17"/>
  <c r="GN49" i="17"/>
  <c r="GP48" i="17"/>
  <c r="GQ48" i="17"/>
  <c r="GO49" i="17"/>
  <c r="IX45" i="17"/>
  <c r="IX49" i="17"/>
  <c r="GQ45" i="17"/>
  <c r="GP49" i="17"/>
  <c r="GN48" i="17"/>
  <c r="GP45" i="17"/>
  <c r="GN47" i="17"/>
  <c r="GQ49" i="17"/>
  <c r="IX47" i="17"/>
  <c r="GP47" i="17"/>
  <c r="GO45" i="17"/>
  <c r="GO48" i="17"/>
  <c r="NM21" i="17"/>
  <c r="NM18" i="17"/>
  <c r="NM20" i="17"/>
  <c r="NM19" i="17"/>
  <c r="NL21" i="17"/>
  <c r="NL18" i="17"/>
  <c r="NL20" i="17"/>
  <c r="NL19" i="17"/>
  <c r="NK21" i="17"/>
  <c r="NK18" i="17"/>
  <c r="NK20" i="17"/>
  <c r="NK19" i="17"/>
  <c r="NJ21" i="17"/>
  <c r="NJ18" i="17"/>
  <c r="NJ20" i="17"/>
  <c r="NJ19" i="17"/>
  <c r="GL41" i="17"/>
  <c r="GL39" i="17"/>
  <c r="GL40" i="17"/>
  <c r="GJ42" i="17"/>
  <c r="GJ38" i="17"/>
  <c r="GK40" i="17"/>
  <c r="GK39" i="17"/>
  <c r="GK38" i="17"/>
  <c r="GM39" i="17"/>
  <c r="GK42" i="17"/>
  <c r="GM40" i="17"/>
  <c r="GL42" i="17"/>
  <c r="GM41" i="17"/>
  <c r="GL38" i="17"/>
  <c r="GJ41" i="17"/>
  <c r="GJ39" i="17"/>
  <c r="GK41" i="17"/>
  <c r="GM42" i="17"/>
  <c r="GM38" i="17"/>
  <c r="GJ40" i="17"/>
  <c r="GM47" i="17"/>
  <c r="GM45" i="17"/>
  <c r="GJ49" i="17"/>
  <c r="GK46" i="17"/>
  <c r="GL49" i="17"/>
  <c r="GK49" i="17"/>
  <c r="GL47" i="17"/>
  <c r="GJ48" i="17"/>
  <c r="GJ46" i="17"/>
  <c r="GK45" i="17"/>
  <c r="GL45" i="17"/>
  <c r="GM49" i="17"/>
  <c r="GJ47" i="17"/>
  <c r="GJ45" i="17"/>
  <c r="GM46" i="17"/>
  <c r="GK48" i="17"/>
  <c r="GL48" i="17"/>
  <c r="GL46" i="17"/>
  <c r="GK47" i="17"/>
  <c r="GM48" i="17"/>
  <c r="BM8" i="12"/>
  <c r="GL34" i="17"/>
  <c r="IR31" i="17"/>
  <c r="GM32" i="17"/>
  <c r="GM33" i="17"/>
  <c r="GL33" i="17"/>
  <c r="GM34" i="17"/>
  <c r="GK31" i="17"/>
  <c r="GL32" i="17"/>
  <c r="GJ33" i="17"/>
  <c r="GL31" i="17"/>
  <c r="GK34" i="17"/>
  <c r="GK32" i="17"/>
  <c r="GJ32" i="17"/>
  <c r="GJ34" i="17"/>
  <c r="GJ31" i="17"/>
  <c r="GK33" i="17"/>
  <c r="IQ31" i="17"/>
  <c r="IT31" i="17"/>
  <c r="GM31" i="17"/>
  <c r="IS31" i="17"/>
  <c r="NI21" i="17"/>
  <c r="BH22" i="3"/>
  <c r="NI18" i="17"/>
  <c r="NI20" i="17"/>
  <c r="NI19" i="17"/>
  <c r="NH18" i="17"/>
  <c r="NH20" i="17"/>
  <c r="NH19" i="17"/>
  <c r="NH21" i="17"/>
  <c r="NG18" i="17"/>
  <c r="NG20" i="17"/>
  <c r="NG19" i="17"/>
  <c r="NG21" i="17"/>
  <c r="NF20" i="17"/>
  <c r="NF19" i="17"/>
  <c r="NF18" i="17"/>
  <c r="NF21" i="17"/>
  <c r="GI34" i="17"/>
  <c r="IP32" i="17"/>
  <c r="IP34" i="17"/>
  <c r="IP33" i="17"/>
  <c r="GI33" i="17"/>
  <c r="IP31" i="17"/>
  <c r="GI32" i="17"/>
  <c r="GI31" i="17"/>
  <c r="GI35" i="17"/>
  <c r="IP35" i="17"/>
  <c r="GI38" i="17"/>
  <c r="IP42" i="17"/>
  <c r="GI41" i="17"/>
  <c r="GI40" i="17"/>
  <c r="GI39" i="17"/>
  <c r="IP40" i="17"/>
  <c r="GI42" i="17"/>
  <c r="IP39" i="17"/>
  <c r="IP38" i="17"/>
  <c r="IP41" i="17"/>
  <c r="IP46" i="17"/>
  <c r="GI47" i="17"/>
  <c r="IP45" i="17"/>
  <c r="IP48" i="17"/>
  <c r="GI46" i="17"/>
  <c r="GI49" i="17"/>
  <c r="IP47" i="17"/>
  <c r="GI48" i="17"/>
  <c r="IP49" i="17"/>
  <c r="GI45" i="17"/>
  <c r="NE20" i="17"/>
  <c r="NE19" i="17"/>
  <c r="NE21" i="17"/>
  <c r="NE18" i="17"/>
  <c r="GH31" i="17"/>
  <c r="IO34" i="17"/>
  <c r="GG32" i="17"/>
  <c r="GH32" i="17"/>
  <c r="IO32" i="17"/>
  <c r="GH33" i="17"/>
  <c r="IO33" i="17"/>
  <c r="GG33" i="17"/>
  <c r="GF34" i="17"/>
  <c r="IO31" i="17"/>
  <c r="IO35" i="17"/>
  <c r="GF33" i="17"/>
  <c r="GH34" i="17"/>
  <c r="GF32" i="17"/>
  <c r="GF31" i="17"/>
  <c r="GH35" i="17"/>
  <c r="GG31" i="17"/>
  <c r="GG34" i="17"/>
  <c r="GH39" i="17"/>
  <c r="IO39" i="17"/>
  <c r="GG39" i="17"/>
  <c r="IO42" i="17"/>
  <c r="GH38" i="17"/>
  <c r="GF40" i="17"/>
  <c r="GH41" i="17"/>
  <c r="GF38" i="17"/>
  <c r="GG38" i="17"/>
  <c r="GF42" i="17"/>
  <c r="GF41" i="17"/>
  <c r="IO38" i="17"/>
  <c r="GH42" i="17"/>
  <c r="IO41" i="17"/>
  <c r="GG40" i="17"/>
  <c r="GG41" i="17"/>
  <c r="GF39" i="17"/>
  <c r="GH40" i="17"/>
  <c r="IO40" i="17"/>
  <c r="GG42" i="17"/>
  <c r="IO46" i="17"/>
  <c r="IO47" i="17"/>
  <c r="GF46" i="17"/>
  <c r="GG45" i="17"/>
  <c r="GF47" i="17"/>
  <c r="IO45" i="17"/>
  <c r="GH48" i="17"/>
  <c r="GF49" i="17"/>
  <c r="GH46" i="17"/>
  <c r="GG48" i="17"/>
  <c r="GF48" i="17"/>
  <c r="GH45" i="17"/>
  <c r="GF45" i="17"/>
  <c r="IO49" i="17"/>
  <c r="GG49" i="17"/>
  <c r="IO48" i="17"/>
  <c r="GG47" i="17"/>
  <c r="GG46" i="17"/>
  <c r="GH49" i="17"/>
  <c r="GH47" i="17"/>
  <c r="ND21" i="17"/>
  <c r="ND18" i="17"/>
  <c r="ND20" i="17"/>
  <c r="ND19" i="17"/>
  <c r="NC21" i="17"/>
  <c r="NC20" i="17"/>
  <c r="NC19" i="17"/>
  <c r="NC18" i="17"/>
  <c r="R21" i="17"/>
  <c r="NB18" i="17"/>
  <c r="NB19" i="17"/>
  <c r="NB21" i="17"/>
  <c r="NB20" i="17"/>
  <c r="GA41" i="17"/>
  <c r="GE41" i="17"/>
  <c r="GE39" i="17"/>
  <c r="IL39" i="17"/>
  <c r="GC41" i="17"/>
  <c r="GE42" i="17"/>
  <c r="GD38" i="17"/>
  <c r="GE40" i="17"/>
  <c r="GB40" i="17"/>
  <c r="IL40" i="17"/>
  <c r="GC40" i="17"/>
  <c r="GD42" i="17"/>
  <c r="GA39" i="17"/>
  <c r="IL41" i="17"/>
  <c r="GB42" i="17"/>
  <c r="GE38" i="17"/>
  <c r="GB38" i="17"/>
  <c r="GA40" i="17"/>
  <c r="IL38" i="17"/>
  <c r="GA38" i="17"/>
  <c r="GC38" i="17"/>
  <c r="GB39" i="17"/>
  <c r="GB41" i="17"/>
  <c r="GC39" i="17"/>
  <c r="GD40" i="17"/>
  <c r="IL42" i="17"/>
  <c r="GC42" i="17"/>
  <c r="GD41" i="17"/>
  <c r="GD39" i="17"/>
  <c r="GA42" i="17"/>
  <c r="GE46" i="17"/>
  <c r="IL48" i="17"/>
  <c r="GE49" i="17"/>
  <c r="IL45" i="17"/>
  <c r="IL47" i="17"/>
  <c r="GE47" i="17"/>
  <c r="IL46" i="17"/>
  <c r="IL49" i="17"/>
  <c r="GE45" i="17"/>
  <c r="GE48" i="17"/>
  <c r="GA32" i="17"/>
  <c r="GC31" i="17"/>
  <c r="IL32" i="17"/>
  <c r="GD34" i="17"/>
  <c r="GC34" i="17"/>
  <c r="GD33" i="17"/>
  <c r="GE33" i="17"/>
  <c r="GC33" i="17"/>
  <c r="IL35" i="17"/>
  <c r="IL33" i="17"/>
  <c r="GB32" i="17"/>
  <c r="GA31" i="17"/>
  <c r="GE31" i="17"/>
  <c r="GC32" i="17"/>
  <c r="GB34" i="17"/>
  <c r="IL31" i="17"/>
  <c r="GB31" i="17"/>
  <c r="GE34" i="17"/>
  <c r="GD32" i="17"/>
  <c r="GA33" i="17"/>
  <c r="GD31" i="17"/>
  <c r="GA34" i="17"/>
  <c r="GB33" i="17"/>
  <c r="GE32" i="17"/>
  <c r="IL34" i="17"/>
  <c r="GE35" i="17"/>
  <c r="U51" i="40" s="1"/>
  <c r="NA19" i="17"/>
  <c r="NA18" i="17"/>
  <c r="NA20" i="17"/>
  <c r="NA21" i="17"/>
  <c r="IK45" i="17"/>
  <c r="IK49" i="17"/>
  <c r="GD47" i="17"/>
  <c r="GC47" i="17"/>
  <c r="GD46" i="17"/>
  <c r="GB49" i="17"/>
  <c r="GA47" i="17"/>
  <c r="GB48" i="17"/>
  <c r="GA45" i="17"/>
  <c r="GD49" i="17"/>
  <c r="GC48" i="17"/>
  <c r="GA48" i="17"/>
  <c r="GD48" i="17"/>
  <c r="GC46" i="17"/>
  <c r="GA46" i="17"/>
  <c r="IK46" i="17"/>
  <c r="GB46" i="17"/>
  <c r="GC45" i="17"/>
  <c r="GA49" i="17"/>
  <c r="GB45" i="17"/>
  <c r="GB47" i="17"/>
  <c r="GC49" i="17"/>
  <c r="IK47" i="17"/>
  <c r="IK48" i="17"/>
  <c r="GD45" i="17"/>
  <c r="MZ19" i="17"/>
  <c r="MZ18" i="17"/>
  <c r="MZ20" i="17"/>
  <c r="MZ21" i="17"/>
  <c r="MY19" i="17"/>
  <c r="MY18" i="17"/>
  <c r="MY20" i="17"/>
  <c r="MY21" i="17"/>
  <c r="MX19" i="17"/>
  <c r="MX18" i="17"/>
  <c r="MX20" i="17"/>
  <c r="MX21" i="17"/>
  <c r="MW18" i="17"/>
  <c r="MW20" i="17"/>
  <c r="MW19" i="17"/>
  <c r="MW21" i="17"/>
  <c r="BM20" i="14"/>
  <c r="BM14" i="14"/>
  <c r="BM8" i="14"/>
  <c r="BM17" i="14"/>
  <c r="BM11" i="14"/>
  <c r="BM19" i="14"/>
  <c r="BM13" i="14"/>
  <c r="BM22" i="14"/>
  <c r="BM16" i="14"/>
  <c r="BM10" i="14"/>
  <c r="IG49" i="17"/>
  <c r="FZ48" i="17"/>
  <c r="IG46" i="17"/>
  <c r="FZ49" i="17"/>
  <c r="FZ45" i="17"/>
  <c r="FZ46" i="17"/>
  <c r="IG45" i="17"/>
  <c r="IG48" i="17"/>
  <c r="FZ47" i="17"/>
  <c r="IG47" i="17"/>
  <c r="BM21" i="12"/>
  <c r="BM20" i="12"/>
  <c r="BM17" i="12"/>
  <c r="BM11" i="12"/>
  <c r="BM14" i="12"/>
  <c r="BM19" i="12"/>
  <c r="BM16" i="12"/>
  <c r="BM22" i="12"/>
  <c r="BM13" i="12"/>
  <c r="BM10" i="12"/>
  <c r="FZ35" i="17"/>
  <c r="IG32" i="17"/>
  <c r="IG34" i="17"/>
  <c r="FZ33" i="17"/>
  <c r="FZ31" i="17"/>
  <c r="IG33" i="17"/>
  <c r="FZ34" i="17"/>
  <c r="IG35" i="17"/>
  <c r="IG31" i="17"/>
  <c r="FZ32" i="17"/>
  <c r="BH4" i="3"/>
  <c r="BH14" i="3"/>
  <c r="BH8" i="3"/>
  <c r="BH17" i="3"/>
  <c r="BH13" i="3"/>
  <c r="BH19" i="3"/>
  <c r="D391" i="1" s="1"/>
  <c r="BH10" i="3"/>
  <c r="D387" i="1" s="1"/>
  <c r="BH16" i="3"/>
  <c r="D390" i="1" s="1"/>
  <c r="BH4" i="4"/>
  <c r="BH11" i="4"/>
  <c r="BH14" i="4"/>
  <c r="BH17" i="4"/>
  <c r="BH8" i="4"/>
  <c r="BH19" i="4"/>
  <c r="Q391" i="1" s="1"/>
  <c r="BH10" i="4"/>
  <c r="Q387" i="1" s="1"/>
  <c r="BH13" i="4"/>
  <c r="Q388" i="1" s="1"/>
  <c r="BH16" i="4"/>
  <c r="Q390" i="1" s="1"/>
  <c r="BI4" i="5"/>
  <c r="BI11" i="5"/>
  <c r="BI14" i="5"/>
  <c r="BI19" i="5"/>
  <c r="R399" i="1" s="1"/>
  <c r="BI16" i="5"/>
  <c r="R398" i="1" s="1"/>
  <c r="BI10" i="5"/>
  <c r="R395" i="1" s="1"/>
  <c r="BI13" i="5"/>
  <c r="R396" i="1" s="1"/>
  <c r="BJ4" i="8"/>
  <c r="BJ8" i="8"/>
  <c r="BJ11" i="8"/>
  <c r="BJ14" i="8"/>
  <c r="BJ17" i="8"/>
  <c r="BJ16" i="8"/>
  <c r="BJ13" i="8"/>
  <c r="BJ19" i="8"/>
  <c r="BJ10" i="8"/>
  <c r="BJ11" i="9"/>
  <c r="BJ14" i="9"/>
  <c r="BJ16" i="9"/>
  <c r="BJ19" i="9"/>
  <c r="BJ13" i="9"/>
  <c r="BJ10" i="9"/>
  <c r="BK11" i="10"/>
  <c r="BK14" i="10"/>
  <c r="BK21" i="10"/>
  <c r="BK16" i="10"/>
  <c r="BK23" i="10"/>
  <c r="BK13" i="10"/>
  <c r="BK19" i="10"/>
  <c r="BM20" i="13"/>
  <c r="BM8" i="13"/>
  <c r="BM17" i="13"/>
  <c r="BM14" i="13"/>
  <c r="BM11" i="13"/>
  <c r="BM19" i="13"/>
  <c r="BM13" i="13"/>
  <c r="BM16" i="13"/>
  <c r="BM22" i="13"/>
  <c r="BM10" i="13"/>
  <c r="IG39" i="17"/>
  <c r="FZ42" i="17"/>
  <c r="IG40" i="17"/>
  <c r="FZ39" i="17"/>
  <c r="IG38" i="17"/>
  <c r="FZ40" i="17"/>
  <c r="FZ41" i="17"/>
  <c r="IG42" i="17"/>
  <c r="FZ38" i="17"/>
  <c r="IG41" i="17"/>
  <c r="BK8" i="11"/>
  <c r="BK10" i="11"/>
  <c r="L20" i="17"/>
  <c r="MV20" i="17"/>
  <c r="MV18" i="17"/>
  <c r="L21" i="17"/>
  <c r="MV21" i="17"/>
  <c r="L19" i="17"/>
  <c r="MV19" i="17"/>
  <c r="R18" i="17"/>
  <c r="U18" i="17" s="1"/>
  <c r="BJ10" i="10"/>
  <c r="R20" i="17"/>
  <c r="L18" i="17"/>
  <c r="F397" i="1"/>
  <c r="S399" i="1"/>
  <c r="S396" i="1"/>
  <c r="S398" i="1"/>
  <c r="K19" i="17"/>
  <c r="K21" i="17"/>
  <c r="Q21" i="17"/>
  <c r="R19" i="17"/>
  <c r="U19" i="17" s="1"/>
  <c r="K20" i="17"/>
  <c r="Q20" i="17"/>
  <c r="K18" i="17"/>
  <c r="FW49" i="17"/>
  <c r="FW47" i="17"/>
  <c r="IC45" i="17"/>
  <c r="IE47" i="17"/>
  <c r="FY45" i="17"/>
  <c r="FV46" i="17"/>
  <c r="FW48" i="17"/>
  <c r="IC48" i="17"/>
  <c r="IE48" i="17"/>
  <c r="ID47" i="17"/>
  <c r="FW45" i="17"/>
  <c r="FX49" i="17"/>
  <c r="IE46" i="17"/>
  <c r="IF47" i="17"/>
  <c r="IF48" i="17"/>
  <c r="IF46" i="17"/>
  <c r="IE49" i="17"/>
  <c r="FY48" i="17"/>
  <c r="FY47" i="17"/>
  <c r="ID45" i="17"/>
  <c r="FV48" i="17"/>
  <c r="FY49" i="17"/>
  <c r="IF45" i="17"/>
  <c r="FV47" i="17"/>
  <c r="ID48" i="17"/>
  <c r="FX45" i="17"/>
  <c r="ID46" i="17"/>
  <c r="FX47" i="17"/>
  <c r="FV49" i="17"/>
  <c r="IC47" i="17"/>
  <c r="FW46" i="17"/>
  <c r="IC46" i="17"/>
  <c r="FX48" i="17"/>
  <c r="IE45" i="17"/>
  <c r="IF49" i="17"/>
  <c r="ID49" i="17"/>
  <c r="FX46" i="17"/>
  <c r="FV45" i="17"/>
  <c r="FY46" i="17"/>
  <c r="IC49" i="17"/>
  <c r="F390" i="1"/>
  <c r="F391" i="1"/>
  <c r="IF42" i="17"/>
  <c r="IF41" i="17"/>
  <c r="FW40" i="17"/>
  <c r="IB38" i="17"/>
  <c r="IB42" i="17"/>
  <c r="FS39" i="17"/>
  <c r="FW39" i="17"/>
  <c r="FU40" i="17"/>
  <c r="HZ40" i="17"/>
  <c r="HZ41" i="17"/>
  <c r="FX42" i="17"/>
  <c r="IA41" i="17"/>
  <c r="IC40" i="17"/>
  <c r="FW38" i="17"/>
  <c r="FX38" i="17"/>
  <c r="HY41" i="17"/>
  <c r="FY38" i="17"/>
  <c r="FV39" i="17"/>
  <c r="ID40" i="17"/>
  <c r="HY39" i="17"/>
  <c r="ID42" i="17"/>
  <c r="FV41" i="17"/>
  <c r="FV40" i="17"/>
  <c r="FU39" i="17"/>
  <c r="FV42" i="17"/>
  <c r="FY42" i="17"/>
  <c r="FS38" i="17"/>
  <c r="IE38" i="17"/>
  <c r="HZ42" i="17"/>
  <c r="IE40" i="17"/>
  <c r="HY38" i="17"/>
  <c r="IE39" i="17"/>
  <c r="IB39" i="17"/>
  <c r="HY42" i="17"/>
  <c r="ID41" i="17"/>
  <c r="ID38" i="17"/>
  <c r="FU42" i="17"/>
  <c r="FR40" i="17"/>
  <c r="FX41" i="17"/>
  <c r="FY41" i="17"/>
  <c r="IE42" i="17"/>
  <c r="HZ39" i="17"/>
  <c r="FX39" i="17"/>
  <c r="FW42" i="17"/>
  <c r="FX40" i="17"/>
  <c r="FY40" i="17"/>
  <c r="IA39" i="17"/>
  <c r="ID39" i="17"/>
  <c r="FT38" i="17"/>
  <c r="IA40" i="17"/>
  <c r="IA42" i="17"/>
  <c r="IF39" i="17"/>
  <c r="FR39" i="17"/>
  <c r="FV38" i="17"/>
  <c r="IA38" i="17"/>
  <c r="FW41" i="17"/>
  <c r="FR42" i="17"/>
  <c r="FS41" i="17"/>
  <c r="FY39" i="17"/>
  <c r="IC41" i="17"/>
  <c r="FR41" i="17"/>
  <c r="FR38" i="17"/>
  <c r="IF38" i="17"/>
  <c r="FT41" i="17"/>
  <c r="FS40" i="17"/>
  <c r="IC42" i="17"/>
  <c r="IC39" i="17"/>
  <c r="FS42" i="17"/>
  <c r="FT39" i="17"/>
  <c r="FU38" i="17"/>
  <c r="IB41" i="17"/>
  <c r="IB40" i="17"/>
  <c r="HY40" i="17"/>
  <c r="FT40" i="17"/>
  <c r="FU41" i="17"/>
  <c r="IF40" i="17"/>
  <c r="IE41" i="17"/>
  <c r="HZ38" i="17"/>
  <c r="FT42" i="17"/>
  <c r="IC38" i="17"/>
  <c r="IF32" i="17"/>
  <c r="FT31" i="17"/>
  <c r="FY35" i="17"/>
  <c r="FR32" i="17"/>
  <c r="IE33" i="17"/>
  <c r="FW33" i="17"/>
  <c r="FT35" i="17"/>
  <c r="FX33" i="17"/>
  <c r="FY32" i="17"/>
  <c r="FX35" i="17"/>
  <c r="IA33" i="17"/>
  <c r="FY33" i="17"/>
  <c r="IE32" i="17"/>
  <c r="FT34" i="17"/>
  <c r="FR35" i="17"/>
  <c r="IB32" i="17"/>
  <c r="IA35" i="17"/>
  <c r="FU32" i="17"/>
  <c r="IC33" i="17"/>
  <c r="FS32" i="17"/>
  <c r="ID34" i="17"/>
  <c r="IF33" i="17"/>
  <c r="FU35" i="17"/>
  <c r="FY31" i="17"/>
  <c r="HY33" i="17"/>
  <c r="FX31" i="17"/>
  <c r="FS35" i="17"/>
  <c r="IC34" i="17"/>
  <c r="IA32" i="17"/>
  <c r="IC31" i="17"/>
  <c r="FV31" i="17"/>
  <c r="FW35" i="17"/>
  <c r="FV33" i="17"/>
  <c r="FX32" i="17"/>
  <c r="IA34" i="17"/>
  <c r="FV32" i="17"/>
  <c r="IB33" i="17"/>
  <c r="HY31" i="17"/>
  <c r="FV35" i="17"/>
  <c r="HZ33" i="17"/>
  <c r="FR31" i="17"/>
  <c r="FU33" i="17"/>
  <c r="FR34" i="17"/>
  <c r="ID35" i="17"/>
  <c r="HY35" i="17"/>
  <c r="ID33" i="17"/>
  <c r="HZ31" i="17"/>
  <c r="FW34" i="17"/>
  <c r="IF35" i="17"/>
  <c r="IF31" i="17"/>
  <c r="HZ34" i="17"/>
  <c r="HY32" i="17"/>
  <c r="FW31" i="17"/>
  <c r="IF34" i="17"/>
  <c r="ID31" i="17"/>
  <c r="IB34" i="17"/>
  <c r="HY34" i="17"/>
  <c r="FU31" i="17"/>
  <c r="HZ32" i="17"/>
  <c r="FS33" i="17"/>
  <c r="FV34" i="17"/>
  <c r="IE31" i="17"/>
  <c r="IC35" i="17"/>
  <c r="IB31" i="17"/>
  <c r="FY34" i="17"/>
  <c r="FT32" i="17"/>
  <c r="FS31" i="17"/>
  <c r="HZ35" i="17"/>
  <c r="IB35" i="17"/>
  <c r="FT33" i="17"/>
  <c r="IA31" i="17"/>
  <c r="FR33" i="17"/>
  <c r="IC32" i="17"/>
  <c r="ID32" i="17"/>
  <c r="FX34" i="17"/>
  <c r="FS34" i="17"/>
  <c r="IE35" i="17"/>
  <c r="IE34" i="17"/>
  <c r="FU34" i="17"/>
  <c r="FW32" i="17"/>
  <c r="BK4" i="11"/>
  <c r="S395" i="1"/>
  <c r="MU21" i="17"/>
  <c r="MU19" i="17"/>
  <c r="MU18" i="17"/>
  <c r="MU20" i="17"/>
  <c r="F388" i="1"/>
  <c r="F387" i="1"/>
  <c r="MT20" i="17"/>
  <c r="MT21" i="17"/>
  <c r="MT19" i="17"/>
  <c r="MT18" i="17"/>
  <c r="U21" i="40"/>
  <c r="AF21" i="40"/>
  <c r="MS20" i="17"/>
  <c r="Q21" i="40"/>
  <c r="AE21" i="40"/>
  <c r="MS21" i="17"/>
  <c r="MS19" i="17"/>
  <c r="MS18" i="17"/>
  <c r="U20" i="40"/>
  <c r="AF20" i="40"/>
  <c r="Q20" i="40"/>
  <c r="AE20" i="40"/>
  <c r="S20" i="40"/>
  <c r="S18" i="40"/>
  <c r="S19" i="40"/>
  <c r="S21" i="40"/>
  <c r="MR18" i="17"/>
  <c r="MR20" i="17"/>
  <c r="MR21" i="17"/>
  <c r="MR19" i="17"/>
  <c r="FT48" i="17"/>
  <c r="IA46" i="17"/>
  <c r="HZ49" i="17"/>
  <c r="HY49" i="17"/>
  <c r="FT49" i="17"/>
  <c r="FT45" i="17"/>
  <c r="FS46" i="17"/>
  <c r="HY46" i="17"/>
  <c r="FR46" i="17"/>
  <c r="IB46" i="17"/>
  <c r="IB45" i="17"/>
  <c r="FU45" i="17"/>
  <c r="IA47" i="17"/>
  <c r="FU49" i="17"/>
  <c r="HZ46" i="17"/>
  <c r="HZ45" i="17"/>
  <c r="FS48" i="17"/>
  <c r="FT46" i="17"/>
  <c r="FU48" i="17"/>
  <c r="IA45" i="17"/>
  <c r="FR49" i="17"/>
  <c r="FR48" i="17"/>
  <c r="HZ48" i="17"/>
  <c r="IB47" i="17"/>
  <c r="IA48" i="17"/>
  <c r="HZ47" i="17"/>
  <c r="FR47" i="17"/>
  <c r="IA49" i="17"/>
  <c r="FU47" i="17"/>
  <c r="FS47" i="17"/>
  <c r="FT47" i="17"/>
  <c r="FS49" i="17"/>
  <c r="FR45" i="17"/>
  <c r="HY48" i="17"/>
  <c r="FS45" i="17"/>
  <c r="HY47" i="17"/>
  <c r="IB48" i="17"/>
  <c r="FU46" i="17"/>
  <c r="IB49" i="17"/>
  <c r="HY45" i="17"/>
  <c r="LJ19" i="17"/>
  <c r="KC19" i="17"/>
  <c r="LM19" i="17"/>
  <c r="KF19" i="17"/>
  <c r="KQ19" i="17"/>
  <c r="KG19" i="17"/>
  <c r="LP19" i="17"/>
  <c r="KA19" i="17"/>
  <c r="KN19" i="17"/>
  <c r="KT19" i="17"/>
  <c r="LQ19" i="17"/>
  <c r="KB19" i="17"/>
  <c r="LD19" i="17"/>
  <c r="LR19" i="17"/>
  <c r="KO19" i="17"/>
  <c r="KV19" i="17"/>
  <c r="KP19" i="17"/>
  <c r="LL19" i="17"/>
  <c r="KS19" i="17"/>
  <c r="KZ19" i="17"/>
  <c r="LO19" i="17"/>
  <c r="KY19" i="17"/>
  <c r="LA19" i="17"/>
  <c r="KX19" i="17"/>
  <c r="LC19" i="17"/>
  <c r="LK19" i="17"/>
  <c r="JY19" i="17"/>
  <c r="JX19" i="17"/>
  <c r="KD19" i="17"/>
  <c r="KI19" i="17"/>
  <c r="LF19" i="17"/>
  <c r="KW19" i="17"/>
  <c r="KJ19" i="17"/>
  <c r="LG19" i="17"/>
  <c r="KL19" i="17"/>
  <c r="LI19" i="17"/>
  <c r="KK19" i="17"/>
  <c r="LH19" i="17"/>
  <c r="LB19" i="17"/>
  <c r="KM19" i="17"/>
  <c r="JZ19" i="17"/>
  <c r="LN19" i="17"/>
  <c r="KH19" i="17"/>
  <c r="KE19" i="17"/>
  <c r="LE19" i="17"/>
  <c r="KU19" i="17"/>
  <c r="KR19" i="17"/>
  <c r="JZ20" i="17"/>
  <c r="KK20" i="17"/>
  <c r="LD20" i="17"/>
  <c r="KA20" i="17"/>
  <c r="KB20" i="17"/>
  <c r="LR20" i="17"/>
  <c r="LL20" i="17"/>
  <c r="LH20" i="17"/>
  <c r="KT20" i="17"/>
  <c r="KF20" i="17"/>
  <c r="KO20" i="17"/>
  <c r="LI20" i="17"/>
  <c r="KH20" i="17"/>
  <c r="LQ20" i="17"/>
  <c r="LA20" i="17"/>
  <c r="KZ20" i="17"/>
  <c r="LK20" i="17"/>
  <c r="KE20" i="17"/>
  <c r="LO20" i="17"/>
  <c r="LP20" i="17"/>
  <c r="LE20" i="17"/>
  <c r="LF20" i="17"/>
  <c r="LN20" i="17"/>
  <c r="KL20" i="17"/>
  <c r="KJ20" i="17"/>
  <c r="KC20" i="17"/>
  <c r="KV20" i="17"/>
  <c r="JY20" i="17"/>
  <c r="KM20" i="17"/>
  <c r="JX20" i="17"/>
  <c r="KI20" i="17"/>
  <c r="KR20" i="17"/>
  <c r="LC20" i="17"/>
  <c r="KD20" i="17"/>
  <c r="KP20" i="17"/>
  <c r="KU20" i="17"/>
  <c r="KS20" i="17"/>
  <c r="LB20" i="17"/>
  <c r="KN20" i="17"/>
  <c r="KX20" i="17"/>
  <c r="KG20" i="17"/>
  <c r="KY20" i="17"/>
  <c r="LG20" i="17"/>
  <c r="LJ20" i="17"/>
  <c r="KW20" i="17"/>
  <c r="LM20" i="17"/>
  <c r="MM19" i="17"/>
  <c r="KL21" i="17"/>
  <c r="LA21" i="17"/>
  <c r="KV21" i="17"/>
  <c r="LL21" i="17"/>
  <c r="LF21" i="17"/>
  <c r="JZ21" i="17"/>
  <c r="KD21" i="17"/>
  <c r="KM21" i="17"/>
  <c r="KN21" i="17"/>
  <c r="KP21" i="17"/>
  <c r="LE21" i="17"/>
  <c r="LK21" i="17"/>
  <c r="LQ21" i="17"/>
  <c r="KF21" i="17"/>
  <c r="KY21" i="17"/>
  <c r="LO21" i="17"/>
  <c r="KS21" i="17"/>
  <c r="KK21" i="17"/>
  <c r="LP21" i="17"/>
  <c r="KA21" i="17"/>
  <c r="LJ21" i="17"/>
  <c r="LG21" i="17"/>
  <c r="KG21" i="17"/>
  <c r="LR21" i="17"/>
  <c r="KH21" i="17"/>
  <c r="KR21" i="17"/>
  <c r="KZ21" i="17"/>
  <c r="JY21" i="17"/>
  <c r="LI21" i="17"/>
  <c r="LH21" i="17"/>
  <c r="KT21" i="17"/>
  <c r="LN21" i="17"/>
  <c r="LD21" i="17"/>
  <c r="KB21" i="17"/>
  <c r="KU21" i="17"/>
  <c r="KI21" i="17"/>
  <c r="KQ21" i="17"/>
  <c r="LB21" i="17"/>
  <c r="LM21" i="17"/>
  <c r="KW21" i="17"/>
  <c r="KO21" i="17"/>
  <c r="JX21" i="17"/>
  <c r="KX21" i="17"/>
  <c r="KE21" i="17"/>
  <c r="KC21" i="17"/>
  <c r="MQ21" i="17"/>
  <c r="MN21" i="17"/>
  <c r="MM21" i="17"/>
  <c r="MP21" i="17"/>
  <c r="KG18" i="17"/>
  <c r="MQ18" i="17"/>
  <c r="MN18" i="17"/>
  <c r="MP18" i="17"/>
  <c r="MM18" i="17"/>
  <c r="MQ20" i="17"/>
  <c r="MN20" i="17"/>
  <c r="MP20" i="17"/>
  <c r="MO19" i="17"/>
  <c r="MQ19" i="17"/>
  <c r="MN19" i="17"/>
  <c r="MP19" i="17"/>
  <c r="JX18" i="17"/>
  <c r="KE18" i="17"/>
  <c r="JY18" i="17"/>
  <c r="KT18" i="17"/>
  <c r="LG18" i="17"/>
  <c r="KY18" i="17"/>
  <c r="LB18" i="17"/>
  <c r="KO18" i="17"/>
  <c r="KS18" i="17"/>
  <c r="LP18" i="17"/>
  <c r="KM18" i="17"/>
  <c r="LJ18" i="17"/>
  <c r="LC18" i="17"/>
  <c r="KF18" i="17"/>
  <c r="LM18" i="17"/>
  <c r="KC18" i="17"/>
  <c r="LN18" i="17"/>
  <c r="LD18" i="17"/>
  <c r="LE18" i="17"/>
  <c r="KN18" i="17"/>
  <c r="KV18" i="17"/>
  <c r="LL18" i="17"/>
  <c r="LI18" i="17"/>
  <c r="KJ18" i="17"/>
  <c r="KA18" i="17"/>
  <c r="KI18" i="17"/>
  <c r="LK18" i="17"/>
  <c r="KB18" i="17"/>
  <c r="LA18" i="17"/>
  <c r="KR18" i="17"/>
  <c r="KZ18" i="17"/>
  <c r="JZ18" i="17"/>
  <c r="KP18" i="17"/>
  <c r="LQ18" i="17"/>
  <c r="LR18" i="17"/>
  <c r="KQ18" i="17"/>
  <c r="LF18" i="17"/>
  <c r="KK18" i="17"/>
  <c r="KL18" i="17"/>
  <c r="LH18" i="17"/>
  <c r="KD18" i="17"/>
  <c r="KU18" i="17"/>
  <c r="KW18" i="17"/>
  <c r="LO18" i="17"/>
  <c r="KH18" i="17"/>
  <c r="MO21" i="17"/>
  <c r="KX18" i="17"/>
  <c r="MO18" i="17"/>
  <c r="MM20" i="17"/>
  <c r="KQ20" i="17"/>
  <c r="MO20" i="17"/>
  <c r="LC21" i="17"/>
  <c r="KJ21" i="17"/>
  <c r="D388" i="1"/>
  <c r="BM4" i="14"/>
  <c r="BC48" i="17"/>
  <c r="FP47" i="17"/>
  <c r="BB48" i="17"/>
  <c r="HU47" i="17"/>
  <c r="HV46" i="17"/>
  <c r="HQ45" i="17"/>
  <c r="HR46" i="17"/>
  <c r="HS49" i="17"/>
  <c r="FQ46" i="17"/>
  <c r="FQ45" i="17"/>
  <c r="HX48" i="17"/>
  <c r="HU48" i="17"/>
  <c r="HS46" i="17"/>
  <c r="HU45" i="17"/>
  <c r="HV48" i="17"/>
  <c r="HX45" i="17"/>
  <c r="HT45" i="17"/>
  <c r="FO45" i="17"/>
  <c r="FQ48" i="17"/>
  <c r="FO48" i="17"/>
  <c r="FP48" i="17"/>
  <c r="HV49" i="17"/>
  <c r="HX46" i="17"/>
  <c r="FQ47" i="17"/>
  <c r="HV45" i="17"/>
  <c r="HU49" i="17"/>
  <c r="HW49" i="17"/>
  <c r="HQ49" i="17"/>
  <c r="HX49" i="17"/>
  <c r="HR49" i="17"/>
  <c r="FP49" i="17"/>
  <c r="HQ46" i="17"/>
  <c r="HW47" i="17"/>
  <c r="FO49" i="17"/>
  <c r="FP45" i="17"/>
  <c r="HT47" i="17"/>
  <c r="HW48" i="17"/>
  <c r="HV47" i="17"/>
  <c r="HT49" i="17"/>
  <c r="HT48" i="17"/>
  <c r="HW46" i="17"/>
  <c r="FO47" i="17"/>
  <c r="HW45" i="17"/>
  <c r="HQ48" i="17"/>
  <c r="HS48" i="17"/>
  <c r="FQ49" i="17"/>
  <c r="HR47" i="17"/>
  <c r="HU46" i="17"/>
  <c r="HR48" i="17"/>
  <c r="HS47" i="17"/>
  <c r="HS45" i="17"/>
  <c r="HT46" i="17"/>
  <c r="HX47" i="17"/>
  <c r="HQ47" i="17"/>
  <c r="FP46" i="17"/>
  <c r="HR45" i="17"/>
  <c r="FO46" i="17"/>
  <c r="K396" i="1"/>
  <c r="K398" i="1"/>
  <c r="K395" i="1"/>
  <c r="K399" i="1"/>
  <c r="BJ35" i="9"/>
  <c r="BJ4" i="9"/>
  <c r="BM4" i="13"/>
  <c r="BC41" i="17"/>
  <c r="BB41" i="17"/>
  <c r="FP40" i="17"/>
  <c r="HX39" i="17"/>
  <c r="FP42" i="17"/>
  <c r="HR41" i="17"/>
  <c r="HS39" i="17"/>
  <c r="HW42" i="17"/>
  <c r="HR40" i="17"/>
  <c r="HT42" i="17"/>
  <c r="HT41" i="17"/>
  <c r="HX40" i="17"/>
  <c r="HU39" i="17"/>
  <c r="HQ40" i="17"/>
  <c r="HV40" i="17"/>
  <c r="HV42" i="17"/>
  <c r="HU38" i="17"/>
  <c r="HT38" i="17"/>
  <c r="HW38" i="17"/>
  <c r="HS42" i="17"/>
  <c r="HT39" i="17"/>
  <c r="HV38" i="17"/>
  <c r="FO40" i="17"/>
  <c r="HR38" i="17"/>
  <c r="HR42" i="17"/>
  <c r="HV39" i="17"/>
  <c r="HS40" i="17"/>
  <c r="HW39" i="17"/>
  <c r="HW41" i="17"/>
  <c r="HX41" i="17"/>
  <c r="HQ39" i="17"/>
  <c r="FO42" i="17"/>
  <c r="FQ39" i="17"/>
  <c r="HX42" i="17"/>
  <c r="FO38" i="17"/>
  <c r="FQ41" i="17"/>
  <c r="HQ42" i="17"/>
  <c r="HS41" i="17"/>
  <c r="FP38" i="17"/>
  <c r="FP41" i="17"/>
  <c r="HQ38" i="17"/>
  <c r="HU42" i="17"/>
  <c r="HU41" i="17"/>
  <c r="HT40" i="17"/>
  <c r="HU40" i="17"/>
  <c r="HR39" i="17"/>
  <c r="FQ42" i="17"/>
  <c r="HW40" i="17"/>
  <c r="FQ40" i="17"/>
  <c r="FP39" i="17"/>
  <c r="HQ41" i="17"/>
  <c r="HV41" i="17"/>
  <c r="HX38" i="17"/>
  <c r="HS38" i="17"/>
  <c r="FO41" i="17"/>
  <c r="FO39" i="17"/>
  <c r="FQ38" i="17"/>
  <c r="T18" i="26"/>
  <c r="T19" i="26"/>
  <c r="T20" i="26"/>
  <c r="BM4" i="12"/>
  <c r="BC35" i="17"/>
  <c r="BB35" i="17"/>
  <c r="FO34" i="17"/>
  <c r="HV35" i="17"/>
  <c r="HT35" i="17"/>
  <c r="HS32" i="17"/>
  <c r="HX35" i="17"/>
  <c r="HR33" i="17"/>
  <c r="HW35" i="17"/>
  <c r="FP33" i="17"/>
  <c r="FP34" i="17"/>
  <c r="HR32" i="17"/>
  <c r="HT33" i="17"/>
  <c r="HS34" i="17"/>
  <c r="HU33" i="17"/>
  <c r="HW34" i="17"/>
  <c r="HW32" i="17"/>
  <c r="HT31" i="17"/>
  <c r="HX33" i="17"/>
  <c r="HQ34" i="17"/>
  <c r="HX32" i="17"/>
  <c r="FP31" i="17"/>
  <c r="HQ32" i="17"/>
  <c r="HT32" i="17"/>
  <c r="FQ31" i="17"/>
  <c r="HQ31" i="17"/>
  <c r="HS33" i="17"/>
  <c r="FQ32" i="17"/>
  <c r="HU35" i="17"/>
  <c r="HV34" i="17"/>
  <c r="HU31" i="17"/>
  <c r="HQ35" i="17"/>
  <c r="HU34" i="17"/>
  <c r="FO31" i="17"/>
  <c r="FO32" i="17"/>
  <c r="HX31" i="17"/>
  <c r="FQ33" i="17"/>
  <c r="HS35" i="17"/>
  <c r="HW33" i="17"/>
  <c r="HX34" i="17"/>
  <c r="FQ35" i="17"/>
  <c r="FO35" i="17"/>
  <c r="HV33" i="17"/>
  <c r="HV32" i="17"/>
  <c r="HT34" i="17"/>
  <c r="FP35" i="17"/>
  <c r="HR31" i="17"/>
  <c r="HV31" i="17"/>
  <c r="HS31" i="17"/>
  <c r="FO33" i="17"/>
  <c r="HQ33" i="17"/>
  <c r="HR35" i="17"/>
  <c r="HR34" i="17"/>
  <c r="HU32" i="17"/>
  <c r="FP32" i="17"/>
  <c r="HW31" i="17"/>
  <c r="FQ34" i="17"/>
  <c r="AA73" i="17"/>
  <c r="X73" i="17" s="1"/>
  <c r="AA71" i="17"/>
  <c r="X71" i="17" s="1"/>
  <c r="V399" i="1"/>
  <c r="U399" i="1"/>
  <c r="V398" i="1"/>
  <c r="U398" i="1"/>
  <c r="V396" i="1"/>
  <c r="U395" i="1"/>
  <c r="U396" i="1"/>
  <c r="V395" i="1"/>
  <c r="O396" i="1"/>
  <c r="O398" i="1"/>
  <c r="O399" i="1"/>
  <c r="P399" i="1"/>
  <c r="O395" i="1"/>
  <c r="E398" i="1"/>
  <c r="N398" i="1"/>
  <c r="N395" i="1"/>
  <c r="N399" i="1"/>
  <c r="N396" i="1"/>
  <c r="M398" i="1"/>
  <c r="M396" i="1"/>
  <c r="M395" i="1"/>
  <c r="P398" i="1"/>
  <c r="M399" i="1"/>
  <c r="P396" i="1"/>
  <c r="P395" i="1"/>
  <c r="E399" i="1"/>
  <c r="E396" i="1"/>
  <c r="BK4" i="10"/>
  <c r="AF71" i="17"/>
  <c r="AC71" i="17" s="1"/>
  <c r="AF73" i="17"/>
  <c r="AC73" i="17" s="1"/>
  <c r="AB73" i="17"/>
  <c r="AB71" i="17"/>
  <c r="J399" i="1"/>
  <c r="L399" i="1"/>
  <c r="I399" i="1"/>
  <c r="H399" i="1"/>
  <c r="L398" i="1"/>
  <c r="G399" i="1"/>
  <c r="L396" i="1"/>
  <c r="J398" i="1"/>
  <c r="I398" i="1"/>
  <c r="H398" i="1"/>
  <c r="L395" i="1"/>
  <c r="G398" i="1"/>
  <c r="FM49" i="17"/>
  <c r="KB49" i="17" s="1"/>
  <c r="FN49" i="17"/>
  <c r="FN47" i="17"/>
  <c r="AX49" i="17"/>
  <c r="DF49" i="17" s="1"/>
  <c r="FM47" i="17"/>
  <c r="KB47" i="17" s="1"/>
  <c r="AW47" i="17"/>
  <c r="DE47" i="17" s="1"/>
  <c r="AX45" i="17"/>
  <c r="DF45" i="17" s="1"/>
  <c r="AW45" i="17"/>
  <c r="DE45" i="17" s="1"/>
  <c r="AW46" i="17"/>
  <c r="AX46" i="17"/>
  <c r="FN46" i="17"/>
  <c r="FN45" i="17"/>
  <c r="AX48" i="17"/>
  <c r="FM48" i="17"/>
  <c r="KB48" i="17" s="1"/>
  <c r="FN48" i="17"/>
  <c r="AW48" i="17"/>
  <c r="FM45" i="17"/>
  <c r="KB45" i="17" s="1"/>
  <c r="AX47" i="17"/>
  <c r="DF47" i="17" s="1"/>
  <c r="AW49" i="17"/>
  <c r="DE49" i="17" s="1"/>
  <c r="FM46" i="17"/>
  <c r="KB46" i="17" s="1"/>
  <c r="AX41" i="17"/>
  <c r="DF41" i="17" s="1"/>
  <c r="FM38" i="17"/>
  <c r="FN42" i="17"/>
  <c r="FN40" i="17"/>
  <c r="AW38" i="17"/>
  <c r="DE38" i="17" s="1"/>
  <c r="AX42" i="17"/>
  <c r="AX40" i="17"/>
  <c r="DF40" i="17" s="1"/>
  <c r="FM42" i="17"/>
  <c r="AW42" i="17"/>
  <c r="FM39" i="17"/>
  <c r="FN41" i="17"/>
  <c r="AW41" i="17"/>
  <c r="DE41" i="17" s="1"/>
  <c r="AX39" i="17"/>
  <c r="DF39" i="17" s="1"/>
  <c r="FM41" i="17"/>
  <c r="FN39" i="17"/>
  <c r="FN38" i="17"/>
  <c r="AX38" i="17"/>
  <c r="DF38" i="17" s="1"/>
  <c r="FM40" i="17"/>
  <c r="AW39" i="17"/>
  <c r="DE39" i="17" s="1"/>
  <c r="AX34" i="17"/>
  <c r="DF34" i="17" s="1"/>
  <c r="FN35" i="17"/>
  <c r="FM31" i="17"/>
  <c r="FM35" i="17"/>
  <c r="AW34" i="17"/>
  <c r="DE34" i="17" s="1"/>
  <c r="AW35" i="17"/>
  <c r="DE35" i="17" s="1"/>
  <c r="FM33" i="17"/>
  <c r="FM34" i="17"/>
  <c r="FN31" i="17"/>
  <c r="AX35" i="17"/>
  <c r="DF35" i="17" s="1"/>
  <c r="FN32" i="17"/>
  <c r="FN34" i="17"/>
  <c r="FN33" i="17"/>
  <c r="FM32" i="17"/>
  <c r="L19" i="26"/>
  <c r="K19" i="26"/>
  <c r="S19" i="26"/>
  <c r="R19" i="26"/>
  <c r="J19" i="26"/>
  <c r="M19" i="26"/>
  <c r="AV47" i="17"/>
  <c r="AV49" i="17"/>
  <c r="DD49" i="17" s="1"/>
  <c r="AT42" i="17"/>
  <c r="AU42" i="17"/>
  <c r="AT41" i="17"/>
  <c r="DB41" i="17" s="1"/>
  <c r="FJ38" i="17"/>
  <c r="FJ41" i="17"/>
  <c r="AU41" i="17"/>
  <c r="DC41" i="17" s="1"/>
  <c r="FK38" i="17"/>
  <c r="AV42" i="17"/>
  <c r="FL40" i="17"/>
  <c r="FL39" i="17"/>
  <c r="FL41" i="17"/>
  <c r="AV41" i="17"/>
  <c r="DD41" i="17" s="1"/>
  <c r="FL38" i="17"/>
  <c r="AT35" i="17"/>
  <c r="DB35" i="17" s="1"/>
  <c r="AT34" i="17"/>
  <c r="DB34" i="17" s="1"/>
  <c r="AS34" i="17"/>
  <c r="DA34" i="17" s="1"/>
  <c r="AU34" i="17"/>
  <c r="DC34" i="17" s="1"/>
  <c r="FJ35" i="17"/>
  <c r="JY35" i="17" s="1"/>
  <c r="FK33" i="17"/>
  <c r="FK31" i="17"/>
  <c r="FL33" i="17"/>
  <c r="AV35" i="17"/>
  <c r="DD35" i="17" s="1"/>
  <c r="AU35" i="17"/>
  <c r="DC35" i="17" s="1"/>
  <c r="AV34" i="17"/>
  <c r="DD34" i="17" s="1"/>
  <c r="FL34" i="17"/>
  <c r="FK32" i="17"/>
  <c r="JZ32" i="17" s="1"/>
  <c r="FL35" i="17"/>
  <c r="FK35" i="17"/>
  <c r="FK34" i="17"/>
  <c r="FL31" i="17"/>
  <c r="FL32" i="17"/>
  <c r="BL6" i="11"/>
  <c r="BL6" i="10"/>
  <c r="BK6" i="9"/>
  <c r="BK6" i="8"/>
  <c r="BJ6" i="5"/>
  <c r="BI6" i="4"/>
  <c r="H397" i="1"/>
  <c r="G396" i="1"/>
  <c r="H396" i="1"/>
  <c r="G395" i="1"/>
  <c r="H395" i="1"/>
  <c r="I397" i="1"/>
  <c r="I396" i="1"/>
  <c r="J395" i="1"/>
  <c r="I395" i="1"/>
  <c r="J397" i="1"/>
  <c r="J396" i="1"/>
  <c r="B402" i="1"/>
  <c r="BI6" i="3"/>
  <c r="BI11" i="3" s="1"/>
  <c r="NN46" i="17" l="1"/>
  <c r="NN31" i="17"/>
  <c r="NN33" i="17"/>
  <c r="NN42" i="17"/>
  <c r="NN40" i="17"/>
  <c r="NN35" i="17"/>
  <c r="NN48" i="17"/>
  <c r="NN38" i="17"/>
  <c r="NN49" i="17"/>
  <c r="NN34" i="17"/>
  <c r="NN41" i="17"/>
  <c r="NN47" i="17"/>
  <c r="NN45" i="17"/>
  <c r="NN32" i="17"/>
  <c r="NN39" i="17"/>
  <c r="NM33" i="17"/>
  <c r="NM46" i="17"/>
  <c r="NM34" i="17"/>
  <c r="NM38" i="17"/>
  <c r="NM31" i="17"/>
  <c r="NM39" i="17"/>
  <c r="NM45" i="17"/>
  <c r="NM35" i="17"/>
  <c r="NM42" i="17"/>
  <c r="NM40" i="17"/>
  <c r="NM47" i="17"/>
  <c r="NM48" i="17"/>
  <c r="NM49" i="17"/>
  <c r="NM32" i="17"/>
  <c r="NM41" i="17"/>
  <c r="NL47" i="17"/>
  <c r="NL40" i="17"/>
  <c r="NL35" i="17"/>
  <c r="NL32" i="17"/>
  <c r="NL48" i="17"/>
  <c r="NL49" i="17"/>
  <c r="NL45" i="17"/>
  <c r="NL41" i="17"/>
  <c r="NL34" i="17"/>
  <c r="NL38" i="17"/>
  <c r="NL42" i="17"/>
  <c r="NL46" i="17"/>
  <c r="NL33" i="17"/>
  <c r="NL31" i="17"/>
  <c r="NL39" i="17"/>
  <c r="NK41" i="17"/>
  <c r="NK34" i="17"/>
  <c r="NK38" i="17"/>
  <c r="NK33" i="17"/>
  <c r="NK31" i="17"/>
  <c r="NK39" i="17"/>
  <c r="NK40" i="17"/>
  <c r="NK47" i="17"/>
  <c r="NK45" i="17"/>
  <c r="NK46" i="17"/>
  <c r="NK35" i="17"/>
  <c r="NK42" i="17"/>
  <c r="NK32" i="17"/>
  <c r="NK48" i="17"/>
  <c r="NK49" i="17"/>
  <c r="NJ39" i="17"/>
  <c r="W56" i="40"/>
  <c r="W58" i="40"/>
  <c r="NJ40" i="17"/>
  <c r="NJ47" i="17"/>
  <c r="NJ45" i="17"/>
  <c r="NJ35" i="17"/>
  <c r="NJ42" i="17"/>
  <c r="NJ31" i="17"/>
  <c r="NJ32" i="17"/>
  <c r="NJ48" i="17"/>
  <c r="NJ41" i="17"/>
  <c r="NJ34" i="17"/>
  <c r="NJ38" i="17"/>
  <c r="NJ49" i="17"/>
  <c r="NJ33" i="17"/>
  <c r="NJ46" i="17"/>
  <c r="NI41" i="17"/>
  <c r="NI32" i="17"/>
  <c r="BI22" i="3"/>
  <c r="NI34" i="17"/>
  <c r="NI38" i="17"/>
  <c r="NI33" i="17"/>
  <c r="NI46" i="17"/>
  <c r="NI31" i="17"/>
  <c r="NI39" i="17"/>
  <c r="NI40" i="17"/>
  <c r="NI47" i="17"/>
  <c r="NI45" i="17"/>
  <c r="NI35" i="17"/>
  <c r="NI42" i="17"/>
  <c r="NI48" i="17"/>
  <c r="NI49" i="17"/>
  <c r="NH42" i="17"/>
  <c r="NH35" i="17"/>
  <c r="NH41" i="17"/>
  <c r="NH48" i="17"/>
  <c r="NH49" i="17"/>
  <c r="NH32" i="17"/>
  <c r="NH34" i="17"/>
  <c r="NH33" i="17"/>
  <c r="NH46" i="17"/>
  <c r="NH38" i="17"/>
  <c r="NH39" i="17"/>
  <c r="NH31" i="17"/>
  <c r="NH40" i="17"/>
  <c r="NH47" i="17"/>
  <c r="NH45" i="17"/>
  <c r="NG38" i="17"/>
  <c r="NG34" i="17"/>
  <c r="NG33" i="17"/>
  <c r="NG46" i="17"/>
  <c r="NG31" i="17"/>
  <c r="NG40" i="17"/>
  <c r="NG47" i="17"/>
  <c r="NG45" i="17"/>
  <c r="NG35" i="17"/>
  <c r="NG42" i="17"/>
  <c r="NG39" i="17"/>
  <c r="NG32" i="17"/>
  <c r="NG48" i="17"/>
  <c r="NG49" i="17"/>
  <c r="NG41" i="17"/>
  <c r="NF33" i="17"/>
  <c r="NF34" i="17"/>
  <c r="NF39" i="17"/>
  <c r="NF35" i="17"/>
  <c r="NF32" i="17"/>
  <c r="NF46" i="17"/>
  <c r="NF41" i="17"/>
  <c r="NF38" i="17"/>
  <c r="NF49" i="17"/>
  <c r="NF48" i="17"/>
  <c r="NF40" i="17"/>
  <c r="NF42" i="17"/>
  <c r="NF45" i="17"/>
  <c r="NF47" i="17"/>
  <c r="NF31" i="17"/>
  <c r="NE49" i="17"/>
  <c r="NE35" i="17"/>
  <c r="NE39" i="17"/>
  <c r="NE31" i="17"/>
  <c r="NE34" i="17"/>
  <c r="W54" i="40"/>
  <c r="NE47" i="17"/>
  <c r="NE41" i="17"/>
  <c r="NE46" i="17"/>
  <c r="NE33" i="17"/>
  <c r="S49" i="40"/>
  <c r="W52" i="40"/>
  <c r="NE48" i="17"/>
  <c r="NE38" i="17"/>
  <c r="NE42" i="17"/>
  <c r="NE45" i="17"/>
  <c r="NE40" i="17"/>
  <c r="NE32" i="17"/>
  <c r="ND41" i="17"/>
  <c r="S47" i="40"/>
  <c r="ND48" i="17"/>
  <c r="ND49" i="17"/>
  <c r="ND32" i="17"/>
  <c r="ND34" i="17"/>
  <c r="ND38" i="17"/>
  <c r="NC33" i="17"/>
  <c r="ND33" i="17"/>
  <c r="S50" i="40"/>
  <c r="ND31" i="17"/>
  <c r="ND39" i="17"/>
  <c r="ND46" i="17"/>
  <c r="ND40" i="17"/>
  <c r="ND35" i="17"/>
  <c r="ND42" i="17"/>
  <c r="ND47" i="17"/>
  <c r="ND45" i="17"/>
  <c r="U21" i="17"/>
  <c r="NC38" i="17"/>
  <c r="NC34" i="17"/>
  <c r="NC31" i="17"/>
  <c r="NC39" i="17"/>
  <c r="NC46" i="17"/>
  <c r="S53" i="40"/>
  <c r="NC40" i="17"/>
  <c r="U52" i="40"/>
  <c r="NC35" i="17"/>
  <c r="NC42" i="17"/>
  <c r="NC47" i="17"/>
  <c r="NC45" i="17"/>
  <c r="NC32" i="17"/>
  <c r="S48" i="40"/>
  <c r="NC41" i="17"/>
  <c r="NC48" i="17"/>
  <c r="NC49" i="17"/>
  <c r="W55" i="40"/>
  <c r="S52" i="40"/>
  <c r="S54" i="40"/>
  <c r="W53" i="40"/>
  <c r="NB39" i="17"/>
  <c r="W48" i="40"/>
  <c r="U48" i="40"/>
  <c r="NB32" i="17"/>
  <c r="NB47" i="17"/>
  <c r="U56" i="40"/>
  <c r="NB38" i="17"/>
  <c r="U54" i="40"/>
  <c r="NB33" i="17"/>
  <c r="NB45" i="17"/>
  <c r="NB42" i="17"/>
  <c r="NB40" i="17"/>
  <c r="NB34" i="17"/>
  <c r="NB35" i="17"/>
  <c r="NB31" i="17"/>
  <c r="NB48" i="17"/>
  <c r="U53" i="40"/>
  <c r="W50" i="40"/>
  <c r="U50" i="40"/>
  <c r="S55" i="40"/>
  <c r="S56" i="40"/>
  <c r="W49" i="40"/>
  <c r="U49" i="40"/>
  <c r="NB49" i="17"/>
  <c r="NB41" i="17"/>
  <c r="S59" i="40"/>
  <c r="W47" i="40"/>
  <c r="U47" i="40"/>
  <c r="NB46" i="17"/>
  <c r="U55" i="40"/>
  <c r="W61" i="40"/>
  <c r="Z20" i="17"/>
  <c r="S58" i="40"/>
  <c r="NA34" i="17"/>
  <c r="U57" i="40"/>
  <c r="S60" i="40"/>
  <c r="R38" i="17"/>
  <c r="U60" i="40"/>
  <c r="W59" i="40"/>
  <c r="S61" i="40"/>
  <c r="NA38" i="17"/>
  <c r="NA33" i="17"/>
  <c r="W60" i="40"/>
  <c r="NA31" i="17"/>
  <c r="NA39" i="17"/>
  <c r="W57" i="40"/>
  <c r="NA49" i="17"/>
  <c r="NA40" i="17"/>
  <c r="U58" i="40"/>
  <c r="S57" i="40"/>
  <c r="NA45" i="17"/>
  <c r="NA35" i="17"/>
  <c r="NA42" i="17"/>
  <c r="NA48" i="17"/>
  <c r="NA46" i="17"/>
  <c r="NA32" i="17"/>
  <c r="NA47" i="17"/>
  <c r="NA41" i="17"/>
  <c r="U61" i="40"/>
  <c r="U59" i="40"/>
  <c r="Y61" i="40"/>
  <c r="Q61" i="40"/>
  <c r="Y60" i="40"/>
  <c r="Q60" i="40"/>
  <c r="Y59" i="40"/>
  <c r="Q59" i="40"/>
  <c r="Y58" i="40"/>
  <c r="Q58" i="40"/>
  <c r="Y57" i="40"/>
  <c r="Q57" i="40"/>
  <c r="Y56" i="40"/>
  <c r="Q56" i="40"/>
  <c r="Y55" i="40"/>
  <c r="Q55" i="40"/>
  <c r="Y54" i="40"/>
  <c r="Q54" i="40"/>
  <c r="Y53" i="40"/>
  <c r="Q53" i="40"/>
  <c r="Y52" i="40"/>
  <c r="Q52" i="40"/>
  <c r="Y50" i="40"/>
  <c r="Q50" i="40"/>
  <c r="Y49" i="40"/>
  <c r="Q49" i="40"/>
  <c r="Y47" i="40"/>
  <c r="Q47" i="40"/>
  <c r="Y48" i="40"/>
  <c r="Q48" i="40"/>
  <c r="MZ35" i="17"/>
  <c r="MZ42" i="17"/>
  <c r="MZ32" i="17"/>
  <c r="MZ47" i="17"/>
  <c r="MZ45" i="17"/>
  <c r="MZ41" i="17"/>
  <c r="MZ48" i="17"/>
  <c r="MZ49" i="17"/>
  <c r="MZ34" i="17"/>
  <c r="MZ38" i="17"/>
  <c r="MZ33" i="17"/>
  <c r="MZ31" i="17"/>
  <c r="MZ39" i="17"/>
  <c r="MZ40" i="17"/>
  <c r="MZ46" i="17"/>
  <c r="U20" i="17"/>
  <c r="MY40" i="17"/>
  <c r="MY32" i="17"/>
  <c r="MY41" i="17"/>
  <c r="MY47" i="17"/>
  <c r="MY45" i="17"/>
  <c r="MY35" i="17"/>
  <c r="MY34" i="17"/>
  <c r="MY38" i="17"/>
  <c r="MY48" i="17"/>
  <c r="MY49" i="17"/>
  <c r="MX42" i="17"/>
  <c r="MY42" i="17"/>
  <c r="MY46" i="17"/>
  <c r="MY33" i="17"/>
  <c r="MY31" i="17"/>
  <c r="MY39" i="17"/>
  <c r="MX41" i="17"/>
  <c r="MX31" i="17"/>
  <c r="MX39" i="17"/>
  <c r="MX40" i="17"/>
  <c r="MX35" i="17"/>
  <c r="MX32" i="17"/>
  <c r="MX46" i="17"/>
  <c r="MX47" i="17"/>
  <c r="MX45" i="17"/>
  <c r="MX34" i="17"/>
  <c r="MX38" i="17"/>
  <c r="MX33" i="17"/>
  <c r="MX48" i="17"/>
  <c r="MX49" i="17"/>
  <c r="MW41" i="17"/>
  <c r="MW47" i="17"/>
  <c r="MW42" i="17"/>
  <c r="MW34" i="17"/>
  <c r="MW48" i="17"/>
  <c r="MW49" i="17"/>
  <c r="MW32" i="17"/>
  <c r="MW45" i="17"/>
  <c r="MW39" i="17"/>
  <c r="MW31" i="17"/>
  <c r="MW38" i="17"/>
  <c r="MW35" i="17"/>
  <c r="MW40" i="17"/>
  <c r="MW33" i="17"/>
  <c r="MW46" i="17"/>
  <c r="BJ4" i="5"/>
  <c r="BJ11" i="5"/>
  <c r="BJ14" i="5"/>
  <c r="BJ16" i="5"/>
  <c r="R406" i="1" s="1"/>
  <c r="BJ19" i="5"/>
  <c r="R407" i="1" s="1"/>
  <c r="BJ10" i="5"/>
  <c r="R403" i="1" s="1"/>
  <c r="BJ13" i="5"/>
  <c r="R404" i="1" s="1"/>
  <c r="BK4" i="8"/>
  <c r="BK11" i="8"/>
  <c r="BK14" i="8"/>
  <c r="BK17" i="8"/>
  <c r="BK8" i="8"/>
  <c r="BK16" i="8"/>
  <c r="BK19" i="8"/>
  <c r="BK13" i="8"/>
  <c r="BK10" i="8"/>
  <c r="BI4" i="3"/>
  <c r="BI17" i="3"/>
  <c r="BI8" i="3"/>
  <c r="BI14" i="3"/>
  <c r="BI13" i="3"/>
  <c r="D396" i="1" s="1"/>
  <c r="BI19" i="3"/>
  <c r="D399" i="1" s="1"/>
  <c r="BI16" i="3"/>
  <c r="D398" i="1" s="1"/>
  <c r="BI10" i="3"/>
  <c r="D395" i="1" s="1"/>
  <c r="S403" i="1"/>
  <c r="E403" i="1"/>
  <c r="BL14" i="10"/>
  <c r="BL21" i="10"/>
  <c r="BL11" i="10"/>
  <c r="BL23" i="10"/>
  <c r="BL16" i="10"/>
  <c r="BL19" i="10"/>
  <c r="BL13" i="10"/>
  <c r="BL8" i="11"/>
  <c r="BL10" i="11"/>
  <c r="BK11" i="9"/>
  <c r="BK14" i="9"/>
  <c r="BK16" i="9"/>
  <c r="BK19" i="9"/>
  <c r="BK13" i="9"/>
  <c r="BK10" i="9"/>
  <c r="BI4" i="4"/>
  <c r="BI11" i="4"/>
  <c r="BI14" i="4"/>
  <c r="BI8" i="4"/>
  <c r="BI17" i="4"/>
  <c r="BI19" i="4"/>
  <c r="Q399" i="1" s="1"/>
  <c r="BI10" i="4"/>
  <c r="Q395" i="1" s="1"/>
  <c r="BI13" i="4"/>
  <c r="Q396" i="1" s="1"/>
  <c r="BI16" i="4"/>
  <c r="Q398" i="1" s="1"/>
  <c r="W51" i="40"/>
  <c r="R31" i="17"/>
  <c r="MV45" i="17"/>
  <c r="Q51" i="40"/>
  <c r="MV40" i="17"/>
  <c r="MV48" i="17"/>
  <c r="MV46" i="17"/>
  <c r="MV47" i="17"/>
  <c r="L31" i="17"/>
  <c r="MV31" i="17"/>
  <c r="MV41" i="17"/>
  <c r="MV35" i="17"/>
  <c r="MV32" i="17"/>
  <c r="MV42" i="17"/>
  <c r="MV39" i="17"/>
  <c r="MV49" i="17"/>
  <c r="L38" i="17"/>
  <c r="MV38" i="17"/>
  <c r="MV34" i="17"/>
  <c r="L33" i="17"/>
  <c r="MV33" i="17"/>
  <c r="BK10" i="10"/>
  <c r="L32" i="17"/>
  <c r="Y21" i="17"/>
  <c r="K33" i="17"/>
  <c r="Q33" i="17"/>
  <c r="BL4" i="11"/>
  <c r="R32" i="17"/>
  <c r="F398" i="1"/>
  <c r="F399" i="1"/>
  <c r="Q32" i="17"/>
  <c r="K32" i="17"/>
  <c r="Q31" i="17"/>
  <c r="K31" i="17"/>
  <c r="R33" i="17"/>
  <c r="AE19" i="17"/>
  <c r="Z21" i="17"/>
  <c r="Y51" i="40"/>
  <c r="S51" i="40"/>
  <c r="F405" i="1"/>
  <c r="S404" i="1"/>
  <c r="S406" i="1"/>
  <c r="S407" i="1"/>
  <c r="MU38" i="17"/>
  <c r="MU35" i="17"/>
  <c r="MU47" i="17"/>
  <c r="MU40" i="17"/>
  <c r="MU39" i="17"/>
  <c r="MU49" i="17"/>
  <c r="MU32" i="17"/>
  <c r="F396" i="1"/>
  <c r="F395" i="1"/>
  <c r="MU31" i="17"/>
  <c r="MU42" i="17"/>
  <c r="MU48" i="17"/>
  <c r="MU33" i="17"/>
  <c r="L44" i="26"/>
  <c r="R45" i="26"/>
  <c r="MU45" i="17"/>
  <c r="Q52" i="26"/>
  <c r="J50" i="26"/>
  <c r="K51" i="26"/>
  <c r="MU46" i="17"/>
  <c r="MU34" i="17"/>
  <c r="R37" i="26"/>
  <c r="M38" i="26"/>
  <c r="MU41" i="17"/>
  <c r="DF46" i="17"/>
  <c r="DF42" i="17"/>
  <c r="DC42" i="17"/>
  <c r="DE48" i="17"/>
  <c r="DD42" i="17"/>
  <c r="MT41" i="17"/>
  <c r="AE18" i="17"/>
  <c r="DK35" i="17"/>
  <c r="DK48" i="17"/>
  <c r="DB42" i="17"/>
  <c r="DE46" i="17"/>
  <c r="MT35" i="17"/>
  <c r="MT38" i="17"/>
  <c r="MT45" i="17"/>
  <c r="MT48" i="17"/>
  <c r="MT34" i="17"/>
  <c r="MT39" i="17"/>
  <c r="DD47" i="17"/>
  <c r="DD48" i="17"/>
  <c r="MT32" i="17"/>
  <c r="MT46" i="17"/>
  <c r="MS31" i="17"/>
  <c r="MT31" i="17"/>
  <c r="MT42" i="17"/>
  <c r="DJ41" i="17"/>
  <c r="DJ42" i="17"/>
  <c r="MT47" i="17"/>
  <c r="MT40" i="17"/>
  <c r="DE42" i="17"/>
  <c r="DF48" i="17"/>
  <c r="MT33" i="17"/>
  <c r="DK41" i="17"/>
  <c r="DK42" i="17"/>
  <c r="DJ48" i="17"/>
  <c r="MT49" i="17"/>
  <c r="DJ35" i="17"/>
  <c r="MS33" i="17"/>
  <c r="MS42" i="17"/>
  <c r="MS47" i="17"/>
  <c r="MS49" i="17"/>
  <c r="MS34" i="17"/>
  <c r="MS48" i="17"/>
  <c r="MS35" i="17"/>
  <c r="MS41" i="17"/>
  <c r="Y20" i="17"/>
  <c r="MS38" i="17"/>
  <c r="MS45" i="17"/>
  <c r="MS32" i="17"/>
  <c r="MS40" i="17"/>
  <c r="MS39" i="17"/>
  <c r="AD20" i="17"/>
  <c r="MS46" i="17"/>
  <c r="Y18" i="17"/>
  <c r="AD19" i="17"/>
  <c r="AE20" i="17"/>
  <c r="MR42" i="17"/>
  <c r="Z18" i="17"/>
  <c r="Q37" i="26"/>
  <c r="Q38" i="26"/>
  <c r="Y19" i="17"/>
  <c r="Z19" i="17"/>
  <c r="AD21" i="17"/>
  <c r="MR49" i="17"/>
  <c r="MR34" i="17"/>
  <c r="MR35" i="17"/>
  <c r="MR41" i="17"/>
  <c r="MR48" i="17"/>
  <c r="MR33" i="17"/>
  <c r="MR47" i="17"/>
  <c r="MR38" i="17"/>
  <c r="AE21" i="17"/>
  <c r="MR32" i="17"/>
  <c r="MR40" i="17"/>
  <c r="MR39" i="17"/>
  <c r="AD18" i="17"/>
  <c r="MR45" i="17"/>
  <c r="MR31" i="17"/>
  <c r="MR46" i="17"/>
  <c r="J43" i="26"/>
  <c r="J17" i="26"/>
  <c r="Q17" i="26"/>
  <c r="Q20" i="26"/>
  <c r="Q18" i="26"/>
  <c r="Q19" i="26"/>
  <c r="MQ34" i="17"/>
  <c r="J20" i="26"/>
  <c r="MQ35" i="17"/>
  <c r="MQ41" i="17"/>
  <c r="MQ38" i="17"/>
  <c r="MQ45" i="17"/>
  <c r="MQ32" i="17"/>
  <c r="MQ40" i="17"/>
  <c r="MQ39" i="17"/>
  <c r="MQ46" i="17"/>
  <c r="MQ31" i="17"/>
  <c r="MQ33" i="17"/>
  <c r="MQ42" i="17"/>
  <c r="MQ47" i="17"/>
  <c r="MQ49" i="17"/>
  <c r="MQ48" i="17"/>
  <c r="K17" i="26"/>
  <c r="S17" i="26"/>
  <c r="L17" i="26"/>
  <c r="R17" i="26"/>
  <c r="M17" i="26"/>
  <c r="K20" i="26"/>
  <c r="L20" i="26"/>
  <c r="R20" i="26"/>
  <c r="S20" i="26"/>
  <c r="M20" i="26"/>
  <c r="MP35" i="17"/>
  <c r="MP42" i="17"/>
  <c r="MP31" i="17"/>
  <c r="MP46" i="17"/>
  <c r="MP33" i="17"/>
  <c r="MP41" i="17"/>
  <c r="MP45" i="17"/>
  <c r="MP38" i="17"/>
  <c r="MP47" i="17"/>
  <c r="MP49" i="17"/>
  <c r="MP40" i="17"/>
  <c r="MP39" i="17"/>
  <c r="MP32" i="17"/>
  <c r="MP34" i="17"/>
  <c r="MP48" i="17"/>
  <c r="M18" i="26"/>
  <c r="K18" i="26"/>
  <c r="S18" i="26"/>
  <c r="L18" i="26"/>
  <c r="J18" i="26"/>
  <c r="R18" i="26"/>
  <c r="MO32" i="17"/>
  <c r="MN32" i="17"/>
  <c r="MN35" i="17"/>
  <c r="MM35" i="17"/>
  <c r="MM42" i="17"/>
  <c r="K404" i="1"/>
  <c r="K406" i="1"/>
  <c r="K403" i="1"/>
  <c r="K407" i="1"/>
  <c r="MN38" i="17"/>
  <c r="MO38" i="17"/>
  <c r="MM32" i="17"/>
  <c r="MM46" i="17"/>
  <c r="MO46" i="17"/>
  <c r="MN46" i="17"/>
  <c r="MN45" i="17"/>
  <c r="MM34" i="17"/>
  <c r="MO34" i="17"/>
  <c r="MN34" i="17"/>
  <c r="MM39" i="17"/>
  <c r="MO39" i="17"/>
  <c r="MN39" i="17"/>
  <c r="MO33" i="17"/>
  <c r="MM33" i="17"/>
  <c r="MN33" i="17"/>
  <c r="Q40" i="26"/>
  <c r="MO40" i="17"/>
  <c r="MM40" i="17"/>
  <c r="MN40" i="17"/>
  <c r="MM47" i="17"/>
  <c r="MO47" i="17"/>
  <c r="MO45" i="17"/>
  <c r="MM45" i="17"/>
  <c r="BK35" i="9"/>
  <c r="BK4" i="9"/>
  <c r="MM31" i="17"/>
  <c r="MO31" i="17"/>
  <c r="MN31" i="17"/>
  <c r="MM38" i="17"/>
  <c r="MN42" i="17"/>
  <c r="MO42" i="17"/>
  <c r="MN47" i="17"/>
  <c r="N18" i="26"/>
  <c r="O20" i="26"/>
  <c r="O19" i="26"/>
  <c r="O18" i="26"/>
  <c r="T17" i="26"/>
  <c r="P18" i="26"/>
  <c r="P20" i="26"/>
  <c r="N19" i="26"/>
  <c r="P17" i="26"/>
  <c r="P19" i="26"/>
  <c r="O17" i="26"/>
  <c r="N17" i="26"/>
  <c r="N20" i="26"/>
  <c r="MO48" i="17"/>
  <c r="MM48" i="17"/>
  <c r="MN48" i="17"/>
  <c r="MN49" i="17"/>
  <c r="MM49" i="17"/>
  <c r="MO49" i="17"/>
  <c r="MO35" i="17"/>
  <c r="MO41" i="17"/>
  <c r="MN41" i="17"/>
  <c r="MM41" i="17"/>
  <c r="V404" i="1"/>
  <c r="U404" i="1"/>
  <c r="U406" i="1"/>
  <c r="V403" i="1"/>
  <c r="V406" i="1"/>
  <c r="U403" i="1"/>
  <c r="V407" i="1"/>
  <c r="U407" i="1"/>
  <c r="O406" i="1"/>
  <c r="O404" i="1"/>
  <c r="P407" i="1"/>
  <c r="O407" i="1"/>
  <c r="O403" i="1"/>
  <c r="E406" i="1"/>
  <c r="N407" i="1"/>
  <c r="N406" i="1"/>
  <c r="N404" i="1"/>
  <c r="N403" i="1"/>
  <c r="M406" i="1"/>
  <c r="M404" i="1"/>
  <c r="M403" i="1"/>
  <c r="M407" i="1"/>
  <c r="P404" i="1"/>
  <c r="P406" i="1"/>
  <c r="P403" i="1"/>
  <c r="E407" i="1"/>
  <c r="E404" i="1"/>
  <c r="BL4" i="10"/>
  <c r="M52" i="26"/>
  <c r="K52" i="26"/>
  <c r="KB40" i="17"/>
  <c r="KB39" i="17"/>
  <c r="LR48" i="17"/>
  <c r="KG48" i="17"/>
  <c r="KY48" i="17"/>
  <c r="LO48" i="17"/>
  <c r="LF48" i="17"/>
  <c r="LM48" i="17"/>
  <c r="LB48" i="17"/>
  <c r="LA48" i="17"/>
  <c r="LD48" i="17"/>
  <c r="KV48" i="17"/>
  <c r="KJ48" i="17"/>
  <c r="LQ48" i="17"/>
  <c r="KP48" i="17"/>
  <c r="KZ48" i="17"/>
  <c r="LH48" i="17"/>
  <c r="KR48" i="17"/>
  <c r="KM48" i="17"/>
  <c r="KS48" i="17"/>
  <c r="LI48" i="17"/>
  <c r="KE48" i="17"/>
  <c r="LG48" i="17"/>
  <c r="KI48" i="17"/>
  <c r="LL48" i="17"/>
  <c r="KK48" i="17"/>
  <c r="LN48" i="17"/>
  <c r="KN48" i="17"/>
  <c r="LE48" i="17"/>
  <c r="KC48" i="17"/>
  <c r="KU48" i="17"/>
  <c r="KO48" i="17"/>
  <c r="LK48" i="17"/>
  <c r="KH48" i="17"/>
  <c r="LC48" i="17"/>
  <c r="KQ48" i="17"/>
  <c r="KT48" i="17"/>
  <c r="KL48" i="17"/>
  <c r="KX48" i="17"/>
  <c r="KF48" i="17"/>
  <c r="LP48" i="17"/>
  <c r="LJ48" i="17"/>
  <c r="KD48" i="17"/>
  <c r="KW48" i="17"/>
  <c r="KX41" i="17"/>
  <c r="KT41" i="17"/>
  <c r="KM41" i="17"/>
  <c r="KE41" i="17"/>
  <c r="KY41" i="17"/>
  <c r="LR41" i="17"/>
  <c r="LG41" i="17"/>
  <c r="KR41" i="17"/>
  <c r="LD41" i="17"/>
  <c r="KW41" i="17"/>
  <c r="KF41" i="17"/>
  <c r="LA41" i="17"/>
  <c r="LJ41" i="17"/>
  <c r="KL41" i="17"/>
  <c r="LO41" i="17"/>
  <c r="KG41" i="17"/>
  <c r="LI41" i="17"/>
  <c r="LC41" i="17"/>
  <c r="KZ41" i="17"/>
  <c r="KI41" i="17"/>
  <c r="KC41" i="17"/>
  <c r="KQ41" i="17"/>
  <c r="KH41" i="17"/>
  <c r="LP41" i="17"/>
  <c r="LN41" i="17"/>
  <c r="KV41" i="17"/>
  <c r="LK41" i="17"/>
  <c r="LQ41" i="17"/>
  <c r="LE41" i="17"/>
  <c r="LM41" i="17"/>
  <c r="LB41" i="17"/>
  <c r="KD41" i="17"/>
  <c r="LF41" i="17"/>
  <c r="KK41" i="17"/>
  <c r="KO41" i="17"/>
  <c r="KN41" i="17"/>
  <c r="KJ41" i="17"/>
  <c r="KP41" i="17"/>
  <c r="KS41" i="17"/>
  <c r="LH41" i="17"/>
  <c r="KU41" i="17"/>
  <c r="LL41" i="17"/>
  <c r="LF39" i="17"/>
  <c r="KL39" i="17"/>
  <c r="KZ39" i="17"/>
  <c r="LH39" i="17"/>
  <c r="KU39" i="17"/>
  <c r="LQ39" i="17"/>
  <c r="KN39" i="17"/>
  <c r="LK39" i="17"/>
  <c r="KM39" i="17"/>
  <c r="KG39" i="17"/>
  <c r="LB39" i="17"/>
  <c r="KH39" i="17"/>
  <c r="KY39" i="17"/>
  <c r="KX39" i="17"/>
  <c r="KJ39" i="17"/>
  <c r="LJ39" i="17"/>
  <c r="KK39" i="17"/>
  <c r="KQ39" i="17"/>
  <c r="KS39" i="17"/>
  <c r="KW39" i="17"/>
  <c r="LP39" i="17"/>
  <c r="KR39" i="17"/>
  <c r="KC39" i="17"/>
  <c r="LN39" i="17"/>
  <c r="LO39" i="17"/>
  <c r="KD39" i="17"/>
  <c r="KF39" i="17"/>
  <c r="KT39" i="17"/>
  <c r="LG39" i="17"/>
  <c r="LE39" i="17"/>
  <c r="LI39" i="17"/>
  <c r="KO39" i="17"/>
  <c r="KP39" i="17"/>
  <c r="KV39" i="17"/>
  <c r="LC39" i="17"/>
  <c r="KI39" i="17"/>
  <c r="LA39" i="17"/>
  <c r="KE39" i="17"/>
  <c r="LM39" i="17"/>
  <c r="LL39" i="17"/>
  <c r="LR39" i="17"/>
  <c r="LD39" i="17"/>
  <c r="KB41" i="17"/>
  <c r="Q41" i="17"/>
  <c r="KA41" i="17"/>
  <c r="Q39" i="17"/>
  <c r="KA39" i="17"/>
  <c r="JY41" i="17"/>
  <c r="JZ41" i="17"/>
  <c r="LG42" i="17"/>
  <c r="LM42" i="17"/>
  <c r="LP42" i="17"/>
  <c r="LL42" i="17"/>
  <c r="LA42" i="17"/>
  <c r="LB42" i="17"/>
  <c r="LN42" i="17"/>
  <c r="LR42" i="17"/>
  <c r="KH42" i="17"/>
  <c r="KN42" i="17"/>
  <c r="LF42" i="17"/>
  <c r="LE42" i="17"/>
  <c r="KK42" i="17"/>
  <c r="KQ42" i="17"/>
  <c r="KM42" i="17"/>
  <c r="KD42" i="17"/>
  <c r="KO42" i="17"/>
  <c r="KV42" i="17"/>
  <c r="KX42" i="17"/>
  <c r="KG42" i="17"/>
  <c r="KF42" i="17"/>
  <c r="KT42" i="17"/>
  <c r="KU42" i="17"/>
  <c r="KC42" i="17"/>
  <c r="LI42" i="17"/>
  <c r="LH42" i="17"/>
  <c r="LC42" i="17"/>
  <c r="KE42" i="17"/>
  <c r="KP42" i="17"/>
  <c r="KR42" i="17"/>
  <c r="KL42" i="17"/>
  <c r="LO42" i="17"/>
  <c r="KI42" i="17"/>
  <c r="KS42" i="17"/>
  <c r="KW42" i="17"/>
  <c r="KY42" i="17"/>
  <c r="LQ42" i="17"/>
  <c r="KZ42" i="17"/>
  <c r="KJ42" i="17"/>
  <c r="LK42" i="17"/>
  <c r="LJ42" i="17"/>
  <c r="LD42" i="17"/>
  <c r="R42" i="17"/>
  <c r="KB42" i="17"/>
  <c r="KO40" i="17"/>
  <c r="KI40" i="17"/>
  <c r="LD40" i="17"/>
  <c r="LG40" i="17"/>
  <c r="KP40" i="17"/>
  <c r="KX40" i="17"/>
  <c r="KL40" i="17"/>
  <c r="LI40" i="17"/>
  <c r="LR40" i="17"/>
  <c r="LL40" i="17"/>
  <c r="KD40" i="17"/>
  <c r="KZ40" i="17"/>
  <c r="KQ40" i="17"/>
  <c r="KG40" i="17"/>
  <c r="KR40" i="17"/>
  <c r="KU40" i="17"/>
  <c r="KS40" i="17"/>
  <c r="KW40" i="17"/>
  <c r="KF40" i="17"/>
  <c r="LH40" i="17"/>
  <c r="KH40" i="17"/>
  <c r="LQ40" i="17"/>
  <c r="KE40" i="17"/>
  <c r="LE40" i="17"/>
  <c r="LM40" i="17"/>
  <c r="LO40" i="17"/>
  <c r="KT40" i="17"/>
  <c r="KV40" i="17"/>
  <c r="LC40" i="17"/>
  <c r="LJ40" i="17"/>
  <c r="LK40" i="17"/>
  <c r="KM40" i="17"/>
  <c r="LB40" i="17"/>
  <c r="KJ40" i="17"/>
  <c r="LF40" i="17"/>
  <c r="LN40" i="17"/>
  <c r="KK40" i="17"/>
  <c r="KC40" i="17"/>
  <c r="LP40" i="17"/>
  <c r="KN40" i="17"/>
  <c r="KY40" i="17"/>
  <c r="LA40" i="17"/>
  <c r="Q40" i="17"/>
  <c r="KA40" i="17"/>
  <c r="Q38" i="17"/>
  <c r="KA38" i="17"/>
  <c r="LJ38" i="17"/>
  <c r="LN38" i="17"/>
  <c r="KR38" i="17"/>
  <c r="KH38" i="17"/>
  <c r="KP38" i="17"/>
  <c r="LG38" i="17"/>
  <c r="KM38" i="17"/>
  <c r="LQ38" i="17"/>
  <c r="LE38" i="17"/>
  <c r="LB38" i="17"/>
  <c r="KX38" i="17"/>
  <c r="KD38" i="17"/>
  <c r="KF38" i="17"/>
  <c r="KC38" i="17"/>
  <c r="LP38" i="17"/>
  <c r="KQ38" i="17"/>
  <c r="LF38" i="17"/>
  <c r="KI38" i="17"/>
  <c r="KN38" i="17"/>
  <c r="KV38" i="17"/>
  <c r="LC38" i="17"/>
  <c r="KL38" i="17"/>
  <c r="KZ38" i="17"/>
  <c r="KO38" i="17"/>
  <c r="LD38" i="17"/>
  <c r="KY38" i="17"/>
  <c r="KG38" i="17"/>
  <c r="KT38" i="17"/>
  <c r="LL38" i="17"/>
  <c r="KJ38" i="17"/>
  <c r="LH38" i="17"/>
  <c r="KS38" i="17"/>
  <c r="KW38" i="17"/>
  <c r="LR38" i="17"/>
  <c r="LA38" i="17"/>
  <c r="KK38" i="17"/>
  <c r="KE38" i="17"/>
  <c r="LM38" i="17"/>
  <c r="JZ38" i="17"/>
  <c r="LO38" i="17"/>
  <c r="LI38" i="17"/>
  <c r="KU38" i="17"/>
  <c r="JY38" i="17"/>
  <c r="LK38" i="17"/>
  <c r="KB38" i="17"/>
  <c r="KE49" i="17"/>
  <c r="LF49" i="17"/>
  <c r="LD49" i="17"/>
  <c r="KF49" i="17"/>
  <c r="LB49" i="17"/>
  <c r="LK49" i="17"/>
  <c r="KI49" i="17"/>
  <c r="KW49" i="17"/>
  <c r="LR49" i="17"/>
  <c r="LC49" i="17"/>
  <c r="KG49" i="17"/>
  <c r="LI49" i="17"/>
  <c r="LA49" i="17"/>
  <c r="KC49" i="17"/>
  <c r="KO49" i="17"/>
  <c r="KU49" i="17"/>
  <c r="KH49" i="17"/>
  <c r="LH49" i="17"/>
  <c r="KZ49" i="17"/>
  <c r="KX49" i="17"/>
  <c r="KS49" i="17"/>
  <c r="KY49" i="17"/>
  <c r="KL49" i="17"/>
  <c r="LN49" i="17"/>
  <c r="KN49" i="17"/>
  <c r="KP49" i="17"/>
  <c r="LL49" i="17"/>
  <c r="LQ49" i="17"/>
  <c r="KT49" i="17"/>
  <c r="LE49" i="17"/>
  <c r="LJ49" i="17"/>
  <c r="KK49" i="17"/>
  <c r="KR49" i="17"/>
  <c r="LP49" i="17"/>
  <c r="LM49" i="17"/>
  <c r="KD49" i="17"/>
  <c r="KJ49" i="17"/>
  <c r="LG49" i="17"/>
  <c r="KM49" i="17"/>
  <c r="LO49" i="17"/>
  <c r="KV49" i="17"/>
  <c r="KQ49" i="17"/>
  <c r="KC47" i="17"/>
  <c r="LR47" i="17"/>
  <c r="KF47" i="17"/>
  <c r="KV47" i="17"/>
  <c r="KS47" i="17"/>
  <c r="LN47" i="17"/>
  <c r="KY47" i="17"/>
  <c r="KR47" i="17"/>
  <c r="KL47" i="17"/>
  <c r="KJ47" i="17"/>
  <c r="KQ47" i="17"/>
  <c r="LO47" i="17"/>
  <c r="LI47" i="17"/>
  <c r="LD47" i="17"/>
  <c r="LJ47" i="17"/>
  <c r="KU47" i="17"/>
  <c r="KM47" i="17"/>
  <c r="KO47" i="17"/>
  <c r="LL47" i="17"/>
  <c r="KP47" i="17"/>
  <c r="LA47" i="17"/>
  <c r="LE47" i="17"/>
  <c r="LC47" i="17"/>
  <c r="KZ47" i="17"/>
  <c r="LG47" i="17"/>
  <c r="LH47" i="17"/>
  <c r="LK47" i="17"/>
  <c r="LF47" i="17"/>
  <c r="KN47" i="17"/>
  <c r="KE47" i="17"/>
  <c r="KD47" i="17"/>
  <c r="LQ47" i="17"/>
  <c r="LB47" i="17"/>
  <c r="KH47" i="17"/>
  <c r="KK47" i="17"/>
  <c r="KG47" i="17"/>
  <c r="LP47" i="17"/>
  <c r="KI47" i="17"/>
  <c r="KW47" i="17"/>
  <c r="KT47" i="17"/>
  <c r="KX47" i="17"/>
  <c r="LM47" i="17"/>
  <c r="LB46" i="17"/>
  <c r="LJ46" i="17"/>
  <c r="LK46" i="17"/>
  <c r="LP46" i="17"/>
  <c r="LM46" i="17"/>
  <c r="KJ46" i="17"/>
  <c r="LG46" i="17"/>
  <c r="KU46" i="17"/>
  <c r="KP46" i="17"/>
  <c r="LE46" i="17"/>
  <c r="LN46" i="17"/>
  <c r="KI46" i="17"/>
  <c r="KG46" i="17"/>
  <c r="LR46" i="17"/>
  <c r="LD46" i="17"/>
  <c r="KN46" i="17"/>
  <c r="KM46" i="17"/>
  <c r="LO46" i="17"/>
  <c r="KY46" i="17"/>
  <c r="LI46" i="17"/>
  <c r="KC46" i="17"/>
  <c r="KE46" i="17"/>
  <c r="KT46" i="17"/>
  <c r="LQ46" i="17"/>
  <c r="KF46" i="17"/>
  <c r="KD46" i="17"/>
  <c r="KZ46" i="17"/>
  <c r="LA46" i="17"/>
  <c r="LH46" i="17"/>
  <c r="KS46" i="17"/>
  <c r="KR46" i="17"/>
  <c r="KX46" i="17"/>
  <c r="KL46" i="17"/>
  <c r="KO46" i="17"/>
  <c r="KW46" i="17"/>
  <c r="LF46" i="17"/>
  <c r="KV46" i="17"/>
  <c r="KQ46" i="17"/>
  <c r="KH46" i="17"/>
  <c r="KK46" i="17"/>
  <c r="LC46" i="17"/>
  <c r="LL46" i="17"/>
  <c r="LP45" i="17"/>
  <c r="KO45" i="17"/>
  <c r="LN45" i="17"/>
  <c r="KX45" i="17"/>
  <c r="KR45" i="17"/>
  <c r="KD45" i="17"/>
  <c r="LH45" i="17"/>
  <c r="KT45" i="17"/>
  <c r="KN45" i="17"/>
  <c r="KF45" i="17"/>
  <c r="LQ45" i="17"/>
  <c r="KV45" i="17"/>
  <c r="KY45" i="17"/>
  <c r="LE45" i="17"/>
  <c r="LF45" i="17"/>
  <c r="KU45" i="17"/>
  <c r="LA45" i="17"/>
  <c r="LB45" i="17"/>
  <c r="KI45" i="17"/>
  <c r="KP45" i="17"/>
  <c r="KE45" i="17"/>
  <c r="KW45" i="17"/>
  <c r="KM45" i="17"/>
  <c r="LL45" i="17"/>
  <c r="KH45" i="17"/>
  <c r="LR45" i="17"/>
  <c r="KG45" i="17"/>
  <c r="KC45" i="17"/>
  <c r="KJ45" i="17"/>
  <c r="KQ45" i="17"/>
  <c r="LG45" i="17"/>
  <c r="LM45" i="17"/>
  <c r="LJ45" i="17"/>
  <c r="LD45" i="17"/>
  <c r="KZ45" i="17"/>
  <c r="KK45" i="17"/>
  <c r="LK45" i="17"/>
  <c r="KL45" i="17"/>
  <c r="LC45" i="17"/>
  <c r="LI45" i="17"/>
  <c r="KS45" i="17"/>
  <c r="LO45" i="17"/>
  <c r="KA31" i="17"/>
  <c r="KB32" i="17"/>
  <c r="R34" i="17"/>
  <c r="JZ34" i="17"/>
  <c r="KM31" i="17"/>
  <c r="LC31" i="17"/>
  <c r="KJ31" i="17"/>
  <c r="LK31" i="17"/>
  <c r="KV31" i="17"/>
  <c r="KI31" i="17"/>
  <c r="KZ31" i="17"/>
  <c r="KK31" i="17"/>
  <c r="KQ31" i="17"/>
  <c r="LG31" i="17"/>
  <c r="LB31" i="17"/>
  <c r="LJ31" i="17"/>
  <c r="LE31" i="17"/>
  <c r="LH31" i="17"/>
  <c r="KS31" i="17"/>
  <c r="KW31" i="17"/>
  <c r="LR31" i="17"/>
  <c r="LD31" i="17"/>
  <c r="KY31" i="17"/>
  <c r="LA31" i="17"/>
  <c r="KL31" i="17"/>
  <c r="LQ31" i="17"/>
  <c r="KC31" i="17"/>
  <c r="LM31" i="17"/>
  <c r="KT31" i="17"/>
  <c r="LP31" i="17"/>
  <c r="KP31" i="17"/>
  <c r="KH31" i="17"/>
  <c r="KX31" i="17"/>
  <c r="KR31" i="17"/>
  <c r="LN31" i="17"/>
  <c r="KU31" i="17"/>
  <c r="KO31" i="17"/>
  <c r="LI31" i="17"/>
  <c r="KD31" i="17"/>
  <c r="LF31" i="17"/>
  <c r="LO31" i="17"/>
  <c r="KF31" i="17"/>
  <c r="LL31" i="17"/>
  <c r="KG31" i="17"/>
  <c r="KE31" i="17"/>
  <c r="KN31" i="17"/>
  <c r="R35" i="17"/>
  <c r="JZ35" i="17"/>
  <c r="KA33" i="17"/>
  <c r="LC35" i="17"/>
  <c r="KC35" i="17"/>
  <c r="LP35" i="17"/>
  <c r="KL35" i="17"/>
  <c r="KQ35" i="17"/>
  <c r="KT35" i="17"/>
  <c r="KM35" i="17"/>
  <c r="LD35" i="17"/>
  <c r="LI35" i="17"/>
  <c r="LA35" i="17"/>
  <c r="KY35" i="17"/>
  <c r="KE35" i="17"/>
  <c r="KU35" i="17"/>
  <c r="LJ35" i="17"/>
  <c r="KN35" i="17"/>
  <c r="KS35" i="17"/>
  <c r="KX35" i="17"/>
  <c r="KV35" i="17"/>
  <c r="KZ35" i="17"/>
  <c r="KF35" i="17"/>
  <c r="KD35" i="17"/>
  <c r="LF35" i="17"/>
  <c r="KG35" i="17"/>
  <c r="KJ35" i="17"/>
  <c r="LL35" i="17"/>
  <c r="KP35" i="17"/>
  <c r="KR35" i="17"/>
  <c r="KW35" i="17"/>
  <c r="LG35" i="17"/>
  <c r="LQ35" i="17"/>
  <c r="KI35" i="17"/>
  <c r="KO35" i="17"/>
  <c r="KH35" i="17"/>
  <c r="LO35" i="17"/>
  <c r="LN35" i="17"/>
  <c r="LE35" i="17"/>
  <c r="LR35" i="17"/>
  <c r="KK35" i="17"/>
  <c r="LB35" i="17"/>
  <c r="LH35" i="17"/>
  <c r="LM35" i="17"/>
  <c r="LK35" i="17"/>
  <c r="KZ33" i="17"/>
  <c r="KC33" i="17"/>
  <c r="LC33" i="17"/>
  <c r="KX33" i="17"/>
  <c r="LO33" i="17"/>
  <c r="KH33" i="17"/>
  <c r="KN33" i="17"/>
  <c r="LF33" i="17"/>
  <c r="KE33" i="17"/>
  <c r="LL33" i="17"/>
  <c r="KD33" i="17"/>
  <c r="KV33" i="17"/>
  <c r="KI33" i="17"/>
  <c r="KY33" i="17"/>
  <c r="LG33" i="17"/>
  <c r="LM33" i="17"/>
  <c r="KS33" i="17"/>
  <c r="KP33" i="17"/>
  <c r="KQ33" i="17"/>
  <c r="KL33" i="17"/>
  <c r="LH33" i="17"/>
  <c r="KM33" i="17"/>
  <c r="LP33" i="17"/>
  <c r="LA33" i="17"/>
  <c r="LR33" i="17"/>
  <c r="LK33" i="17"/>
  <c r="KW33" i="17"/>
  <c r="LI33" i="17"/>
  <c r="LJ33" i="17"/>
  <c r="LN33" i="17"/>
  <c r="KT33" i="17"/>
  <c r="KG33" i="17"/>
  <c r="KK33" i="17"/>
  <c r="KU33" i="17"/>
  <c r="KO33" i="17"/>
  <c r="LD33" i="17"/>
  <c r="KJ33" i="17"/>
  <c r="LB33" i="17"/>
  <c r="KR33" i="17"/>
  <c r="LQ33" i="17"/>
  <c r="LE33" i="17"/>
  <c r="KF33" i="17"/>
  <c r="KB34" i="17"/>
  <c r="KB35" i="17"/>
  <c r="JZ31" i="17"/>
  <c r="KQ34" i="17"/>
  <c r="LF34" i="17"/>
  <c r="KH34" i="17"/>
  <c r="KR34" i="17"/>
  <c r="LM34" i="17"/>
  <c r="LP34" i="17"/>
  <c r="KY34" i="17"/>
  <c r="LJ34" i="17"/>
  <c r="KC34" i="17"/>
  <c r="LL34" i="17"/>
  <c r="LK34" i="17"/>
  <c r="KG34" i="17"/>
  <c r="LN34" i="17"/>
  <c r="LI34" i="17"/>
  <c r="KX34" i="17"/>
  <c r="LE34" i="17"/>
  <c r="LG34" i="17"/>
  <c r="KO34" i="17"/>
  <c r="KW34" i="17"/>
  <c r="KE34" i="17"/>
  <c r="KP34" i="17"/>
  <c r="LQ34" i="17"/>
  <c r="KT34" i="17"/>
  <c r="KK34" i="17"/>
  <c r="KZ34" i="17"/>
  <c r="LD34" i="17"/>
  <c r="KD34" i="17"/>
  <c r="KV34" i="17"/>
  <c r="KU34" i="17"/>
  <c r="KI34" i="17"/>
  <c r="KJ34" i="17"/>
  <c r="LB34" i="17"/>
  <c r="LH34" i="17"/>
  <c r="KF34" i="17"/>
  <c r="KM34" i="17"/>
  <c r="LC34" i="17"/>
  <c r="LR34" i="17"/>
  <c r="KN34" i="17"/>
  <c r="LA34" i="17"/>
  <c r="KS34" i="17"/>
  <c r="LO34" i="17"/>
  <c r="KL34" i="17"/>
  <c r="KB31" i="17"/>
  <c r="Q35" i="17"/>
  <c r="KA35" i="17"/>
  <c r="KC32" i="17"/>
  <c r="LQ32" i="17"/>
  <c r="LI32" i="17"/>
  <c r="LN32" i="17"/>
  <c r="LB32" i="17"/>
  <c r="KI32" i="17"/>
  <c r="KQ32" i="17"/>
  <c r="LL32" i="17"/>
  <c r="KM32" i="17"/>
  <c r="KV32" i="17"/>
  <c r="KZ32" i="17"/>
  <c r="KK32" i="17"/>
  <c r="LD32" i="17"/>
  <c r="KT32" i="17"/>
  <c r="LG32" i="17"/>
  <c r="KD32" i="17"/>
  <c r="KF32" i="17"/>
  <c r="LP32" i="17"/>
  <c r="LR32" i="17"/>
  <c r="KS32" i="17"/>
  <c r="LM32" i="17"/>
  <c r="LF32" i="17"/>
  <c r="KE32" i="17"/>
  <c r="LJ32" i="17"/>
  <c r="LH32" i="17"/>
  <c r="KW32" i="17"/>
  <c r="KG32" i="17"/>
  <c r="KO32" i="17"/>
  <c r="LA32" i="17"/>
  <c r="KX32" i="17"/>
  <c r="KU32" i="17"/>
  <c r="LE32" i="17"/>
  <c r="KL32" i="17"/>
  <c r="KH32" i="17"/>
  <c r="KR32" i="17"/>
  <c r="LC32" i="17"/>
  <c r="KN32" i="17"/>
  <c r="KJ32" i="17"/>
  <c r="LK32" i="17"/>
  <c r="KY32" i="17"/>
  <c r="KP32" i="17"/>
  <c r="LO32" i="17"/>
  <c r="KB33" i="17"/>
  <c r="Q34" i="17"/>
  <c r="KA34" i="17"/>
  <c r="KA32" i="17"/>
  <c r="JZ33" i="17"/>
  <c r="J407" i="1"/>
  <c r="L407" i="1"/>
  <c r="I407" i="1"/>
  <c r="H407" i="1"/>
  <c r="L406" i="1"/>
  <c r="G407" i="1"/>
  <c r="J406" i="1"/>
  <c r="I406" i="1"/>
  <c r="H406" i="1"/>
  <c r="L403" i="1"/>
  <c r="G406" i="1"/>
  <c r="L404" i="1"/>
  <c r="ML18" i="17"/>
  <c r="ML19" i="17"/>
  <c r="ML20" i="17"/>
  <c r="ML21" i="17"/>
  <c r="R47" i="17"/>
  <c r="R45" i="17"/>
  <c r="R46" i="17"/>
  <c r="R41" i="17"/>
  <c r="R40" i="17"/>
  <c r="MK20" i="17"/>
  <c r="R49" i="17"/>
  <c r="MK21" i="17"/>
  <c r="R39" i="17"/>
  <c r="R48" i="17"/>
  <c r="MK18" i="17"/>
  <c r="MK19" i="17"/>
  <c r="J39" i="17"/>
  <c r="P39" i="17"/>
  <c r="L40" i="17"/>
  <c r="S40" i="17"/>
  <c r="M40" i="17"/>
  <c r="T39" i="17"/>
  <c r="T48" i="17"/>
  <c r="K45" i="17"/>
  <c r="Q45" i="17"/>
  <c r="T46" i="17"/>
  <c r="T49" i="17"/>
  <c r="Q49" i="17"/>
  <c r="K49" i="17"/>
  <c r="L48" i="17"/>
  <c r="M48" i="17"/>
  <c r="S48" i="17"/>
  <c r="Q46" i="17"/>
  <c r="K46" i="17"/>
  <c r="T45" i="17"/>
  <c r="J38" i="17"/>
  <c r="P38" i="17"/>
  <c r="K48" i="17"/>
  <c r="Q48" i="17"/>
  <c r="J46" i="17"/>
  <c r="P46" i="17"/>
  <c r="L45" i="17"/>
  <c r="S45" i="17"/>
  <c r="M45" i="17"/>
  <c r="T47" i="17"/>
  <c r="Q47" i="17"/>
  <c r="K47" i="17"/>
  <c r="K42" i="17"/>
  <c r="Q42" i="17"/>
  <c r="J48" i="17"/>
  <c r="P48" i="17"/>
  <c r="L47" i="17"/>
  <c r="S47" i="17"/>
  <c r="M47" i="17"/>
  <c r="J40" i="17"/>
  <c r="P40" i="17"/>
  <c r="S49" i="17"/>
  <c r="M49" i="17"/>
  <c r="J45" i="17"/>
  <c r="P45" i="17"/>
  <c r="L46" i="17"/>
  <c r="S46" i="17"/>
  <c r="M46" i="17"/>
  <c r="MJ19" i="17"/>
  <c r="MI19" i="17"/>
  <c r="MJ20" i="17"/>
  <c r="MI20" i="17"/>
  <c r="T38" i="17"/>
  <c r="MJ21" i="17"/>
  <c r="MI21" i="17"/>
  <c r="T40" i="17"/>
  <c r="MI18" i="17"/>
  <c r="MJ18" i="17"/>
  <c r="J35" i="17"/>
  <c r="P35" i="17"/>
  <c r="T34" i="17"/>
  <c r="J34" i="17"/>
  <c r="P34" i="17"/>
  <c r="L34" i="17"/>
  <c r="J42" i="17"/>
  <c r="P42" i="17"/>
  <c r="T42" i="17"/>
  <c r="J41" i="17"/>
  <c r="P41" i="17"/>
  <c r="T41" i="17"/>
  <c r="J49" i="17"/>
  <c r="P49" i="17"/>
  <c r="J47" i="17"/>
  <c r="P47" i="17"/>
  <c r="LY21" i="17"/>
  <c r="MB21" i="17"/>
  <c r="ME21" i="17"/>
  <c r="MA21" i="17"/>
  <c r="MH21" i="17"/>
  <c r="MC21" i="17"/>
  <c r="MF21" i="17"/>
  <c r="MD21" i="17"/>
  <c r="LZ21" i="17"/>
  <c r="MG21" i="17"/>
  <c r="LY20" i="17"/>
  <c r="MA20" i="17"/>
  <c r="MB20" i="17"/>
  <c r="MD20" i="17"/>
  <c r="LZ20" i="17"/>
  <c r="MG20" i="17"/>
  <c r="MF20" i="17"/>
  <c r="ME20" i="17"/>
  <c r="MC20" i="17"/>
  <c r="MH20" i="17"/>
  <c r="LY19" i="17"/>
  <c r="MF19" i="17"/>
  <c r="MD19" i="17"/>
  <c r="MA19" i="17"/>
  <c r="MC19" i="17"/>
  <c r="MG19" i="17"/>
  <c r="MB19" i="17"/>
  <c r="MH19" i="17"/>
  <c r="ME19" i="17"/>
  <c r="LZ19" i="17"/>
  <c r="MH18" i="17"/>
  <c r="MG18" i="17"/>
  <c r="MC18" i="17"/>
  <c r="MF18" i="17"/>
  <c r="MA18" i="17"/>
  <c r="ME18" i="17"/>
  <c r="LY18" i="17"/>
  <c r="MB18" i="17"/>
  <c r="LZ18" i="17"/>
  <c r="MD18" i="17"/>
  <c r="S35" i="17"/>
  <c r="L42" i="17"/>
  <c r="M42" i="17"/>
  <c r="S42" i="17"/>
  <c r="K40" i="17"/>
  <c r="L39" i="17"/>
  <c r="K38" i="17"/>
  <c r="S38" i="17"/>
  <c r="M38" i="17"/>
  <c r="M41" i="17"/>
  <c r="S41" i="17"/>
  <c r="S39" i="17"/>
  <c r="M39" i="17"/>
  <c r="K41" i="17"/>
  <c r="L41" i="17"/>
  <c r="K39" i="17"/>
  <c r="M34" i="17"/>
  <c r="S34" i="17"/>
  <c r="K35" i="17"/>
  <c r="L35" i="17"/>
  <c r="M35" i="17"/>
  <c r="T35" i="17"/>
  <c r="K34" i="17"/>
  <c r="BM6" i="11"/>
  <c r="BM6" i="10"/>
  <c r="BL6" i="9"/>
  <c r="BL6" i="8"/>
  <c r="BK6" i="5"/>
  <c r="BJ6" i="4"/>
  <c r="H405" i="1"/>
  <c r="G404" i="1"/>
  <c r="H404" i="1"/>
  <c r="G403" i="1"/>
  <c r="H403" i="1"/>
  <c r="J405" i="1"/>
  <c r="J404" i="1"/>
  <c r="I404" i="1"/>
  <c r="I403" i="1"/>
  <c r="J403" i="1"/>
  <c r="I405" i="1"/>
  <c r="B410" i="1"/>
  <c r="E411" i="1" s="1"/>
  <c r="BJ6" i="3"/>
  <c r="BJ11" i="3" s="1"/>
  <c r="GQ109" i="17" l="1"/>
  <c r="GO109" i="17"/>
  <c r="GN109" i="17"/>
  <c r="GP109" i="17"/>
  <c r="IX109" i="17"/>
  <c r="GQ65" i="17"/>
  <c r="IU64" i="17"/>
  <c r="GQ64" i="17"/>
  <c r="IW67" i="17"/>
  <c r="GM67" i="17"/>
  <c r="GP64" i="17"/>
  <c r="IV67" i="17"/>
  <c r="GN65" i="17"/>
  <c r="GP65" i="17"/>
  <c r="IT67" i="17"/>
  <c r="IV64" i="17"/>
  <c r="GO66" i="17"/>
  <c r="GM65" i="17"/>
  <c r="IX67" i="17"/>
  <c r="IW64" i="17"/>
  <c r="GP67" i="17"/>
  <c r="GN64" i="17"/>
  <c r="GM66" i="17"/>
  <c r="IX65" i="17"/>
  <c r="GN66" i="17"/>
  <c r="GO64" i="17"/>
  <c r="GQ66" i="17"/>
  <c r="IX66" i="17"/>
  <c r="GP66" i="17"/>
  <c r="GQ67" i="17"/>
  <c r="GM64" i="17"/>
  <c r="GO67" i="17"/>
  <c r="IX64" i="17"/>
  <c r="IT64" i="17"/>
  <c r="GO65" i="17"/>
  <c r="GN67" i="17"/>
  <c r="IU67" i="17"/>
  <c r="IQ67" i="17"/>
  <c r="GK66" i="17"/>
  <c r="GL65" i="17"/>
  <c r="GL64" i="17"/>
  <c r="GJ67" i="17"/>
  <c r="IS64" i="17"/>
  <c r="IS67" i="17"/>
  <c r="GJ65" i="17"/>
  <c r="GK65" i="17"/>
  <c r="GJ64" i="17"/>
  <c r="GK67" i="17"/>
  <c r="GJ66" i="17"/>
  <c r="IR67" i="17"/>
  <c r="IR64" i="17"/>
  <c r="GL66" i="17"/>
  <c r="GL67" i="17"/>
  <c r="GK64" i="17"/>
  <c r="IQ64" i="17"/>
  <c r="GJ109" i="17"/>
  <c r="GL109" i="17"/>
  <c r="GI109" i="17"/>
  <c r="GK109" i="17"/>
  <c r="GM109" i="17"/>
  <c r="IT109" i="17"/>
  <c r="BJ22" i="3"/>
  <c r="AB20" i="17"/>
  <c r="IP65" i="17"/>
  <c r="IP67" i="17"/>
  <c r="IP66" i="17"/>
  <c r="GI66" i="17"/>
  <c r="GI64" i="17"/>
  <c r="IP64" i="17"/>
  <c r="GI67" i="17"/>
  <c r="GI65" i="17"/>
  <c r="IM64" i="17"/>
  <c r="GF66" i="17"/>
  <c r="IN67" i="17"/>
  <c r="GH64" i="17"/>
  <c r="GH65" i="17"/>
  <c r="IM67" i="17"/>
  <c r="GH67" i="17"/>
  <c r="GG66" i="17"/>
  <c r="GF67" i="17"/>
  <c r="IO65" i="17"/>
  <c r="GH66" i="17"/>
  <c r="Y72" i="40" s="1"/>
  <c r="GG64" i="17"/>
  <c r="GF65" i="17"/>
  <c r="GG67" i="17"/>
  <c r="IO66" i="17"/>
  <c r="IO67" i="17"/>
  <c r="IN64" i="17"/>
  <c r="IO64" i="17"/>
  <c r="GF64" i="17"/>
  <c r="GG65" i="17"/>
  <c r="GH109" i="17"/>
  <c r="GF109" i="17"/>
  <c r="IO109" i="17"/>
  <c r="GG109" i="17"/>
  <c r="U38" i="17"/>
  <c r="IL67" i="17"/>
  <c r="GC67" i="17"/>
  <c r="GB66" i="17"/>
  <c r="GA64" i="17"/>
  <c r="GE64" i="17"/>
  <c r="IK67" i="17"/>
  <c r="IJ67" i="17"/>
  <c r="GC64" i="17"/>
  <c r="GD66" i="17"/>
  <c r="IH64" i="17"/>
  <c r="GD67" i="17"/>
  <c r="IL65" i="17"/>
  <c r="GB64" i="17"/>
  <c r="IK64" i="17"/>
  <c r="GE67" i="17"/>
  <c r="GE66" i="17"/>
  <c r="GB65" i="17"/>
  <c r="GD64" i="17"/>
  <c r="GC65" i="17"/>
  <c r="IH67" i="17"/>
  <c r="GA67" i="17"/>
  <c r="IL64" i="17"/>
  <c r="IL66" i="17"/>
  <c r="GC66" i="17"/>
  <c r="IJ64" i="17"/>
  <c r="II67" i="17"/>
  <c r="GD65" i="17"/>
  <c r="GB67" i="17"/>
  <c r="II64" i="17"/>
  <c r="GE65" i="17"/>
  <c r="GA65" i="17"/>
  <c r="GA66" i="17"/>
  <c r="GD109" i="17"/>
  <c r="GE109" i="17"/>
  <c r="IK109" i="17"/>
  <c r="GC109" i="17"/>
  <c r="GA109" i="17"/>
  <c r="GB109" i="17"/>
  <c r="IL109" i="17"/>
  <c r="AF19" i="17"/>
  <c r="AC19" i="17" s="1"/>
  <c r="U31" i="17"/>
  <c r="AB21" i="17"/>
  <c r="BM21" i="10"/>
  <c r="BM11" i="10"/>
  <c r="BM14" i="10"/>
  <c r="BM16" i="10"/>
  <c r="BM23" i="10"/>
  <c r="BM19" i="10"/>
  <c r="BM13" i="10"/>
  <c r="IF65" i="17"/>
  <c r="FZ67" i="17"/>
  <c r="FY66" i="17"/>
  <c r="FY65" i="17"/>
  <c r="IG66" i="17"/>
  <c r="FZ64" i="17"/>
  <c r="IF66" i="17"/>
  <c r="FY64" i="17"/>
  <c r="FY67" i="17"/>
  <c r="IF67" i="17"/>
  <c r="FZ65" i="17"/>
  <c r="IG67" i="17"/>
  <c r="FZ66" i="17"/>
  <c r="IG65" i="17"/>
  <c r="IF64" i="17"/>
  <c r="IG64" i="17"/>
  <c r="BJ4" i="4"/>
  <c r="BJ17" i="4"/>
  <c r="BJ8" i="4"/>
  <c r="BJ11" i="4"/>
  <c r="BJ14" i="4"/>
  <c r="BJ19" i="4"/>
  <c r="Q407" i="1" s="1"/>
  <c r="BJ10" i="4"/>
  <c r="Q403" i="1" s="1"/>
  <c r="BJ13" i="4"/>
  <c r="Q404" i="1" s="1"/>
  <c r="BJ16" i="4"/>
  <c r="Q406" i="1" s="1"/>
  <c r="BK4" i="5"/>
  <c r="BK11" i="5"/>
  <c r="BK14" i="5"/>
  <c r="BK16" i="5"/>
  <c r="R414" i="1" s="1"/>
  <c r="BK19" i="5"/>
  <c r="R415" i="1" s="1"/>
  <c r="BK10" i="5"/>
  <c r="R411" i="1" s="1"/>
  <c r="BK13" i="5"/>
  <c r="R412" i="1" s="1"/>
  <c r="BL4" i="8"/>
  <c r="BL17" i="8"/>
  <c r="BL8" i="8"/>
  <c r="BL11" i="8"/>
  <c r="BL14" i="8"/>
  <c r="BL16" i="8"/>
  <c r="BL19" i="8"/>
  <c r="BL13" i="8"/>
  <c r="BL10" i="8"/>
  <c r="BM8" i="11"/>
  <c r="BM10" i="11"/>
  <c r="BJ4" i="3"/>
  <c r="BJ14" i="3"/>
  <c r="BJ17" i="3"/>
  <c r="BJ8" i="3"/>
  <c r="BJ19" i="3"/>
  <c r="D407" i="1" s="1"/>
  <c r="BJ16" i="3"/>
  <c r="D406" i="1" s="1"/>
  <c r="BJ10" i="3"/>
  <c r="D403" i="1" s="1"/>
  <c r="BJ13" i="3"/>
  <c r="D404" i="1" s="1"/>
  <c r="BL11" i="9"/>
  <c r="BL14" i="9"/>
  <c r="BL16" i="9"/>
  <c r="BL10" i="9"/>
  <c r="BL13" i="9"/>
  <c r="BL19" i="9"/>
  <c r="FZ109" i="17"/>
  <c r="IG109" i="17"/>
  <c r="Z31" i="17"/>
  <c r="AA21" i="17"/>
  <c r="X21" i="17" s="1"/>
  <c r="U42" i="17"/>
  <c r="U41" i="17"/>
  <c r="R52" i="26"/>
  <c r="J52" i="26"/>
  <c r="BL10" i="10"/>
  <c r="U34" i="17"/>
  <c r="U32" i="17"/>
  <c r="S415" i="1"/>
  <c r="S412" i="1"/>
  <c r="S414" i="1"/>
  <c r="Z33" i="17"/>
  <c r="F406" i="1"/>
  <c r="F407" i="1"/>
  <c r="Y31" i="17"/>
  <c r="S411" i="1"/>
  <c r="ID64" i="17"/>
  <c r="FR66" i="17"/>
  <c r="HY64" i="17"/>
  <c r="FX64" i="17"/>
  <c r="FU67" i="17"/>
  <c r="HY67" i="17"/>
  <c r="IC65" i="17"/>
  <c r="ID66" i="17"/>
  <c r="FR65" i="17"/>
  <c r="FU65" i="17"/>
  <c r="ID67" i="17"/>
  <c r="FU66" i="17"/>
  <c r="FV65" i="17"/>
  <c r="IB65" i="17"/>
  <c r="IA67" i="17"/>
  <c r="IB64" i="17"/>
  <c r="IC64" i="17"/>
  <c r="HZ64" i="17"/>
  <c r="FW66" i="17"/>
  <c r="IE64" i="17"/>
  <c r="FT65" i="17"/>
  <c r="FS65" i="17"/>
  <c r="IA66" i="17"/>
  <c r="FR64" i="17"/>
  <c r="FW67" i="17"/>
  <c r="HZ66" i="17"/>
  <c r="FV67" i="17"/>
  <c r="FV66" i="17"/>
  <c r="FU64" i="17"/>
  <c r="HY65" i="17"/>
  <c r="HZ67" i="17"/>
  <c r="FR67" i="17"/>
  <c r="IA65" i="17"/>
  <c r="IB67" i="17"/>
  <c r="IE65" i="17"/>
  <c r="IE66" i="17"/>
  <c r="FT67" i="17"/>
  <c r="FW65" i="17"/>
  <c r="FS64" i="17"/>
  <c r="FV64" i="17"/>
  <c r="IC67" i="17"/>
  <c r="FT66" i="17"/>
  <c r="IE67" i="17"/>
  <c r="FX65" i="17"/>
  <c r="IA64" i="17"/>
  <c r="FX67" i="17"/>
  <c r="HY66" i="17"/>
  <c r="ID65" i="17"/>
  <c r="FX66" i="17"/>
  <c r="FS67" i="17"/>
  <c r="IB66" i="17"/>
  <c r="FW64" i="17"/>
  <c r="HZ65" i="17"/>
  <c r="IC66" i="17"/>
  <c r="FT64" i="17"/>
  <c r="FS66" i="17"/>
  <c r="U33" i="17"/>
  <c r="FT109" i="17"/>
  <c r="IC109" i="17"/>
  <c r="FV109" i="17"/>
  <c r="IF109" i="17"/>
  <c r="ID109" i="17"/>
  <c r="FW109" i="17"/>
  <c r="IA109" i="17"/>
  <c r="IE109" i="17"/>
  <c r="FX109" i="17"/>
  <c r="FU109" i="17"/>
  <c r="IB109" i="17"/>
  <c r="FY109" i="17"/>
  <c r="S11" i="1"/>
  <c r="F413" i="1"/>
  <c r="AF18" i="17"/>
  <c r="AC18" i="17" s="1"/>
  <c r="Q45" i="26"/>
  <c r="F404" i="1"/>
  <c r="F403" i="1"/>
  <c r="AA18" i="17"/>
  <c r="X18" i="17" s="1"/>
  <c r="AA20" i="17"/>
  <c r="X20" i="17" s="1"/>
  <c r="AE56" i="40"/>
  <c r="AE51" i="40"/>
  <c r="AF51" i="40"/>
  <c r="AF56" i="40"/>
  <c r="J38" i="26"/>
  <c r="N38" i="26"/>
  <c r="R38" i="26"/>
  <c r="S38" i="26"/>
  <c r="AF20" i="17"/>
  <c r="AC20" i="17" s="1"/>
  <c r="L38" i="26"/>
  <c r="K38" i="26"/>
  <c r="AB18" i="17"/>
  <c r="AF60" i="40"/>
  <c r="AE60" i="40"/>
  <c r="AF55" i="40"/>
  <c r="AE55" i="40"/>
  <c r="U35" i="17"/>
  <c r="L40" i="26"/>
  <c r="Y32" i="17"/>
  <c r="AB19" i="17"/>
  <c r="Y33" i="17"/>
  <c r="AA19" i="17"/>
  <c r="X19" i="17" s="1"/>
  <c r="AF21" i="17"/>
  <c r="AC21" i="17" s="1"/>
  <c r="AD32" i="17"/>
  <c r="AE32" i="17"/>
  <c r="AE33" i="17"/>
  <c r="AD31" i="17"/>
  <c r="AE31" i="17"/>
  <c r="Z32" i="17"/>
  <c r="AD33" i="17"/>
  <c r="U49" i="17"/>
  <c r="R36" i="26"/>
  <c r="S39" i="26"/>
  <c r="Q36" i="26"/>
  <c r="R40" i="26"/>
  <c r="Q50" i="26"/>
  <c r="P47" i="26"/>
  <c r="Q44" i="26"/>
  <c r="R54" i="26"/>
  <c r="Q51" i="26"/>
  <c r="L46" i="26"/>
  <c r="Q43" i="26"/>
  <c r="U47" i="17"/>
  <c r="U46" i="17"/>
  <c r="N44" i="26"/>
  <c r="J44" i="26"/>
  <c r="L39" i="26"/>
  <c r="J39" i="26"/>
  <c r="M45" i="26"/>
  <c r="HW109" i="17"/>
  <c r="FK109" i="17"/>
  <c r="FN109" i="17"/>
  <c r="HQ109" i="17"/>
  <c r="FR109" i="17"/>
  <c r="HR109" i="17"/>
  <c r="FJ109" i="17"/>
  <c r="FQ109" i="17"/>
  <c r="FL109" i="17"/>
  <c r="FM109" i="17"/>
  <c r="HT109" i="17"/>
  <c r="FS109" i="17"/>
  <c r="HS109" i="17"/>
  <c r="HU109" i="17"/>
  <c r="HX109" i="17"/>
  <c r="HY109" i="17"/>
  <c r="FO109" i="17"/>
  <c r="HV109" i="17"/>
  <c r="FP109" i="17"/>
  <c r="HZ109" i="17"/>
  <c r="S52" i="26"/>
  <c r="L52" i="26"/>
  <c r="N36" i="26"/>
  <c r="S36" i="26"/>
  <c r="N52" i="26"/>
  <c r="J37" i="26"/>
  <c r="M54" i="26"/>
  <c r="K53" i="26"/>
  <c r="L53" i="26"/>
  <c r="R43" i="26"/>
  <c r="K36" i="26"/>
  <c r="S50" i="26"/>
  <c r="M36" i="26"/>
  <c r="J36" i="26"/>
  <c r="J53" i="26"/>
  <c r="L36" i="26"/>
  <c r="S53" i="26"/>
  <c r="R53" i="26"/>
  <c r="N43" i="26"/>
  <c r="R50" i="26"/>
  <c r="K43" i="26"/>
  <c r="M50" i="26"/>
  <c r="S43" i="26"/>
  <c r="L50" i="26"/>
  <c r="L43" i="26"/>
  <c r="K50" i="26"/>
  <c r="M43" i="26"/>
  <c r="N50" i="26"/>
  <c r="V17" i="26"/>
  <c r="S44" i="26"/>
  <c r="S45" i="26"/>
  <c r="R44" i="26"/>
  <c r="L45" i="26"/>
  <c r="K44" i="26"/>
  <c r="J45" i="26"/>
  <c r="M44" i="26"/>
  <c r="V18" i="26"/>
  <c r="N45" i="26"/>
  <c r="K45" i="26"/>
  <c r="V19" i="26"/>
  <c r="J40" i="26"/>
  <c r="S54" i="26"/>
  <c r="V20" i="26"/>
  <c r="N54" i="26"/>
  <c r="M40" i="26"/>
  <c r="J54" i="26"/>
  <c r="K40" i="26"/>
  <c r="S40" i="26"/>
  <c r="L54" i="26"/>
  <c r="P51" i="26"/>
  <c r="T51" i="26"/>
  <c r="O51" i="26"/>
  <c r="N51" i="26"/>
  <c r="M37" i="26"/>
  <c r="O54" i="26"/>
  <c r="T54" i="26"/>
  <c r="P54" i="26"/>
  <c r="N40" i="26"/>
  <c r="O40" i="26"/>
  <c r="P40" i="26"/>
  <c r="T40" i="26"/>
  <c r="L51" i="26"/>
  <c r="N37" i="26"/>
  <c r="T52" i="26"/>
  <c r="P52" i="26"/>
  <c r="O52" i="26"/>
  <c r="T39" i="26"/>
  <c r="O39" i="26"/>
  <c r="P39" i="26"/>
  <c r="J51" i="26"/>
  <c r="T44" i="26"/>
  <c r="O44" i="26"/>
  <c r="P44" i="26"/>
  <c r="T38" i="26"/>
  <c r="P38" i="26"/>
  <c r="O38" i="26"/>
  <c r="R51" i="26"/>
  <c r="K37" i="26"/>
  <c r="O47" i="26"/>
  <c r="S73" i="40"/>
  <c r="S70" i="40"/>
  <c r="M51" i="26"/>
  <c r="S37" i="26"/>
  <c r="O45" i="26"/>
  <c r="T45" i="26"/>
  <c r="P45" i="26"/>
  <c r="S51" i="26"/>
  <c r="O50" i="26"/>
  <c r="T50" i="26"/>
  <c r="P50" i="26"/>
  <c r="P43" i="26"/>
  <c r="T43" i="26"/>
  <c r="O43" i="26"/>
  <c r="K415" i="1"/>
  <c r="K414" i="1"/>
  <c r="K411" i="1"/>
  <c r="K412" i="1"/>
  <c r="T37" i="26"/>
  <c r="O37" i="26"/>
  <c r="P37" i="26"/>
  <c r="BL35" i="9"/>
  <c r="BL4" i="9"/>
  <c r="L37" i="26"/>
  <c r="N53" i="26"/>
  <c r="P53" i="26"/>
  <c r="O53" i="26"/>
  <c r="T53" i="26"/>
  <c r="P46" i="26"/>
  <c r="P36" i="26"/>
  <c r="O36" i="26"/>
  <c r="T36" i="26"/>
  <c r="BM4" i="11"/>
  <c r="BB109" i="17"/>
  <c r="DJ109" i="17" s="1"/>
  <c r="V415" i="1"/>
  <c r="U415" i="1"/>
  <c r="V411" i="1"/>
  <c r="V414" i="1"/>
  <c r="U411" i="1"/>
  <c r="U414" i="1"/>
  <c r="V412" i="1"/>
  <c r="U412" i="1"/>
  <c r="O415" i="1"/>
  <c r="P415" i="1"/>
  <c r="O412" i="1"/>
  <c r="O414" i="1"/>
  <c r="O411" i="1"/>
  <c r="E414" i="1"/>
  <c r="N414" i="1"/>
  <c r="N415" i="1"/>
  <c r="N411" i="1"/>
  <c r="N412" i="1"/>
  <c r="M415" i="1"/>
  <c r="M412" i="1"/>
  <c r="P411" i="1"/>
  <c r="M411" i="1"/>
  <c r="M414" i="1"/>
  <c r="P414" i="1"/>
  <c r="P412" i="1"/>
  <c r="E412" i="1"/>
  <c r="E415" i="1"/>
  <c r="BM4" i="10"/>
  <c r="HP64" i="17"/>
  <c r="FQ65" i="17"/>
  <c r="FQ67" i="17"/>
  <c r="HX67" i="17"/>
  <c r="FQ64" i="17"/>
  <c r="HR64" i="17"/>
  <c r="FN65" i="17"/>
  <c r="FQ66" i="17"/>
  <c r="HQ67" i="17"/>
  <c r="HS67" i="17"/>
  <c r="HU64" i="17"/>
  <c r="HP67" i="17"/>
  <c r="FM65" i="17"/>
  <c r="HW67" i="17"/>
  <c r="FL65" i="17"/>
  <c r="HV65" i="17"/>
  <c r="FP66" i="17"/>
  <c r="HW66" i="17"/>
  <c r="HT67" i="17"/>
  <c r="FL67" i="17"/>
  <c r="FM66" i="17"/>
  <c r="FN66" i="17"/>
  <c r="FN64" i="17"/>
  <c r="FP64" i="17"/>
  <c r="HQ65" i="17"/>
  <c r="FO66" i="17"/>
  <c r="FL64" i="17"/>
  <c r="HX64" i="17"/>
  <c r="HS65" i="17"/>
  <c r="HR67" i="17"/>
  <c r="HR65" i="17"/>
  <c r="HX65" i="17"/>
  <c r="HV67" i="17"/>
  <c r="FP67" i="17"/>
  <c r="FM67" i="17"/>
  <c r="FO64" i="17"/>
  <c r="HS64" i="17"/>
  <c r="HX66" i="17"/>
  <c r="HU66" i="17"/>
  <c r="HT65" i="17"/>
  <c r="HQ64" i="17"/>
  <c r="FM64" i="17"/>
  <c r="HR66" i="17"/>
  <c r="HV64" i="17"/>
  <c r="FN67" i="17"/>
  <c r="FO65" i="17"/>
  <c r="HT64" i="17"/>
  <c r="HU67" i="17"/>
  <c r="FP65" i="17"/>
  <c r="FL66" i="17"/>
  <c r="HS66" i="17"/>
  <c r="HU65" i="17"/>
  <c r="HW65" i="17"/>
  <c r="HT66" i="17"/>
  <c r="HQ66" i="17"/>
  <c r="HV66" i="17"/>
  <c r="FO67" i="17"/>
  <c r="HW64" i="17"/>
  <c r="U39" i="17"/>
  <c r="U45" i="17"/>
  <c r="U48" i="17"/>
  <c r="U40" i="17"/>
  <c r="J415" i="1"/>
  <c r="I415" i="1"/>
  <c r="L415" i="1"/>
  <c r="H415" i="1"/>
  <c r="G415" i="1"/>
  <c r="L414" i="1"/>
  <c r="J414" i="1"/>
  <c r="I414" i="1"/>
  <c r="H414" i="1"/>
  <c r="L411" i="1"/>
  <c r="L412" i="1"/>
  <c r="G414" i="1"/>
  <c r="ML32" i="17"/>
  <c r="ML47" i="17"/>
  <c r="Z47" i="17" s="1"/>
  <c r="ML48" i="17"/>
  <c r="Z48" i="17" s="1"/>
  <c r="ML45" i="17"/>
  <c r="Z45" i="17" s="1"/>
  <c r="ML42" i="17"/>
  <c r="Z42" i="17" s="1"/>
  <c r="ML38" i="17"/>
  <c r="Z38" i="17" s="1"/>
  <c r="ML31" i="17"/>
  <c r="ML49" i="17"/>
  <c r="Z49" i="17" s="1"/>
  <c r="ML41" i="17"/>
  <c r="Z41" i="17" s="1"/>
  <c r="ML34" i="17"/>
  <c r="Z34" i="17" s="1"/>
  <c r="ML33" i="17"/>
  <c r="ML39" i="17"/>
  <c r="Z39" i="17" s="1"/>
  <c r="ML46" i="17"/>
  <c r="Z46" i="17" s="1"/>
  <c r="ML35" i="17"/>
  <c r="Z35" i="17" s="1"/>
  <c r="Y40" i="17"/>
  <c r="ML40" i="17"/>
  <c r="Z40" i="17" s="1"/>
  <c r="MH49" i="17"/>
  <c r="MK32" i="17"/>
  <c r="MK39" i="17"/>
  <c r="MK49" i="17"/>
  <c r="MG49" i="17"/>
  <c r="MK41" i="17"/>
  <c r="MK31" i="17"/>
  <c r="MK34" i="17"/>
  <c r="MK45" i="17"/>
  <c r="MK38" i="17"/>
  <c r="MH46" i="17"/>
  <c r="MK48" i="17"/>
  <c r="MK42" i="17"/>
  <c r="AD35" i="17"/>
  <c r="MK35" i="17"/>
  <c r="MK40" i="17"/>
  <c r="MK47" i="17"/>
  <c r="MK46" i="17"/>
  <c r="MK33" i="17"/>
  <c r="AW66" i="17"/>
  <c r="DE66" i="17" s="1"/>
  <c r="AX66" i="17"/>
  <c r="DF66" i="17" s="1"/>
  <c r="AX67" i="17"/>
  <c r="DF67" i="17" s="1"/>
  <c r="AW67" i="17"/>
  <c r="DE67" i="17" s="1"/>
  <c r="AW64" i="17"/>
  <c r="DE64" i="17" s="1"/>
  <c r="AX65" i="17"/>
  <c r="DF65" i="17" s="1"/>
  <c r="AX64" i="17"/>
  <c r="DF64" i="17" s="1"/>
  <c r="AW65" i="17"/>
  <c r="DE65" i="17" s="1"/>
  <c r="MH47" i="17"/>
  <c r="L49" i="17"/>
  <c r="MG32" i="17"/>
  <c r="MH38" i="17"/>
  <c r="LY45" i="17"/>
  <c r="MB45" i="17"/>
  <c r="MC45" i="17"/>
  <c r="MJ45" i="17"/>
  <c r="ME45" i="17"/>
  <c r="MI45" i="17"/>
  <c r="MD45" i="17"/>
  <c r="MF45" i="17"/>
  <c r="MA45" i="17"/>
  <c r="MG45" i="17"/>
  <c r="LZ45" i="17"/>
  <c r="AW109" i="17"/>
  <c r="DE109" i="17" s="1"/>
  <c r="AX109" i="17"/>
  <c r="DF109" i="17" s="1"/>
  <c r="MA48" i="17"/>
  <c r="MH48" i="17"/>
  <c r="MB48" i="17"/>
  <c r="MC48" i="17"/>
  <c r="MJ48" i="17"/>
  <c r="ME48" i="17"/>
  <c r="MI48" i="17"/>
  <c r="LY48" i="17"/>
  <c r="MD48" i="17"/>
  <c r="LZ48" i="17"/>
  <c r="MG48" i="17"/>
  <c r="MF48" i="17"/>
  <c r="MG38" i="17"/>
  <c r="MH32" i="17"/>
  <c r="MH39" i="17"/>
  <c r="MG31" i="17"/>
  <c r="LZ47" i="17"/>
  <c r="LY47" i="17"/>
  <c r="MC47" i="17"/>
  <c r="MB47" i="17"/>
  <c r="MJ47" i="17"/>
  <c r="ME47" i="17"/>
  <c r="MI47" i="17"/>
  <c r="MD47" i="17"/>
  <c r="MA47" i="17"/>
  <c r="MG47" i="17"/>
  <c r="MF47" i="17"/>
  <c r="MH45" i="17"/>
  <c r="MB46" i="17"/>
  <c r="MJ46" i="17"/>
  <c r="MC46" i="17"/>
  <c r="MI46" i="17"/>
  <c r="LZ46" i="17"/>
  <c r="MD46" i="17"/>
  <c r="LY46" i="17"/>
  <c r="ME46" i="17"/>
  <c r="MA46" i="17"/>
  <c r="MG46" i="17"/>
  <c r="MF46" i="17"/>
  <c r="MB49" i="17"/>
  <c r="MJ49" i="17"/>
  <c r="MC49" i="17"/>
  <c r="MI49" i="17"/>
  <c r="MD49" i="17"/>
  <c r="LY49" i="17"/>
  <c r="ME49" i="17"/>
  <c r="MA49" i="17"/>
  <c r="MF49" i="17"/>
  <c r="LZ49" i="17"/>
  <c r="AD40" i="17"/>
  <c r="LY40" i="17"/>
  <c r="MJ40" i="17"/>
  <c r="MI40" i="17"/>
  <c r="LZ40" i="17"/>
  <c r="MA40" i="17"/>
  <c r="MC40" i="17"/>
  <c r="MB40" i="17"/>
  <c r="MD40" i="17"/>
  <c r="ME40" i="17"/>
  <c r="MF40" i="17"/>
  <c r="LY32" i="17"/>
  <c r="MJ32" i="17"/>
  <c r="MI32" i="17"/>
  <c r="LZ32" i="17"/>
  <c r="MA32" i="17"/>
  <c r="MC32" i="17"/>
  <c r="MB32" i="17"/>
  <c r="MD32" i="17"/>
  <c r="ME32" i="17"/>
  <c r="MI35" i="17"/>
  <c r="MJ35" i="17"/>
  <c r="AE35" i="17" s="1"/>
  <c r="MF32" i="17"/>
  <c r="MF38" i="17"/>
  <c r="MJ42" i="17"/>
  <c r="MI42" i="17"/>
  <c r="MH34" i="17"/>
  <c r="LY33" i="17"/>
  <c r="MJ33" i="17"/>
  <c r="MI33" i="17"/>
  <c r="MA33" i="17"/>
  <c r="LZ33" i="17"/>
  <c r="MB33" i="17"/>
  <c r="MC33" i="17"/>
  <c r="MD33" i="17"/>
  <c r="ME33" i="17"/>
  <c r="MF33" i="17"/>
  <c r="MG33" i="17"/>
  <c r="MH33" i="17"/>
  <c r="LY39" i="17"/>
  <c r="MJ39" i="17"/>
  <c r="MI39" i="17"/>
  <c r="LZ39" i="17"/>
  <c r="MA39" i="17"/>
  <c r="MB39" i="17"/>
  <c r="MC39" i="17"/>
  <c r="MD39" i="17"/>
  <c r="MF39" i="17"/>
  <c r="ME39" i="17"/>
  <c r="MG39" i="17"/>
  <c r="MA31" i="17"/>
  <c r="MI31" i="17"/>
  <c r="LY31" i="17"/>
  <c r="MJ31" i="17"/>
  <c r="LZ31" i="17"/>
  <c r="MB31" i="17"/>
  <c r="MD31" i="17"/>
  <c r="MC31" i="17"/>
  <c r="ME31" i="17"/>
  <c r="MF31" i="17"/>
  <c r="MJ41" i="17"/>
  <c r="AE41" i="17" s="1"/>
  <c r="MI41" i="17"/>
  <c r="MG34" i="17"/>
  <c r="MJ34" i="17"/>
  <c r="MI34" i="17"/>
  <c r="MH31" i="17"/>
  <c r="MH40" i="17"/>
  <c r="Y38" i="17"/>
  <c r="MJ38" i="17"/>
  <c r="MI38" i="17"/>
  <c r="LZ38" i="17"/>
  <c r="MA38" i="17"/>
  <c r="LY38" i="17"/>
  <c r="MB38" i="17"/>
  <c r="MC38" i="17"/>
  <c r="ME38" i="17"/>
  <c r="MD38" i="17"/>
  <c r="MG40" i="17"/>
  <c r="MG35" i="17"/>
  <c r="LY35" i="17"/>
  <c r="LZ35" i="17"/>
  <c r="MA35" i="17"/>
  <c r="MC35" i="17"/>
  <c r="MB35" i="17"/>
  <c r="MD35" i="17"/>
  <c r="ME35" i="17"/>
  <c r="MH35" i="17"/>
  <c r="MF35" i="17"/>
  <c r="LY34" i="17"/>
  <c r="LZ34" i="17"/>
  <c r="MA34" i="17"/>
  <c r="MB34" i="17"/>
  <c r="MC34" i="17"/>
  <c r="ME34" i="17"/>
  <c r="MF34" i="17"/>
  <c r="MD34" i="17"/>
  <c r="MH42" i="17"/>
  <c r="LY42" i="17"/>
  <c r="LZ42" i="17"/>
  <c r="MA42" i="17"/>
  <c r="MB42" i="17"/>
  <c r="MC42" i="17"/>
  <c r="MD42" i="17"/>
  <c r="ME42" i="17"/>
  <c r="MF42" i="17"/>
  <c r="MG42" i="17"/>
  <c r="Y41" i="17"/>
  <c r="LZ41" i="17"/>
  <c r="MA41" i="17"/>
  <c r="LY41" i="17"/>
  <c r="MC41" i="17"/>
  <c r="MB41" i="17"/>
  <c r="ME41" i="17"/>
  <c r="MD41" i="17"/>
  <c r="MF41" i="17"/>
  <c r="MG41" i="17"/>
  <c r="MH41" i="17"/>
  <c r="BM6" i="9"/>
  <c r="BM6" i="8"/>
  <c r="BL6" i="5"/>
  <c r="BK6" i="4"/>
  <c r="G412" i="1"/>
  <c r="H412" i="1"/>
  <c r="G411" i="1"/>
  <c r="H411" i="1"/>
  <c r="H413" i="1"/>
  <c r="J411" i="1"/>
  <c r="I413" i="1"/>
  <c r="I412" i="1"/>
  <c r="I411" i="1"/>
  <c r="J413" i="1"/>
  <c r="J412" i="1"/>
  <c r="B418" i="1"/>
  <c r="BK6" i="3"/>
  <c r="BK11" i="3" s="1"/>
  <c r="NN65" i="17" l="1"/>
  <c r="NN109" i="17"/>
  <c r="NN66" i="17"/>
  <c r="NN67" i="17"/>
  <c r="NN64" i="17"/>
  <c r="IX53" i="17"/>
  <c r="GO54" i="17"/>
  <c r="GP55" i="17"/>
  <c r="GN52" i="17"/>
  <c r="IX52" i="17"/>
  <c r="GO55" i="17"/>
  <c r="GN53" i="17"/>
  <c r="GO53" i="17"/>
  <c r="GQ52" i="17"/>
  <c r="GP54" i="17"/>
  <c r="GN54" i="17"/>
  <c r="IX54" i="17"/>
  <c r="GO52" i="17"/>
  <c r="GP53" i="17"/>
  <c r="GN55" i="17"/>
  <c r="GQ54" i="17"/>
  <c r="IX55" i="17"/>
  <c r="GQ53" i="17"/>
  <c r="GQ55" i="17"/>
  <c r="GP52" i="17"/>
  <c r="GN61" i="17"/>
  <c r="IV61" i="17"/>
  <c r="IX61" i="17"/>
  <c r="IU61" i="17"/>
  <c r="GP61" i="17"/>
  <c r="IW61" i="17"/>
  <c r="GQ61" i="17"/>
  <c r="GO61" i="17"/>
  <c r="GO59" i="17"/>
  <c r="GN59" i="17"/>
  <c r="GQ60" i="17"/>
  <c r="IW59" i="17"/>
  <c r="GP60" i="17"/>
  <c r="GQ58" i="17"/>
  <c r="GP58" i="17"/>
  <c r="GO58" i="17"/>
  <c r="GP59" i="17"/>
  <c r="GQ59" i="17"/>
  <c r="IW58" i="17"/>
  <c r="IX58" i="17"/>
  <c r="GN60" i="17"/>
  <c r="GO60" i="17"/>
  <c r="IU58" i="17"/>
  <c r="IX60" i="17"/>
  <c r="IX59" i="17"/>
  <c r="IW60" i="17"/>
  <c r="IV58" i="17"/>
  <c r="GN58" i="17"/>
  <c r="NM66" i="17"/>
  <c r="NM67" i="17"/>
  <c r="NM64" i="17"/>
  <c r="NM109" i="17"/>
  <c r="NM65" i="17"/>
  <c r="NL66" i="17"/>
  <c r="NL67" i="17"/>
  <c r="NL64" i="17"/>
  <c r="NL109" i="17"/>
  <c r="NL65" i="17"/>
  <c r="NJ66" i="17"/>
  <c r="NK66" i="17"/>
  <c r="NK67" i="17"/>
  <c r="NK109" i="17"/>
  <c r="NK64" i="17"/>
  <c r="NK65" i="17"/>
  <c r="NJ64" i="17"/>
  <c r="NJ67" i="17"/>
  <c r="NJ109" i="17"/>
  <c r="NJ65" i="17"/>
  <c r="GL59" i="17"/>
  <c r="GL58" i="17"/>
  <c r="GM60" i="17"/>
  <c r="IS60" i="17"/>
  <c r="IT60" i="17"/>
  <c r="GM59" i="17"/>
  <c r="IS59" i="17"/>
  <c r="GL60" i="17"/>
  <c r="IT58" i="17"/>
  <c r="IT59" i="17"/>
  <c r="GM58" i="17"/>
  <c r="IS58" i="17"/>
  <c r="GM54" i="17"/>
  <c r="GK55" i="17"/>
  <c r="GK52" i="17"/>
  <c r="GL55" i="17"/>
  <c r="GM55" i="17"/>
  <c r="GK54" i="17"/>
  <c r="GJ54" i="17"/>
  <c r="GL52" i="17"/>
  <c r="GK53" i="17"/>
  <c r="GJ52" i="17"/>
  <c r="GM53" i="17"/>
  <c r="GM52" i="17"/>
  <c r="GJ53" i="17"/>
  <c r="GL54" i="17"/>
  <c r="GL53" i="17"/>
  <c r="GJ55" i="17"/>
  <c r="IR58" i="17"/>
  <c r="GL61" i="17"/>
  <c r="GJ58" i="17"/>
  <c r="GK58" i="17"/>
  <c r="GK59" i="17"/>
  <c r="GK60" i="17"/>
  <c r="GM61" i="17"/>
  <c r="GK61" i="17"/>
  <c r="GJ59" i="17"/>
  <c r="IR61" i="17"/>
  <c r="IS61" i="17"/>
  <c r="GJ61" i="17"/>
  <c r="GJ60" i="17"/>
  <c r="IQ61" i="17"/>
  <c r="IQ58" i="17"/>
  <c r="IT61" i="17"/>
  <c r="NI66" i="17"/>
  <c r="BK22" i="3"/>
  <c r="NI65" i="17"/>
  <c r="NI64" i="17"/>
  <c r="NI67" i="17"/>
  <c r="NI109" i="17"/>
  <c r="NH109" i="17"/>
  <c r="NH66" i="17"/>
  <c r="NH65" i="17"/>
  <c r="NH64" i="17"/>
  <c r="NH67" i="17"/>
  <c r="NG65" i="17"/>
  <c r="NG109" i="17"/>
  <c r="NG64" i="17"/>
  <c r="NG66" i="17"/>
  <c r="NG67" i="17"/>
  <c r="W72" i="40"/>
  <c r="U71" i="40"/>
  <c r="NF64" i="17"/>
  <c r="NF109" i="17"/>
  <c r="W71" i="40"/>
  <c r="NF66" i="17"/>
  <c r="S72" i="40"/>
  <c r="NF67" i="17"/>
  <c r="NF65" i="17"/>
  <c r="Y71" i="40"/>
  <c r="IP61" i="17"/>
  <c r="GI58" i="17"/>
  <c r="GI60" i="17"/>
  <c r="IP60" i="17"/>
  <c r="IP58" i="17"/>
  <c r="GI61" i="17"/>
  <c r="GI59" i="17"/>
  <c r="IP59" i="17"/>
  <c r="IP55" i="17"/>
  <c r="GI54" i="17"/>
  <c r="GI52" i="17"/>
  <c r="IP53" i="17"/>
  <c r="GI55" i="17"/>
  <c r="IP54" i="17"/>
  <c r="GI53" i="17"/>
  <c r="IP52" i="17"/>
  <c r="NE109" i="17"/>
  <c r="NE66" i="17"/>
  <c r="NE67" i="17"/>
  <c r="NE64" i="17"/>
  <c r="NE65" i="17"/>
  <c r="U72" i="40"/>
  <c r="GH61" i="17"/>
  <c r="IO61" i="17"/>
  <c r="IM61" i="17"/>
  <c r="GH58" i="17"/>
  <c r="GF61" i="17"/>
  <c r="GG61" i="17"/>
  <c r="IN61" i="17"/>
  <c r="IM58" i="17"/>
  <c r="IN58" i="17"/>
  <c r="GG58" i="17"/>
  <c r="IO59" i="17"/>
  <c r="GF60" i="17"/>
  <c r="IO58" i="17"/>
  <c r="GG59" i="17"/>
  <c r="GF59" i="17"/>
  <c r="GG60" i="17"/>
  <c r="GH60" i="17"/>
  <c r="GH59" i="17"/>
  <c r="IO60" i="17"/>
  <c r="GF58" i="17"/>
  <c r="IO52" i="17"/>
  <c r="GG53" i="17"/>
  <c r="GF54" i="17"/>
  <c r="GF55" i="17"/>
  <c r="GH52" i="17"/>
  <c r="GG55" i="17"/>
  <c r="GH55" i="17"/>
  <c r="GF52" i="17"/>
  <c r="IO53" i="17"/>
  <c r="IO55" i="17"/>
  <c r="GH54" i="17"/>
  <c r="GH53" i="17"/>
  <c r="GF53" i="17"/>
  <c r="GG52" i="17"/>
  <c r="IO54" i="17"/>
  <c r="GG54" i="17"/>
  <c r="ND109" i="17"/>
  <c r="ND66" i="17"/>
  <c r="S71" i="40"/>
  <c r="ND64" i="17"/>
  <c r="ND65" i="17"/>
  <c r="ND67" i="17"/>
  <c r="NC64" i="17"/>
  <c r="NC65" i="17"/>
  <c r="NC66" i="17"/>
  <c r="NC109" i="17"/>
  <c r="NC67" i="17"/>
  <c r="NB109" i="17"/>
  <c r="NB66" i="17"/>
  <c r="NB64" i="17"/>
  <c r="NB65" i="17"/>
  <c r="NB67" i="17"/>
  <c r="GC54" i="17"/>
  <c r="GE54" i="17"/>
  <c r="GD53" i="17"/>
  <c r="GC53" i="17"/>
  <c r="GA53" i="17"/>
  <c r="GB55" i="17"/>
  <c r="GA55" i="17"/>
  <c r="GD52" i="17"/>
  <c r="GE52" i="17"/>
  <c r="GC55" i="17"/>
  <c r="GB52" i="17"/>
  <c r="IL54" i="17"/>
  <c r="IL52" i="17"/>
  <c r="GE55" i="17"/>
  <c r="GD55" i="17"/>
  <c r="GE53" i="17"/>
  <c r="GA54" i="17"/>
  <c r="GA52" i="17"/>
  <c r="GC52" i="17"/>
  <c r="GD54" i="17"/>
  <c r="IL53" i="17"/>
  <c r="GB54" i="17"/>
  <c r="GB53" i="17"/>
  <c r="IL55" i="17"/>
  <c r="GD61" i="17"/>
  <c r="IL59" i="17"/>
  <c r="IK61" i="17"/>
  <c r="GE61" i="17"/>
  <c r="GA61" i="17"/>
  <c r="IL61" i="17"/>
  <c r="IL58" i="17"/>
  <c r="GE58" i="17"/>
  <c r="GC58" i="17"/>
  <c r="GE60" i="17"/>
  <c r="GA59" i="17"/>
  <c r="GB60" i="17"/>
  <c r="GB59" i="17"/>
  <c r="GA58" i="17"/>
  <c r="IH58" i="17"/>
  <c r="GB61" i="17"/>
  <c r="GD60" i="17"/>
  <c r="IH61" i="17"/>
  <c r="IK58" i="17"/>
  <c r="GC60" i="17"/>
  <c r="GD58" i="17"/>
  <c r="IL60" i="17"/>
  <c r="GE59" i="17"/>
  <c r="GA60" i="17"/>
  <c r="GC59" i="17"/>
  <c r="II58" i="17"/>
  <c r="II61" i="17"/>
  <c r="GB58" i="17"/>
  <c r="GC61" i="17"/>
  <c r="IJ61" i="17"/>
  <c r="GD59" i="17"/>
  <c r="IJ58" i="17"/>
  <c r="NA65" i="17"/>
  <c r="NA66" i="17"/>
  <c r="NA67" i="17"/>
  <c r="NA64" i="17"/>
  <c r="NA109" i="17"/>
  <c r="MZ65" i="17"/>
  <c r="MZ66" i="17"/>
  <c r="MZ67" i="17"/>
  <c r="MZ64" i="17"/>
  <c r="MZ109" i="17"/>
  <c r="MY109" i="17"/>
  <c r="MY67" i="17"/>
  <c r="MY65" i="17"/>
  <c r="MY66" i="17"/>
  <c r="MY64" i="17"/>
  <c r="MX64" i="17"/>
  <c r="MX109" i="17"/>
  <c r="MX65" i="17"/>
  <c r="MX66" i="17"/>
  <c r="MX67" i="17"/>
  <c r="Q71" i="40"/>
  <c r="MW64" i="17"/>
  <c r="MW65" i="17"/>
  <c r="MW66" i="17"/>
  <c r="MW109" i="17"/>
  <c r="MW67" i="17"/>
  <c r="BL4" i="5"/>
  <c r="BL11" i="5"/>
  <c r="BL14" i="5"/>
  <c r="BL16" i="5"/>
  <c r="R422" i="1" s="1"/>
  <c r="BL19" i="5"/>
  <c r="R423" i="1" s="1"/>
  <c r="BL10" i="5"/>
  <c r="R419" i="1" s="1"/>
  <c r="BL13" i="5"/>
  <c r="R420" i="1" s="1"/>
  <c r="BK4" i="3"/>
  <c r="BK17" i="3"/>
  <c r="BK8" i="3"/>
  <c r="BK14" i="3"/>
  <c r="BK16" i="3"/>
  <c r="D414" i="1" s="1"/>
  <c r="BK10" i="3"/>
  <c r="D411" i="1" s="1"/>
  <c r="BK13" i="3"/>
  <c r="D412" i="1" s="1"/>
  <c r="BK19" i="3"/>
  <c r="D415" i="1" s="1"/>
  <c r="BM14" i="9"/>
  <c r="BM11" i="9"/>
  <c r="BM16" i="9"/>
  <c r="BM10" i="9"/>
  <c r="BM19" i="9"/>
  <c r="BM13" i="9"/>
  <c r="BJ59" i="17"/>
  <c r="IG58" i="17"/>
  <c r="FY59" i="17"/>
  <c r="IG59" i="17"/>
  <c r="FZ59" i="17"/>
  <c r="BJ60" i="17"/>
  <c r="FZ58" i="17"/>
  <c r="BJ61" i="17"/>
  <c r="IG61" i="17"/>
  <c r="IF59" i="17"/>
  <c r="FZ61" i="17"/>
  <c r="IF60" i="17"/>
  <c r="FY60" i="17"/>
  <c r="IG60" i="17"/>
  <c r="FZ60" i="17"/>
  <c r="FY58" i="17"/>
  <c r="IF58" i="17"/>
  <c r="S419" i="1"/>
  <c r="E419" i="1"/>
  <c r="R67" i="17"/>
  <c r="BM17" i="8"/>
  <c r="BM8" i="8"/>
  <c r="BM11" i="8"/>
  <c r="BM14" i="8"/>
  <c r="BM16" i="8"/>
  <c r="BM19" i="8"/>
  <c r="BM10" i="8"/>
  <c r="BM13" i="8"/>
  <c r="FZ53" i="17"/>
  <c r="FZ54" i="17"/>
  <c r="Y33" i="40" s="1"/>
  <c r="FZ55" i="17"/>
  <c r="IG52" i="17"/>
  <c r="IG55" i="17"/>
  <c r="IG53" i="17"/>
  <c r="IG54" i="17"/>
  <c r="FZ52" i="17"/>
  <c r="BK4" i="4"/>
  <c r="BK17" i="4"/>
  <c r="BK8" i="4"/>
  <c r="BK11" i="4"/>
  <c r="BK14" i="4"/>
  <c r="BK19" i="4"/>
  <c r="Q415" i="1" s="1"/>
  <c r="BK13" i="4"/>
  <c r="Q412" i="1" s="1"/>
  <c r="BK16" i="4"/>
  <c r="Q414" i="1" s="1"/>
  <c r="BK10" i="4"/>
  <c r="Q411" i="1" s="1"/>
  <c r="AB33" i="17"/>
  <c r="MV109" i="17"/>
  <c r="MV66" i="17"/>
  <c r="MV64" i="17"/>
  <c r="MV67" i="17"/>
  <c r="MV65" i="17"/>
  <c r="AA31" i="17"/>
  <c r="X31" i="17" s="1"/>
  <c r="R66" i="17"/>
  <c r="BM10" i="10"/>
  <c r="AB31" i="17"/>
  <c r="R64" i="17"/>
  <c r="AA33" i="17"/>
  <c r="X33" i="17" s="1"/>
  <c r="Q72" i="40"/>
  <c r="F415" i="1"/>
  <c r="F414" i="1"/>
  <c r="IC53" i="17"/>
  <c r="FW53" i="17"/>
  <c r="IF52" i="17"/>
  <c r="IF55" i="17"/>
  <c r="IE54" i="17"/>
  <c r="FX52" i="17"/>
  <c r="IA53" i="17"/>
  <c r="IF53" i="17"/>
  <c r="FY53" i="17"/>
  <c r="FT55" i="17"/>
  <c r="FU52" i="17"/>
  <c r="FT54" i="17"/>
  <c r="IC55" i="17"/>
  <c r="IA52" i="17"/>
  <c r="FX54" i="17"/>
  <c r="IE52" i="17"/>
  <c r="FV55" i="17"/>
  <c r="FY55" i="17"/>
  <c r="IC52" i="17"/>
  <c r="FT52" i="17"/>
  <c r="FU53" i="17"/>
  <c r="FV53" i="17"/>
  <c r="FU55" i="17"/>
  <c r="IB54" i="17"/>
  <c r="FX55" i="17"/>
  <c r="ID54" i="17"/>
  <c r="FY54" i="17"/>
  <c r="IB52" i="17"/>
  <c r="FW55" i="17"/>
  <c r="FW54" i="17"/>
  <c r="FX53" i="17"/>
  <c r="IC54" i="17"/>
  <c r="ID52" i="17"/>
  <c r="IB53" i="17"/>
  <c r="FU54" i="17"/>
  <c r="FW52" i="17"/>
  <c r="ID55" i="17"/>
  <c r="FV54" i="17"/>
  <c r="IA55" i="17"/>
  <c r="FT53" i="17"/>
  <c r="IB55" i="17"/>
  <c r="FV52" i="17"/>
  <c r="FY52" i="17"/>
  <c r="IE55" i="17"/>
  <c r="IA54" i="17"/>
  <c r="IF54" i="17"/>
  <c r="IE53" i="17"/>
  <c r="ID53" i="17"/>
  <c r="F421" i="1"/>
  <c r="S422" i="1"/>
  <c r="S423" i="1"/>
  <c r="S420" i="1"/>
  <c r="IF61" i="17"/>
  <c r="IC60" i="17"/>
  <c r="FX59" i="17"/>
  <c r="IB59" i="17"/>
  <c r="ID59" i="17"/>
  <c r="IE61" i="17"/>
  <c r="FT59" i="17"/>
  <c r="FW58" i="17"/>
  <c r="FX61" i="17"/>
  <c r="IA61" i="17"/>
  <c r="ID60" i="17"/>
  <c r="FX60" i="17"/>
  <c r="FU60" i="17"/>
  <c r="IC58" i="17"/>
  <c r="IC61" i="17"/>
  <c r="FT61" i="17"/>
  <c r="FU59" i="17"/>
  <c r="FV58" i="17"/>
  <c r="ID58" i="17"/>
  <c r="IB61" i="17"/>
  <c r="FY61" i="17"/>
  <c r="FT58" i="17"/>
  <c r="IE58" i="17"/>
  <c r="FT60" i="17"/>
  <c r="FV59" i="17"/>
  <c r="IA59" i="17"/>
  <c r="IB58" i="17"/>
  <c r="FX58" i="17"/>
  <c r="FV61" i="17"/>
  <c r="IA60" i="17"/>
  <c r="IB60" i="17"/>
  <c r="FU61" i="17"/>
  <c r="IE60" i="17"/>
  <c r="FW59" i="17"/>
  <c r="IE59" i="17"/>
  <c r="IC59" i="17"/>
  <c r="FU58" i="17"/>
  <c r="IA58" i="17"/>
  <c r="FW60" i="17"/>
  <c r="FV60" i="17"/>
  <c r="FW61" i="17"/>
  <c r="ID61" i="17"/>
  <c r="MU65" i="17"/>
  <c r="F412" i="1"/>
  <c r="F411" i="1"/>
  <c r="MU66" i="17"/>
  <c r="MU64" i="17"/>
  <c r="MU67" i="17"/>
  <c r="MU109" i="17"/>
  <c r="N39" i="26"/>
  <c r="MT66" i="17"/>
  <c r="K39" i="26"/>
  <c r="M39" i="26"/>
  <c r="MT109" i="17"/>
  <c r="MT64" i="17"/>
  <c r="MT67" i="17"/>
  <c r="MT65" i="17"/>
  <c r="T47" i="26"/>
  <c r="AF33" i="17"/>
  <c r="AC33" i="17" s="1"/>
  <c r="AA32" i="17"/>
  <c r="X32" i="17" s="1"/>
  <c r="MS64" i="17"/>
  <c r="MS67" i="17"/>
  <c r="AE124" i="40"/>
  <c r="P124" i="40"/>
  <c r="Q108" i="26"/>
  <c r="MS65" i="17"/>
  <c r="MS66" i="17"/>
  <c r="MS109" i="17"/>
  <c r="O46" i="26"/>
  <c r="K46" i="26"/>
  <c r="M46" i="26"/>
  <c r="S46" i="26"/>
  <c r="T46" i="26"/>
  <c r="N46" i="26"/>
  <c r="J46" i="26"/>
  <c r="AF32" i="17"/>
  <c r="AC32" i="17" s="1"/>
  <c r="AB32" i="17"/>
  <c r="AF31" i="17"/>
  <c r="AC31" i="17" s="1"/>
  <c r="MR109" i="17"/>
  <c r="MR66" i="17"/>
  <c r="MR65" i="17"/>
  <c r="MR64" i="17"/>
  <c r="MR67" i="17"/>
  <c r="AA41" i="17"/>
  <c r="X41" i="17" s="1"/>
  <c r="Q53" i="26"/>
  <c r="M53" i="26"/>
  <c r="Q46" i="26"/>
  <c r="R46" i="26"/>
  <c r="Q54" i="26"/>
  <c r="K54" i="26"/>
  <c r="Q39" i="26"/>
  <c r="R39" i="26"/>
  <c r="Q47" i="26"/>
  <c r="M47" i="26"/>
  <c r="K47" i="26"/>
  <c r="L47" i="26"/>
  <c r="R47" i="26"/>
  <c r="S47" i="26"/>
  <c r="J47" i="26"/>
  <c r="N47" i="26"/>
  <c r="MQ66" i="17"/>
  <c r="MQ65" i="17"/>
  <c r="MQ109" i="17"/>
  <c r="MQ64" i="17"/>
  <c r="MQ67" i="17"/>
  <c r="V38" i="26"/>
  <c r="MP64" i="17"/>
  <c r="MP109" i="17"/>
  <c r="MP67" i="17"/>
  <c r="MP66" i="17"/>
  <c r="MP65" i="17"/>
  <c r="MM109" i="17"/>
  <c r="R109" i="17"/>
  <c r="KG109" i="17"/>
  <c r="MO109" i="17"/>
  <c r="K109" i="17"/>
  <c r="Q109" i="17"/>
  <c r="KW109" i="17"/>
  <c r="KZ109" i="17"/>
  <c r="LG109" i="17"/>
  <c r="KE109" i="17"/>
  <c r="JY109" i="17"/>
  <c r="KM109" i="17"/>
  <c r="LQ109" i="17"/>
  <c r="LL109" i="17"/>
  <c r="KN109" i="17"/>
  <c r="KH109" i="17"/>
  <c r="KQ109" i="17"/>
  <c r="LI109" i="17"/>
  <c r="KR109" i="17"/>
  <c r="KY109" i="17"/>
  <c r="KC109" i="17"/>
  <c r="KS109" i="17"/>
  <c r="KU109" i="17"/>
  <c r="LJ109" i="17"/>
  <c r="KI109" i="17"/>
  <c r="LK109" i="17"/>
  <c r="LD109" i="17"/>
  <c r="LH109" i="17"/>
  <c r="JZ109" i="17"/>
  <c r="KF109" i="17"/>
  <c r="KB109" i="17"/>
  <c r="LB109" i="17"/>
  <c r="KL109" i="17"/>
  <c r="LM109" i="17"/>
  <c r="KO109" i="17"/>
  <c r="LN109" i="17"/>
  <c r="KV109" i="17"/>
  <c r="LA109" i="17"/>
  <c r="KP109" i="17"/>
  <c r="KT109" i="17"/>
  <c r="KD109" i="17"/>
  <c r="KK109" i="17"/>
  <c r="KX109" i="17"/>
  <c r="KJ109" i="17"/>
  <c r="LE109" i="17"/>
  <c r="LO109" i="17"/>
  <c r="LC109" i="17"/>
  <c r="LR109" i="17"/>
  <c r="LP109" i="17"/>
  <c r="LF109" i="17"/>
  <c r="KA109" i="17"/>
  <c r="MN109" i="17"/>
  <c r="FS59" i="17"/>
  <c r="HZ60" i="17"/>
  <c r="FS58" i="17"/>
  <c r="FS60" i="17"/>
  <c r="HZ58" i="17"/>
  <c r="HZ59" i="17"/>
  <c r="V52" i="26"/>
  <c r="V50" i="26"/>
  <c r="V43" i="26"/>
  <c r="V36" i="26"/>
  <c r="V44" i="26"/>
  <c r="V45" i="26"/>
  <c r="V51" i="26"/>
  <c r="V40" i="26"/>
  <c r="V37" i="26"/>
  <c r="BM4" i="8"/>
  <c r="HX53" i="17"/>
  <c r="HY54" i="17"/>
  <c r="HQ54" i="17"/>
  <c r="FR53" i="17"/>
  <c r="HX52" i="17"/>
  <c r="FR54" i="17"/>
  <c r="FS54" i="17"/>
  <c r="FS55" i="17"/>
  <c r="BC55" i="17"/>
  <c r="DK55" i="17" s="1" a="1"/>
  <c r="DK55" i="17" s="1"/>
  <c r="FQ52" i="17"/>
  <c r="HV55" i="17"/>
  <c r="HT54" i="17"/>
  <c r="HS55" i="17"/>
  <c r="HS53" i="17"/>
  <c r="HW53" i="17"/>
  <c r="HP53" i="17"/>
  <c r="HP55" i="17"/>
  <c r="HQ53" i="17"/>
  <c r="HS52" i="17"/>
  <c r="BA53" i="17"/>
  <c r="DI53" i="17" s="1" a="1"/>
  <c r="DI53" i="17" s="1"/>
  <c r="FQ55" i="17"/>
  <c r="HR55" i="17"/>
  <c r="HQ52" i="17"/>
  <c r="HT53" i="17"/>
  <c r="HX55" i="17"/>
  <c r="HR52" i="17"/>
  <c r="HY55" i="17"/>
  <c r="HS54" i="17"/>
  <c r="FS52" i="17"/>
  <c r="HW54" i="17"/>
  <c r="FP54" i="17"/>
  <c r="FR52" i="17"/>
  <c r="HW55" i="17"/>
  <c r="FS53" i="17"/>
  <c r="HR53" i="17"/>
  <c r="HZ53" i="17"/>
  <c r="HU55" i="17"/>
  <c r="HR54" i="17"/>
  <c r="HP54" i="17"/>
  <c r="HU53" i="17"/>
  <c r="HQ55" i="17"/>
  <c r="HT52" i="17"/>
  <c r="BB53" i="17"/>
  <c r="FQ53" i="17"/>
  <c r="FP53" i="17"/>
  <c r="HY52" i="17"/>
  <c r="BA55" i="17"/>
  <c r="DI55" i="17" s="1" a="1"/>
  <c r="DI55" i="17" s="1"/>
  <c r="HU54" i="17"/>
  <c r="HW52" i="17"/>
  <c r="HY53" i="17"/>
  <c r="HU52" i="17"/>
  <c r="HV52" i="17"/>
  <c r="HZ52" i="17"/>
  <c r="HV53" i="17"/>
  <c r="FP55" i="17"/>
  <c r="HX54" i="17"/>
  <c r="HP52" i="17"/>
  <c r="FR55" i="17"/>
  <c r="HV54" i="17"/>
  <c r="HT55" i="17"/>
  <c r="BB55" i="17"/>
  <c r="DJ55" i="17" s="1" a="1"/>
  <c r="DJ55" i="17" s="1"/>
  <c r="FQ54" i="17"/>
  <c r="BC53" i="17"/>
  <c r="HZ55" i="17"/>
  <c r="FP52" i="17"/>
  <c r="HZ54" i="17"/>
  <c r="K422" i="1"/>
  <c r="K419" i="1"/>
  <c r="K420" i="1"/>
  <c r="K423" i="1"/>
  <c r="BM35" i="9"/>
  <c r="BM4" i="9"/>
  <c r="HU58" i="17"/>
  <c r="HO60" i="17"/>
  <c r="HY58" i="17"/>
  <c r="HS59" i="17"/>
  <c r="HX59" i="17"/>
  <c r="FQ58" i="17"/>
  <c r="HW58" i="17"/>
  <c r="FQ59" i="17"/>
  <c r="FR60" i="17"/>
  <c r="HX61" i="17"/>
  <c r="HP59" i="17"/>
  <c r="HX58" i="17"/>
  <c r="HV58" i="17"/>
  <c r="HQ61" i="17"/>
  <c r="HX60" i="17"/>
  <c r="HU60" i="17"/>
  <c r="HS58" i="17"/>
  <c r="HT58" i="17"/>
  <c r="HP60" i="17"/>
  <c r="FQ60" i="17"/>
  <c r="HW59" i="17"/>
  <c r="HS60" i="17"/>
  <c r="HV60" i="17"/>
  <c r="HR60" i="17"/>
  <c r="FP60" i="17"/>
  <c r="FP59" i="17"/>
  <c r="HP61" i="17"/>
  <c r="HV59" i="17"/>
  <c r="HY61" i="17"/>
  <c r="HW60" i="17"/>
  <c r="FP58" i="17"/>
  <c r="FR58" i="17"/>
  <c r="HV61" i="17"/>
  <c r="HW61" i="17"/>
  <c r="HQ58" i="17"/>
  <c r="HT59" i="17"/>
  <c r="HS61" i="17"/>
  <c r="HR61" i="17"/>
  <c r="FR59" i="17"/>
  <c r="HY60" i="17"/>
  <c r="HQ59" i="17"/>
  <c r="HT60" i="17"/>
  <c r="HR59" i="17"/>
  <c r="HU59" i="17"/>
  <c r="HR58" i="17"/>
  <c r="HY59" i="17"/>
  <c r="HU61" i="17"/>
  <c r="HT61" i="17"/>
  <c r="HZ61" i="17"/>
  <c r="FS61" i="17"/>
  <c r="HP58" i="17"/>
  <c r="FR61" i="17"/>
  <c r="FQ61" i="17"/>
  <c r="HQ60" i="17"/>
  <c r="T108" i="26"/>
  <c r="P108" i="26"/>
  <c r="O108" i="26"/>
  <c r="MO66" i="17"/>
  <c r="MO65" i="17"/>
  <c r="MO64" i="17"/>
  <c r="MO67" i="17"/>
  <c r="AB41" i="17"/>
  <c r="V420" i="1"/>
  <c r="U422" i="1"/>
  <c r="U420" i="1"/>
  <c r="V419" i="1"/>
  <c r="U419" i="1"/>
  <c r="V422" i="1"/>
  <c r="V423" i="1"/>
  <c r="U423" i="1"/>
  <c r="P423" i="1"/>
  <c r="O422" i="1"/>
  <c r="O419" i="1"/>
  <c r="O423" i="1"/>
  <c r="O420" i="1"/>
  <c r="E422" i="1"/>
  <c r="N420" i="1"/>
  <c r="N419" i="1"/>
  <c r="N423" i="1"/>
  <c r="N422" i="1"/>
  <c r="M422" i="1"/>
  <c r="P422" i="1"/>
  <c r="M423" i="1"/>
  <c r="P419" i="1"/>
  <c r="M420" i="1"/>
  <c r="M419" i="1"/>
  <c r="P420" i="1"/>
  <c r="E423" i="1"/>
  <c r="E420" i="1"/>
  <c r="MN66" i="17"/>
  <c r="MN65" i="17"/>
  <c r="R65" i="17"/>
  <c r="MN64" i="17"/>
  <c r="MN67" i="17"/>
  <c r="K65" i="17"/>
  <c r="Q65" i="17"/>
  <c r="MM66" i="17"/>
  <c r="MM65" i="17"/>
  <c r="K66" i="17"/>
  <c r="Q66" i="17"/>
  <c r="LG65" i="17"/>
  <c r="LF65" i="17"/>
  <c r="KD65" i="17"/>
  <c r="LK65" i="17"/>
  <c r="KR65" i="17"/>
  <c r="KO65" i="17"/>
  <c r="KL65" i="17"/>
  <c r="KF65" i="17"/>
  <c r="LM65" i="17"/>
  <c r="KC65" i="17"/>
  <c r="LL65" i="17"/>
  <c r="LB65" i="17"/>
  <c r="KW65" i="17"/>
  <c r="KG65" i="17"/>
  <c r="LI65" i="17"/>
  <c r="KJ65" i="17"/>
  <c r="KQ65" i="17"/>
  <c r="KX65" i="17"/>
  <c r="KZ65" i="17"/>
  <c r="KS65" i="17"/>
  <c r="KA65" i="17"/>
  <c r="LR65" i="17"/>
  <c r="KV65" i="17"/>
  <c r="LQ65" i="17"/>
  <c r="KE65" i="17"/>
  <c r="KU65" i="17"/>
  <c r="LJ65" i="17"/>
  <c r="LH65" i="17"/>
  <c r="KY65" i="17"/>
  <c r="KP65" i="17"/>
  <c r="LN65" i="17"/>
  <c r="LA65" i="17"/>
  <c r="KN65" i="17"/>
  <c r="LP65" i="17"/>
  <c r="KI65" i="17"/>
  <c r="LE65" i="17"/>
  <c r="KH65" i="17"/>
  <c r="KM65" i="17"/>
  <c r="KT65" i="17"/>
  <c r="KB65" i="17"/>
  <c r="LD65" i="17"/>
  <c r="LC65" i="17"/>
  <c r="KK65" i="17"/>
  <c r="LO65" i="17"/>
  <c r="LF66" i="17"/>
  <c r="KZ66" i="17"/>
  <c r="KM66" i="17"/>
  <c r="KI66" i="17"/>
  <c r="LK66" i="17"/>
  <c r="KP66" i="17"/>
  <c r="KN66" i="17"/>
  <c r="LO66" i="17"/>
  <c r="LL66" i="17"/>
  <c r="LB66" i="17"/>
  <c r="KA66" i="17"/>
  <c r="LJ66" i="17"/>
  <c r="LD66" i="17"/>
  <c r="KW66" i="17"/>
  <c r="LH66" i="17"/>
  <c r="LI66" i="17"/>
  <c r="KG66" i="17"/>
  <c r="KX66" i="17"/>
  <c r="KK66" i="17"/>
  <c r="LQ66" i="17"/>
  <c r="KR66" i="17"/>
  <c r="KV66" i="17"/>
  <c r="KC66" i="17"/>
  <c r="LN66" i="17"/>
  <c r="KO66" i="17"/>
  <c r="KT66" i="17"/>
  <c r="KD66" i="17"/>
  <c r="LM66" i="17"/>
  <c r="LR66" i="17"/>
  <c r="LE66" i="17"/>
  <c r="LA66" i="17"/>
  <c r="KE66" i="17"/>
  <c r="KQ66" i="17"/>
  <c r="LP66" i="17"/>
  <c r="KS66" i="17"/>
  <c r="KB66" i="17"/>
  <c r="KF66" i="17"/>
  <c r="KL66" i="17"/>
  <c r="KH66" i="17"/>
  <c r="LG66" i="17"/>
  <c r="KU66" i="17"/>
  <c r="KY66" i="17"/>
  <c r="KJ66" i="17"/>
  <c r="LC66" i="17"/>
  <c r="MM64" i="17"/>
  <c r="KT67" i="17"/>
  <c r="LR67" i="17"/>
  <c r="KM67" i="17"/>
  <c r="LC67" i="17"/>
  <c r="KH67" i="17"/>
  <c r="KK67" i="17"/>
  <c r="KX67" i="17"/>
  <c r="KQ67" i="17"/>
  <c r="KJ67" i="17"/>
  <c r="KN67" i="17"/>
  <c r="LJ67" i="17"/>
  <c r="KG67" i="17"/>
  <c r="KB67" i="17"/>
  <c r="LQ67" i="17"/>
  <c r="LH67" i="17"/>
  <c r="LD67" i="17"/>
  <c r="LA67" i="17"/>
  <c r="LE67" i="17"/>
  <c r="KR67" i="17"/>
  <c r="KU67" i="17"/>
  <c r="LB67" i="17"/>
  <c r="LM67" i="17"/>
  <c r="KC67" i="17"/>
  <c r="LP67" i="17"/>
  <c r="LL67" i="17"/>
  <c r="LG67" i="17"/>
  <c r="KZ67" i="17"/>
  <c r="KE67" i="17"/>
  <c r="KP67" i="17"/>
  <c r="LK67" i="17"/>
  <c r="KA67" i="17"/>
  <c r="LN67" i="17"/>
  <c r="KV67" i="17"/>
  <c r="KS67" i="17"/>
  <c r="KO67" i="17"/>
  <c r="KI67" i="17"/>
  <c r="LI67" i="17"/>
  <c r="KF67" i="17"/>
  <c r="LO67" i="17"/>
  <c r="KL67" i="17"/>
  <c r="LF67" i="17"/>
  <c r="KD67" i="17"/>
  <c r="KY67" i="17"/>
  <c r="KW67" i="17"/>
  <c r="Q64" i="17"/>
  <c r="K64" i="17"/>
  <c r="KM64" i="17"/>
  <c r="KC64" i="17"/>
  <c r="LC64" i="17"/>
  <c r="LP64" i="17"/>
  <c r="LO64" i="17"/>
  <c r="KS64" i="17"/>
  <c r="LL64" i="17"/>
  <c r="LJ64" i="17"/>
  <c r="KK64" i="17"/>
  <c r="LR64" i="17"/>
  <c r="KH64" i="17"/>
  <c r="LK64" i="17"/>
  <c r="LA64" i="17"/>
  <c r="KF64" i="17"/>
  <c r="KP64" i="17"/>
  <c r="KX64" i="17"/>
  <c r="KL64" i="17"/>
  <c r="KE64" i="17"/>
  <c r="KW64" i="17"/>
  <c r="LQ64" i="17"/>
  <c r="KA64" i="17"/>
  <c r="KV64" i="17"/>
  <c r="KG64" i="17"/>
  <c r="KU64" i="17"/>
  <c r="KT64" i="17"/>
  <c r="LM64" i="17"/>
  <c r="KB64" i="17"/>
  <c r="LI64" i="17"/>
  <c r="KZ64" i="17"/>
  <c r="LD64" i="17"/>
  <c r="LB64" i="17"/>
  <c r="KO64" i="17"/>
  <c r="KR64" i="17"/>
  <c r="LE64" i="17"/>
  <c r="LN64" i="17"/>
  <c r="LF64" i="17"/>
  <c r="KY64" i="17"/>
  <c r="KD64" i="17"/>
  <c r="KN64" i="17"/>
  <c r="KJ64" i="17"/>
  <c r="LH64" i="17"/>
  <c r="KQ64" i="17"/>
  <c r="LG64" i="17"/>
  <c r="KI64" i="17"/>
  <c r="MM67" i="17"/>
  <c r="Q67" i="17"/>
  <c r="K67" i="17"/>
  <c r="AB40" i="17"/>
  <c r="AA38" i="17"/>
  <c r="X38" i="17" s="1"/>
  <c r="AB38" i="17"/>
  <c r="AA40" i="17"/>
  <c r="X40" i="17" s="1"/>
  <c r="J423" i="1"/>
  <c r="I423" i="1"/>
  <c r="H423" i="1"/>
  <c r="L423" i="1"/>
  <c r="G423" i="1"/>
  <c r="J422" i="1"/>
  <c r="I422" i="1"/>
  <c r="H422" i="1"/>
  <c r="L420" i="1"/>
  <c r="G422" i="1"/>
  <c r="L422" i="1"/>
  <c r="L419" i="1"/>
  <c r="AE39" i="17"/>
  <c r="FP61" i="17"/>
  <c r="FN60" i="17"/>
  <c r="FO60" i="17"/>
  <c r="FN58" i="17"/>
  <c r="FO59" i="17"/>
  <c r="FM59" i="17"/>
  <c r="KB59" i="17" s="1"/>
  <c r="FM58" i="17"/>
  <c r="KB58" i="17" s="1"/>
  <c r="FN59" i="17"/>
  <c r="FM60" i="17"/>
  <c r="KB60" i="17" s="1"/>
  <c r="FO58" i="17"/>
  <c r="FO53" i="17"/>
  <c r="FO52" i="17"/>
  <c r="FO55" i="17"/>
  <c r="FO54" i="17"/>
  <c r="AE49" i="17"/>
  <c r="Y39" i="17"/>
  <c r="AE34" i="17"/>
  <c r="Y48" i="17"/>
  <c r="AA48" i="17" s="1"/>
  <c r="AE40" i="17"/>
  <c r="AF40" i="17" s="1"/>
  <c r="AC40" i="17" s="1"/>
  <c r="Y47" i="17"/>
  <c r="Y45" i="17"/>
  <c r="Y34" i="17"/>
  <c r="Y46" i="17"/>
  <c r="Y49" i="17"/>
  <c r="AD41" i="17"/>
  <c r="Y42" i="17"/>
  <c r="AE45" i="17"/>
  <c r="FO61" i="17"/>
  <c r="AD39" i="17"/>
  <c r="AD49" i="17"/>
  <c r="AD46" i="17"/>
  <c r="AE46" i="17"/>
  <c r="AE47" i="17"/>
  <c r="AD48" i="17"/>
  <c r="AD47" i="17"/>
  <c r="AD38" i="17"/>
  <c r="Y35" i="17"/>
  <c r="X35" i="17" s="1"/>
  <c r="AD45" i="17"/>
  <c r="AD34" i="17"/>
  <c r="AX58" i="17"/>
  <c r="DF58" i="17" s="1"/>
  <c r="AX60" i="17"/>
  <c r="DF60" i="17" s="1"/>
  <c r="AW61" i="17"/>
  <c r="DE61" i="17" s="1"/>
  <c r="FN61" i="17"/>
  <c r="AW58" i="17"/>
  <c r="DE58" i="17" s="1"/>
  <c r="AW59" i="17"/>
  <c r="DE59" i="17" s="1"/>
  <c r="FM61" i="17"/>
  <c r="KB61" i="17" s="1"/>
  <c r="AX61" i="17"/>
  <c r="DF61" i="17" s="1"/>
  <c r="AW60" i="17"/>
  <c r="DE60" i="17" s="1"/>
  <c r="AX59" i="17"/>
  <c r="DF59" i="17" s="1"/>
  <c r="T109" i="17"/>
  <c r="L109" i="17"/>
  <c r="S64" i="17"/>
  <c r="M64" i="17"/>
  <c r="P66" i="17"/>
  <c r="J66" i="17"/>
  <c r="T64" i="17"/>
  <c r="L64" i="17"/>
  <c r="AE48" i="17"/>
  <c r="T67" i="17"/>
  <c r="M109" i="17"/>
  <c r="S109" i="17"/>
  <c r="M67" i="17"/>
  <c r="S67" i="17"/>
  <c r="J67" i="17"/>
  <c r="P67" i="17"/>
  <c r="T65" i="17"/>
  <c r="AW54" i="17"/>
  <c r="DE54" i="17" s="1"/>
  <c r="FN53" i="17"/>
  <c r="FN52" i="17"/>
  <c r="FN55" i="17"/>
  <c r="FM52" i="17"/>
  <c r="KB52" i="17" s="1"/>
  <c r="AX52" i="17"/>
  <c r="DF52" i="17" s="1" a="1"/>
  <c r="DF52" i="17" s="1"/>
  <c r="FN54" i="17"/>
  <c r="AW52" i="17"/>
  <c r="DE52" i="17" s="1" a="1"/>
  <c r="DE52" i="17" s="1"/>
  <c r="FM55" i="17"/>
  <c r="KB55" i="17" s="1"/>
  <c r="FM54" i="17"/>
  <c r="KB54" i="17" s="1"/>
  <c r="AW53" i="17"/>
  <c r="DE53" i="17" s="1" a="1"/>
  <c r="DE53" i="17" s="1"/>
  <c r="AX53" i="17"/>
  <c r="DF53" i="17" s="1" a="1"/>
  <c r="DF53" i="17" s="1"/>
  <c r="FM53" i="17"/>
  <c r="KB53" i="17" s="1"/>
  <c r="AX54" i="17"/>
  <c r="DF54" i="17" s="1"/>
  <c r="J64" i="17"/>
  <c r="P64" i="17"/>
  <c r="L66" i="17"/>
  <c r="P109" i="17"/>
  <c r="J109" i="17"/>
  <c r="J65" i="17"/>
  <c r="P65" i="17"/>
  <c r="L65" i="17"/>
  <c r="M65" i="17"/>
  <c r="S65" i="17"/>
  <c r="AE38" i="17"/>
  <c r="AD42" i="17"/>
  <c r="AE42" i="17"/>
  <c r="AC35" i="17"/>
  <c r="R108" i="26"/>
  <c r="N108" i="26"/>
  <c r="M108" i="26"/>
  <c r="S108" i="26"/>
  <c r="K108" i="26"/>
  <c r="L108" i="26"/>
  <c r="J108" i="26"/>
  <c r="AV53" i="17"/>
  <c r="DD53" i="17" s="1" a="1"/>
  <c r="DD53" i="17" s="1"/>
  <c r="BM6" i="5"/>
  <c r="BL6" i="4"/>
  <c r="G420" i="1"/>
  <c r="H420" i="1"/>
  <c r="G419" i="1"/>
  <c r="H419" i="1"/>
  <c r="H421" i="1"/>
  <c r="I420" i="1"/>
  <c r="I421" i="1"/>
  <c r="I419" i="1"/>
  <c r="J421" i="1"/>
  <c r="J420" i="1"/>
  <c r="J419" i="1"/>
  <c r="B426" i="1"/>
  <c r="BL6" i="3"/>
  <c r="BL11" i="3" s="1"/>
  <c r="NN55" i="17" l="1"/>
  <c r="NN53" i="17"/>
  <c r="NN58" i="17"/>
  <c r="NN61" i="17"/>
  <c r="NN59" i="17"/>
  <c r="NN52" i="17"/>
  <c r="NN60" i="17"/>
  <c r="NN54" i="17"/>
  <c r="GP104" i="17"/>
  <c r="W119" i="40" s="1"/>
  <c r="GQ104" i="17"/>
  <c r="IU106" i="17"/>
  <c r="IX106" i="17"/>
  <c r="IU103" i="17"/>
  <c r="GN104" i="17"/>
  <c r="GN106" i="17"/>
  <c r="GN105" i="17"/>
  <c r="IX105" i="17"/>
  <c r="GN103" i="17"/>
  <c r="IX104" i="17"/>
  <c r="GP106" i="17"/>
  <c r="GP105" i="17"/>
  <c r="GQ105" i="17"/>
  <c r="GQ103" i="17"/>
  <c r="GP103" i="17"/>
  <c r="W118" i="40" s="1"/>
  <c r="IV103" i="17"/>
  <c r="GO105" i="17"/>
  <c r="IW106" i="17"/>
  <c r="IX103" i="17"/>
  <c r="GO104" i="17"/>
  <c r="GQ106" i="17"/>
  <c r="IW103" i="17"/>
  <c r="IV106" i="17"/>
  <c r="GO106" i="17"/>
  <c r="GO103" i="17"/>
  <c r="NM54" i="17"/>
  <c r="NM52" i="17"/>
  <c r="NM55" i="17"/>
  <c r="NM53" i="17"/>
  <c r="NM61" i="17"/>
  <c r="NM58" i="17"/>
  <c r="NM59" i="17"/>
  <c r="NM60" i="17"/>
  <c r="NL59" i="17"/>
  <c r="NL55" i="17"/>
  <c r="NL52" i="17"/>
  <c r="NL53" i="17"/>
  <c r="NL61" i="17"/>
  <c r="NL60" i="17"/>
  <c r="NL54" i="17"/>
  <c r="NL58" i="17"/>
  <c r="NK52" i="17"/>
  <c r="NK55" i="17"/>
  <c r="NK53" i="17"/>
  <c r="NK61" i="17"/>
  <c r="NK60" i="17"/>
  <c r="NK54" i="17"/>
  <c r="NK58" i="17"/>
  <c r="NK59" i="17"/>
  <c r="NJ53" i="17"/>
  <c r="NJ59" i="17"/>
  <c r="NJ61" i="17"/>
  <c r="NJ54" i="17"/>
  <c r="NJ58" i="17"/>
  <c r="NJ52" i="17"/>
  <c r="NJ55" i="17"/>
  <c r="NJ60" i="17"/>
  <c r="IS103" i="17"/>
  <c r="IT106" i="17"/>
  <c r="GK106" i="17"/>
  <c r="GK103" i="17"/>
  <c r="GL103" i="17"/>
  <c r="IS106" i="17"/>
  <c r="GJ106" i="17"/>
  <c r="GJ104" i="17"/>
  <c r="GM106" i="17"/>
  <c r="GJ105" i="17"/>
  <c r="GK105" i="17"/>
  <c r="IR106" i="17"/>
  <c r="GM104" i="17"/>
  <c r="GM105" i="17"/>
  <c r="GL106" i="17"/>
  <c r="IT103" i="17"/>
  <c r="GK104" i="17"/>
  <c r="IQ106" i="17"/>
  <c r="IR103" i="17"/>
  <c r="GL104" i="17"/>
  <c r="GJ103" i="17"/>
  <c r="GL105" i="17"/>
  <c r="IQ103" i="17"/>
  <c r="GM103" i="17"/>
  <c r="BL22" i="3"/>
  <c r="NI59" i="17"/>
  <c r="NI60" i="17"/>
  <c r="NI52" i="17"/>
  <c r="NI55" i="17"/>
  <c r="NI58" i="17"/>
  <c r="NI53" i="17"/>
  <c r="NI54" i="17"/>
  <c r="NI61" i="17"/>
  <c r="NH54" i="17"/>
  <c r="NH61" i="17"/>
  <c r="NH59" i="17"/>
  <c r="NH53" i="17"/>
  <c r="NH60" i="17"/>
  <c r="NH52" i="17"/>
  <c r="NH55" i="17"/>
  <c r="NH58" i="17"/>
  <c r="NG54" i="17"/>
  <c r="NG61" i="17"/>
  <c r="NG59" i="17"/>
  <c r="NG60" i="17"/>
  <c r="NG52" i="17"/>
  <c r="NG55" i="17"/>
  <c r="NG58" i="17"/>
  <c r="NG53" i="17"/>
  <c r="NF52" i="17"/>
  <c r="NF59" i="17"/>
  <c r="NF54" i="17"/>
  <c r="NF58" i="17"/>
  <c r="NF53" i="17"/>
  <c r="NF60" i="17"/>
  <c r="NF55" i="17"/>
  <c r="NF61" i="17"/>
  <c r="GI103" i="17"/>
  <c r="GI106" i="17"/>
  <c r="GI104" i="17"/>
  <c r="GI105" i="17"/>
  <c r="IP104" i="17"/>
  <c r="IP105" i="17"/>
  <c r="IP106" i="17"/>
  <c r="IP103" i="17"/>
  <c r="NE61" i="17"/>
  <c r="NE55" i="17"/>
  <c r="NE53" i="17"/>
  <c r="NE52" i="17"/>
  <c r="NE58" i="17"/>
  <c r="W65" i="40"/>
  <c r="NE54" i="17"/>
  <c r="NE60" i="17"/>
  <c r="NE59" i="17"/>
  <c r="IN103" i="17"/>
  <c r="GH103" i="17"/>
  <c r="GG106" i="17"/>
  <c r="IM106" i="17"/>
  <c r="GF103" i="17"/>
  <c r="IO105" i="17"/>
  <c r="IM103" i="17"/>
  <c r="GG105" i="17"/>
  <c r="GH104" i="17"/>
  <c r="GH106" i="17"/>
  <c r="IO106" i="17"/>
  <c r="GH105" i="17"/>
  <c r="GF104" i="17"/>
  <c r="IO103" i="17"/>
  <c r="IO104" i="17"/>
  <c r="GF105" i="17"/>
  <c r="GG104" i="17"/>
  <c r="GF106" i="17"/>
  <c r="GG103" i="17"/>
  <c r="IN106" i="17"/>
  <c r="ND61" i="17"/>
  <c r="ND58" i="17"/>
  <c r="ND59" i="17"/>
  <c r="ND60" i="17"/>
  <c r="ND52" i="17"/>
  <c r="ND55" i="17"/>
  <c r="ND53" i="17"/>
  <c r="ND54" i="17"/>
  <c r="U65" i="40"/>
  <c r="NC54" i="17"/>
  <c r="NC52" i="17"/>
  <c r="NC55" i="17"/>
  <c r="NC60" i="17"/>
  <c r="NC61" i="17"/>
  <c r="NC53" i="17"/>
  <c r="NC59" i="17"/>
  <c r="NC58" i="17"/>
  <c r="S65" i="40"/>
  <c r="U66" i="40"/>
  <c r="W66" i="40"/>
  <c r="NB55" i="17"/>
  <c r="NB59" i="17"/>
  <c r="NB58" i="17"/>
  <c r="NB60" i="17"/>
  <c r="NB61" i="17"/>
  <c r="NB53" i="17"/>
  <c r="NB52" i="17"/>
  <c r="S66" i="40"/>
  <c r="NB54" i="17"/>
  <c r="GD104" i="17"/>
  <c r="GC103" i="17"/>
  <c r="IL106" i="17"/>
  <c r="GA104" i="17"/>
  <c r="GE105" i="17"/>
  <c r="IJ106" i="17"/>
  <c r="GB106" i="17"/>
  <c r="GD103" i="17"/>
  <c r="GE106" i="17"/>
  <c r="GA105" i="17"/>
  <c r="GE104" i="17"/>
  <c r="IL104" i="17"/>
  <c r="IJ103" i="17"/>
  <c r="GB103" i="17"/>
  <c r="GA106" i="17"/>
  <c r="IK106" i="17"/>
  <c r="IH103" i="17"/>
  <c r="II103" i="17"/>
  <c r="GC105" i="17"/>
  <c r="IK103" i="17"/>
  <c r="II106" i="17"/>
  <c r="GA103" i="17"/>
  <c r="IL103" i="17"/>
  <c r="IL105" i="17"/>
  <c r="GD105" i="17"/>
  <c r="GE103" i="17"/>
  <c r="IH106" i="17"/>
  <c r="IH105" i="17"/>
  <c r="GC104" i="17"/>
  <c r="GB104" i="17"/>
  <c r="GB105" i="17"/>
  <c r="GD106" i="17"/>
  <c r="GC106" i="17"/>
  <c r="NA60" i="17"/>
  <c r="NA58" i="17"/>
  <c r="NA59" i="17"/>
  <c r="NA61" i="17"/>
  <c r="NA52" i="17"/>
  <c r="NA55" i="17"/>
  <c r="NA53" i="17"/>
  <c r="NA54" i="17"/>
  <c r="MZ52" i="17"/>
  <c r="R66" i="40"/>
  <c r="P66" i="40"/>
  <c r="MZ53" i="17"/>
  <c r="MZ55" i="17"/>
  <c r="MZ54" i="17"/>
  <c r="MZ58" i="17"/>
  <c r="MZ59" i="17"/>
  <c r="MZ61" i="17"/>
  <c r="R65" i="40"/>
  <c r="P65" i="40"/>
  <c r="MZ60" i="17"/>
  <c r="R67" i="40"/>
  <c r="P67" i="40"/>
  <c r="U66" i="17"/>
  <c r="MY58" i="17"/>
  <c r="MY61" i="17"/>
  <c r="MY52" i="17"/>
  <c r="MY55" i="17"/>
  <c r="MY53" i="17"/>
  <c r="MY54" i="17"/>
  <c r="MY59" i="17"/>
  <c r="MY60" i="17"/>
  <c r="MX52" i="17"/>
  <c r="MX53" i="17"/>
  <c r="MX59" i="17"/>
  <c r="MX54" i="17"/>
  <c r="V66" i="40"/>
  <c r="T66" i="40"/>
  <c r="MX60" i="17"/>
  <c r="MX58" i="17"/>
  <c r="MX61" i="17"/>
  <c r="V65" i="40"/>
  <c r="T65" i="40"/>
  <c r="MX55" i="17"/>
  <c r="V67" i="40"/>
  <c r="T67" i="40"/>
  <c r="U67" i="17"/>
  <c r="S33" i="40"/>
  <c r="MW59" i="17"/>
  <c r="W33" i="40"/>
  <c r="MW53" i="17"/>
  <c r="MW58" i="17"/>
  <c r="MW54" i="17"/>
  <c r="MW55" i="17"/>
  <c r="MW61" i="17"/>
  <c r="MW52" i="17"/>
  <c r="MW60" i="17"/>
  <c r="AF48" i="17"/>
  <c r="AC48" i="17" s="1"/>
  <c r="U33" i="40"/>
  <c r="BL4" i="4"/>
  <c r="BL14" i="4"/>
  <c r="BL17" i="4"/>
  <c r="BL8" i="4"/>
  <c r="BL11" i="4"/>
  <c r="BL19" i="4"/>
  <c r="Q423" i="1" s="1"/>
  <c r="BL13" i="4"/>
  <c r="Q420" i="1" s="1"/>
  <c r="BL16" i="4"/>
  <c r="Q422" i="1" s="1"/>
  <c r="BL10" i="4"/>
  <c r="Q419" i="1" s="1"/>
  <c r="DR59" i="17"/>
  <c r="X65" i="40"/>
  <c r="DR61" i="17"/>
  <c r="Q67" i="40" s="1"/>
  <c r="X67" i="40"/>
  <c r="BM11" i="5"/>
  <c r="BM14" i="5"/>
  <c r="BM16" i="5"/>
  <c r="BM19" i="5"/>
  <c r="BM13" i="5"/>
  <c r="BM10" i="5"/>
  <c r="FZ106" i="17"/>
  <c r="FZ103" i="17"/>
  <c r="FZ105" i="17"/>
  <c r="IG104" i="17"/>
  <c r="IG106" i="17"/>
  <c r="IG103" i="17"/>
  <c r="FZ104" i="17"/>
  <c r="IG105" i="17"/>
  <c r="DR60" i="17"/>
  <c r="X66" i="40"/>
  <c r="BL4" i="3"/>
  <c r="BL17" i="3"/>
  <c r="BL8" i="3"/>
  <c r="BL14" i="3"/>
  <c r="BL16" i="3"/>
  <c r="D422" i="1" s="1"/>
  <c r="BL10" i="3"/>
  <c r="D419" i="1" s="1"/>
  <c r="BL13" i="3"/>
  <c r="D420" i="1" s="1"/>
  <c r="BL19" i="3"/>
  <c r="D423" i="1" s="1"/>
  <c r="S427" i="1"/>
  <c r="E427" i="1"/>
  <c r="Q33" i="40"/>
  <c r="MV59" i="17"/>
  <c r="MV60" i="17"/>
  <c r="MV61" i="17"/>
  <c r="MV55" i="17"/>
  <c r="MV58" i="17"/>
  <c r="MV52" i="17"/>
  <c r="MV54" i="17"/>
  <c r="MV53" i="17"/>
  <c r="U64" i="17"/>
  <c r="F423" i="1"/>
  <c r="F429" i="1"/>
  <c r="N25" i="26"/>
  <c r="S25" i="26"/>
  <c r="O25" i="26"/>
  <c r="P25" i="26"/>
  <c r="M25" i="26"/>
  <c r="L25" i="26"/>
  <c r="R25" i="26"/>
  <c r="J25" i="26"/>
  <c r="K25" i="26"/>
  <c r="Q25" i="26"/>
  <c r="IF105" i="17"/>
  <c r="FT105" i="17"/>
  <c r="ID104" i="17"/>
  <c r="IE104" i="17"/>
  <c r="FU105" i="17"/>
  <c r="FT103" i="17"/>
  <c r="FY103" i="17"/>
  <c r="IA106" i="17"/>
  <c r="IA105" i="17"/>
  <c r="FU106" i="17"/>
  <c r="FV103" i="17"/>
  <c r="IC103" i="17"/>
  <c r="FV106" i="17"/>
  <c r="ID105" i="17"/>
  <c r="IE106" i="17"/>
  <c r="IE105" i="17"/>
  <c r="FX104" i="17"/>
  <c r="FW103" i="17"/>
  <c r="IF104" i="17"/>
  <c r="IF103" i="17"/>
  <c r="FY106" i="17"/>
  <c r="ID103" i="17"/>
  <c r="FU104" i="17"/>
  <c r="IB103" i="17"/>
  <c r="IC105" i="17"/>
  <c r="IB106" i="17"/>
  <c r="ID106" i="17"/>
  <c r="FY105" i="17"/>
  <c r="FX103" i="17"/>
  <c r="IA103" i="17"/>
  <c r="IE103" i="17"/>
  <c r="IA104" i="17"/>
  <c r="IC104" i="17"/>
  <c r="FW104" i="17"/>
  <c r="IB104" i="17"/>
  <c r="FU103" i="17"/>
  <c r="FT104" i="17"/>
  <c r="IB105" i="17"/>
  <c r="FX105" i="17"/>
  <c r="FV104" i="17"/>
  <c r="FV105" i="17"/>
  <c r="IC106" i="17"/>
  <c r="FW105" i="17"/>
  <c r="FW106" i="17"/>
  <c r="FT106" i="17"/>
  <c r="FX106" i="17"/>
  <c r="IF106" i="17"/>
  <c r="FY104" i="17"/>
  <c r="FU26" i="17"/>
  <c r="HS26" i="17"/>
  <c r="FV26" i="17"/>
  <c r="FY25" i="17"/>
  <c r="HW26" i="17"/>
  <c r="ID26" i="17"/>
  <c r="IC26" i="17"/>
  <c r="FQ26" i="17"/>
  <c r="HZ26" i="17"/>
  <c r="HX26" i="17"/>
  <c r="FO26" i="17"/>
  <c r="IF26" i="17"/>
  <c r="FT26" i="17"/>
  <c r="HU26" i="17"/>
  <c r="FY26" i="17"/>
  <c r="FJ26" i="17"/>
  <c r="IA26" i="17"/>
  <c r="FL26" i="17"/>
  <c r="FM26" i="17"/>
  <c r="HR26" i="17"/>
  <c r="FR26" i="17"/>
  <c r="FX26" i="17"/>
  <c r="FW26" i="17"/>
  <c r="HQ26" i="17"/>
  <c r="HT26" i="17"/>
  <c r="IE26" i="17"/>
  <c r="FH26" i="17"/>
  <c r="FY28" i="17"/>
  <c r="HP26" i="17"/>
  <c r="FY24" i="17"/>
  <c r="FX28" i="17"/>
  <c r="AT26" i="17"/>
  <c r="DB26" i="17" s="1" a="1"/>
  <c r="DB26" i="17" s="1"/>
  <c r="IE25" i="17"/>
  <c r="FP26" i="17"/>
  <c r="BB26" i="17"/>
  <c r="DJ26" i="17" s="1" a="1"/>
  <c r="DJ26" i="17" s="1"/>
  <c r="AE26" i="40" s="1"/>
  <c r="FN26" i="17"/>
  <c r="AY26" i="17"/>
  <c r="DG26" i="17" s="1" a="1"/>
  <c r="DG26" i="17" s="1"/>
  <c r="BG26" i="17"/>
  <c r="IF24" i="17"/>
  <c r="AV26" i="17"/>
  <c r="DD26" i="17" s="1" a="1"/>
  <c r="DD26" i="17" s="1"/>
  <c r="IF28" i="17"/>
  <c r="BI26" i="17"/>
  <c r="T26" i="40" s="1"/>
  <c r="IE27" i="17"/>
  <c r="FI26" i="17"/>
  <c r="FX27" i="17"/>
  <c r="FY27" i="17"/>
  <c r="BD26" i="17"/>
  <c r="DL26" i="17" s="1" a="1"/>
  <c r="DL26" i="17" s="1"/>
  <c r="AG26" i="40" s="1"/>
  <c r="BA26" i="17"/>
  <c r="DI26" i="17" s="1" a="1"/>
  <c r="DI26" i="17" s="1"/>
  <c r="FS26" i="17"/>
  <c r="BE26" i="17"/>
  <c r="FX24" i="17"/>
  <c r="AX26" i="17"/>
  <c r="DF26" i="17" s="1" a="1"/>
  <c r="DF26" i="17" s="1"/>
  <c r="HV26" i="17"/>
  <c r="IF27" i="17"/>
  <c r="FX25" i="17"/>
  <c r="IE24" i="17"/>
  <c r="BC26" i="17"/>
  <c r="DK26" i="17" s="1" a="1"/>
  <c r="DK26" i="17" s="1"/>
  <c r="AF26" i="40" s="1"/>
  <c r="HY26" i="17"/>
  <c r="AW26" i="17"/>
  <c r="DE26" i="17" s="1" a="1"/>
  <c r="DE26" i="17" s="1"/>
  <c r="FK26" i="17"/>
  <c r="IE28" i="17"/>
  <c r="IF25" i="17"/>
  <c r="IB26" i="17"/>
  <c r="AU26" i="17"/>
  <c r="DC26" i="17" s="1" a="1"/>
  <c r="DC26" i="17" s="1"/>
  <c r="BF26" i="17"/>
  <c r="AZ26" i="17"/>
  <c r="DH26" i="17" s="1" a="1"/>
  <c r="DH26" i="17" s="1"/>
  <c r="BH26" i="17"/>
  <c r="S431" i="1"/>
  <c r="S428" i="1"/>
  <c r="S430" i="1"/>
  <c r="MU54" i="17"/>
  <c r="MU60" i="17"/>
  <c r="F420" i="1"/>
  <c r="F419" i="1"/>
  <c r="F422" i="1"/>
  <c r="MU55" i="17"/>
  <c r="MU61" i="17"/>
  <c r="MU59" i="17"/>
  <c r="MU52" i="17"/>
  <c r="MU58" i="17"/>
  <c r="MU53" i="17"/>
  <c r="V53" i="26"/>
  <c r="MT59" i="17"/>
  <c r="MT61" i="17"/>
  <c r="MT55" i="17"/>
  <c r="MT52" i="17"/>
  <c r="MT58" i="17"/>
  <c r="MT53" i="17"/>
  <c r="MT54" i="17"/>
  <c r="MT60" i="17"/>
  <c r="V54" i="26"/>
  <c r="ID27" i="17"/>
  <c r="IB28" i="17"/>
  <c r="IA25" i="17"/>
  <c r="FW27" i="17"/>
  <c r="BC25" i="17"/>
  <c r="DK25" i="17" s="1" a="1"/>
  <c r="DK25" i="17" s="1"/>
  <c r="FW25" i="17"/>
  <c r="AT25" i="17"/>
  <c r="DB25" i="17" s="1" a="1"/>
  <c r="DB25" i="17" s="1"/>
  <c r="BA25" i="17"/>
  <c r="DI25" i="17" s="1" a="1"/>
  <c r="DI25" i="17" s="1"/>
  <c r="IC25" i="17"/>
  <c r="AW25" i="17"/>
  <c r="DE25" i="17" s="1" a="1"/>
  <c r="DE25" i="17" s="1"/>
  <c r="FW28" i="17"/>
  <c r="IA27" i="17"/>
  <c r="AS25" i="17"/>
  <c r="DA25" i="17" s="1" a="1"/>
  <c r="DA25" i="17" s="1"/>
  <c r="FV28" i="17"/>
  <c r="AV25" i="17"/>
  <c r="DD25" i="17" s="1" a="1"/>
  <c r="DD25" i="17" s="1"/>
  <c r="BB25" i="17"/>
  <c r="FT27" i="17"/>
  <c r="FU28" i="17"/>
  <c r="FV24" i="17"/>
  <c r="ID25" i="17"/>
  <c r="IA28" i="17"/>
  <c r="AY25" i="17"/>
  <c r="DG25" i="17" s="1" a="1"/>
  <c r="DG25" i="17" s="1"/>
  <c r="FU25" i="17"/>
  <c r="IB25" i="17"/>
  <c r="AU25" i="17"/>
  <c r="DC25" i="17" s="1" a="1"/>
  <c r="DC25" i="17" s="1"/>
  <c r="ID24" i="17"/>
  <c r="FT24" i="17"/>
  <c r="BF25" i="17"/>
  <c r="AZ25" i="17"/>
  <c r="DH25" i="17" s="1" a="1"/>
  <c r="DH25" i="17" s="1"/>
  <c r="FU27" i="17"/>
  <c r="IB24" i="17"/>
  <c r="L24" i="17" s="1"/>
  <c r="FT25" i="17"/>
  <c r="IC27" i="17"/>
  <c r="FT28" i="17"/>
  <c r="FW24" i="17"/>
  <c r="IA24" i="17"/>
  <c r="FV25" i="17"/>
  <c r="IC24" i="17"/>
  <c r="IB27" i="17"/>
  <c r="FV27" i="17"/>
  <c r="IC28" i="17"/>
  <c r="ID28" i="17"/>
  <c r="AX25" i="17"/>
  <c r="DF25" i="17" s="1" a="1"/>
  <c r="DF25" i="17" s="1"/>
  <c r="FU24" i="17"/>
  <c r="AE34" i="40"/>
  <c r="DK53" i="17" a="1"/>
  <c r="DK53" i="17" s="1"/>
  <c r="DJ53" i="17" a="1"/>
  <c r="DJ53" i="17" s="1"/>
  <c r="MS59" i="17"/>
  <c r="U32" i="40"/>
  <c r="MS58" i="17"/>
  <c r="MS52" i="17"/>
  <c r="MS54" i="17"/>
  <c r="AF33" i="40"/>
  <c r="AE33" i="40"/>
  <c r="MS60" i="17"/>
  <c r="U31" i="40"/>
  <c r="AF31" i="40"/>
  <c r="MS61" i="17"/>
  <c r="S31" i="40"/>
  <c r="AE31" i="40"/>
  <c r="Q31" i="40"/>
  <c r="MS55" i="17"/>
  <c r="S32" i="40"/>
  <c r="Q32" i="40"/>
  <c r="MS53" i="17"/>
  <c r="U34" i="40"/>
  <c r="S34" i="40"/>
  <c r="Q34" i="40"/>
  <c r="V46" i="26"/>
  <c r="MR60" i="17"/>
  <c r="V39" i="26"/>
  <c r="MR52" i="17"/>
  <c r="MR54" i="17"/>
  <c r="MR61" i="17"/>
  <c r="MR59" i="17"/>
  <c r="MR55" i="17"/>
  <c r="MR53" i="17"/>
  <c r="MR58" i="17"/>
  <c r="V47" i="26"/>
  <c r="T66" i="26"/>
  <c r="Q66" i="26"/>
  <c r="T65" i="26"/>
  <c r="Q65" i="26"/>
  <c r="X48" i="17"/>
  <c r="T64" i="26"/>
  <c r="Q64" i="26"/>
  <c r="AF41" i="17"/>
  <c r="AC41" i="17" s="1"/>
  <c r="T63" i="26"/>
  <c r="Q63" i="26"/>
  <c r="MQ55" i="17"/>
  <c r="MQ53" i="17"/>
  <c r="MQ59" i="17"/>
  <c r="MQ58" i="17"/>
  <c r="MQ52" i="17"/>
  <c r="MQ54" i="17"/>
  <c r="MQ61" i="17"/>
  <c r="MQ60" i="17"/>
  <c r="U65" i="17"/>
  <c r="AA42" i="17"/>
  <c r="X42" i="17" s="1"/>
  <c r="AA49" i="17"/>
  <c r="X49" i="17" s="1"/>
  <c r="AF42" i="17"/>
  <c r="AC42" i="17" s="1"/>
  <c r="MP61" i="17"/>
  <c r="AF49" i="17"/>
  <c r="AC49" i="17" s="1"/>
  <c r="MP58" i="17"/>
  <c r="MP52" i="17"/>
  <c r="MP54" i="17"/>
  <c r="MP59" i="17"/>
  <c r="MP60" i="17"/>
  <c r="U109" i="17"/>
  <c r="MP55" i="17"/>
  <c r="MP53" i="17"/>
  <c r="R64" i="26"/>
  <c r="Q60" i="17"/>
  <c r="K60" i="17"/>
  <c r="Q58" i="17"/>
  <c r="K58" i="17"/>
  <c r="Q59" i="17"/>
  <c r="K59" i="17"/>
  <c r="L63" i="26"/>
  <c r="S63" i="26"/>
  <c r="S66" i="26"/>
  <c r="J63" i="26"/>
  <c r="K63" i="26"/>
  <c r="J66" i="26"/>
  <c r="MN53" i="17"/>
  <c r="MN61" i="17"/>
  <c r="MM54" i="17"/>
  <c r="MN54" i="17"/>
  <c r="FQ28" i="17"/>
  <c r="HP25" i="17"/>
  <c r="HR25" i="17"/>
  <c r="HY25" i="17"/>
  <c r="HY27" i="17"/>
  <c r="HS24" i="17"/>
  <c r="HT24" i="17"/>
  <c r="FR24" i="17"/>
  <c r="HP24" i="17"/>
  <c r="HR24" i="17"/>
  <c r="HP27" i="17"/>
  <c r="HW24" i="17"/>
  <c r="HY24" i="17"/>
  <c r="HT27" i="17"/>
  <c r="HU24" i="17"/>
  <c r="HY28" i="17"/>
  <c r="HR28" i="17"/>
  <c r="HT25" i="17"/>
  <c r="FR27" i="17"/>
  <c r="HR27" i="17"/>
  <c r="HV24" i="17"/>
  <c r="HQ27" i="17"/>
  <c r="FS24" i="17"/>
  <c r="FQ25" i="17"/>
  <c r="HW25" i="17"/>
  <c r="HP28" i="17"/>
  <c r="FS25" i="17"/>
  <c r="HZ24" i="17"/>
  <c r="HX24" i="17"/>
  <c r="HW27" i="17"/>
  <c r="HT28" i="17"/>
  <c r="HS27" i="17"/>
  <c r="HV28" i="17"/>
  <c r="HQ28" i="17"/>
  <c r="FR28" i="17"/>
  <c r="FS28" i="17"/>
  <c r="HX27" i="17"/>
  <c r="HV27" i="17"/>
  <c r="FS27" i="17"/>
  <c r="HQ25" i="17"/>
  <c r="HS28" i="17"/>
  <c r="HZ25" i="17"/>
  <c r="HV25" i="17"/>
  <c r="HW28" i="17"/>
  <c r="HU25" i="17"/>
  <c r="HZ27" i="17"/>
  <c r="HU27" i="17"/>
  <c r="HZ28" i="17"/>
  <c r="FQ24" i="17"/>
  <c r="HU28" i="17"/>
  <c r="FR25" i="17"/>
  <c r="HS25" i="17"/>
  <c r="HX25" i="17"/>
  <c r="HX28" i="17"/>
  <c r="FQ27" i="17"/>
  <c r="HQ24" i="17"/>
  <c r="MM60" i="17"/>
  <c r="MN60" i="17"/>
  <c r="MO60" i="17"/>
  <c r="MO54" i="17"/>
  <c r="MN55" i="17"/>
  <c r="MM55" i="17"/>
  <c r="MO55" i="17"/>
  <c r="MN52" i="17"/>
  <c r="MM52" i="17"/>
  <c r="MO52" i="17"/>
  <c r="MO53" i="17"/>
  <c r="MN58" i="17"/>
  <c r="MO58" i="17"/>
  <c r="MM58" i="17"/>
  <c r="MM59" i="17"/>
  <c r="J55" i="17"/>
  <c r="P55" i="17"/>
  <c r="MN59" i="17"/>
  <c r="MO59" i="17"/>
  <c r="MM53" i="17"/>
  <c r="BM4" i="5"/>
  <c r="FQ106" i="17"/>
  <c r="HS106" i="17"/>
  <c r="FS106" i="17"/>
  <c r="FR104" i="17"/>
  <c r="HU105" i="17"/>
  <c r="HQ103" i="17"/>
  <c r="HP105" i="17"/>
  <c r="HW105" i="17"/>
  <c r="FQ103" i="17"/>
  <c r="HU106" i="17"/>
  <c r="AE120" i="40"/>
  <c r="HR103" i="17"/>
  <c r="HQ104" i="17"/>
  <c r="HX106" i="17"/>
  <c r="HS104" i="17"/>
  <c r="HV106" i="17"/>
  <c r="HT104" i="17"/>
  <c r="HW104" i="17"/>
  <c r="HP106" i="17"/>
  <c r="HS105" i="17"/>
  <c r="HQ106" i="17"/>
  <c r="HT103" i="17"/>
  <c r="HZ105" i="17"/>
  <c r="AF120" i="40"/>
  <c r="HV104" i="17"/>
  <c r="HY103" i="17"/>
  <c r="HR105" i="17"/>
  <c r="HP104" i="17"/>
  <c r="HZ106" i="17"/>
  <c r="FR105" i="17"/>
  <c r="HY104" i="17"/>
  <c r="HZ104" i="17"/>
  <c r="AF119" i="40"/>
  <c r="HR104" i="17"/>
  <c r="AE118" i="40"/>
  <c r="HY106" i="17"/>
  <c r="HQ105" i="17"/>
  <c r="AE119" i="40"/>
  <c r="HV105" i="17"/>
  <c r="FS103" i="17"/>
  <c r="AF118" i="40"/>
  <c r="HV103" i="17"/>
  <c r="HP103" i="17"/>
  <c r="HX105" i="17"/>
  <c r="FQ104" i="17"/>
  <c r="HW103" i="17"/>
  <c r="FS105" i="17"/>
  <c r="FR103" i="17"/>
  <c r="HR106" i="17"/>
  <c r="HS103" i="17"/>
  <c r="HZ103" i="17"/>
  <c r="HX104" i="17"/>
  <c r="HT105" i="17"/>
  <c r="HX103" i="17"/>
  <c r="HU103" i="17"/>
  <c r="HU104" i="17"/>
  <c r="HY105" i="17"/>
  <c r="HT106" i="17"/>
  <c r="FS104" i="17"/>
  <c r="HW106" i="17"/>
  <c r="FQ105" i="17"/>
  <c r="FR106" i="17"/>
  <c r="MO61" i="17"/>
  <c r="MM61" i="17"/>
  <c r="Q30" i="26"/>
  <c r="S64" i="26"/>
  <c r="L64" i="26"/>
  <c r="K64" i="26"/>
  <c r="M64" i="26"/>
  <c r="J64" i="26"/>
  <c r="N64" i="26"/>
  <c r="R63" i="26"/>
  <c r="N63" i="26"/>
  <c r="M63" i="26"/>
  <c r="M66" i="26"/>
  <c r="K66" i="26"/>
  <c r="L66" i="26"/>
  <c r="R66" i="26"/>
  <c r="N66" i="26"/>
  <c r="P64" i="26"/>
  <c r="O64" i="26"/>
  <c r="P66" i="26"/>
  <c r="O66" i="26"/>
  <c r="P63" i="26"/>
  <c r="O63" i="26"/>
  <c r="L65" i="26"/>
  <c r="O65" i="26"/>
  <c r="K65" i="26"/>
  <c r="P65" i="26"/>
  <c r="V108" i="26"/>
  <c r="R65" i="26"/>
  <c r="M65" i="26"/>
  <c r="N65" i="26"/>
  <c r="S65" i="26"/>
  <c r="J65" i="26"/>
  <c r="AB39" i="17"/>
  <c r="AA34" i="17"/>
  <c r="X34" i="17" s="1"/>
  <c r="P431" i="1"/>
  <c r="O431" i="1"/>
  <c r="O428" i="1"/>
  <c r="O427" i="1"/>
  <c r="O430" i="1"/>
  <c r="E430" i="1"/>
  <c r="N430" i="1"/>
  <c r="P428" i="1"/>
  <c r="N428" i="1"/>
  <c r="P430" i="1"/>
  <c r="N431" i="1"/>
  <c r="N427" i="1"/>
  <c r="P427" i="1"/>
  <c r="M428" i="1"/>
  <c r="M431" i="1"/>
  <c r="M427" i="1"/>
  <c r="M430" i="1"/>
  <c r="E428" i="1"/>
  <c r="E431" i="1"/>
  <c r="KC59" i="17"/>
  <c r="AF34" i="17"/>
  <c r="AC34" i="17" s="1"/>
  <c r="KC58" i="17"/>
  <c r="KC52" i="17"/>
  <c r="KC55" i="17"/>
  <c r="KC54" i="17"/>
  <c r="KC53" i="17"/>
  <c r="LG55" i="17"/>
  <c r="KG55" i="17"/>
  <c r="KM55" i="17"/>
  <c r="LI55" i="17"/>
  <c r="LE55" i="17"/>
  <c r="KI55" i="17"/>
  <c r="KF55" i="17"/>
  <c r="KO55" i="17"/>
  <c r="LL55" i="17"/>
  <c r="KL55" i="17"/>
  <c r="KD55" i="17"/>
  <c r="KN55" i="17"/>
  <c r="KX55" i="17"/>
  <c r="LR55" i="17"/>
  <c r="LQ55" i="17"/>
  <c r="KE55" i="17"/>
  <c r="LA55" i="17"/>
  <c r="KU55" i="17"/>
  <c r="KJ55" i="17"/>
  <c r="LO55" i="17"/>
  <c r="KP55" i="17"/>
  <c r="KZ55" i="17"/>
  <c r="LM55" i="17"/>
  <c r="LF55" i="17"/>
  <c r="LK55" i="17"/>
  <c r="KH55" i="17"/>
  <c r="LC55" i="17"/>
  <c r="LP55" i="17"/>
  <c r="LN55" i="17"/>
  <c r="KQ55" i="17"/>
  <c r="KT55" i="17"/>
  <c r="KS55" i="17"/>
  <c r="KW55" i="17"/>
  <c r="LB55" i="17"/>
  <c r="KR55" i="17"/>
  <c r="KK55" i="17"/>
  <c r="KV55" i="17"/>
  <c r="LJ55" i="17"/>
  <c r="KY55" i="17"/>
  <c r="LD55" i="17"/>
  <c r="LH55" i="17"/>
  <c r="KS52" i="17"/>
  <c r="KO52" i="17"/>
  <c r="KL52" i="17"/>
  <c r="LK52" i="17"/>
  <c r="KP52" i="17"/>
  <c r="KX52" i="17"/>
  <c r="KT52" i="17"/>
  <c r="KJ52" i="17"/>
  <c r="KD52" i="17"/>
  <c r="KN52" i="17"/>
  <c r="LJ52" i="17"/>
  <c r="KW52" i="17"/>
  <c r="KI52" i="17"/>
  <c r="LI52" i="17"/>
  <c r="LL52" i="17"/>
  <c r="KQ52" i="17"/>
  <c r="KZ52" i="17"/>
  <c r="LC52" i="17"/>
  <c r="LN52" i="17"/>
  <c r="LO52" i="17"/>
  <c r="LH52" i="17"/>
  <c r="KU52" i="17"/>
  <c r="LD52" i="17"/>
  <c r="KM52" i="17"/>
  <c r="KK52" i="17"/>
  <c r="KR52" i="17"/>
  <c r="KG52" i="17"/>
  <c r="LA52" i="17"/>
  <c r="LG52" i="17"/>
  <c r="LR52" i="17"/>
  <c r="KE52" i="17"/>
  <c r="LF52" i="17"/>
  <c r="KF52" i="17"/>
  <c r="KH52" i="17"/>
  <c r="LM52" i="17"/>
  <c r="LE52" i="17"/>
  <c r="LB52" i="17"/>
  <c r="LP52" i="17"/>
  <c r="KV52" i="17"/>
  <c r="LQ52" i="17"/>
  <c r="KY52" i="17"/>
  <c r="KD61" i="17"/>
  <c r="M53" i="17"/>
  <c r="S53" i="17"/>
  <c r="M52" i="17"/>
  <c r="S52" i="17"/>
  <c r="KH54" i="17"/>
  <c r="LQ54" i="17"/>
  <c r="LR54" i="17"/>
  <c r="KO54" i="17"/>
  <c r="KE54" i="17"/>
  <c r="KY54" i="17"/>
  <c r="LB54" i="17"/>
  <c r="LM54" i="17"/>
  <c r="KZ54" i="17"/>
  <c r="KW54" i="17"/>
  <c r="LI54" i="17"/>
  <c r="KN54" i="17"/>
  <c r="LA54" i="17"/>
  <c r="LL54" i="17"/>
  <c r="KR54" i="17"/>
  <c r="KQ54" i="17"/>
  <c r="KD54" i="17"/>
  <c r="KL54" i="17"/>
  <c r="LO54" i="17"/>
  <c r="KM54" i="17"/>
  <c r="LP54" i="17"/>
  <c r="LC54" i="17"/>
  <c r="KK54" i="17"/>
  <c r="LN54" i="17"/>
  <c r="LD54" i="17"/>
  <c r="LJ54" i="17"/>
  <c r="KP54" i="17"/>
  <c r="LF54" i="17"/>
  <c r="KX54" i="17"/>
  <c r="LE54" i="17"/>
  <c r="KS54" i="17"/>
  <c r="KU54" i="17"/>
  <c r="KT54" i="17"/>
  <c r="LK54" i="17"/>
  <c r="KG54" i="17"/>
  <c r="KV54" i="17"/>
  <c r="KF54" i="17"/>
  <c r="KJ54" i="17"/>
  <c r="LG54" i="17"/>
  <c r="LH54" i="17"/>
  <c r="KI54" i="17"/>
  <c r="KJ53" i="17"/>
  <c r="KI53" i="17"/>
  <c r="LC53" i="17"/>
  <c r="LI53" i="17"/>
  <c r="LK53" i="17"/>
  <c r="LO53" i="17"/>
  <c r="KN53" i="17"/>
  <c r="KU53" i="17"/>
  <c r="LD53" i="17"/>
  <c r="LR53" i="17"/>
  <c r="LN53" i="17"/>
  <c r="LE53" i="17"/>
  <c r="KO53" i="17"/>
  <c r="KZ53" i="17"/>
  <c r="LJ53" i="17"/>
  <c r="KS53" i="17"/>
  <c r="LP53" i="17"/>
  <c r="LA53" i="17"/>
  <c r="KV53" i="17"/>
  <c r="KH53" i="17"/>
  <c r="KW53" i="17"/>
  <c r="LM53" i="17"/>
  <c r="KK53" i="17"/>
  <c r="KE53" i="17"/>
  <c r="KD53" i="17"/>
  <c r="KG53" i="17"/>
  <c r="LH53" i="17"/>
  <c r="LB53" i="17"/>
  <c r="KQ53" i="17"/>
  <c r="LF53" i="17"/>
  <c r="KM53" i="17"/>
  <c r="KX53" i="17"/>
  <c r="LQ53" i="17"/>
  <c r="KP53" i="17"/>
  <c r="KF53" i="17"/>
  <c r="KY53" i="17"/>
  <c r="LL53" i="17"/>
  <c r="KL53" i="17"/>
  <c r="KR53" i="17"/>
  <c r="KT53" i="17"/>
  <c r="LG53" i="17"/>
  <c r="AB48" i="17"/>
  <c r="AB49" i="17"/>
  <c r="AA46" i="17"/>
  <c r="X46" i="17" s="1"/>
  <c r="AB46" i="17"/>
  <c r="AA45" i="17"/>
  <c r="X45" i="17" s="1"/>
  <c r="AB45" i="17"/>
  <c r="AA47" i="17"/>
  <c r="X47" i="17" s="1"/>
  <c r="AB47" i="17"/>
  <c r="AB42" i="17"/>
  <c r="AA39" i="17"/>
  <c r="X39" i="17" s="1"/>
  <c r="AB34" i="17"/>
  <c r="AB35" i="17"/>
  <c r="KC61" i="17"/>
  <c r="LK61" i="17"/>
  <c r="KH61" i="17"/>
  <c r="KT61" i="17"/>
  <c r="LG61" i="17"/>
  <c r="KQ61" i="17"/>
  <c r="KR61" i="17"/>
  <c r="KX61" i="17"/>
  <c r="LD61" i="17"/>
  <c r="KN61" i="17"/>
  <c r="LI61" i="17"/>
  <c r="LH61" i="17"/>
  <c r="KW61" i="17"/>
  <c r="KJ61" i="17"/>
  <c r="LQ61" i="17"/>
  <c r="LN61" i="17"/>
  <c r="KO61" i="17"/>
  <c r="LM61" i="17"/>
  <c r="KU61" i="17"/>
  <c r="KZ61" i="17"/>
  <c r="LB61" i="17"/>
  <c r="KI61" i="17"/>
  <c r="LJ61" i="17"/>
  <c r="KY61" i="17"/>
  <c r="LO61" i="17"/>
  <c r="KV61" i="17"/>
  <c r="KG61" i="17"/>
  <c r="LP61" i="17"/>
  <c r="LE61" i="17"/>
  <c r="KP61" i="17"/>
  <c r="LL61" i="17"/>
  <c r="KL61" i="17"/>
  <c r="KS61" i="17"/>
  <c r="KE61" i="17"/>
  <c r="LR61" i="17"/>
  <c r="LC61" i="17"/>
  <c r="LA61" i="17"/>
  <c r="KF61" i="17"/>
  <c r="KK61" i="17"/>
  <c r="KM61" i="17"/>
  <c r="LF61" i="17"/>
  <c r="R59" i="17"/>
  <c r="KL59" i="17"/>
  <c r="KG59" i="17"/>
  <c r="LF59" i="17"/>
  <c r="LC59" i="17"/>
  <c r="KX59" i="17"/>
  <c r="LI59" i="17"/>
  <c r="KF59" i="17"/>
  <c r="KJ59" i="17"/>
  <c r="KI59" i="17"/>
  <c r="LE59" i="17"/>
  <c r="KU59" i="17"/>
  <c r="LG59" i="17"/>
  <c r="KM59" i="17"/>
  <c r="KZ59" i="17"/>
  <c r="LK59" i="17"/>
  <c r="KS59" i="17"/>
  <c r="KE59" i="17"/>
  <c r="KV59" i="17"/>
  <c r="LL59" i="17"/>
  <c r="LD59" i="17"/>
  <c r="LQ59" i="17"/>
  <c r="LP59" i="17"/>
  <c r="LM59" i="17"/>
  <c r="LJ59" i="17"/>
  <c r="LB59" i="17"/>
  <c r="KW59" i="17"/>
  <c r="KP59" i="17"/>
  <c r="KR59" i="17"/>
  <c r="KY59" i="17"/>
  <c r="KK59" i="17"/>
  <c r="KO59" i="17"/>
  <c r="LR59" i="17"/>
  <c r="LN59" i="17"/>
  <c r="LO59" i="17"/>
  <c r="LA59" i="17"/>
  <c r="KH59" i="17"/>
  <c r="KQ59" i="17"/>
  <c r="KT59" i="17"/>
  <c r="LH59" i="17"/>
  <c r="KN59" i="17"/>
  <c r="KD59" i="17"/>
  <c r="R60" i="17"/>
  <c r="KG60" i="17"/>
  <c r="KL60" i="17"/>
  <c r="LM60" i="17"/>
  <c r="KZ60" i="17"/>
  <c r="KY60" i="17"/>
  <c r="LH60" i="17"/>
  <c r="KT60" i="17"/>
  <c r="LG60" i="17"/>
  <c r="LC60" i="17"/>
  <c r="LA60" i="17"/>
  <c r="KS60" i="17"/>
  <c r="KD60" i="17"/>
  <c r="KX60" i="17"/>
  <c r="LE60" i="17"/>
  <c r="KQ60" i="17"/>
  <c r="LI60" i="17"/>
  <c r="LF60" i="17"/>
  <c r="KU60" i="17"/>
  <c r="LB60" i="17"/>
  <c r="KH60" i="17"/>
  <c r="LK60" i="17"/>
  <c r="LQ60" i="17"/>
  <c r="LD60" i="17"/>
  <c r="KM60" i="17"/>
  <c r="KO60" i="17"/>
  <c r="KV60" i="17"/>
  <c r="KI60" i="17"/>
  <c r="KP60" i="17"/>
  <c r="LL60" i="17"/>
  <c r="LN60" i="17"/>
  <c r="KE60" i="17"/>
  <c r="LP60" i="17"/>
  <c r="LO60" i="17"/>
  <c r="LJ60" i="17"/>
  <c r="KJ60" i="17"/>
  <c r="KK60" i="17"/>
  <c r="KR60" i="17"/>
  <c r="KN60" i="17"/>
  <c r="KF60" i="17"/>
  <c r="LR60" i="17"/>
  <c r="KW60" i="17"/>
  <c r="KC60" i="17"/>
  <c r="R58" i="17"/>
  <c r="KO58" i="17"/>
  <c r="KP58" i="17"/>
  <c r="LG58" i="17"/>
  <c r="LO58" i="17"/>
  <c r="KL58" i="17"/>
  <c r="LH58" i="17"/>
  <c r="KG58" i="17"/>
  <c r="KY58" i="17"/>
  <c r="KD58" i="17"/>
  <c r="LK58" i="17"/>
  <c r="LC58" i="17"/>
  <c r="LE58" i="17"/>
  <c r="LP58" i="17"/>
  <c r="KM58" i="17"/>
  <c r="KF58" i="17"/>
  <c r="LR58" i="17"/>
  <c r="LA58" i="17"/>
  <c r="KJ58" i="17"/>
  <c r="LM58" i="17"/>
  <c r="KT58" i="17"/>
  <c r="LI58" i="17"/>
  <c r="KH58" i="17"/>
  <c r="LD58" i="17"/>
  <c r="LB58" i="17"/>
  <c r="KR58" i="17"/>
  <c r="KS58" i="17"/>
  <c r="KK58" i="17"/>
  <c r="LQ58" i="17"/>
  <c r="KV58" i="17"/>
  <c r="LL58" i="17"/>
  <c r="KU58" i="17"/>
  <c r="KN58" i="17"/>
  <c r="KX58" i="17"/>
  <c r="KE58" i="17"/>
  <c r="LJ58" i="17"/>
  <c r="KZ58" i="17"/>
  <c r="LF58" i="17"/>
  <c r="LN58" i="17"/>
  <c r="KW58" i="17"/>
  <c r="KQ58" i="17"/>
  <c r="KI58" i="17"/>
  <c r="J431" i="1"/>
  <c r="L427" i="1"/>
  <c r="I431" i="1"/>
  <c r="H431" i="1"/>
  <c r="L431" i="1"/>
  <c r="J430" i="1"/>
  <c r="I430" i="1"/>
  <c r="H430" i="1"/>
  <c r="L428" i="1"/>
  <c r="L430" i="1"/>
  <c r="L59" i="17"/>
  <c r="FP25" i="17"/>
  <c r="FO24" i="17"/>
  <c r="FP24" i="17"/>
  <c r="FO27" i="17"/>
  <c r="FO28" i="17"/>
  <c r="FP28" i="17"/>
  <c r="FP27" i="17"/>
  <c r="FO25" i="17"/>
  <c r="FP106" i="17"/>
  <c r="FO106" i="17"/>
  <c r="FP103" i="17"/>
  <c r="FO104" i="17"/>
  <c r="FO105" i="17"/>
  <c r="FO103" i="17"/>
  <c r="FP105" i="17"/>
  <c r="FP104" i="17"/>
  <c r="AF39" i="17"/>
  <c r="AC39" i="17" s="1"/>
  <c r="ML109" i="17"/>
  <c r="Z109" i="17" s="1"/>
  <c r="ML66" i="17"/>
  <c r="Z66" i="17" s="1"/>
  <c r="ML64" i="17"/>
  <c r="Z64" i="17" s="1"/>
  <c r="ML65" i="17"/>
  <c r="Z65" i="17" s="1"/>
  <c r="ML67" i="17"/>
  <c r="Z67" i="17" s="1"/>
  <c r="R53" i="17"/>
  <c r="L54" i="17"/>
  <c r="R52" i="17"/>
  <c r="AF38" i="17"/>
  <c r="AC38" i="17" s="1"/>
  <c r="AF46" i="17"/>
  <c r="AC46" i="17" s="1"/>
  <c r="R61" i="17"/>
  <c r="R55" i="17"/>
  <c r="AF45" i="17"/>
  <c r="AC45" i="17" s="1"/>
  <c r="R54" i="17"/>
  <c r="MK66" i="17"/>
  <c r="MK67" i="17"/>
  <c r="MK65" i="17"/>
  <c r="MK64" i="17"/>
  <c r="AF47" i="17"/>
  <c r="AC47" i="17" s="1"/>
  <c r="MK109" i="17"/>
  <c r="FM103" i="17"/>
  <c r="KB103" i="17" s="1"/>
  <c r="AW105" i="17"/>
  <c r="DE105" i="17" s="1"/>
  <c r="AX104" i="17"/>
  <c r="DF104" i="17" s="1"/>
  <c r="FM106" i="17"/>
  <c r="KB106" i="17" s="1"/>
  <c r="AW106" i="17"/>
  <c r="DE106" i="17" s="1"/>
  <c r="FN105" i="17"/>
  <c r="AW104" i="17"/>
  <c r="DE104" i="17" s="1"/>
  <c r="FN104" i="17"/>
  <c r="FM104" i="17"/>
  <c r="KB104" i="17" s="1"/>
  <c r="AX103" i="17"/>
  <c r="DF103" i="17" s="1"/>
  <c r="FN103" i="17"/>
  <c r="FN106" i="17"/>
  <c r="AX105" i="17"/>
  <c r="DF105" i="17" s="1"/>
  <c r="FM105" i="17"/>
  <c r="AX106" i="17"/>
  <c r="DF106" i="17" s="1"/>
  <c r="AW103" i="17"/>
  <c r="DE103" i="17" s="1"/>
  <c r="P61" i="17"/>
  <c r="J61" i="17"/>
  <c r="Q61" i="17"/>
  <c r="K61" i="17"/>
  <c r="J52" i="17"/>
  <c r="P52" i="17"/>
  <c r="T55" i="17"/>
  <c r="T53" i="17"/>
  <c r="K55" i="17"/>
  <c r="Q55" i="17"/>
  <c r="FN25" i="17"/>
  <c r="FM28" i="17"/>
  <c r="KB28" i="17" s="1"/>
  <c r="FN24" i="17"/>
  <c r="FM27" i="17"/>
  <c r="KB27" i="17" s="1"/>
  <c r="FM25" i="17"/>
  <c r="KB25" i="17" s="1"/>
  <c r="FM24" i="17"/>
  <c r="KB24" i="17" s="1"/>
  <c r="FN27" i="17"/>
  <c r="FN28" i="17"/>
  <c r="LY66" i="17"/>
  <c r="MA66" i="17"/>
  <c r="MC66" i="17"/>
  <c r="LZ66" i="17"/>
  <c r="MB66" i="17"/>
  <c r="MI66" i="17"/>
  <c r="ME66" i="17"/>
  <c r="MJ66" i="17"/>
  <c r="MD66" i="17"/>
  <c r="MG66" i="17"/>
  <c r="MF66" i="17"/>
  <c r="MH66" i="17"/>
  <c r="J54" i="17"/>
  <c r="P54" i="17"/>
  <c r="Q52" i="17"/>
  <c r="K52" i="17"/>
  <c r="LY67" i="17"/>
  <c r="MA67" i="17"/>
  <c r="MB67" i="17"/>
  <c r="MC67" i="17"/>
  <c r="MJ67" i="17"/>
  <c r="MD67" i="17"/>
  <c r="MI67" i="17"/>
  <c r="ME67" i="17"/>
  <c r="LZ67" i="17"/>
  <c r="MF67" i="17"/>
  <c r="MG67" i="17"/>
  <c r="MH67" i="17"/>
  <c r="MF109" i="17"/>
  <c r="J60" i="17"/>
  <c r="P60" i="17"/>
  <c r="L61" i="17"/>
  <c r="M61" i="17"/>
  <c r="S61" i="17"/>
  <c r="K54" i="17"/>
  <c r="Q54" i="17"/>
  <c r="T52" i="17"/>
  <c r="L58" i="17"/>
  <c r="M58" i="17"/>
  <c r="S58" i="17"/>
  <c r="J58" i="17"/>
  <c r="P58" i="17"/>
  <c r="L53" i="17"/>
  <c r="K53" i="17"/>
  <c r="Q53" i="17"/>
  <c r="MB65" i="17"/>
  <c r="MJ65" i="17"/>
  <c r="MD65" i="17"/>
  <c r="MI65" i="17"/>
  <c r="ME65" i="17"/>
  <c r="MG65" i="17"/>
  <c r="MH65" i="17"/>
  <c r="LZ65" i="17"/>
  <c r="MF65" i="17"/>
  <c r="LY65" i="17"/>
  <c r="MA65" i="17"/>
  <c r="MC65" i="17"/>
  <c r="MH64" i="17"/>
  <c r="MF64" i="17"/>
  <c r="MG64" i="17"/>
  <c r="LY64" i="17"/>
  <c r="MA64" i="17"/>
  <c r="Y64" i="17"/>
  <c r="MB64" i="17"/>
  <c r="LZ64" i="17"/>
  <c r="MC64" i="17"/>
  <c r="MJ64" i="17"/>
  <c r="ME64" i="17"/>
  <c r="MI64" i="17"/>
  <c r="MD64" i="17"/>
  <c r="L60" i="17"/>
  <c r="M60" i="17"/>
  <c r="S60" i="17"/>
  <c r="M59" i="17"/>
  <c r="S59" i="17"/>
  <c r="L52" i="17"/>
  <c r="L67" i="17"/>
  <c r="MI109" i="17"/>
  <c r="MG109" i="17"/>
  <c r="LY109" i="17"/>
  <c r="MJ109" i="17"/>
  <c r="LZ109" i="17"/>
  <c r="ME109" i="17"/>
  <c r="MD109" i="17"/>
  <c r="MC109" i="17"/>
  <c r="MH109" i="17"/>
  <c r="MB109" i="17"/>
  <c r="MA109" i="17"/>
  <c r="J59" i="17"/>
  <c r="P59" i="17"/>
  <c r="T58" i="17"/>
  <c r="T61" i="17"/>
  <c r="L55" i="17"/>
  <c r="M55" i="17"/>
  <c r="S55" i="17"/>
  <c r="T59" i="17"/>
  <c r="T60" i="17"/>
  <c r="J53" i="17"/>
  <c r="P53" i="17"/>
  <c r="FL105" i="17"/>
  <c r="KA105" i="17" s="1"/>
  <c r="AU104" i="17"/>
  <c r="DC104" i="17" s="1"/>
  <c r="AV106" i="17"/>
  <c r="DD106" i="17" s="1"/>
  <c r="BM6" i="4"/>
  <c r="H429" i="1"/>
  <c r="H428" i="1"/>
  <c r="H427" i="1"/>
  <c r="J429" i="1"/>
  <c r="J428" i="1"/>
  <c r="J427" i="1"/>
  <c r="I429" i="1"/>
  <c r="I428" i="1"/>
  <c r="I427" i="1"/>
  <c r="BM6" i="3"/>
  <c r="NN28" i="17" l="1"/>
  <c r="NN24" i="17"/>
  <c r="NN25" i="17"/>
  <c r="NN27" i="17"/>
  <c r="NN103" i="17"/>
  <c r="NN106" i="17"/>
  <c r="NN104" i="17"/>
  <c r="W120" i="40"/>
  <c r="NN26" i="17"/>
  <c r="NN105" i="17"/>
  <c r="BM11" i="3"/>
  <c r="GM12" i="17"/>
  <c r="GC15" i="17"/>
  <c r="HY15" i="17"/>
  <c r="IM15" i="17"/>
  <c r="IG15" i="17"/>
  <c r="GK15" i="17"/>
  <c r="IJ15" i="17"/>
  <c r="GG15" i="17"/>
  <c r="FJ15" i="17"/>
  <c r="FN15" i="17"/>
  <c r="GM13" i="17"/>
  <c r="GP15" i="17"/>
  <c r="GM11" i="17"/>
  <c r="GN13" i="17"/>
  <c r="IW15" i="17"/>
  <c r="FW15" i="17"/>
  <c r="FQ15" i="17"/>
  <c r="HX15" i="17"/>
  <c r="GP14" i="17"/>
  <c r="GB15" i="17"/>
  <c r="GQ13" i="17"/>
  <c r="IX12" i="17"/>
  <c r="IQ15" i="17"/>
  <c r="HP15" i="17"/>
  <c r="FT15" i="17"/>
  <c r="FL15" i="17"/>
  <c r="IX13" i="17"/>
  <c r="IT15" i="17"/>
  <c r="GN14" i="17"/>
  <c r="GO15" i="17"/>
  <c r="GO12" i="17"/>
  <c r="IF15" i="17"/>
  <c r="IL15" i="17"/>
  <c r="IE15" i="17"/>
  <c r="GO11" i="17"/>
  <c r="IN15" i="17"/>
  <c r="GP11" i="17"/>
  <c r="FK15" i="17"/>
  <c r="FS15" i="17"/>
  <c r="FP15" i="17"/>
  <c r="IX11" i="17"/>
  <c r="IK15" i="17"/>
  <c r="HT15" i="17"/>
  <c r="GN15" i="17"/>
  <c r="IW12" i="17"/>
  <c r="FY15" i="17"/>
  <c r="HS15" i="17"/>
  <c r="ID15" i="17"/>
  <c r="FO15" i="17"/>
  <c r="GN12" i="17"/>
  <c r="IH15" i="17"/>
  <c r="FV15" i="17"/>
  <c r="HU15" i="17"/>
  <c r="IO15" i="17"/>
  <c r="HW15" i="17"/>
  <c r="GQ12" i="17"/>
  <c r="IU15" i="17"/>
  <c r="HV15" i="17"/>
  <c r="IA15" i="17"/>
  <c r="IP15" i="17"/>
  <c r="FM15" i="17"/>
  <c r="GO13" i="17"/>
  <c r="GI15" i="17"/>
  <c r="HR15" i="17"/>
  <c r="GA15" i="17"/>
  <c r="GE15" i="17"/>
  <c r="FX15" i="17"/>
  <c r="GJ15" i="17"/>
  <c r="FZ15" i="17"/>
  <c r="GL15" i="17"/>
  <c r="GQ11" i="17"/>
  <c r="GQ15" i="17"/>
  <c r="IX15" i="17"/>
  <c r="GP12" i="17"/>
  <c r="GN11" i="17"/>
  <c r="II15" i="17"/>
  <c r="FU15" i="17"/>
  <c r="IS15" i="17"/>
  <c r="GP13" i="17"/>
  <c r="GD15" i="17"/>
  <c r="GO14" i="17"/>
  <c r="HZ15" i="17"/>
  <c r="IC15" i="17"/>
  <c r="GF15" i="17"/>
  <c r="GQ14" i="17"/>
  <c r="GM15" i="17"/>
  <c r="IR15" i="17"/>
  <c r="FR15" i="17"/>
  <c r="GH15" i="17"/>
  <c r="IB15" i="17"/>
  <c r="GQ100" i="17"/>
  <c r="GQ97" i="17"/>
  <c r="GO98" i="17"/>
  <c r="U113" i="40" s="1"/>
  <c r="IX97" i="17"/>
  <c r="GN100" i="17"/>
  <c r="GQ99" i="17"/>
  <c r="GQ98" i="17"/>
  <c r="GN99" i="17"/>
  <c r="GM97" i="17"/>
  <c r="GO99" i="17"/>
  <c r="U114" i="40" s="1"/>
  <c r="GN98" i="17"/>
  <c r="GM98" i="17"/>
  <c r="GO100" i="17"/>
  <c r="GP100" i="17"/>
  <c r="IX99" i="17"/>
  <c r="GP99" i="17"/>
  <c r="GN97" i="17"/>
  <c r="IX98" i="17"/>
  <c r="IX100" i="17"/>
  <c r="GP98" i="17"/>
  <c r="GO97" i="17"/>
  <c r="GP97" i="17"/>
  <c r="GM100" i="17"/>
  <c r="GM99" i="17"/>
  <c r="NM26" i="17"/>
  <c r="NM103" i="17"/>
  <c r="NM28" i="17"/>
  <c r="NM24" i="17"/>
  <c r="NM104" i="17"/>
  <c r="NM105" i="17"/>
  <c r="NM25" i="17"/>
  <c r="NM27" i="17"/>
  <c r="NM106" i="17"/>
  <c r="NL103" i="17"/>
  <c r="NL28" i="17"/>
  <c r="NL105" i="17"/>
  <c r="NL24" i="17"/>
  <c r="NL25" i="17"/>
  <c r="NL27" i="17"/>
  <c r="NL106" i="17"/>
  <c r="NL104" i="17"/>
  <c r="NL26" i="17"/>
  <c r="NK103" i="17"/>
  <c r="NK28" i="17"/>
  <c r="NK105" i="17"/>
  <c r="NK24" i="17"/>
  <c r="NK25" i="17"/>
  <c r="NK27" i="17"/>
  <c r="NK106" i="17"/>
  <c r="NK104" i="17"/>
  <c r="NK26" i="17"/>
  <c r="NJ28" i="17"/>
  <c r="NJ105" i="17"/>
  <c r="NJ24" i="17"/>
  <c r="NJ25" i="17"/>
  <c r="NJ27" i="17"/>
  <c r="NJ106" i="17"/>
  <c r="NJ103" i="17"/>
  <c r="NJ104" i="17"/>
  <c r="NJ26" i="17"/>
  <c r="Y119" i="40"/>
  <c r="Y118" i="40"/>
  <c r="FT14" i="17"/>
  <c r="FP14" i="17"/>
  <c r="IE14" i="17"/>
  <c r="HT14" i="17"/>
  <c r="FW14" i="17"/>
  <c r="GK14" i="17"/>
  <c r="HQ14" i="17"/>
  <c r="HX14" i="17"/>
  <c r="FM14" i="17"/>
  <c r="FR14" i="17"/>
  <c r="HV14" i="17"/>
  <c r="IB14" i="17"/>
  <c r="GD14" i="17"/>
  <c r="HR14" i="17"/>
  <c r="FQ14" i="17"/>
  <c r="HY14" i="17"/>
  <c r="IG14" i="17"/>
  <c r="HW14" i="17"/>
  <c r="GF14" i="17"/>
  <c r="HZ14" i="17"/>
  <c r="FJ14" i="17"/>
  <c r="FS14" i="17"/>
  <c r="GB14" i="17"/>
  <c r="GE14" i="17"/>
  <c r="HU14" i="17"/>
  <c r="GL14" i="17"/>
  <c r="HP14" i="17"/>
  <c r="FL14" i="17"/>
  <c r="GJ14" i="17"/>
  <c r="FU14" i="17"/>
  <c r="FV14" i="17"/>
  <c r="FX14" i="17"/>
  <c r="HS14" i="17"/>
  <c r="FO14" i="17"/>
  <c r="FZ14" i="17"/>
  <c r="FY14" i="17"/>
  <c r="FK14" i="17"/>
  <c r="GA14" i="17"/>
  <c r="ID14" i="17"/>
  <c r="FN14" i="17"/>
  <c r="GC14" i="17"/>
  <c r="GG14" i="17"/>
  <c r="GH14" i="17"/>
  <c r="IF14" i="17"/>
  <c r="GM14" i="17"/>
  <c r="GI14" i="17"/>
  <c r="IC14" i="17"/>
  <c r="IA14" i="17"/>
  <c r="GL99" i="17"/>
  <c r="GL97" i="17"/>
  <c r="GK97" i="17"/>
  <c r="GJ100" i="17"/>
  <c r="GJ98" i="17"/>
  <c r="GJ99" i="17"/>
  <c r="GK100" i="17"/>
  <c r="GK98" i="17"/>
  <c r="GK99" i="17"/>
  <c r="GL98" i="17"/>
  <c r="GJ97" i="17"/>
  <c r="GL100" i="17"/>
  <c r="BM22" i="3"/>
  <c r="R79" i="40"/>
  <c r="GL13" i="17"/>
  <c r="GJ11" i="17"/>
  <c r="GK11" i="17"/>
  <c r="GL11" i="17"/>
  <c r="GK12" i="17"/>
  <c r="GJ12" i="17"/>
  <c r="GK13" i="17"/>
  <c r="GL12" i="17"/>
  <c r="GJ13" i="17"/>
  <c r="NI24" i="17"/>
  <c r="NI27" i="17"/>
  <c r="NI106" i="17"/>
  <c r="NI25" i="17"/>
  <c r="NI103" i="17"/>
  <c r="NI104" i="17"/>
  <c r="NI26" i="17"/>
  <c r="NI105" i="17"/>
  <c r="NI28" i="17"/>
  <c r="NH106" i="17"/>
  <c r="NH104" i="17"/>
  <c r="NH26" i="17"/>
  <c r="NH27" i="17"/>
  <c r="NH25" i="17"/>
  <c r="NH28" i="17"/>
  <c r="NH103" i="17"/>
  <c r="NH105" i="17"/>
  <c r="NH24" i="17"/>
  <c r="NG24" i="17"/>
  <c r="NG25" i="17"/>
  <c r="NG27" i="17"/>
  <c r="NG103" i="17"/>
  <c r="NG104" i="17"/>
  <c r="NG26" i="17"/>
  <c r="NG105" i="17"/>
  <c r="NG28" i="17"/>
  <c r="NG106" i="17"/>
  <c r="NF25" i="17"/>
  <c r="NF106" i="17"/>
  <c r="NF103" i="17"/>
  <c r="NF26" i="17"/>
  <c r="NF105" i="17"/>
  <c r="NF104" i="17"/>
  <c r="NF28" i="17"/>
  <c r="NF27" i="17"/>
  <c r="NF24" i="17"/>
  <c r="GI97" i="17"/>
  <c r="IP98" i="17"/>
  <c r="IP97" i="17"/>
  <c r="GI99" i="17"/>
  <c r="GI100" i="17"/>
  <c r="IP100" i="17"/>
  <c r="IP99" i="17"/>
  <c r="GI98" i="17"/>
  <c r="GI12" i="17"/>
  <c r="GI11" i="17"/>
  <c r="IP13" i="17"/>
  <c r="IP12" i="17"/>
  <c r="GI13" i="17"/>
  <c r="IP11" i="17"/>
  <c r="NE104" i="17"/>
  <c r="NE26" i="17"/>
  <c r="NE105" i="17"/>
  <c r="NE106" i="17"/>
  <c r="NE27" i="17"/>
  <c r="NE103" i="17"/>
  <c r="NE28" i="17"/>
  <c r="NE25" i="17"/>
  <c r="NE24" i="17"/>
  <c r="GH12" i="17"/>
  <c r="IN12" i="17"/>
  <c r="IO13" i="17"/>
  <c r="GG13" i="17"/>
  <c r="IO12" i="17"/>
  <c r="GF11" i="17"/>
  <c r="GG12" i="17"/>
  <c r="IO11" i="17"/>
  <c r="GF12" i="17"/>
  <c r="GH13" i="17"/>
  <c r="GG11" i="17"/>
  <c r="GH11" i="17"/>
  <c r="GF13" i="17"/>
  <c r="GG100" i="17"/>
  <c r="GF97" i="17"/>
  <c r="IO100" i="17"/>
  <c r="IO99" i="17"/>
  <c r="GF99" i="17"/>
  <c r="GG98" i="17"/>
  <c r="GH100" i="17"/>
  <c r="GG99" i="17"/>
  <c r="GH98" i="17"/>
  <c r="IO98" i="17"/>
  <c r="GH97" i="17"/>
  <c r="IO97" i="17"/>
  <c r="GF100" i="17"/>
  <c r="GH99" i="17"/>
  <c r="GG97" i="17"/>
  <c r="GF98" i="17"/>
  <c r="ND106" i="17"/>
  <c r="ND28" i="17"/>
  <c r="ND105" i="17"/>
  <c r="ND24" i="17"/>
  <c r="ND103" i="17"/>
  <c r="ND25" i="17"/>
  <c r="ND27" i="17"/>
  <c r="ND104" i="17"/>
  <c r="ND26" i="17"/>
  <c r="NC104" i="17"/>
  <c r="NC106" i="17"/>
  <c r="NC28" i="17"/>
  <c r="NC26" i="17"/>
  <c r="NC105" i="17"/>
  <c r="NC24" i="17"/>
  <c r="NC103" i="17"/>
  <c r="NC25" i="17"/>
  <c r="NC27" i="17"/>
  <c r="NB103" i="17"/>
  <c r="NB26" i="17"/>
  <c r="NB27" i="17"/>
  <c r="NB104" i="17"/>
  <c r="NB106" i="17"/>
  <c r="NB28" i="17"/>
  <c r="NB25" i="17"/>
  <c r="NB24" i="17"/>
  <c r="NB105" i="17"/>
  <c r="S120" i="40"/>
  <c r="Y120" i="40"/>
  <c r="GA99" i="17"/>
  <c r="GD98" i="17"/>
  <c r="GE97" i="17"/>
  <c r="GE99" i="17"/>
  <c r="GE100" i="17"/>
  <c r="GA97" i="17"/>
  <c r="GD100" i="17"/>
  <c r="GB100" i="17"/>
  <c r="GA100" i="17"/>
  <c r="GA98" i="17"/>
  <c r="GB97" i="17"/>
  <c r="GC100" i="17"/>
  <c r="GE98" i="17"/>
  <c r="GB98" i="17"/>
  <c r="GB99" i="17"/>
  <c r="GC98" i="17"/>
  <c r="GC99" i="17"/>
  <c r="GC97" i="17"/>
  <c r="GD99" i="17"/>
  <c r="GD97" i="17"/>
  <c r="GC12" i="17"/>
  <c r="GE13" i="17"/>
  <c r="GD12" i="17"/>
  <c r="IL11" i="17"/>
  <c r="IL13" i="17"/>
  <c r="GC13" i="17"/>
  <c r="GD13" i="17"/>
  <c r="GE11" i="17"/>
  <c r="IK13" i="17"/>
  <c r="GE12" i="17"/>
  <c r="IL12" i="17"/>
  <c r="GD11" i="17"/>
  <c r="GC11" i="17"/>
  <c r="IK12" i="17"/>
  <c r="NA24" i="17"/>
  <c r="NA104" i="17"/>
  <c r="NA25" i="17"/>
  <c r="NA27" i="17"/>
  <c r="NA28" i="17"/>
  <c r="NA105" i="17"/>
  <c r="NA26" i="17"/>
  <c r="NA103" i="17"/>
  <c r="NA106" i="17"/>
  <c r="Y65" i="40"/>
  <c r="Q65" i="40"/>
  <c r="Y66" i="40"/>
  <c r="Q66" i="40"/>
  <c r="MZ104" i="17"/>
  <c r="MZ26" i="17"/>
  <c r="MZ27" i="17"/>
  <c r="MZ28" i="17"/>
  <c r="MZ103" i="17"/>
  <c r="MZ25" i="17"/>
  <c r="MZ106" i="17"/>
  <c r="MZ105" i="17"/>
  <c r="MZ24" i="17"/>
  <c r="S67" i="40"/>
  <c r="MY28" i="17"/>
  <c r="MY103" i="17"/>
  <c r="MY105" i="17"/>
  <c r="MY24" i="17"/>
  <c r="MY106" i="17"/>
  <c r="MY25" i="17"/>
  <c r="MY27" i="17"/>
  <c r="MY104" i="17"/>
  <c r="MY26" i="17"/>
  <c r="R26" i="40"/>
  <c r="II13" i="17"/>
  <c r="GB11" i="17"/>
  <c r="II12" i="17"/>
  <c r="II11" i="17"/>
  <c r="GB12" i="17"/>
  <c r="GB13" i="17"/>
  <c r="MX105" i="17"/>
  <c r="MX28" i="17"/>
  <c r="MX103" i="17"/>
  <c r="MX24" i="17"/>
  <c r="MX106" i="17"/>
  <c r="MX25" i="17"/>
  <c r="MX27" i="17"/>
  <c r="P26" i="40"/>
  <c r="MX104" i="17"/>
  <c r="MX26" i="17"/>
  <c r="Y67" i="40"/>
  <c r="W67" i="40"/>
  <c r="IH13" i="17"/>
  <c r="GA13" i="17"/>
  <c r="GA11" i="17"/>
  <c r="GA12" i="17"/>
  <c r="IH12" i="17"/>
  <c r="IH11" i="17"/>
  <c r="MW105" i="17"/>
  <c r="MW103" i="17"/>
  <c r="MW24" i="17"/>
  <c r="MW106" i="17"/>
  <c r="MW25" i="17"/>
  <c r="MW27" i="17"/>
  <c r="MW104" i="17"/>
  <c r="MW26" i="17"/>
  <c r="MW28" i="17"/>
  <c r="BM17" i="3"/>
  <c r="BM8" i="3"/>
  <c r="BM14" i="3"/>
  <c r="BM10" i="3"/>
  <c r="S13" i="26" s="1"/>
  <c r="BM19" i="3"/>
  <c r="BM13" i="3"/>
  <c r="BM16" i="3"/>
  <c r="FZ12" i="17"/>
  <c r="IG13" i="17"/>
  <c r="FZ11" i="17"/>
  <c r="IG11" i="17"/>
  <c r="FZ13" i="17"/>
  <c r="IG12" i="17"/>
  <c r="BM14" i="4"/>
  <c r="BM17" i="4"/>
  <c r="BM8" i="4"/>
  <c r="BM11" i="4"/>
  <c r="BM19" i="4"/>
  <c r="BM16" i="4"/>
  <c r="BM13" i="4"/>
  <c r="BM10" i="4"/>
  <c r="FZ98" i="17"/>
  <c r="IG98" i="17"/>
  <c r="IG97" i="17"/>
  <c r="FZ100" i="17"/>
  <c r="FZ97" i="17"/>
  <c r="Y112" i="40" s="1"/>
  <c r="FZ99" i="17"/>
  <c r="Y114" i="40" s="1"/>
  <c r="IG99" i="17"/>
  <c r="IG100" i="17"/>
  <c r="U120" i="40"/>
  <c r="U27" i="40"/>
  <c r="W27" i="40"/>
  <c r="U25" i="40"/>
  <c r="U118" i="40"/>
  <c r="S119" i="40"/>
  <c r="S27" i="40"/>
  <c r="S26" i="40"/>
  <c r="U26" i="40"/>
  <c r="S25" i="40"/>
  <c r="Q25" i="40"/>
  <c r="W25" i="40"/>
  <c r="L26" i="17"/>
  <c r="MV26" i="17"/>
  <c r="MV103" i="17"/>
  <c r="MV104" i="17"/>
  <c r="S118" i="40"/>
  <c r="MV28" i="17"/>
  <c r="MV105" i="17"/>
  <c r="MV24" i="17"/>
  <c r="MV106" i="17"/>
  <c r="J30" i="26"/>
  <c r="MV25" i="17"/>
  <c r="MV27" i="17"/>
  <c r="R26" i="17"/>
  <c r="W26" i="40"/>
  <c r="AF32" i="40"/>
  <c r="U58" i="17"/>
  <c r="Q118" i="40"/>
  <c r="DN26" i="17" a="1"/>
  <c r="DN26" i="17" s="1"/>
  <c r="AI26" i="40" s="1"/>
  <c r="K26" i="17"/>
  <c r="Q26" i="17"/>
  <c r="DO26" i="17" a="1"/>
  <c r="DO26" i="17" s="1"/>
  <c r="FV13" i="17"/>
  <c r="R45" i="40"/>
  <c r="T79" i="40"/>
  <c r="P79" i="40"/>
  <c r="V110" i="40"/>
  <c r="T45" i="40"/>
  <c r="FV12" i="17"/>
  <c r="FU12" i="17"/>
  <c r="P9" i="40"/>
  <c r="V79" i="40"/>
  <c r="IE11" i="17"/>
  <c r="ID13" i="17"/>
  <c r="FU13" i="17"/>
  <c r="AH9" i="40"/>
  <c r="ID12" i="17"/>
  <c r="X79" i="40"/>
  <c r="R110" i="40"/>
  <c r="FY11" i="17"/>
  <c r="AF9" i="40"/>
  <c r="IF11" i="17"/>
  <c r="V45" i="40"/>
  <c r="T110" i="40"/>
  <c r="IE13" i="17"/>
  <c r="FT12" i="17"/>
  <c r="IB11" i="17"/>
  <c r="V9" i="40"/>
  <c r="IF13" i="17"/>
  <c r="IC13" i="17"/>
  <c r="X110" i="40"/>
  <c r="FW12" i="17"/>
  <c r="AG9" i="40"/>
  <c r="FY13" i="17"/>
  <c r="R9" i="40"/>
  <c r="IA12" i="17"/>
  <c r="IE12" i="17"/>
  <c r="HZ12" i="17"/>
  <c r="IB13" i="17"/>
  <c r="IA11" i="17"/>
  <c r="ID11" i="17"/>
  <c r="FX13" i="17"/>
  <c r="AI9" i="40"/>
  <c r="IC11" i="17"/>
  <c r="IC12" i="17"/>
  <c r="FT13" i="17"/>
  <c r="FY12" i="17"/>
  <c r="FW13" i="17"/>
  <c r="IB12" i="17"/>
  <c r="FX12" i="17"/>
  <c r="IF12" i="17"/>
  <c r="HZ13" i="17"/>
  <c r="FS13" i="17"/>
  <c r="X9" i="40"/>
  <c r="W1" i="40" s="1"/>
  <c r="HZ11" i="17"/>
  <c r="P110" i="40"/>
  <c r="FT11" i="17"/>
  <c r="P45" i="40"/>
  <c r="FW11" i="17"/>
  <c r="IA13" i="17"/>
  <c r="FS11" i="17"/>
  <c r="FV11" i="17"/>
  <c r="FS12" i="17"/>
  <c r="FX11" i="17"/>
  <c r="AE9" i="40"/>
  <c r="X45" i="40"/>
  <c r="T9" i="40"/>
  <c r="FU11" i="17"/>
  <c r="MM26" i="17"/>
  <c r="ML26" i="17"/>
  <c r="MS26" i="17"/>
  <c r="MI26" i="17"/>
  <c r="MN26" i="17"/>
  <c r="MF26" i="17"/>
  <c r="MK26" i="17"/>
  <c r="MG26" i="17"/>
  <c r="MH26" i="17"/>
  <c r="MP26" i="17"/>
  <c r="MJ26" i="17"/>
  <c r="MU26" i="17"/>
  <c r="MQ26" i="17"/>
  <c r="MT26" i="17"/>
  <c r="MO26" i="17"/>
  <c r="ME26" i="17"/>
  <c r="MR26" i="17"/>
  <c r="Q26" i="40"/>
  <c r="HU98" i="17"/>
  <c r="HU99" i="17"/>
  <c r="FW100" i="17"/>
  <c r="FP98" i="17"/>
  <c r="FI99" i="17"/>
  <c r="HV100" i="17"/>
  <c r="HW97" i="17"/>
  <c r="IB99" i="17"/>
  <c r="FT99" i="17"/>
  <c r="HY99" i="17"/>
  <c r="IF98" i="17"/>
  <c r="HW99" i="17"/>
  <c r="FK97" i="17"/>
  <c r="IA99" i="17"/>
  <c r="FP100" i="17"/>
  <c r="FL99" i="17"/>
  <c r="FV98" i="17"/>
  <c r="IB98" i="17"/>
  <c r="HQ98" i="17"/>
  <c r="FS99" i="17"/>
  <c r="HZ97" i="17"/>
  <c r="IC97" i="17"/>
  <c r="IB100" i="17"/>
  <c r="FL100" i="17"/>
  <c r="HS99" i="17"/>
  <c r="FU100" i="17"/>
  <c r="IF99" i="17"/>
  <c r="IB97" i="17"/>
  <c r="FK98" i="17"/>
  <c r="ID98" i="17"/>
  <c r="FL97" i="17"/>
  <c r="HX99" i="17"/>
  <c r="FL98" i="17"/>
  <c r="ID97" i="17"/>
  <c r="FN100" i="17"/>
  <c r="FX98" i="17"/>
  <c r="HY100" i="17"/>
  <c r="HS97" i="17"/>
  <c r="FY97" i="17"/>
  <c r="FQ97" i="17"/>
  <c r="FT98" i="17"/>
  <c r="FQ100" i="17"/>
  <c r="FJ99" i="17"/>
  <c r="HR100" i="17"/>
  <c r="FP99" i="17"/>
  <c r="IA97" i="17"/>
  <c r="FS97" i="17"/>
  <c r="FY99" i="17"/>
  <c r="IE98" i="17"/>
  <c r="FV99" i="17"/>
  <c r="FO99" i="17"/>
  <c r="FX100" i="17"/>
  <c r="FM99" i="17"/>
  <c r="HR97" i="17"/>
  <c r="HQ97" i="17"/>
  <c r="FU97" i="17"/>
  <c r="IC98" i="17"/>
  <c r="HX100" i="17"/>
  <c r="IC99" i="17"/>
  <c r="FJ98" i="17"/>
  <c r="IA100" i="17"/>
  <c r="HP97" i="17"/>
  <c r="FU98" i="17"/>
  <c r="IA98" i="17"/>
  <c r="FJ100" i="17"/>
  <c r="FR98" i="17"/>
  <c r="HZ98" i="17"/>
  <c r="HP100" i="17"/>
  <c r="HZ100" i="17"/>
  <c r="FU99" i="17"/>
  <c r="HP99" i="17"/>
  <c r="FN98" i="17"/>
  <c r="FM98" i="17"/>
  <c r="IF97" i="17"/>
  <c r="FR100" i="17"/>
  <c r="HX97" i="17"/>
  <c r="FN97" i="17"/>
  <c r="HU97" i="17"/>
  <c r="FV100" i="17"/>
  <c r="FO97" i="17"/>
  <c r="FW98" i="17"/>
  <c r="FJ97" i="17"/>
  <c r="FM97" i="17"/>
  <c r="HT100" i="17"/>
  <c r="HY97" i="17"/>
  <c r="FI97" i="17"/>
  <c r="HU100" i="17"/>
  <c r="HP98" i="17"/>
  <c r="HQ100" i="17"/>
  <c r="HW100" i="17"/>
  <c r="IE100" i="17"/>
  <c r="IC100" i="17"/>
  <c r="IE99" i="17"/>
  <c r="FR97" i="17"/>
  <c r="HY98" i="17"/>
  <c r="FX99" i="17"/>
  <c r="HS98" i="17"/>
  <c r="FI98" i="17"/>
  <c r="FY100" i="17"/>
  <c r="HT98" i="17"/>
  <c r="FQ99" i="17"/>
  <c r="ID100" i="17"/>
  <c r="FS100" i="17"/>
  <c r="FM100" i="17"/>
  <c r="HT99" i="17"/>
  <c r="HZ99" i="17"/>
  <c r="FT97" i="17"/>
  <c r="ID99" i="17"/>
  <c r="FW97" i="17"/>
  <c r="HR99" i="17"/>
  <c r="FY98" i="17"/>
  <c r="FK99" i="17"/>
  <c r="FX97" i="17"/>
  <c r="FO100" i="17"/>
  <c r="FK100" i="17"/>
  <c r="HQ99" i="17"/>
  <c r="FO98" i="17"/>
  <c r="FR99" i="17"/>
  <c r="FQ98" i="17"/>
  <c r="FP97" i="17"/>
  <c r="HV98" i="17"/>
  <c r="HT97" i="17"/>
  <c r="HS100" i="17"/>
  <c r="FT100" i="17"/>
  <c r="FV97" i="17"/>
  <c r="HX98" i="17"/>
  <c r="HW98" i="17"/>
  <c r="IF100" i="17"/>
  <c r="FN99" i="17"/>
  <c r="HR98" i="17"/>
  <c r="HV99" i="17"/>
  <c r="IE97" i="17"/>
  <c r="FW99" i="17"/>
  <c r="HV97" i="17"/>
  <c r="FS98" i="17"/>
  <c r="DP26" i="17" a="1"/>
  <c r="DP26" i="17" s="1"/>
  <c r="LQ26" i="17"/>
  <c r="LP26" i="17"/>
  <c r="LL26" i="17"/>
  <c r="KS26" i="17"/>
  <c r="KT26" i="17"/>
  <c r="LR26" i="17"/>
  <c r="KK26" i="17"/>
  <c r="LB26" i="17"/>
  <c r="LA26" i="17"/>
  <c r="LE26" i="17"/>
  <c r="LK26" i="17"/>
  <c r="KF26" i="17"/>
  <c r="LH26" i="17"/>
  <c r="LJ26" i="17"/>
  <c r="JY26" i="17"/>
  <c r="LD26" i="17"/>
  <c r="JX26" i="17"/>
  <c r="KJ26" i="17"/>
  <c r="KO26" i="17"/>
  <c r="LI26" i="17"/>
  <c r="LC26" i="17"/>
  <c r="KC26" i="17"/>
  <c r="KQ26" i="17"/>
  <c r="KG26" i="17"/>
  <c r="JW26" i="17"/>
  <c r="KL26" i="17"/>
  <c r="KA26" i="17"/>
  <c r="KH26" i="17"/>
  <c r="KP26" i="17"/>
  <c r="JZ26" i="17"/>
  <c r="KY26" i="17"/>
  <c r="LO26" i="17"/>
  <c r="LM26" i="17"/>
  <c r="LN26" i="17"/>
  <c r="KB26" i="17"/>
  <c r="KV26" i="17"/>
  <c r="KR26" i="17"/>
  <c r="LG26" i="17"/>
  <c r="KW26" i="17"/>
  <c r="KI26" i="17"/>
  <c r="KD26" i="17"/>
  <c r="KM26" i="17"/>
  <c r="KZ26" i="17"/>
  <c r="LF26" i="17"/>
  <c r="KE26" i="17"/>
  <c r="KU26" i="17"/>
  <c r="KN26" i="17"/>
  <c r="KX26" i="17"/>
  <c r="DM26" i="17" a="1"/>
  <c r="DM26" i="17" s="1"/>
  <c r="AH26" i="40" s="1"/>
  <c r="DQ26" i="17" a="1"/>
  <c r="DQ26" i="17" s="1"/>
  <c r="X26" i="40"/>
  <c r="J26" i="17"/>
  <c r="P26" i="17"/>
  <c r="U119" i="40"/>
  <c r="MU103" i="17"/>
  <c r="DJ25" i="17" a="1"/>
  <c r="DJ25" i="17" s="1"/>
  <c r="AE25" i="40" s="1"/>
  <c r="MU104" i="17"/>
  <c r="MU105" i="17"/>
  <c r="AF34" i="40"/>
  <c r="DN25" i="17" a="1"/>
  <c r="DN25" i="17" s="1"/>
  <c r="MU25" i="17"/>
  <c r="MU106" i="17"/>
  <c r="MU28" i="17"/>
  <c r="MU24" i="17"/>
  <c r="MU27" i="17"/>
  <c r="U59" i="17"/>
  <c r="MT106" i="17"/>
  <c r="R28" i="17"/>
  <c r="R24" i="17"/>
  <c r="MT103" i="17"/>
  <c r="L25" i="17"/>
  <c r="MT25" i="17"/>
  <c r="MT28" i="17"/>
  <c r="MT24" i="17"/>
  <c r="MT104" i="17"/>
  <c r="AE32" i="40"/>
  <c r="L27" i="17"/>
  <c r="MT27" i="17"/>
  <c r="R25" i="17"/>
  <c r="MT105" i="17"/>
  <c r="R27" i="17"/>
  <c r="Q25" i="17"/>
  <c r="K25" i="17"/>
  <c r="AF25" i="40"/>
  <c r="K27" i="17"/>
  <c r="Q27" i="17"/>
  <c r="Q24" i="17"/>
  <c r="K24" i="17"/>
  <c r="K28" i="17"/>
  <c r="Q28" i="17"/>
  <c r="L28" i="17"/>
  <c r="Q27" i="40"/>
  <c r="Q120" i="40"/>
  <c r="MS106" i="17"/>
  <c r="Q119" i="40"/>
  <c r="MS103" i="17"/>
  <c r="MS28" i="17"/>
  <c r="L30" i="26"/>
  <c r="G427" i="1"/>
  <c r="S30" i="26"/>
  <c r="MS27" i="17"/>
  <c r="AF121" i="40"/>
  <c r="S121" i="40"/>
  <c r="R30" i="26"/>
  <c r="MS104" i="17"/>
  <c r="AE121" i="40"/>
  <c r="Q121" i="40"/>
  <c r="K30" i="26"/>
  <c r="AF24" i="40"/>
  <c r="S24" i="40"/>
  <c r="MS105" i="17"/>
  <c r="Q28" i="40"/>
  <c r="AE28" i="40"/>
  <c r="MS24" i="17"/>
  <c r="M30" i="26"/>
  <c r="N30" i="26"/>
  <c r="MS25" i="17"/>
  <c r="U60" i="17"/>
  <c r="N27" i="26"/>
  <c r="MR27" i="17"/>
  <c r="MR104" i="17"/>
  <c r="MR105" i="17"/>
  <c r="MR24" i="17"/>
  <c r="MR25" i="17"/>
  <c r="MR106" i="17"/>
  <c r="MR103" i="17"/>
  <c r="MR28" i="17"/>
  <c r="K431" i="1"/>
  <c r="Q60" i="26"/>
  <c r="K427" i="1"/>
  <c r="Q57" i="26"/>
  <c r="K430" i="1"/>
  <c r="Q59" i="26"/>
  <c r="K31" i="26"/>
  <c r="Q31" i="26"/>
  <c r="M32" i="26"/>
  <c r="Q32" i="26"/>
  <c r="MQ103" i="17"/>
  <c r="K428" i="1"/>
  <c r="Q58" i="26"/>
  <c r="MQ25" i="17"/>
  <c r="MQ104" i="17"/>
  <c r="MQ105" i="17"/>
  <c r="MQ28" i="17"/>
  <c r="MQ24" i="17"/>
  <c r="MQ106" i="17"/>
  <c r="MQ27" i="17"/>
  <c r="S32" i="26"/>
  <c r="L32" i="26"/>
  <c r="MP25" i="17"/>
  <c r="MP104" i="17"/>
  <c r="MP105" i="17"/>
  <c r="MP28" i="17"/>
  <c r="MP24" i="17"/>
  <c r="MP106" i="17"/>
  <c r="MP27" i="17"/>
  <c r="MP103" i="17"/>
  <c r="J57" i="26"/>
  <c r="M31" i="26"/>
  <c r="J32" i="26"/>
  <c r="R32" i="26"/>
  <c r="N32" i="26"/>
  <c r="G430" i="1"/>
  <c r="K32" i="26"/>
  <c r="J31" i="26"/>
  <c r="G428" i="1"/>
  <c r="N31" i="26"/>
  <c r="L31" i="26"/>
  <c r="S31" i="26"/>
  <c r="R31" i="26"/>
  <c r="U53" i="17"/>
  <c r="O57" i="26"/>
  <c r="R57" i="26"/>
  <c r="S57" i="26"/>
  <c r="L57" i="26"/>
  <c r="M57" i="26"/>
  <c r="N57" i="26"/>
  <c r="P57" i="26"/>
  <c r="T57" i="26"/>
  <c r="K57" i="26"/>
  <c r="MO104" i="17"/>
  <c r="T59" i="26"/>
  <c r="M59" i="26"/>
  <c r="K59" i="26"/>
  <c r="L59" i="26"/>
  <c r="S59" i="26"/>
  <c r="J59" i="26"/>
  <c r="O59" i="26"/>
  <c r="R59" i="26"/>
  <c r="P59" i="26"/>
  <c r="N59" i="26"/>
  <c r="MM24" i="17"/>
  <c r="MO105" i="17"/>
  <c r="Q33" i="26"/>
  <c r="P31" i="26"/>
  <c r="T31" i="26"/>
  <c r="O31" i="26"/>
  <c r="MO24" i="17"/>
  <c r="MO25" i="17"/>
  <c r="MN25" i="17"/>
  <c r="MM25" i="17"/>
  <c r="P30" i="26"/>
  <c r="O30" i="26"/>
  <c r="T30" i="26"/>
  <c r="Q102" i="26"/>
  <c r="MN24" i="17"/>
  <c r="BM4" i="4"/>
  <c r="BB97" i="17"/>
  <c r="BC100" i="17"/>
  <c r="DK100" i="17" s="1"/>
  <c r="BC97" i="17"/>
  <c r="BB98" i="17"/>
  <c r="DJ98" i="17" s="1" a="1"/>
  <c r="DJ98" i="17" s="1"/>
  <c r="BC99" i="17"/>
  <c r="DK99" i="17" s="1" a="1"/>
  <c r="DK99" i="17" s="1"/>
  <c r="BB100" i="17"/>
  <c r="BC98" i="17"/>
  <c r="DK98" i="17" s="1" a="1"/>
  <c r="DK98" i="17" s="1"/>
  <c r="BB99" i="17"/>
  <c r="DJ99" i="17" s="1" a="1"/>
  <c r="DJ99" i="17" s="1"/>
  <c r="T32" i="26"/>
  <c r="P32" i="26"/>
  <c r="O32" i="26"/>
  <c r="MN104" i="17"/>
  <c r="MM104" i="17"/>
  <c r="MM105" i="17"/>
  <c r="MO28" i="17"/>
  <c r="MN28" i="17"/>
  <c r="MM28" i="17"/>
  <c r="MN105" i="17"/>
  <c r="MM103" i="17"/>
  <c r="MO103" i="17"/>
  <c r="MN103" i="17"/>
  <c r="MN106" i="17"/>
  <c r="MM106" i="17"/>
  <c r="MO106" i="17"/>
  <c r="J58" i="26"/>
  <c r="T58" i="26"/>
  <c r="O58" i="26"/>
  <c r="N58" i="26"/>
  <c r="P58" i="26"/>
  <c r="M58" i="26"/>
  <c r="R58" i="26"/>
  <c r="S58" i="26"/>
  <c r="L58" i="26"/>
  <c r="K58" i="26"/>
  <c r="MO27" i="17"/>
  <c r="MM27" i="17"/>
  <c r="MN27" i="17"/>
  <c r="BM4" i="3"/>
  <c r="HO13" i="17"/>
  <c r="HS13" i="17"/>
  <c r="BO9" i="17"/>
  <c r="FR11" i="17"/>
  <c r="HY13" i="17"/>
  <c r="HT13" i="17"/>
  <c r="AS9" i="17"/>
  <c r="HQ12" i="17"/>
  <c r="BK9" i="17"/>
  <c r="CF9" i="17"/>
  <c r="BX9" i="17"/>
  <c r="BG9" i="17"/>
  <c r="BS9" i="17"/>
  <c r="BF9" i="17"/>
  <c r="BU9" i="17"/>
  <c r="CG9" i="17"/>
  <c r="HW13" i="17"/>
  <c r="BV9" i="17"/>
  <c r="BD9" i="17"/>
  <c r="CC9" i="17"/>
  <c r="AT9" i="17"/>
  <c r="FP11" i="17"/>
  <c r="CI9" i="17"/>
  <c r="BQ9" i="17"/>
  <c r="HP13" i="17"/>
  <c r="BN9" i="17"/>
  <c r="HP12" i="17"/>
  <c r="CL9" i="17"/>
  <c r="BE9" i="17"/>
  <c r="BZ9" i="17"/>
  <c r="BM9" i="17"/>
  <c r="BB9" i="17"/>
  <c r="BP9" i="17"/>
  <c r="FR13" i="17"/>
  <c r="FQ11" i="17"/>
  <c r="BA9" i="17"/>
  <c r="CJ9" i="17"/>
  <c r="HS12" i="17"/>
  <c r="CE9" i="17"/>
  <c r="HQ13" i="17"/>
  <c r="AV9" i="17"/>
  <c r="BC9" i="17"/>
  <c r="HY11" i="17"/>
  <c r="BR9" i="17"/>
  <c r="CD9" i="17"/>
  <c r="HV11" i="17"/>
  <c r="CH9" i="17"/>
  <c r="BY9" i="17"/>
  <c r="CK9" i="17"/>
  <c r="FQ12" i="17"/>
  <c r="FP12" i="17"/>
  <c r="HU12" i="17"/>
  <c r="CA9" i="17"/>
  <c r="HX13" i="17"/>
  <c r="BW9" i="17"/>
  <c r="BJ9" i="17"/>
  <c r="HP11" i="17"/>
  <c r="CM9" i="17"/>
  <c r="HV12" i="17"/>
  <c r="HS11" i="17"/>
  <c r="FQ13" i="17"/>
  <c r="AY9" i="17"/>
  <c r="AZ9" i="17"/>
  <c r="HY12" i="17"/>
  <c r="HR11" i="17"/>
  <c r="HW11" i="17"/>
  <c r="AX9" i="17"/>
  <c r="BT9" i="17"/>
  <c r="HU13" i="17"/>
  <c r="FR12" i="17"/>
  <c r="HQ11" i="17"/>
  <c r="AF13" i="40"/>
  <c r="BL9" i="17"/>
  <c r="HR12" i="17"/>
  <c r="HW12" i="17"/>
  <c r="AW9" i="17"/>
  <c r="HX11" i="17"/>
  <c r="CB9" i="17"/>
  <c r="BI9" i="17"/>
  <c r="HX12" i="17"/>
  <c r="HV13" i="17"/>
  <c r="BH9" i="17"/>
  <c r="HR13" i="17"/>
  <c r="HT11" i="17"/>
  <c r="FP13" i="17"/>
  <c r="HT12" i="17"/>
  <c r="HU11" i="17"/>
  <c r="AU9" i="17"/>
  <c r="J60" i="26"/>
  <c r="M60" i="26"/>
  <c r="R60" i="26"/>
  <c r="O60" i="26"/>
  <c r="S60" i="26"/>
  <c r="T60" i="26"/>
  <c r="K60" i="26"/>
  <c r="L60" i="26"/>
  <c r="P60" i="26"/>
  <c r="N60" i="26"/>
  <c r="V66" i="26"/>
  <c r="V63" i="26"/>
  <c r="V64" i="26"/>
  <c r="V65" i="26"/>
  <c r="KC27" i="17"/>
  <c r="U54" i="17"/>
  <c r="KC28" i="17"/>
  <c r="KC103" i="17"/>
  <c r="KB105" i="17"/>
  <c r="KD27" i="17"/>
  <c r="KC104" i="17"/>
  <c r="KC106" i="17"/>
  <c r="AA64" i="17"/>
  <c r="X64" i="17" s="1"/>
  <c r="AB64" i="17"/>
  <c r="KC24" i="17"/>
  <c r="KD106" i="17"/>
  <c r="KN105" i="17"/>
  <c r="KW105" i="17"/>
  <c r="KP105" i="17"/>
  <c r="LD105" i="17"/>
  <c r="LN105" i="17"/>
  <c r="LO105" i="17"/>
  <c r="KK105" i="17"/>
  <c r="LK105" i="17"/>
  <c r="LE105" i="17"/>
  <c r="LH105" i="17"/>
  <c r="KL105" i="17"/>
  <c r="KY105" i="17"/>
  <c r="LG105" i="17"/>
  <c r="LQ105" i="17"/>
  <c r="KE105" i="17"/>
  <c r="KI105" i="17"/>
  <c r="KX105" i="17"/>
  <c r="KM105" i="17"/>
  <c r="KZ105" i="17"/>
  <c r="KR105" i="17"/>
  <c r="KS105" i="17"/>
  <c r="LC105" i="17"/>
  <c r="KQ105" i="17"/>
  <c r="LB105" i="17"/>
  <c r="KH105" i="17"/>
  <c r="KG105" i="17"/>
  <c r="LI105" i="17"/>
  <c r="KJ105" i="17"/>
  <c r="LA105" i="17"/>
  <c r="LL105" i="17"/>
  <c r="LM105" i="17"/>
  <c r="LF105" i="17"/>
  <c r="LR105" i="17"/>
  <c r="KT105" i="17"/>
  <c r="KO105" i="17"/>
  <c r="LJ105" i="17"/>
  <c r="KF105" i="17"/>
  <c r="KU105" i="17"/>
  <c r="LP105" i="17"/>
  <c r="KV105" i="17"/>
  <c r="KD105" i="17"/>
  <c r="KV106" i="17"/>
  <c r="KM106" i="17"/>
  <c r="LH106" i="17"/>
  <c r="KG106" i="17"/>
  <c r="KR106" i="17"/>
  <c r="LI106" i="17"/>
  <c r="LK106" i="17"/>
  <c r="LR106" i="17"/>
  <c r="KZ106" i="17"/>
  <c r="LC106" i="17"/>
  <c r="LE106" i="17"/>
  <c r="KO106" i="17"/>
  <c r="LB106" i="17"/>
  <c r="KP106" i="17"/>
  <c r="LF106" i="17"/>
  <c r="LN106" i="17"/>
  <c r="KH106" i="17"/>
  <c r="KW106" i="17"/>
  <c r="KJ106" i="17"/>
  <c r="KF106" i="17"/>
  <c r="KI106" i="17"/>
  <c r="KT106" i="17"/>
  <c r="KU106" i="17"/>
  <c r="KN106" i="17"/>
  <c r="KY106" i="17"/>
  <c r="KE106" i="17"/>
  <c r="LM106" i="17"/>
  <c r="LJ106" i="17"/>
  <c r="LD106" i="17"/>
  <c r="KK106" i="17"/>
  <c r="KQ106" i="17"/>
  <c r="LG106" i="17"/>
  <c r="LL106" i="17"/>
  <c r="LO106" i="17"/>
  <c r="LA106" i="17"/>
  <c r="KL106" i="17"/>
  <c r="KS106" i="17"/>
  <c r="KX106" i="17"/>
  <c r="LP106" i="17"/>
  <c r="LQ106" i="17"/>
  <c r="KC105" i="17"/>
  <c r="LH104" i="17"/>
  <c r="KT104" i="17"/>
  <c r="LN104" i="17"/>
  <c r="KE104" i="17"/>
  <c r="LB104" i="17"/>
  <c r="KI104" i="17"/>
  <c r="KN104" i="17"/>
  <c r="LG104" i="17"/>
  <c r="LR104" i="17"/>
  <c r="LO104" i="17"/>
  <c r="LC104" i="17"/>
  <c r="KK104" i="17"/>
  <c r="LF104" i="17"/>
  <c r="KW104" i="17"/>
  <c r="KO104" i="17"/>
  <c r="LE104" i="17"/>
  <c r="LP104" i="17"/>
  <c r="KF104" i="17"/>
  <c r="LQ104" i="17"/>
  <c r="KY104" i="17"/>
  <c r="KQ104" i="17"/>
  <c r="KG104" i="17"/>
  <c r="LM104" i="17"/>
  <c r="KZ104" i="17"/>
  <c r="LI104" i="17"/>
  <c r="KH104" i="17"/>
  <c r="KS104" i="17"/>
  <c r="KR104" i="17"/>
  <c r="KL104" i="17"/>
  <c r="LL104" i="17"/>
  <c r="KX104" i="17"/>
  <c r="KJ104" i="17"/>
  <c r="KP104" i="17"/>
  <c r="LK104" i="17"/>
  <c r="LA104" i="17"/>
  <c r="LJ104" i="17"/>
  <c r="KM104" i="17"/>
  <c r="KV104" i="17"/>
  <c r="LD104" i="17"/>
  <c r="KU104" i="17"/>
  <c r="KD104" i="17"/>
  <c r="KD103" i="17"/>
  <c r="KJ103" i="17"/>
  <c r="KX103" i="17"/>
  <c r="KV103" i="17"/>
  <c r="LR103" i="17"/>
  <c r="KP103" i="17"/>
  <c r="LI103" i="17"/>
  <c r="LB103" i="17"/>
  <c r="LL103" i="17"/>
  <c r="KG103" i="17"/>
  <c r="KY103" i="17"/>
  <c r="KZ103" i="17"/>
  <c r="KO103" i="17"/>
  <c r="LD103" i="17"/>
  <c r="LM103" i="17"/>
  <c r="LO103" i="17"/>
  <c r="KI103" i="17"/>
  <c r="LK103" i="17"/>
  <c r="KN103" i="17"/>
  <c r="KT103" i="17"/>
  <c r="LF103" i="17"/>
  <c r="KH103" i="17"/>
  <c r="KL103" i="17"/>
  <c r="KU103" i="17"/>
  <c r="KE103" i="17"/>
  <c r="LH103" i="17"/>
  <c r="LP103" i="17"/>
  <c r="LA103" i="17"/>
  <c r="LN103" i="17"/>
  <c r="KS103" i="17"/>
  <c r="LJ103" i="17"/>
  <c r="LC103" i="17"/>
  <c r="KR103" i="17"/>
  <c r="KM103" i="17"/>
  <c r="KW103" i="17"/>
  <c r="LE103" i="17"/>
  <c r="LQ103" i="17"/>
  <c r="KK103" i="17"/>
  <c r="KQ103" i="17"/>
  <c r="LG103" i="17"/>
  <c r="KF103" i="17"/>
  <c r="KD28" i="17"/>
  <c r="LN28" i="17"/>
  <c r="LH28" i="17"/>
  <c r="LP28" i="17"/>
  <c r="LF28" i="17"/>
  <c r="KZ28" i="17"/>
  <c r="LC28" i="17"/>
  <c r="LI28" i="17"/>
  <c r="LA28" i="17"/>
  <c r="KO28" i="17"/>
  <c r="KV28" i="17"/>
  <c r="LM28" i="17"/>
  <c r="KR28" i="17"/>
  <c r="KN28" i="17"/>
  <c r="KF28" i="17"/>
  <c r="KJ28" i="17"/>
  <c r="KT28" i="17"/>
  <c r="KW28" i="17"/>
  <c r="KK28" i="17"/>
  <c r="LR28" i="17"/>
  <c r="KG28" i="17"/>
  <c r="KQ28" i="17"/>
  <c r="KH28" i="17"/>
  <c r="KY28" i="17"/>
  <c r="KX28" i="17"/>
  <c r="LJ28" i="17"/>
  <c r="LK28" i="17"/>
  <c r="KS28" i="17"/>
  <c r="LQ28" i="17"/>
  <c r="LO28" i="17"/>
  <c r="KE28" i="17"/>
  <c r="LD28" i="17"/>
  <c r="LB28" i="17"/>
  <c r="KI28" i="17"/>
  <c r="LG28" i="17"/>
  <c r="KL28" i="17"/>
  <c r="LE28" i="17"/>
  <c r="KM28" i="17"/>
  <c r="KU28" i="17"/>
  <c r="LL28" i="17"/>
  <c r="KP28" i="17"/>
  <c r="KR27" i="17"/>
  <c r="KI27" i="17"/>
  <c r="KY27" i="17"/>
  <c r="KU27" i="17"/>
  <c r="KM27" i="17"/>
  <c r="KV27" i="17"/>
  <c r="LJ27" i="17"/>
  <c r="KW27" i="17"/>
  <c r="LQ27" i="17"/>
  <c r="LN27" i="17"/>
  <c r="LR27" i="17"/>
  <c r="KP27" i="17"/>
  <c r="LE27" i="17"/>
  <c r="KX27" i="17"/>
  <c r="LL27" i="17"/>
  <c r="KS27" i="17"/>
  <c r="LH27" i="17"/>
  <c r="LI27" i="17"/>
  <c r="KZ27" i="17"/>
  <c r="LD27" i="17"/>
  <c r="KO27" i="17"/>
  <c r="LK27" i="17"/>
  <c r="LP27" i="17"/>
  <c r="KT27" i="17"/>
  <c r="KJ27" i="17"/>
  <c r="KL27" i="17"/>
  <c r="LO27" i="17"/>
  <c r="LA27" i="17"/>
  <c r="KF27" i="17"/>
  <c r="LC27" i="17"/>
  <c r="KK27" i="17"/>
  <c r="KH27" i="17"/>
  <c r="KQ27" i="17"/>
  <c r="KG27" i="17"/>
  <c r="KN27" i="17"/>
  <c r="LG27" i="17"/>
  <c r="KE27" i="17"/>
  <c r="LB27" i="17"/>
  <c r="LF27" i="17"/>
  <c r="LM27" i="17"/>
  <c r="KF25" i="17"/>
  <c r="KJ25" i="17"/>
  <c r="LL25" i="17"/>
  <c r="LG25" i="17"/>
  <c r="KW25" i="17"/>
  <c r="LC25" i="17"/>
  <c r="LA25" i="17"/>
  <c r="LP25" i="17"/>
  <c r="KR25" i="17"/>
  <c r="KV25" i="17"/>
  <c r="KO25" i="17"/>
  <c r="LF25" i="17"/>
  <c r="LJ25" i="17"/>
  <c r="KH25" i="17"/>
  <c r="LR25" i="17"/>
  <c r="LD25" i="17"/>
  <c r="LK25" i="17"/>
  <c r="LB25" i="17"/>
  <c r="LO25" i="17"/>
  <c r="KP25" i="17"/>
  <c r="KE25" i="17"/>
  <c r="KM25" i="17"/>
  <c r="KU25" i="17"/>
  <c r="LE25" i="17"/>
  <c r="LM25" i="17"/>
  <c r="KQ25" i="17"/>
  <c r="KK25" i="17"/>
  <c r="KI25" i="17"/>
  <c r="KL25" i="17"/>
  <c r="LI25" i="17"/>
  <c r="KN25" i="17"/>
  <c r="KX25" i="17"/>
  <c r="LH25" i="17"/>
  <c r="LQ25" i="17"/>
  <c r="KT25" i="17"/>
  <c r="KY25" i="17"/>
  <c r="KZ25" i="17"/>
  <c r="KS25" i="17"/>
  <c r="KG25" i="17"/>
  <c r="LN25" i="17"/>
  <c r="KC25" i="17"/>
  <c r="KD25" i="17"/>
  <c r="LC24" i="17"/>
  <c r="KH24" i="17"/>
  <c r="LF24" i="17"/>
  <c r="KV24" i="17"/>
  <c r="LN24" i="17"/>
  <c r="LL24" i="17"/>
  <c r="LE24" i="17"/>
  <c r="LO24" i="17"/>
  <c r="KS24" i="17"/>
  <c r="LI24" i="17"/>
  <c r="LH24" i="17"/>
  <c r="KO24" i="17"/>
  <c r="LD24" i="17"/>
  <c r="KJ24" i="17"/>
  <c r="KF24" i="17"/>
  <c r="KN24" i="17"/>
  <c r="LA24" i="17"/>
  <c r="LQ24" i="17"/>
  <c r="KG24" i="17"/>
  <c r="KP24" i="17"/>
  <c r="KX24" i="17"/>
  <c r="LG24" i="17"/>
  <c r="KM24" i="17"/>
  <c r="KR24" i="17"/>
  <c r="KE24" i="17"/>
  <c r="KT24" i="17"/>
  <c r="KQ24" i="17"/>
  <c r="KK24" i="17"/>
  <c r="KL24" i="17"/>
  <c r="KI24" i="17"/>
  <c r="KU24" i="17"/>
  <c r="KY24" i="17"/>
  <c r="LM24" i="17"/>
  <c r="LP24" i="17"/>
  <c r="LK24" i="17"/>
  <c r="KZ24" i="17"/>
  <c r="KW24" i="17"/>
  <c r="LR24" i="17"/>
  <c r="LB24" i="17"/>
  <c r="LJ24" i="17"/>
  <c r="KD24" i="17"/>
  <c r="AD64" i="17"/>
  <c r="Q105" i="17"/>
  <c r="ML54" i="17"/>
  <c r="Z54" i="17" s="1"/>
  <c r="ML58" i="17"/>
  <c r="Z58" i="17" s="1"/>
  <c r="ML55" i="17"/>
  <c r="Z55" i="17" s="1"/>
  <c r="ML53" i="17"/>
  <c r="Z53" i="17" s="1"/>
  <c r="ML59" i="17"/>
  <c r="Z59" i="17" s="1"/>
  <c r="ML61" i="17"/>
  <c r="Z61" i="17" s="1"/>
  <c r="ML60" i="17"/>
  <c r="Z60" i="17" s="1"/>
  <c r="ML52" i="17"/>
  <c r="Z52" i="17" s="1"/>
  <c r="ED9" i="17"/>
  <c r="MY9" i="17"/>
  <c r="JC9" i="17"/>
  <c r="NO9" i="17"/>
  <c r="NL9" i="17"/>
  <c r="EE9" i="17"/>
  <c r="JF9" i="17"/>
  <c r="EN9" i="17"/>
  <c r="IC9" i="17"/>
  <c r="MX9" i="17"/>
  <c r="II9" i="17"/>
  <c r="KV9" i="17"/>
  <c r="ND9" i="17"/>
  <c r="DC9" i="17"/>
  <c r="IG9" i="17"/>
  <c r="EO9" i="17"/>
  <c r="DT9" i="17"/>
  <c r="DP9" i="17"/>
  <c r="KU9" i="17"/>
  <c r="NF9" i="17"/>
  <c r="LH9" i="17"/>
  <c r="IK9" i="17"/>
  <c r="LF9" i="17"/>
  <c r="NJ9" i="17"/>
  <c r="KO9" i="17"/>
  <c r="IF9" i="17"/>
  <c r="HW9" i="17"/>
  <c r="KA9" i="17"/>
  <c r="NB9" i="17"/>
  <c r="FO12" i="17"/>
  <c r="MH9" i="17"/>
  <c r="JI9" i="17"/>
  <c r="DD9" i="17"/>
  <c r="MV9" i="17"/>
  <c r="EL9" i="17"/>
  <c r="KB9" i="17"/>
  <c r="JA9" i="17"/>
  <c r="NK9" i="17"/>
  <c r="EQ9" i="17"/>
  <c r="EB9" i="17"/>
  <c r="EI9" i="17"/>
  <c r="KW9" i="17"/>
  <c r="LC9" i="17"/>
  <c r="FO13" i="17"/>
  <c r="KY9" i="17"/>
  <c r="DZ9" i="17"/>
  <c r="LA9" i="17"/>
  <c r="KX9" i="17"/>
  <c r="NT9" i="17"/>
  <c r="LL9" i="17"/>
  <c r="DF9" i="17"/>
  <c r="DO9" i="17"/>
  <c r="NR9" i="17"/>
  <c r="NW9" i="17"/>
  <c r="IS9" i="17"/>
  <c r="IZ9" i="17"/>
  <c r="KE9" i="17"/>
  <c r="HV9" i="17"/>
  <c r="NV9" i="17"/>
  <c r="MU9" i="17"/>
  <c r="DX9" i="17"/>
  <c r="EK9" i="17"/>
  <c r="EP9" i="17"/>
  <c r="LJ9" i="17"/>
  <c r="MO9" i="17"/>
  <c r="DN9" i="17"/>
  <c r="IN9" i="17"/>
  <c r="MR9" i="17"/>
  <c r="NX9" i="17"/>
  <c r="JE9" i="17"/>
  <c r="DG9" i="17"/>
  <c r="IL9" i="17"/>
  <c r="KN9" i="17"/>
  <c r="DQ9" i="17"/>
  <c r="IH9" i="17"/>
  <c r="IW9" i="17"/>
  <c r="KD9" i="17"/>
  <c r="HZ9" i="17"/>
  <c r="LK9" i="17"/>
  <c r="LO9" i="17"/>
  <c r="DM9" i="17"/>
  <c r="LN9" i="17"/>
  <c r="NA9" i="17"/>
  <c r="IU9" i="17"/>
  <c r="DH9" i="17"/>
  <c r="JG9" i="17"/>
  <c r="LG9" i="17"/>
  <c r="EC9" i="17"/>
  <c r="DK9" i="17"/>
  <c r="KQ9" i="17"/>
  <c r="JH9" i="17"/>
  <c r="IV9" i="17"/>
  <c r="JY9" i="17"/>
  <c r="KP9" i="17"/>
  <c r="HT9" i="17"/>
  <c r="MI9" i="17"/>
  <c r="MS9" i="17"/>
  <c r="ER9" i="17"/>
  <c r="IQ9" i="17"/>
  <c r="KJ9" i="17"/>
  <c r="DR9" i="17"/>
  <c r="DU9" i="17"/>
  <c r="MM9" i="17"/>
  <c r="KF9" i="17"/>
  <c r="MP9" i="17"/>
  <c r="HU9" i="17"/>
  <c r="LM9" i="17"/>
  <c r="NU9" i="17"/>
  <c r="NG9" i="17"/>
  <c r="MF9" i="17"/>
  <c r="LR9" i="17"/>
  <c r="NM9" i="17"/>
  <c r="DS9" i="17"/>
  <c r="HX9" i="17"/>
  <c r="NP9" i="17"/>
  <c r="KK9" i="17"/>
  <c r="ES9" i="17"/>
  <c r="EF9" i="17"/>
  <c r="HQ9" i="17"/>
  <c r="MK9" i="17"/>
  <c r="DL9" i="17"/>
  <c r="JD9" i="17"/>
  <c r="KC9" i="17"/>
  <c r="IB9" i="17"/>
  <c r="ID9" i="17"/>
  <c r="EH9" i="17"/>
  <c r="NQ9" i="17"/>
  <c r="EM9" i="17"/>
  <c r="EU9" i="17"/>
  <c r="IP9" i="17"/>
  <c r="IO9" i="17"/>
  <c r="NC9" i="17"/>
  <c r="EG9" i="17"/>
  <c r="MT9" i="17"/>
  <c r="IA9" i="17"/>
  <c r="HS9" i="17"/>
  <c r="FZ9" i="17"/>
  <c r="IE9" i="17"/>
  <c r="LP9" i="17"/>
  <c r="ML9" i="17"/>
  <c r="ET9" i="17"/>
  <c r="GZ9" i="17"/>
  <c r="DI9" i="17"/>
  <c r="IJ9" i="17"/>
  <c r="HR9" i="17"/>
  <c r="HY9" i="17"/>
  <c r="IT9" i="17"/>
  <c r="LQ9" i="17"/>
  <c r="MN9" i="17"/>
  <c r="LE9" i="17"/>
  <c r="KL9" i="17"/>
  <c r="MJ9" i="17"/>
  <c r="DW9" i="17"/>
  <c r="KM9" i="17"/>
  <c r="EA9" i="17"/>
  <c r="IY9" i="17"/>
  <c r="NS9" i="17"/>
  <c r="JB9" i="17"/>
  <c r="IR9" i="17"/>
  <c r="DJ9" i="17"/>
  <c r="DV9" i="17"/>
  <c r="DY9" i="17"/>
  <c r="NY9" i="17"/>
  <c r="LI9" i="17"/>
  <c r="KI9" i="17"/>
  <c r="NH9" i="17"/>
  <c r="DE9" i="17"/>
  <c r="FO11" i="17"/>
  <c r="MG9" i="17"/>
  <c r="LB9" i="17"/>
  <c r="KR9" i="17"/>
  <c r="KT9" i="17"/>
  <c r="MW9" i="17"/>
  <c r="KZ9" i="17"/>
  <c r="NN9" i="17"/>
  <c r="IM9" i="17"/>
  <c r="KH9" i="17"/>
  <c r="KG9" i="17"/>
  <c r="JJ9" i="17"/>
  <c r="KS9" i="17"/>
  <c r="MQ9" i="17"/>
  <c r="NI9" i="17"/>
  <c r="NE9" i="17"/>
  <c r="EJ9" i="17"/>
  <c r="LD9" i="17"/>
  <c r="MZ9" i="17"/>
  <c r="U55" i="17"/>
  <c r="Y109" i="17"/>
  <c r="AB109" i="17" s="1"/>
  <c r="R104" i="17"/>
  <c r="Y67" i="17"/>
  <c r="U61" i="17"/>
  <c r="AE65" i="17"/>
  <c r="U52" i="17"/>
  <c r="AD67" i="17"/>
  <c r="Y66" i="17"/>
  <c r="AE67" i="17"/>
  <c r="Y65" i="17"/>
  <c r="AD109" i="17"/>
  <c r="MK61" i="17"/>
  <c r="R103" i="17"/>
  <c r="MK55" i="17"/>
  <c r="MK53" i="17"/>
  <c r="R106" i="17"/>
  <c r="AD65" i="17"/>
  <c r="R105" i="17"/>
  <c r="MK59" i="17"/>
  <c r="MK52" i="17"/>
  <c r="MK60" i="17"/>
  <c r="MK54" i="17"/>
  <c r="MK58" i="17"/>
  <c r="AD66" i="17"/>
  <c r="AW11" i="17"/>
  <c r="DE11" i="17" s="1"/>
  <c r="FN12" i="17"/>
  <c r="FM13" i="17"/>
  <c r="FN11" i="17"/>
  <c r="FN13" i="17"/>
  <c r="AX11" i="17"/>
  <c r="DF11" i="17" s="1"/>
  <c r="FM11" i="17"/>
  <c r="FM12" i="17"/>
  <c r="MG59" i="17"/>
  <c r="MF59" i="17"/>
  <c r="LY59" i="17"/>
  <c r="MA59" i="17"/>
  <c r="LZ59" i="17"/>
  <c r="MB59" i="17"/>
  <c r="MC59" i="17"/>
  <c r="MI59" i="17"/>
  <c r="MD59" i="17"/>
  <c r="MJ59" i="17"/>
  <c r="ME59" i="17"/>
  <c r="LY52" i="17"/>
  <c r="MA52" i="17"/>
  <c r="LZ52" i="17"/>
  <c r="MC52" i="17"/>
  <c r="MB52" i="17"/>
  <c r="MI52" i="17"/>
  <c r="ME52" i="17"/>
  <c r="MJ52" i="17"/>
  <c r="MD52" i="17"/>
  <c r="MF52" i="17"/>
  <c r="MG52" i="17"/>
  <c r="K104" i="17"/>
  <c r="Q104" i="17"/>
  <c r="MG60" i="17"/>
  <c r="LY60" i="17"/>
  <c r="LZ60" i="17"/>
  <c r="MA60" i="17"/>
  <c r="MC60" i="17"/>
  <c r="MB60" i="17"/>
  <c r="MI60" i="17"/>
  <c r="ME60" i="17"/>
  <c r="MJ60" i="17"/>
  <c r="MD60" i="17"/>
  <c r="MF60" i="17"/>
  <c r="MH54" i="17"/>
  <c r="MG54" i="17"/>
  <c r="LY54" i="17"/>
  <c r="MA54" i="17"/>
  <c r="MC54" i="17"/>
  <c r="LZ54" i="17"/>
  <c r="MB54" i="17"/>
  <c r="MJ54" i="17"/>
  <c r="ME54" i="17"/>
  <c r="MI54" i="17"/>
  <c r="MD54" i="17"/>
  <c r="MF54" i="17"/>
  <c r="LY58" i="17"/>
  <c r="ME58" i="17"/>
  <c r="MG58" i="17"/>
  <c r="MF58" i="17"/>
  <c r="MA58" i="17"/>
  <c r="LZ58" i="17"/>
  <c r="MC58" i="17"/>
  <c r="MJ58" i="17"/>
  <c r="MB58" i="17"/>
  <c r="MI58" i="17"/>
  <c r="MD58" i="17"/>
  <c r="AE64" i="17"/>
  <c r="L104" i="17"/>
  <c r="M104" i="17"/>
  <c r="S104" i="17"/>
  <c r="MH61" i="17"/>
  <c r="MA61" i="17"/>
  <c r="MB61" i="17"/>
  <c r="MI61" i="17"/>
  <c r="MC61" i="17"/>
  <c r="MJ61" i="17"/>
  <c r="MD61" i="17"/>
  <c r="LZ61" i="17"/>
  <c r="ME61" i="17"/>
  <c r="MG61" i="17"/>
  <c r="LY61" i="17"/>
  <c r="MF61" i="17"/>
  <c r="MH58" i="17"/>
  <c r="MH52" i="17"/>
  <c r="J105" i="17"/>
  <c r="P105" i="17"/>
  <c r="MH60" i="17"/>
  <c r="MH55" i="17"/>
  <c r="LY55" i="17"/>
  <c r="MB55" i="17"/>
  <c r="MJ55" i="17"/>
  <c r="MC55" i="17"/>
  <c r="MI55" i="17"/>
  <c r="MD55" i="17"/>
  <c r="ME55" i="17"/>
  <c r="MF55" i="17"/>
  <c r="MG55" i="17"/>
  <c r="MA55" i="17"/>
  <c r="LZ55" i="17"/>
  <c r="Q106" i="17"/>
  <c r="K106" i="17"/>
  <c r="AE109" i="17"/>
  <c r="MF53" i="17"/>
  <c r="MH53" i="17"/>
  <c r="LY53" i="17"/>
  <c r="MA53" i="17"/>
  <c r="MB53" i="17"/>
  <c r="MC53" i="17"/>
  <c r="MJ53" i="17"/>
  <c r="ME53" i="17"/>
  <c r="MI53" i="17"/>
  <c r="MD53" i="17"/>
  <c r="LZ53" i="17"/>
  <c r="MG53" i="17"/>
  <c r="Q103" i="17"/>
  <c r="K103" i="17"/>
  <c r="T103" i="17"/>
  <c r="T106" i="17"/>
  <c r="MH59" i="17"/>
  <c r="AE66" i="17"/>
  <c r="J103" i="17"/>
  <c r="P103" i="17"/>
  <c r="J104" i="17"/>
  <c r="P104" i="17"/>
  <c r="S106" i="17"/>
  <c r="M106" i="17"/>
  <c r="L106" i="17"/>
  <c r="L105" i="17"/>
  <c r="T104" i="17"/>
  <c r="L103" i="17"/>
  <c r="J106" i="17"/>
  <c r="P106" i="17"/>
  <c r="K27" i="26"/>
  <c r="K105" i="17"/>
  <c r="M103" i="17"/>
  <c r="S103" i="17"/>
  <c r="L102" i="26"/>
  <c r="S102" i="26"/>
  <c r="M102" i="26"/>
  <c r="K102" i="26"/>
  <c r="M105" i="26"/>
  <c r="AU99" i="17"/>
  <c r="DC99" i="17" s="1" a="1"/>
  <c r="DC99" i="17" s="1"/>
  <c r="AU100" i="17"/>
  <c r="DC100" i="17" s="1"/>
  <c r="AU97" i="17"/>
  <c r="DC97" i="17" s="1"/>
  <c r="AV100" i="17"/>
  <c r="FW9" i="17"/>
  <c r="GA9" i="17"/>
  <c r="HB9" i="17"/>
  <c r="GF9" i="17"/>
  <c r="FJ13" i="17"/>
  <c r="FI12" i="17"/>
  <c r="FP9" i="17"/>
  <c r="GU9" i="17"/>
  <c r="FY9" i="17"/>
  <c r="FV9" i="17"/>
  <c r="HC9" i="17"/>
  <c r="AS11" i="17"/>
  <c r="DA11" i="17" s="1"/>
  <c r="GN9" i="17"/>
  <c r="GS9" i="17"/>
  <c r="AU11" i="17"/>
  <c r="DC11" i="17" s="1"/>
  <c r="GK9" i="17"/>
  <c r="FR9" i="17"/>
  <c r="FK9" i="17"/>
  <c r="GT9" i="17"/>
  <c r="FI11" i="17"/>
  <c r="GW9" i="17"/>
  <c r="GY9" i="17"/>
  <c r="HA9" i="17"/>
  <c r="FO9" i="17"/>
  <c r="GB9" i="17"/>
  <c r="FK12" i="17"/>
  <c r="GV9" i="17"/>
  <c r="FS9" i="17"/>
  <c r="GI9" i="17"/>
  <c r="IX9" i="17"/>
  <c r="GC9" i="17"/>
  <c r="GO9" i="17"/>
  <c r="FI9" i="17"/>
  <c r="FJ9" i="17"/>
  <c r="FL9" i="17"/>
  <c r="GD9" i="17"/>
  <c r="FM9" i="17"/>
  <c r="GX9" i="17"/>
  <c r="FJ11" i="17"/>
  <c r="FJ12" i="17"/>
  <c r="FX9" i="17"/>
  <c r="FQ9" i="17"/>
  <c r="FL11" i="17"/>
  <c r="FI13" i="17"/>
  <c r="GL9" i="17"/>
  <c r="GG9" i="17"/>
  <c r="GJ9" i="17"/>
  <c r="GQ9" i="17"/>
  <c r="FK13" i="17"/>
  <c r="AT11" i="17"/>
  <c r="DB11" i="17" s="1"/>
  <c r="GR9" i="17"/>
  <c r="FN9" i="17"/>
  <c r="GE9" i="17"/>
  <c r="FL13" i="17"/>
  <c r="FL12" i="17"/>
  <c r="F3" i="17"/>
  <c r="GM9" i="17"/>
  <c r="AV11" i="17"/>
  <c r="DD11" i="17" s="1"/>
  <c r="GH9" i="17"/>
  <c r="GP9" i="17"/>
  <c r="FT9" i="17"/>
  <c r="FK11" i="17"/>
  <c r="FU9" i="17"/>
  <c r="NN100" i="17" l="1"/>
  <c r="S113" i="40"/>
  <c r="Q113" i="40"/>
  <c r="NN98" i="17"/>
  <c r="NN14" i="17"/>
  <c r="NN13" i="17"/>
  <c r="W114" i="40"/>
  <c r="S114" i="40"/>
  <c r="Q114" i="40"/>
  <c r="NN99" i="17"/>
  <c r="NN15" i="17"/>
  <c r="NN11" i="17"/>
  <c r="W112" i="40"/>
  <c r="W115" i="40"/>
  <c r="U115" i="40"/>
  <c r="S115" i="40"/>
  <c r="Q115" i="40"/>
  <c r="W113" i="40"/>
  <c r="NN97" i="17"/>
  <c r="NN12" i="17"/>
  <c r="NJ15" i="17"/>
  <c r="NK15" i="17"/>
  <c r="NM15" i="17"/>
  <c r="NL15" i="17"/>
  <c r="NM11" i="17"/>
  <c r="NM97" i="17"/>
  <c r="NM100" i="17"/>
  <c r="NM13" i="17"/>
  <c r="NM12" i="17"/>
  <c r="NM98" i="17"/>
  <c r="NM99" i="17"/>
  <c r="NM14" i="17"/>
  <c r="NL14" i="17"/>
  <c r="NL100" i="17"/>
  <c r="NL99" i="17"/>
  <c r="NL12" i="17"/>
  <c r="NL11" i="17"/>
  <c r="NL13" i="17"/>
  <c r="NL97" i="17"/>
  <c r="NL98" i="17"/>
  <c r="NK100" i="17"/>
  <c r="NK14" i="17"/>
  <c r="NK12" i="17"/>
  <c r="NK98" i="17"/>
  <c r="NK99" i="17"/>
  <c r="NK11" i="17"/>
  <c r="NK13" i="17"/>
  <c r="NK97" i="17"/>
  <c r="NJ11" i="17"/>
  <c r="NJ97" i="17"/>
  <c r="NJ100" i="17"/>
  <c r="R14" i="17"/>
  <c r="NJ13" i="17"/>
  <c r="NJ14" i="17"/>
  <c r="NJ12" i="17"/>
  <c r="NJ98" i="17"/>
  <c r="NJ99" i="17"/>
  <c r="JZ14" i="17"/>
  <c r="R12" i="17"/>
  <c r="M14" i="26"/>
  <c r="K14" i="26"/>
  <c r="R14" i="26"/>
  <c r="O14" i="26"/>
  <c r="P14" i="26"/>
  <c r="J14" i="26"/>
  <c r="L14" i="26"/>
  <c r="N14" i="26"/>
  <c r="Q14" i="26"/>
  <c r="KT14" i="17"/>
  <c r="KK14" i="17"/>
  <c r="KF14" i="17"/>
  <c r="KP14" i="17"/>
  <c r="K14" i="17"/>
  <c r="Q14" i="17"/>
  <c r="LQ14" i="17"/>
  <c r="LC14" i="17"/>
  <c r="LE14" i="17"/>
  <c r="LL14" i="17"/>
  <c r="KS14" i="17"/>
  <c r="LB14" i="17"/>
  <c r="LR14" i="17"/>
  <c r="KJ14" i="17"/>
  <c r="KH14" i="17"/>
  <c r="LI14" i="17"/>
  <c r="LG14" i="17"/>
  <c r="LP14" i="17"/>
  <c r="KG14" i="17"/>
  <c r="LJ14" i="17"/>
  <c r="LF14" i="17"/>
  <c r="LH14" i="17"/>
  <c r="KV14" i="17"/>
  <c r="LD14" i="17"/>
  <c r="KC14" i="17"/>
  <c r="KX14" i="17"/>
  <c r="LA14" i="17"/>
  <c r="KL14" i="17"/>
  <c r="KY14" i="17"/>
  <c r="LM14" i="17"/>
  <c r="KI14" i="17"/>
  <c r="LN14" i="17"/>
  <c r="LO14" i="17"/>
  <c r="KB14" i="17"/>
  <c r="KE14" i="17"/>
  <c r="LK14" i="17"/>
  <c r="KA14" i="17"/>
  <c r="KW14" i="17"/>
  <c r="KM14" i="17"/>
  <c r="KZ14" i="17"/>
  <c r="JY14" i="17"/>
  <c r="KQ14" i="17"/>
  <c r="KN14" i="17"/>
  <c r="KO14" i="17"/>
  <c r="MK14" i="17"/>
  <c r="MQ14" i="17"/>
  <c r="MU14" i="17"/>
  <c r="ME14" i="17"/>
  <c r="MT14" i="17"/>
  <c r="MF14" i="17"/>
  <c r="MO14" i="17"/>
  <c r="MV14" i="17"/>
  <c r="MH14" i="17"/>
  <c r="MP14" i="17"/>
  <c r="MS14" i="17"/>
  <c r="MJ14" i="17"/>
  <c r="MG14" i="17"/>
  <c r="MI14" i="17"/>
  <c r="ML14" i="17"/>
  <c r="MR14" i="17"/>
  <c r="MN14" i="17"/>
  <c r="MM14" i="17"/>
  <c r="MW14" i="17"/>
  <c r="MX14" i="17"/>
  <c r="MY14" i="17"/>
  <c r="NA14" i="17"/>
  <c r="MZ14" i="17"/>
  <c r="NB14" i="17"/>
  <c r="ND14" i="17"/>
  <c r="NC14" i="17"/>
  <c r="NE14" i="17"/>
  <c r="NF14" i="17"/>
  <c r="NG14" i="17"/>
  <c r="NH14" i="17"/>
  <c r="NI14" i="17"/>
  <c r="KU14" i="17"/>
  <c r="J13" i="26"/>
  <c r="O13" i="26"/>
  <c r="N13" i="26"/>
  <c r="K13" i="26"/>
  <c r="R13" i="26"/>
  <c r="P13" i="26"/>
  <c r="M13" i="26"/>
  <c r="Q13" i="26"/>
  <c r="L13" i="26"/>
  <c r="KD14" i="17"/>
  <c r="KR14" i="17"/>
  <c r="NI11" i="17"/>
  <c r="NI99" i="17"/>
  <c r="NI12" i="17"/>
  <c r="NI13" i="17"/>
  <c r="NI97" i="17"/>
  <c r="NI15" i="17"/>
  <c r="NI98" i="17"/>
  <c r="NI100" i="17"/>
  <c r="NH100" i="17"/>
  <c r="NH15" i="17"/>
  <c r="NH98" i="17"/>
  <c r="NH11" i="17"/>
  <c r="NH99" i="17"/>
  <c r="NH12" i="17"/>
  <c r="NH13" i="17"/>
  <c r="NH97" i="17"/>
  <c r="NG100" i="17"/>
  <c r="NG15" i="17"/>
  <c r="NG98" i="17"/>
  <c r="NG99" i="17"/>
  <c r="NG11" i="17"/>
  <c r="NG12" i="17"/>
  <c r="NG13" i="17"/>
  <c r="NG97" i="17"/>
  <c r="NF100" i="17"/>
  <c r="NF99" i="17"/>
  <c r="NF12" i="17"/>
  <c r="NF13" i="17"/>
  <c r="NF97" i="17"/>
  <c r="NF98" i="17"/>
  <c r="NF11" i="17"/>
  <c r="NF15" i="17"/>
  <c r="NE12" i="17"/>
  <c r="NE97" i="17"/>
  <c r="NE99" i="17"/>
  <c r="NE100" i="17"/>
  <c r="NE11" i="17"/>
  <c r="NE13" i="17"/>
  <c r="NE98" i="17"/>
  <c r="NE15" i="17"/>
  <c r="ND15" i="17"/>
  <c r="ND98" i="17"/>
  <c r="ND11" i="17"/>
  <c r="ND99" i="17"/>
  <c r="ND12" i="17"/>
  <c r="ND13" i="17"/>
  <c r="ND97" i="17"/>
  <c r="ND100" i="17"/>
  <c r="NC15" i="17"/>
  <c r="NC12" i="17"/>
  <c r="NC13" i="17"/>
  <c r="NC97" i="17"/>
  <c r="NC11" i="17"/>
  <c r="NC98" i="17"/>
  <c r="NC99" i="17"/>
  <c r="NC100" i="17"/>
  <c r="R11" i="17"/>
  <c r="R15" i="17"/>
  <c r="L13" i="17"/>
  <c r="NB13" i="17"/>
  <c r="NB98" i="17"/>
  <c r="L12" i="17"/>
  <c r="NB12" i="17"/>
  <c r="L15" i="17"/>
  <c r="NB15" i="17"/>
  <c r="NB99" i="17"/>
  <c r="L11" i="17"/>
  <c r="NB11" i="17"/>
  <c r="NB97" i="17"/>
  <c r="NB100" i="17"/>
  <c r="R13" i="17"/>
  <c r="Y113" i="40"/>
  <c r="K15" i="17"/>
  <c r="Q15" i="17"/>
  <c r="Y115" i="40"/>
  <c r="K12" i="17"/>
  <c r="Q12" i="17"/>
  <c r="K11" i="17"/>
  <c r="Q11" i="17"/>
  <c r="K13" i="17"/>
  <c r="Q13" i="17"/>
  <c r="Y11" i="40"/>
  <c r="NA12" i="17"/>
  <c r="NA100" i="17"/>
  <c r="NA15" i="17"/>
  <c r="NA98" i="17"/>
  <c r="NA11" i="17"/>
  <c r="NA99" i="17"/>
  <c r="NA13" i="17"/>
  <c r="NA97" i="17"/>
  <c r="MZ15" i="17"/>
  <c r="MZ98" i="17"/>
  <c r="MZ11" i="17"/>
  <c r="MZ99" i="17"/>
  <c r="MZ12" i="17"/>
  <c r="MZ13" i="17"/>
  <c r="MZ97" i="17"/>
  <c r="MZ100" i="17"/>
  <c r="MY11" i="17"/>
  <c r="MY12" i="17"/>
  <c r="MY98" i="17"/>
  <c r="MY15" i="17"/>
  <c r="MY99" i="17"/>
  <c r="MY13" i="17"/>
  <c r="MY97" i="17"/>
  <c r="MY100" i="17"/>
  <c r="Y13" i="40"/>
  <c r="MX100" i="17"/>
  <c r="MX13" i="17"/>
  <c r="MX11" i="17"/>
  <c r="MX98" i="17"/>
  <c r="MX12" i="17"/>
  <c r="MX99" i="17"/>
  <c r="MX15" i="17"/>
  <c r="MX97" i="17"/>
  <c r="W11" i="40"/>
  <c r="U26" i="17"/>
  <c r="S112" i="40"/>
  <c r="W13" i="40"/>
  <c r="MW11" i="17"/>
  <c r="MW15" i="17"/>
  <c r="MW97" i="17"/>
  <c r="MW98" i="17"/>
  <c r="MW13" i="17"/>
  <c r="MW100" i="17"/>
  <c r="Q112" i="40"/>
  <c r="MW99" i="17"/>
  <c r="MW12" i="17"/>
  <c r="Q11" i="40"/>
  <c r="AE27" i="17"/>
  <c r="MV100" i="17"/>
  <c r="S11" i="40"/>
  <c r="U25" i="17"/>
  <c r="S13" i="40"/>
  <c r="U11" i="40"/>
  <c r="U13" i="40"/>
  <c r="MV15" i="17"/>
  <c r="MV12" i="17"/>
  <c r="MV99" i="17"/>
  <c r="MV98" i="17"/>
  <c r="MV11" i="17"/>
  <c r="MV97" i="17"/>
  <c r="MV13" i="17"/>
  <c r="U28" i="17"/>
  <c r="U112" i="40"/>
  <c r="Q430" i="1"/>
  <c r="KX99" i="17"/>
  <c r="JZ99" i="17"/>
  <c r="LH99" i="17"/>
  <c r="KW99" i="17"/>
  <c r="LR99" i="17"/>
  <c r="KC99" i="17"/>
  <c r="JX99" i="17"/>
  <c r="KS99" i="17"/>
  <c r="KY99" i="17"/>
  <c r="LM99" i="17"/>
  <c r="KR99" i="17"/>
  <c r="KF99" i="17"/>
  <c r="LP99" i="17"/>
  <c r="KB99" i="17"/>
  <c r="KE99" i="17"/>
  <c r="LI99" i="17"/>
  <c r="LF99" i="17"/>
  <c r="LE99" i="17"/>
  <c r="LK99" i="17"/>
  <c r="LG99" i="17"/>
  <c r="KI99" i="17"/>
  <c r="KQ99" i="17"/>
  <c r="LN99" i="17"/>
  <c r="JY99" i="17"/>
  <c r="KN99" i="17"/>
  <c r="LB99" i="17"/>
  <c r="LC99" i="17"/>
  <c r="KU99" i="17"/>
  <c r="KM99" i="17"/>
  <c r="KG99" i="17"/>
  <c r="LA99" i="17"/>
  <c r="KP99" i="17"/>
  <c r="LL99" i="17"/>
  <c r="KZ99" i="17"/>
  <c r="KJ99" i="17"/>
  <c r="KV99" i="17"/>
  <c r="KL99" i="17"/>
  <c r="LQ99" i="17"/>
  <c r="KA99" i="17"/>
  <c r="KT99" i="17"/>
  <c r="KD99" i="17"/>
  <c r="KK99" i="17"/>
  <c r="KH99" i="17"/>
  <c r="LD99" i="17"/>
  <c r="LJ99" i="17"/>
  <c r="LO99" i="17"/>
  <c r="KO99" i="17"/>
  <c r="Q13" i="40"/>
  <c r="MP100" i="17"/>
  <c r="MO100" i="17"/>
  <c r="MQ100" i="17"/>
  <c r="MS100" i="17"/>
  <c r="MR100" i="17"/>
  <c r="MU100" i="17"/>
  <c r="MT100" i="17"/>
  <c r="MN100" i="17"/>
  <c r="MM100" i="17"/>
  <c r="R100" i="17"/>
  <c r="R98" i="17"/>
  <c r="Z26" i="17"/>
  <c r="AE26" i="17"/>
  <c r="M26" i="17"/>
  <c r="S26" i="17"/>
  <c r="Y26" i="17"/>
  <c r="AD26" i="17"/>
  <c r="Q100" i="17"/>
  <c r="K100" i="17"/>
  <c r="K98" i="17"/>
  <c r="Q98" i="17"/>
  <c r="MT99" i="17"/>
  <c r="MR99" i="17"/>
  <c r="MN99" i="17"/>
  <c r="MO99" i="17"/>
  <c r="MP99" i="17"/>
  <c r="MU99" i="17"/>
  <c r="MS99" i="17"/>
  <c r="MQ99" i="17"/>
  <c r="MM99" i="17"/>
  <c r="LK97" i="17"/>
  <c r="KW97" i="17"/>
  <c r="LO97" i="17"/>
  <c r="KG97" i="17"/>
  <c r="LP97" i="17"/>
  <c r="KI97" i="17"/>
  <c r="KO97" i="17"/>
  <c r="KA97" i="17"/>
  <c r="LQ97" i="17"/>
  <c r="KE97" i="17"/>
  <c r="LA97" i="17"/>
  <c r="KY97" i="17"/>
  <c r="LJ97" i="17"/>
  <c r="KT97" i="17"/>
  <c r="KJ97" i="17"/>
  <c r="KK97" i="17"/>
  <c r="KQ97" i="17"/>
  <c r="KN97" i="17"/>
  <c r="KU97" i="17"/>
  <c r="LF97" i="17"/>
  <c r="LH97" i="17"/>
  <c r="LM97" i="17"/>
  <c r="KL97" i="17"/>
  <c r="KR97" i="17"/>
  <c r="KP97" i="17"/>
  <c r="LL97" i="17"/>
  <c r="KB97" i="17"/>
  <c r="KC97" i="17"/>
  <c r="KZ97" i="17"/>
  <c r="KH97" i="17"/>
  <c r="LC97" i="17"/>
  <c r="LB97" i="17"/>
  <c r="JX97" i="17"/>
  <c r="LE97" i="17"/>
  <c r="LG97" i="17"/>
  <c r="LI97" i="17"/>
  <c r="KF97" i="17"/>
  <c r="LN97" i="17"/>
  <c r="KV97" i="17"/>
  <c r="KX97" i="17"/>
  <c r="LR97" i="17"/>
  <c r="KM97" i="17"/>
  <c r="KS97" i="17"/>
  <c r="JY97" i="17"/>
  <c r="LD97" i="17"/>
  <c r="KD97" i="17"/>
  <c r="JZ97" i="17"/>
  <c r="MN97" i="17"/>
  <c r="MT97" i="17"/>
  <c r="MQ97" i="17"/>
  <c r="MR97" i="17"/>
  <c r="MM97" i="17"/>
  <c r="MP97" i="17"/>
  <c r="MO97" i="17"/>
  <c r="MU97" i="17"/>
  <c r="MS97" i="17"/>
  <c r="KL98" i="17"/>
  <c r="KZ98" i="17"/>
  <c r="LL98" i="17"/>
  <c r="KH98" i="17"/>
  <c r="KT98" i="17"/>
  <c r="KF98" i="17"/>
  <c r="LA98" i="17"/>
  <c r="LM98" i="17"/>
  <c r="LK98" i="17"/>
  <c r="KV98" i="17"/>
  <c r="LP98" i="17"/>
  <c r="LE98" i="17"/>
  <c r="LF98" i="17"/>
  <c r="KB98" i="17"/>
  <c r="KS98" i="17"/>
  <c r="KW98" i="17"/>
  <c r="KR98" i="17"/>
  <c r="LB98" i="17"/>
  <c r="LQ98" i="17"/>
  <c r="KX98" i="17"/>
  <c r="KD98" i="17"/>
  <c r="KN98" i="17"/>
  <c r="KK98" i="17"/>
  <c r="LO98" i="17"/>
  <c r="KM98" i="17"/>
  <c r="KU98" i="17"/>
  <c r="LN98" i="17"/>
  <c r="JZ98" i="17"/>
  <c r="KQ98" i="17"/>
  <c r="JY98" i="17"/>
  <c r="JX98" i="17"/>
  <c r="LH98" i="17"/>
  <c r="KY98" i="17"/>
  <c r="KC98" i="17"/>
  <c r="LJ98" i="17"/>
  <c r="KI98" i="17"/>
  <c r="LR98" i="17"/>
  <c r="KO98" i="17"/>
  <c r="KE98" i="17"/>
  <c r="LC98" i="17"/>
  <c r="KG98" i="17"/>
  <c r="LI98" i="17"/>
  <c r="KA98" i="17"/>
  <c r="KJ98" i="17"/>
  <c r="LD98" i="17"/>
  <c r="KP98" i="17"/>
  <c r="LG98" i="17"/>
  <c r="R97" i="17"/>
  <c r="KO100" i="17"/>
  <c r="KK100" i="17"/>
  <c r="KN100" i="17"/>
  <c r="KL100" i="17"/>
  <c r="LC100" i="17"/>
  <c r="KG100" i="17"/>
  <c r="KT100" i="17"/>
  <c r="KC100" i="17"/>
  <c r="LI100" i="17"/>
  <c r="KM100" i="17"/>
  <c r="LP100" i="17"/>
  <c r="LE100" i="17"/>
  <c r="KD100" i="17"/>
  <c r="LQ100" i="17"/>
  <c r="KI100" i="17"/>
  <c r="KY100" i="17"/>
  <c r="KX100" i="17"/>
  <c r="LA100" i="17"/>
  <c r="LK100" i="17"/>
  <c r="LF100" i="17"/>
  <c r="KR100" i="17"/>
  <c r="KF100" i="17"/>
  <c r="KP100" i="17"/>
  <c r="KE100" i="17"/>
  <c r="JY100" i="17"/>
  <c r="KW100" i="17"/>
  <c r="LN100" i="17"/>
  <c r="LH100" i="17"/>
  <c r="LG100" i="17"/>
  <c r="LD100" i="17"/>
  <c r="KA100" i="17"/>
  <c r="LL100" i="17"/>
  <c r="KU100" i="17"/>
  <c r="LJ100" i="17"/>
  <c r="KB100" i="17"/>
  <c r="LR100" i="17"/>
  <c r="KJ100" i="17"/>
  <c r="KV100" i="17"/>
  <c r="KZ100" i="17"/>
  <c r="LM100" i="17"/>
  <c r="KQ100" i="17"/>
  <c r="KS100" i="17"/>
  <c r="LO100" i="17"/>
  <c r="KH100" i="17"/>
  <c r="LB100" i="17"/>
  <c r="JZ100" i="17"/>
  <c r="AE45" i="40"/>
  <c r="AE79" i="40"/>
  <c r="AE110" i="40"/>
  <c r="AF45" i="40"/>
  <c r="AF110" i="40"/>
  <c r="AF79" i="40"/>
  <c r="K97" i="17"/>
  <c r="Q97" i="17"/>
  <c r="AG45" i="40"/>
  <c r="AG79" i="40"/>
  <c r="AG110" i="40"/>
  <c r="U24" i="17"/>
  <c r="T26" i="17"/>
  <c r="R99" i="17"/>
  <c r="MU98" i="17"/>
  <c r="MM98" i="17"/>
  <c r="MP98" i="17"/>
  <c r="MQ98" i="17"/>
  <c r="MS98" i="17"/>
  <c r="MN98" i="17"/>
  <c r="MR98" i="17"/>
  <c r="MT98" i="17"/>
  <c r="MO98" i="17"/>
  <c r="Q99" i="17"/>
  <c r="K99" i="17"/>
  <c r="AI110" i="40"/>
  <c r="AI45" i="40"/>
  <c r="AH1" i="40"/>
  <c r="AI79" i="40"/>
  <c r="AH79" i="40"/>
  <c r="AH110" i="40"/>
  <c r="AH45" i="40"/>
  <c r="MU12" i="17"/>
  <c r="U27" i="17"/>
  <c r="MU15" i="17"/>
  <c r="MU11" i="17"/>
  <c r="MU13" i="17"/>
  <c r="V25" i="26"/>
  <c r="MT12" i="17"/>
  <c r="Z27" i="17"/>
  <c r="T25" i="26"/>
  <c r="AE24" i="17"/>
  <c r="L27" i="26"/>
  <c r="Q27" i="26"/>
  <c r="Z28" i="17"/>
  <c r="J27" i="26"/>
  <c r="S27" i="26"/>
  <c r="AE28" i="17"/>
  <c r="R27" i="26"/>
  <c r="M27" i="26"/>
  <c r="MT13" i="17"/>
  <c r="MT11" i="17"/>
  <c r="MT15" i="17"/>
  <c r="R102" i="26"/>
  <c r="J102" i="26"/>
  <c r="N102" i="26"/>
  <c r="AI25" i="40"/>
  <c r="T25" i="17"/>
  <c r="AD24" i="17"/>
  <c r="Z24" i="17"/>
  <c r="DK97" i="17"/>
  <c r="AF112" i="40" s="1"/>
  <c r="DJ97" i="17"/>
  <c r="AE112" i="40" s="1"/>
  <c r="J100" i="17"/>
  <c r="DD100" i="17"/>
  <c r="DJ100" i="17"/>
  <c r="MS15" i="17"/>
  <c r="AF12" i="40"/>
  <c r="S12" i="40"/>
  <c r="MS11" i="17"/>
  <c r="MS12" i="17"/>
  <c r="MS13" i="17"/>
  <c r="AF11" i="40"/>
  <c r="P100" i="17"/>
  <c r="Y28" i="17"/>
  <c r="AE13" i="40"/>
  <c r="AE11" i="40"/>
  <c r="Q12" i="40"/>
  <c r="AE12" i="40"/>
  <c r="AE25" i="17"/>
  <c r="AD25" i="17"/>
  <c r="Y27" i="17"/>
  <c r="X27" i="17" s="1"/>
  <c r="AD28" i="17"/>
  <c r="MR12" i="17"/>
  <c r="Y25" i="17"/>
  <c r="AD27" i="17"/>
  <c r="AC27" i="17" s="1"/>
  <c r="Z25" i="17"/>
  <c r="Y24" i="17"/>
  <c r="MR13" i="17"/>
  <c r="MR15" i="17"/>
  <c r="MR11" i="17"/>
  <c r="T13" i="17"/>
  <c r="J23" i="26"/>
  <c r="Q23" i="26"/>
  <c r="L24" i="26"/>
  <c r="Q24" i="26"/>
  <c r="L26" i="26"/>
  <c r="Q26" i="26"/>
  <c r="K104" i="26"/>
  <c r="Q104" i="26"/>
  <c r="R105" i="26"/>
  <c r="Q105" i="26"/>
  <c r="J103" i="26"/>
  <c r="Q103" i="26"/>
  <c r="T12" i="17"/>
  <c r="MQ13" i="17"/>
  <c r="MQ11" i="17"/>
  <c r="MQ12" i="17"/>
  <c r="MQ15" i="17"/>
  <c r="K26" i="26"/>
  <c r="M24" i="26"/>
  <c r="M26" i="26"/>
  <c r="J26" i="26"/>
  <c r="R26" i="26"/>
  <c r="S26" i="26"/>
  <c r="N26" i="26"/>
  <c r="M23" i="26"/>
  <c r="J105" i="26"/>
  <c r="N105" i="26"/>
  <c r="K105" i="26"/>
  <c r="L105" i="26"/>
  <c r="S105" i="26"/>
  <c r="MP15" i="17"/>
  <c r="MP12" i="17"/>
  <c r="MP11" i="17"/>
  <c r="V32" i="26"/>
  <c r="MP13" i="17"/>
  <c r="K23" i="26"/>
  <c r="S23" i="26"/>
  <c r="N23" i="26"/>
  <c r="L23" i="26"/>
  <c r="R23" i="26"/>
  <c r="M103" i="26"/>
  <c r="L103" i="26"/>
  <c r="R103" i="26"/>
  <c r="K103" i="26"/>
  <c r="S103" i="26"/>
  <c r="N103" i="26"/>
  <c r="N104" i="26"/>
  <c r="S104" i="26"/>
  <c r="V31" i="26"/>
  <c r="L104" i="26"/>
  <c r="R104" i="26"/>
  <c r="V59" i="26"/>
  <c r="J104" i="26"/>
  <c r="M104" i="26"/>
  <c r="V57" i="26"/>
  <c r="V30" i="26"/>
  <c r="R24" i="26"/>
  <c r="N24" i="26"/>
  <c r="J24" i="26"/>
  <c r="S24" i="26"/>
  <c r="K24" i="26"/>
  <c r="P24" i="26"/>
  <c r="O24" i="26"/>
  <c r="F428" i="1"/>
  <c r="P98" i="17"/>
  <c r="J98" i="17"/>
  <c r="Q96" i="26"/>
  <c r="T33" i="26"/>
  <c r="O33" i="26"/>
  <c r="P33" i="26"/>
  <c r="M33" i="26"/>
  <c r="G431" i="1"/>
  <c r="R33" i="26"/>
  <c r="N33" i="26"/>
  <c r="K33" i="26"/>
  <c r="S33" i="26"/>
  <c r="L33" i="26"/>
  <c r="J33" i="26"/>
  <c r="AF109" i="17"/>
  <c r="AC109" i="17" s="1"/>
  <c r="MM15" i="17"/>
  <c r="MO13" i="17"/>
  <c r="MM13" i="17"/>
  <c r="MN13" i="17"/>
  <c r="P26" i="26"/>
  <c r="O26" i="26"/>
  <c r="F430" i="1"/>
  <c r="Q11" i="26"/>
  <c r="O27" i="26"/>
  <c r="P27" i="26"/>
  <c r="F431" i="1"/>
  <c r="P102" i="26"/>
  <c r="O102" i="26"/>
  <c r="R427" i="1"/>
  <c r="V60" i="26"/>
  <c r="J99" i="17"/>
  <c r="P99" i="17"/>
  <c r="J97" i="17"/>
  <c r="P97" i="17"/>
  <c r="O104" i="26"/>
  <c r="P104" i="26"/>
  <c r="R430" i="1"/>
  <c r="MM11" i="17"/>
  <c r="MO11" i="17"/>
  <c r="P105" i="26"/>
  <c r="O105" i="26"/>
  <c r="R431" i="1"/>
  <c r="MO12" i="17"/>
  <c r="MO15" i="17"/>
  <c r="P103" i="26"/>
  <c r="O103" i="26"/>
  <c r="R428" i="1"/>
  <c r="AA109" i="17"/>
  <c r="X109" i="17" s="1"/>
  <c r="MM12" i="17"/>
  <c r="MN12" i="17"/>
  <c r="MN15" i="17"/>
  <c r="MN11" i="17"/>
  <c r="V58" i="26"/>
  <c r="O23" i="26"/>
  <c r="P23" i="26"/>
  <c r="F427" i="1"/>
  <c r="JY11" i="17"/>
  <c r="U104" i="17"/>
  <c r="AB67" i="17"/>
  <c r="AB66" i="17"/>
  <c r="U105" i="17"/>
  <c r="JZ11" i="17"/>
  <c r="JY15" i="17"/>
  <c r="JZ12" i="17"/>
  <c r="JY12" i="17"/>
  <c r="JZ13" i="17"/>
  <c r="JY13" i="17"/>
  <c r="KA11" i="17"/>
  <c r="JZ15" i="17"/>
  <c r="AA66" i="17"/>
  <c r="X66" i="17" s="1"/>
  <c r="KA13" i="17"/>
  <c r="LG11" i="17"/>
  <c r="KB11" i="17"/>
  <c r="KS11" i="17"/>
  <c r="JX11" i="17"/>
  <c r="KB13" i="17"/>
  <c r="KH13" i="17"/>
  <c r="KJ13" i="17"/>
  <c r="KV13" i="17"/>
  <c r="LM13" i="17"/>
  <c r="LN13" i="17"/>
  <c r="KP13" i="17"/>
  <c r="KL13" i="17"/>
  <c r="LF13" i="17"/>
  <c r="KR13" i="17"/>
  <c r="KS13" i="17"/>
  <c r="KW13" i="17"/>
  <c r="LK13" i="17"/>
  <c r="KE13" i="17"/>
  <c r="LE13" i="17"/>
  <c r="LB13" i="17"/>
  <c r="LJ13" i="17"/>
  <c r="KO13" i="17"/>
  <c r="KG13" i="17"/>
  <c r="LD13" i="17"/>
  <c r="LO13" i="17"/>
  <c r="LI13" i="17"/>
  <c r="KQ13" i="17"/>
  <c r="LG13" i="17"/>
  <c r="KF13" i="17"/>
  <c r="KX13" i="17"/>
  <c r="KI13" i="17"/>
  <c r="LH13" i="17"/>
  <c r="KU13" i="17"/>
  <c r="KT13" i="17"/>
  <c r="LA13" i="17"/>
  <c r="LQ13" i="17"/>
  <c r="LC13" i="17"/>
  <c r="KY13" i="17"/>
  <c r="LP13" i="17"/>
  <c r="LR13" i="17"/>
  <c r="LL13" i="17"/>
  <c r="KD13" i="17"/>
  <c r="KC15" i="17"/>
  <c r="LF15" i="17"/>
  <c r="KU15" i="17"/>
  <c r="JX15" i="17"/>
  <c r="KN13" i="17"/>
  <c r="KM13" i="17"/>
  <c r="KK13" i="17"/>
  <c r="JX13" i="17"/>
  <c r="KZ13" i="17"/>
  <c r="KB15" i="17"/>
  <c r="KC13" i="17"/>
  <c r="KT11" i="17"/>
  <c r="LJ11" i="17"/>
  <c r="KQ11" i="17"/>
  <c r="LB11" i="17"/>
  <c r="KX11" i="17"/>
  <c r="KO11" i="17"/>
  <c r="KH11" i="17"/>
  <c r="KD11" i="17"/>
  <c r="LO11" i="17"/>
  <c r="LN11" i="17"/>
  <c r="LE11" i="17"/>
  <c r="KE11" i="17"/>
  <c r="KK11" i="17"/>
  <c r="LK11" i="17"/>
  <c r="LF11" i="17"/>
  <c r="LP11" i="17"/>
  <c r="LI11" i="17"/>
  <c r="LL11" i="17"/>
  <c r="KV11" i="17"/>
  <c r="KN11" i="17"/>
  <c r="KM11" i="17"/>
  <c r="KP11" i="17"/>
  <c r="KY11" i="17"/>
  <c r="LD11" i="17"/>
  <c r="LQ11" i="17"/>
  <c r="KW11" i="17"/>
  <c r="LR11" i="17"/>
  <c r="KJ11" i="17"/>
  <c r="KF11" i="17"/>
  <c r="KU11" i="17"/>
  <c r="LA11" i="17"/>
  <c r="KG11" i="17"/>
  <c r="KI11" i="17"/>
  <c r="KR11" i="17"/>
  <c r="LM11" i="17"/>
  <c r="KZ11" i="17"/>
  <c r="LC11" i="17"/>
  <c r="KL11" i="17"/>
  <c r="LH11" i="17"/>
  <c r="JX12" i="17"/>
  <c r="LH12" i="17"/>
  <c r="KA12" i="17"/>
  <c r="KA15" i="17"/>
  <c r="KC11" i="17"/>
  <c r="KM12" i="17"/>
  <c r="KX12" i="17"/>
  <c r="KL12" i="17"/>
  <c r="KK12" i="17"/>
  <c r="KO12" i="17"/>
  <c r="KD12" i="17"/>
  <c r="LC12" i="17"/>
  <c r="KZ12" i="17"/>
  <c r="LD12" i="17"/>
  <c r="KY12" i="17"/>
  <c r="KN12" i="17"/>
  <c r="KH12" i="17"/>
  <c r="KG12" i="17"/>
  <c r="KI12" i="17"/>
  <c r="KT12" i="17"/>
  <c r="LE12" i="17"/>
  <c r="LK12" i="17"/>
  <c r="KE12" i="17"/>
  <c r="LG12" i="17"/>
  <c r="LN12" i="17"/>
  <c r="LO12" i="17"/>
  <c r="KP12" i="17"/>
  <c r="KV12" i="17"/>
  <c r="KU12" i="17"/>
  <c r="LP12" i="17"/>
  <c r="LI12" i="17"/>
  <c r="KS12" i="17"/>
  <c r="LJ12" i="17"/>
  <c r="KF12" i="17"/>
  <c r="KW12" i="17"/>
  <c r="KR12" i="17"/>
  <c r="LQ12" i="17"/>
  <c r="LL12" i="17"/>
  <c r="KJ12" i="17"/>
  <c r="KQ12" i="17"/>
  <c r="LM12" i="17"/>
  <c r="LA12" i="17"/>
  <c r="LF12" i="17"/>
  <c r="LR12" i="17"/>
  <c r="LB12" i="17"/>
  <c r="KR15" i="17"/>
  <c r="LA15" i="17"/>
  <c r="KY15" i="17"/>
  <c r="KS15" i="17"/>
  <c r="LG15" i="17"/>
  <c r="KE15" i="17"/>
  <c r="LE15" i="17"/>
  <c r="KO15" i="17"/>
  <c r="KG15" i="17"/>
  <c r="LB15" i="17"/>
  <c r="LO15" i="17"/>
  <c r="LR15" i="17"/>
  <c r="LI15" i="17"/>
  <c r="KP15" i="17"/>
  <c r="LP15" i="17"/>
  <c r="KQ15" i="17"/>
  <c r="KH15" i="17"/>
  <c r="LJ15" i="17"/>
  <c r="KM15" i="17"/>
  <c r="KN15" i="17"/>
  <c r="KT15" i="17"/>
  <c r="LM15" i="17"/>
  <c r="LN15" i="17"/>
  <c r="LQ15" i="17"/>
  <c r="KF15" i="17"/>
  <c r="LH15" i="17"/>
  <c r="LD15" i="17"/>
  <c r="KW15" i="17"/>
  <c r="KD15" i="17"/>
  <c r="KJ15" i="17"/>
  <c r="KI15" i="17"/>
  <c r="KK15" i="17"/>
  <c r="LK15" i="17"/>
  <c r="KL15" i="17"/>
  <c r="LC15" i="17"/>
  <c r="KZ15" i="17"/>
  <c r="KX15" i="17"/>
  <c r="KV15" i="17"/>
  <c r="LL15" i="17"/>
  <c r="KC12" i="17"/>
  <c r="KB12" i="17"/>
  <c r="AF65" i="17"/>
  <c r="AC65" i="17" s="1"/>
  <c r="AA65" i="17"/>
  <c r="X65" i="17" s="1"/>
  <c r="AB65" i="17"/>
  <c r="AA67" i="17"/>
  <c r="X67" i="17" s="1"/>
  <c r="AF64" i="17"/>
  <c r="AC64" i="17" s="1"/>
  <c r="ML104" i="17"/>
  <c r="Z104" i="17" s="1"/>
  <c r="ML25" i="17"/>
  <c r="ML28" i="17"/>
  <c r="ML103" i="17"/>
  <c r="Z103" i="17" s="1"/>
  <c r="ML105" i="17"/>
  <c r="Z105" i="17" s="1"/>
  <c r="ML106" i="17"/>
  <c r="Z106" i="17" s="1"/>
  <c r="ML24" i="17"/>
  <c r="ML27" i="17"/>
  <c r="M121" i="17"/>
  <c r="AF67" i="17"/>
  <c r="AC67" i="17" s="1"/>
  <c r="Y60" i="17"/>
  <c r="U103" i="17"/>
  <c r="AF66" i="17"/>
  <c r="AC66" i="17" s="1"/>
  <c r="AE60" i="17"/>
  <c r="AD54" i="17"/>
  <c r="AD60" i="17"/>
  <c r="Y54" i="17"/>
  <c r="Y59" i="17"/>
  <c r="Y55" i="17"/>
  <c r="Y58" i="17"/>
  <c r="AD52" i="17"/>
  <c r="U106" i="17"/>
  <c r="Y61" i="17"/>
  <c r="AD59" i="17"/>
  <c r="Y52" i="17"/>
  <c r="AE53" i="17"/>
  <c r="MH28" i="17"/>
  <c r="AE52" i="17"/>
  <c r="Y53" i="17"/>
  <c r="MK106" i="17"/>
  <c r="AD55" i="17"/>
  <c r="AD61" i="17"/>
  <c r="AE54" i="17"/>
  <c r="MK104" i="17"/>
  <c r="MK27" i="17"/>
  <c r="MK25" i="17"/>
  <c r="MK103" i="17"/>
  <c r="AD58" i="17"/>
  <c r="MK105" i="17"/>
  <c r="AD53" i="17"/>
  <c r="MK24" i="17"/>
  <c r="MK28" i="17"/>
  <c r="MI24" i="17"/>
  <c r="ME24" i="17"/>
  <c r="MD24" i="17"/>
  <c r="LZ24" i="17"/>
  <c r="MF24" i="17"/>
  <c r="MG24" i="17"/>
  <c r="MH24" i="17"/>
  <c r="LY24" i="17"/>
  <c r="MA24" i="17"/>
  <c r="MB24" i="17"/>
  <c r="MJ24" i="17"/>
  <c r="MC24" i="17"/>
  <c r="AE61" i="17"/>
  <c r="LZ28" i="17"/>
  <c r="MA28" i="17"/>
  <c r="MC28" i="17"/>
  <c r="MI28" i="17"/>
  <c r="MB28" i="17"/>
  <c r="LY28" i="17"/>
  <c r="ME28" i="17"/>
  <c r="MJ28" i="17"/>
  <c r="MD28" i="17"/>
  <c r="MF28" i="17"/>
  <c r="MG28" i="17"/>
  <c r="T99" i="17"/>
  <c r="MG103" i="17"/>
  <c r="AE58" i="17"/>
  <c r="M100" i="17"/>
  <c r="S100" i="17"/>
  <c r="AE59" i="17"/>
  <c r="L100" i="17"/>
  <c r="MH27" i="17"/>
  <c r="MJ27" i="17"/>
  <c r="LZ27" i="17"/>
  <c r="ME27" i="17"/>
  <c r="MI27" i="17"/>
  <c r="MD27" i="17"/>
  <c r="MF27" i="17"/>
  <c r="MG27" i="17"/>
  <c r="MA27" i="17"/>
  <c r="MB27" i="17"/>
  <c r="LY27" i="17"/>
  <c r="MC27" i="17"/>
  <c r="MF25" i="17"/>
  <c r="MH25" i="17"/>
  <c r="LZ25" i="17"/>
  <c r="MG25" i="17"/>
  <c r="MA25" i="17"/>
  <c r="MB25" i="17"/>
  <c r="MJ25" i="17"/>
  <c r="MC25" i="17"/>
  <c r="MI25" i="17"/>
  <c r="ME25" i="17"/>
  <c r="MD25" i="17"/>
  <c r="AE55" i="17"/>
  <c r="T97" i="17"/>
  <c r="M99" i="17"/>
  <c r="S99" i="17"/>
  <c r="L98" i="17"/>
  <c r="T100" i="17"/>
  <c r="T98" i="17"/>
  <c r="MJ104" i="17"/>
  <c r="MI104" i="17"/>
  <c r="MJ103" i="17"/>
  <c r="MI103" i="17"/>
  <c r="MI106" i="17"/>
  <c r="MJ106" i="17"/>
  <c r="L97" i="17"/>
  <c r="MJ105" i="17"/>
  <c r="MI105" i="17"/>
  <c r="LY106" i="17"/>
  <c r="LZ106" i="17"/>
  <c r="MA106" i="17"/>
  <c r="MB106" i="17"/>
  <c r="MC106" i="17"/>
  <c r="MD106" i="17"/>
  <c r="ME106" i="17"/>
  <c r="MF106" i="17"/>
  <c r="MG106" i="17"/>
  <c r="MH106" i="17"/>
  <c r="LY105" i="17"/>
  <c r="LZ105" i="17"/>
  <c r="MA105" i="17"/>
  <c r="MC105" i="17"/>
  <c r="MB105" i="17"/>
  <c r="ME105" i="17"/>
  <c r="MD105" i="17"/>
  <c r="MF105" i="17"/>
  <c r="MH105" i="17"/>
  <c r="MG105" i="17"/>
  <c r="LY104" i="17"/>
  <c r="LZ104" i="17"/>
  <c r="MA104" i="17"/>
  <c r="MC104" i="17"/>
  <c r="MB104" i="17"/>
  <c r="MD104" i="17"/>
  <c r="ME104" i="17"/>
  <c r="MF104" i="17"/>
  <c r="MG104" i="17"/>
  <c r="MH104" i="17"/>
  <c r="LY103" i="17"/>
  <c r="LZ103" i="17"/>
  <c r="MA103" i="17"/>
  <c r="MC103" i="17"/>
  <c r="MB103" i="17"/>
  <c r="MD103" i="17"/>
  <c r="ME103" i="17"/>
  <c r="MF103" i="17"/>
  <c r="MH103" i="17"/>
  <c r="Y105" i="17"/>
  <c r="X105" i="17" s="1"/>
  <c r="M97" i="17"/>
  <c r="S97" i="17"/>
  <c r="M98" i="17"/>
  <c r="S98" i="17"/>
  <c r="Q427" i="1"/>
  <c r="Y14" i="17" l="1"/>
  <c r="X14" i="17" s="1"/>
  <c r="Z14" i="17"/>
  <c r="AE14" i="17"/>
  <c r="AD14" i="17"/>
  <c r="T13" i="26"/>
  <c r="V13" i="26"/>
  <c r="Y13" i="17"/>
  <c r="Z11" i="17"/>
  <c r="Z15" i="17"/>
  <c r="Z13" i="17"/>
  <c r="Y12" i="17"/>
  <c r="Y15" i="17"/>
  <c r="Y11" i="17"/>
  <c r="X11" i="17" s="1"/>
  <c r="Z12" i="17"/>
  <c r="U15" i="17"/>
  <c r="U12" i="17"/>
  <c r="U98" i="17"/>
  <c r="U13" i="17"/>
  <c r="U99" i="17"/>
  <c r="U100" i="17"/>
  <c r="AF26" i="17"/>
  <c r="AC26" i="17" s="1"/>
  <c r="AA26" i="17"/>
  <c r="X26" i="17" s="1"/>
  <c r="AB26" i="17"/>
  <c r="U97" i="17"/>
  <c r="AB27" i="17"/>
  <c r="AF24" i="17"/>
  <c r="AC24" i="17" s="1"/>
  <c r="AA28" i="17"/>
  <c r="X28" i="17" s="1"/>
  <c r="AF28" i="17"/>
  <c r="AC28" i="17" s="1"/>
  <c r="R96" i="26"/>
  <c r="M96" i="26"/>
  <c r="J11" i="26"/>
  <c r="M11" i="26"/>
  <c r="S96" i="26"/>
  <c r="K96" i="26"/>
  <c r="R11" i="26"/>
  <c r="L11" i="26"/>
  <c r="N96" i="26"/>
  <c r="K11" i="26"/>
  <c r="AB28" i="17"/>
  <c r="AA24" i="17"/>
  <c r="X24" i="17" s="1"/>
  <c r="AF25" i="17"/>
  <c r="AC25" i="17" s="1"/>
  <c r="AA25" i="17"/>
  <c r="X25" i="17" s="1"/>
  <c r="D428" i="1"/>
  <c r="L96" i="26"/>
  <c r="N11" i="26"/>
  <c r="J96" i="26"/>
  <c r="AB25" i="17"/>
  <c r="AB24" i="17"/>
  <c r="AD13" i="17"/>
  <c r="R10" i="26"/>
  <c r="Q10" i="26"/>
  <c r="J99" i="26"/>
  <c r="Q99" i="26"/>
  <c r="L12" i="26"/>
  <c r="Q12" i="26"/>
  <c r="S98" i="26"/>
  <c r="Q98" i="26"/>
  <c r="AE13" i="17"/>
  <c r="AD15" i="17"/>
  <c r="AD12" i="17"/>
  <c r="AE12" i="17"/>
  <c r="AE15" i="17"/>
  <c r="M97" i="26"/>
  <c r="Q97" i="26"/>
  <c r="L98" i="26"/>
  <c r="M98" i="26"/>
  <c r="J98" i="26"/>
  <c r="R98" i="26"/>
  <c r="D430" i="1"/>
  <c r="K98" i="26"/>
  <c r="R12" i="26"/>
  <c r="N98" i="26"/>
  <c r="M12" i="26"/>
  <c r="AF55" i="17"/>
  <c r="AC55" i="17" s="1"/>
  <c r="AA55" i="17"/>
  <c r="X55" i="17" s="1"/>
  <c r="J12" i="26"/>
  <c r="K12" i="26"/>
  <c r="N12" i="26"/>
  <c r="D431" i="1"/>
  <c r="V102" i="26"/>
  <c r="N99" i="26"/>
  <c r="L10" i="26"/>
  <c r="Q428" i="1"/>
  <c r="S97" i="26"/>
  <c r="T102" i="26"/>
  <c r="K97" i="26"/>
  <c r="L97" i="26"/>
  <c r="N97" i="26"/>
  <c r="R97" i="26"/>
  <c r="J97" i="26"/>
  <c r="J10" i="26"/>
  <c r="S99" i="26"/>
  <c r="S10" i="26"/>
  <c r="Q431" i="1"/>
  <c r="N10" i="26"/>
  <c r="L99" i="26"/>
  <c r="K10" i="26"/>
  <c r="K99" i="26"/>
  <c r="M10" i="26"/>
  <c r="M99" i="26"/>
  <c r="D427" i="1"/>
  <c r="R99" i="26"/>
  <c r="V105" i="26"/>
  <c r="T104" i="26"/>
  <c r="V26" i="26"/>
  <c r="T26" i="26"/>
  <c r="T105" i="26"/>
  <c r="T103" i="26"/>
  <c r="T27" i="26"/>
  <c r="V23" i="26"/>
  <c r="T23" i="26"/>
  <c r="V24" i="26"/>
  <c r="V27" i="26"/>
  <c r="T24" i="26"/>
  <c r="V103" i="26"/>
  <c r="O11" i="26"/>
  <c r="P11" i="26"/>
  <c r="P99" i="26"/>
  <c r="O99" i="26"/>
  <c r="O12" i="26"/>
  <c r="P12" i="26"/>
  <c r="P96" i="26"/>
  <c r="O96" i="26"/>
  <c r="O98" i="26"/>
  <c r="P98" i="26"/>
  <c r="V33" i="26"/>
  <c r="V104" i="26"/>
  <c r="S12" i="26"/>
  <c r="S14" i="26"/>
  <c r="P10" i="26"/>
  <c r="O10" i="26"/>
  <c r="S11" i="26"/>
  <c r="P97" i="26"/>
  <c r="O97" i="26"/>
  <c r="AB54" i="17"/>
  <c r="X54" i="17"/>
  <c r="AB60" i="17"/>
  <c r="U11" i="17"/>
  <c r="AA61" i="17"/>
  <c r="X61" i="17" s="1"/>
  <c r="AB55" i="17"/>
  <c r="AA52" i="17"/>
  <c r="X52" i="17" s="1"/>
  <c r="AB52" i="17"/>
  <c r="AA53" i="17"/>
  <c r="X53" i="17" s="1"/>
  <c r="AB53" i="17"/>
  <c r="AB105" i="17"/>
  <c r="AB61" i="17"/>
  <c r="AA58" i="17"/>
  <c r="X58" i="17" s="1"/>
  <c r="AB58" i="17"/>
  <c r="AA59" i="17"/>
  <c r="X59" i="17" s="1"/>
  <c r="AB59" i="17"/>
  <c r="AA60" i="17"/>
  <c r="X60" i="17" s="1"/>
  <c r="J116" i="17"/>
  <c r="J119" i="17"/>
  <c r="J122" i="17"/>
  <c r="J121" i="17"/>
  <c r="J117" i="17"/>
  <c r="J118" i="17"/>
  <c r="J123" i="17"/>
  <c r="J120" i="17"/>
  <c r="P118" i="17"/>
  <c r="P120" i="17"/>
  <c r="P121" i="17"/>
  <c r="P122" i="17"/>
  <c r="P117" i="17"/>
  <c r="P123" i="17"/>
  <c r="P119" i="17"/>
  <c r="P116" i="17"/>
  <c r="JX119" i="17"/>
  <c r="AD104" i="17"/>
  <c r="AE103" i="17"/>
  <c r="AF54" i="17"/>
  <c r="AC54" i="17" s="1"/>
  <c r="ML15" i="17"/>
  <c r="ML98" i="17"/>
  <c r="Z98" i="17" s="1"/>
  <c r="ML13" i="17"/>
  <c r="ML100" i="17"/>
  <c r="Z100" i="17" s="1"/>
  <c r="ML99" i="17"/>
  <c r="Z99" i="17" s="1"/>
  <c r="ML97" i="17"/>
  <c r="Z97" i="17" s="1"/>
  <c r="ML12" i="17"/>
  <c r="ML11" i="17"/>
  <c r="KA119" i="17"/>
  <c r="Z117" i="17"/>
  <c r="LE118" i="17"/>
  <c r="Y103" i="17"/>
  <c r="AF60" i="17"/>
  <c r="AC60" i="17" s="1"/>
  <c r="AD106" i="17"/>
  <c r="AF59" i="17"/>
  <c r="AC59" i="17" s="1"/>
  <c r="AF53" i="17"/>
  <c r="AC53" i="17" s="1"/>
  <c r="AD103" i="17"/>
  <c r="AD105" i="17"/>
  <c r="AC105" i="17" s="1"/>
  <c r="AF52" i="17"/>
  <c r="AC52" i="17" s="1"/>
  <c r="MF12" i="17"/>
  <c r="AF58" i="17"/>
  <c r="AC58" i="17" s="1"/>
  <c r="AF61" i="17"/>
  <c r="AC61" i="17" s="1"/>
  <c r="MK98" i="17"/>
  <c r="MK12" i="17"/>
  <c r="MK13" i="17"/>
  <c r="MK11" i="17"/>
  <c r="MK15" i="17"/>
  <c r="MK100" i="17"/>
  <c r="MK97" i="17"/>
  <c r="MK99" i="17"/>
  <c r="LZ99" i="17"/>
  <c r="LY99" i="17"/>
  <c r="MA99" i="17"/>
  <c r="MD99" i="17"/>
  <c r="MH99" i="17"/>
  <c r="ME99" i="17"/>
  <c r="MF99" i="17"/>
  <c r="MC99" i="17"/>
  <c r="MI99" i="17"/>
  <c r="MB99" i="17"/>
  <c r="MG99" i="17"/>
  <c r="L99" i="17"/>
  <c r="MJ99" i="17"/>
  <c r="MG15" i="17"/>
  <c r="MH15" i="17"/>
  <c r="MH12" i="17"/>
  <c r="MF15" i="17"/>
  <c r="ME12" i="17"/>
  <c r="MF13" i="17"/>
  <c r="MI98" i="17"/>
  <c r="LY98" i="17"/>
  <c r="MJ98" i="17"/>
  <c r="LZ98" i="17"/>
  <c r="MA98" i="17"/>
  <c r="MG98" i="17"/>
  <c r="MB98" i="17"/>
  <c r="MD98" i="17"/>
  <c r="MF98" i="17"/>
  <c r="MC98" i="17"/>
  <c r="ME98" i="17"/>
  <c r="MH98" i="17"/>
  <c r="MG12" i="17"/>
  <c r="ME15" i="17"/>
  <c r="LY12" i="17"/>
  <c r="MI12" i="17"/>
  <c r="MJ12" i="17"/>
  <c r="LZ12" i="17"/>
  <c r="MA12" i="17"/>
  <c r="MC12" i="17"/>
  <c r="MB12" i="17"/>
  <c r="MD12" i="17"/>
  <c r="MJ13" i="17"/>
  <c r="MI13" i="17"/>
  <c r="LY13" i="17"/>
  <c r="LZ13" i="17"/>
  <c r="MA13" i="17"/>
  <c r="MB13" i="17"/>
  <c r="MC13" i="17"/>
  <c r="ME13" i="17"/>
  <c r="MD13" i="17"/>
  <c r="MG13" i="17"/>
  <c r="LY15" i="17"/>
  <c r="MI15" i="17"/>
  <c r="MJ15" i="17"/>
  <c r="LZ15" i="17"/>
  <c r="MA15" i="17"/>
  <c r="MB15" i="17"/>
  <c r="MC15" i="17"/>
  <c r="MD15" i="17"/>
  <c r="LY11" i="17"/>
  <c r="MI11" i="17"/>
  <c r="MJ11" i="17"/>
  <c r="LZ11" i="17"/>
  <c r="MA11" i="17"/>
  <c r="MC11" i="17"/>
  <c r="MB11" i="17"/>
  <c r="ME11" i="17"/>
  <c r="MD11" i="17"/>
  <c r="MH11" i="17"/>
  <c r="MG11" i="17"/>
  <c r="MH13" i="17"/>
  <c r="LY100" i="17"/>
  <c r="MJ100" i="17"/>
  <c r="MI100" i="17"/>
  <c r="LZ100" i="17"/>
  <c r="MA100" i="17"/>
  <c r="ME100" i="17"/>
  <c r="MB100" i="17"/>
  <c r="MC100" i="17"/>
  <c r="MF100" i="17"/>
  <c r="MD100" i="17"/>
  <c r="MH100" i="17"/>
  <c r="MG100" i="17"/>
  <c r="MF11" i="17"/>
  <c r="Y104" i="17"/>
  <c r="Y106" i="17"/>
  <c r="Y97" i="17"/>
  <c r="MJ97" i="17"/>
  <c r="MI97" i="17"/>
  <c r="LY97" i="17"/>
  <c r="LZ97" i="17"/>
  <c r="MA97" i="17"/>
  <c r="ME97" i="17"/>
  <c r="MB97" i="17"/>
  <c r="MC97" i="17"/>
  <c r="MH97" i="17"/>
  <c r="MD97" i="17"/>
  <c r="MG97" i="17"/>
  <c r="MF97" i="17"/>
  <c r="AE106" i="17"/>
  <c r="AE105" i="17"/>
  <c r="AE104" i="17"/>
  <c r="AF14" i="17" l="1"/>
  <c r="AC14" i="17" s="1"/>
  <c r="AF15" i="17"/>
  <c r="AC15" i="17" s="1"/>
  <c r="AB97" i="17"/>
  <c r="X15" i="17"/>
  <c r="AB15" i="17"/>
  <c r="AA12" i="17"/>
  <c r="X12" i="17" s="1"/>
  <c r="AB12" i="17"/>
  <c r="AF13" i="17"/>
  <c r="AC13" i="17" s="1"/>
  <c r="AF12" i="17"/>
  <c r="AC12" i="17" s="1"/>
  <c r="AA13" i="17"/>
  <c r="X13" i="17" s="1"/>
  <c r="AB13" i="17"/>
  <c r="T97" i="26"/>
  <c r="T10" i="26"/>
  <c r="V96" i="26"/>
  <c r="T11" i="26"/>
  <c r="T14" i="26"/>
  <c r="V14" i="26"/>
  <c r="V12" i="26"/>
  <c r="V10" i="26"/>
  <c r="T98" i="26"/>
  <c r="T99" i="26"/>
  <c r="V99" i="26"/>
  <c r="V11" i="26"/>
  <c r="T12" i="26"/>
  <c r="V97" i="26"/>
  <c r="V98" i="26"/>
  <c r="T96" i="26"/>
  <c r="AF103" i="17"/>
  <c r="AC103" i="17" s="1"/>
  <c r="AF104" i="17"/>
  <c r="AC104" i="17" s="1"/>
  <c r="AB106" i="17"/>
  <c r="AB11" i="17"/>
  <c r="AA97" i="17"/>
  <c r="X97" i="17" s="1"/>
  <c r="AE11" i="17"/>
  <c r="AA117" i="17"/>
  <c r="X117" i="17" s="1"/>
  <c r="AB117" i="17"/>
  <c r="AA106" i="17"/>
  <c r="X106" i="17" s="1"/>
  <c r="AA104" i="17"/>
  <c r="X104" i="17" s="1"/>
  <c r="AB104" i="17"/>
  <c r="AA103" i="17"/>
  <c r="X103" i="17" s="1"/>
  <c r="AB103" i="17"/>
  <c r="KG123" i="17"/>
  <c r="LM123" i="17"/>
  <c r="KR123" i="17"/>
  <c r="LO123" i="17"/>
  <c r="KU123" i="17"/>
  <c r="KS123" i="17"/>
  <c r="KZ123" i="17"/>
  <c r="KT123" i="17"/>
  <c r="LI123" i="17"/>
  <c r="LB123" i="17"/>
  <c r="LC123" i="17"/>
  <c r="LD123" i="17"/>
  <c r="KB123" i="17"/>
  <c r="KH123" i="17"/>
  <c r="KL123" i="17"/>
  <c r="KF123" i="17"/>
  <c r="LN123" i="17"/>
  <c r="KQ123" i="17"/>
  <c r="KC123" i="17"/>
  <c r="KK123" i="17"/>
  <c r="LR123" i="17"/>
  <c r="LJ123" i="17"/>
  <c r="LG123" i="17"/>
  <c r="JZ123" i="17"/>
  <c r="KV123" i="17"/>
  <c r="LP123" i="17"/>
  <c r="KN123" i="17"/>
  <c r="KJ123" i="17"/>
  <c r="KO123" i="17"/>
  <c r="KD123" i="17"/>
  <c r="KW123" i="17"/>
  <c r="LE123" i="17"/>
  <c r="KP123" i="17"/>
  <c r="LK123" i="17"/>
  <c r="LL123" i="17"/>
  <c r="LA123" i="17"/>
  <c r="JX123" i="17"/>
  <c r="LQ123" i="17"/>
  <c r="LF123" i="17"/>
  <c r="KA123" i="17"/>
  <c r="KI123" i="17"/>
  <c r="KY123" i="17"/>
  <c r="KE123" i="17"/>
  <c r="JY123" i="17"/>
  <c r="KX123" i="17"/>
  <c r="KM123" i="17"/>
  <c r="LH123" i="17"/>
  <c r="KU122" i="17"/>
  <c r="LE122" i="17"/>
  <c r="KT122" i="17"/>
  <c r="KE122" i="17"/>
  <c r="LK122" i="17"/>
  <c r="KO122" i="17"/>
  <c r="LP122" i="17"/>
  <c r="LI122" i="17"/>
  <c r="KG122" i="17"/>
  <c r="KI122" i="17"/>
  <c r="KD122" i="17"/>
  <c r="LN122" i="17"/>
  <c r="LM122" i="17"/>
  <c r="LR122" i="17"/>
  <c r="LC122" i="17"/>
  <c r="KN122" i="17"/>
  <c r="KS122" i="17"/>
  <c r="KV122" i="17"/>
  <c r="KK122" i="17"/>
  <c r="LB122" i="17"/>
  <c r="LH122" i="17"/>
  <c r="LD122" i="17"/>
  <c r="LA122" i="17"/>
  <c r="KA122" i="17"/>
  <c r="KR122" i="17"/>
  <c r="KX122" i="17"/>
  <c r="KW122" i="17"/>
  <c r="KC122" i="17"/>
  <c r="JX122" i="17"/>
  <c r="JZ122" i="17"/>
  <c r="JY122" i="17"/>
  <c r="KQ122" i="17"/>
  <c r="KL122" i="17"/>
  <c r="LO122" i="17"/>
  <c r="KZ122" i="17"/>
  <c r="KF122" i="17"/>
  <c r="KP122" i="17"/>
  <c r="KH122" i="17"/>
  <c r="LL122" i="17"/>
  <c r="KJ122" i="17"/>
  <c r="KB122" i="17"/>
  <c r="KM122" i="17"/>
  <c r="KY122" i="17"/>
  <c r="LF122" i="17"/>
  <c r="LQ122" i="17"/>
  <c r="LG122" i="17"/>
  <c r="LJ122" i="17"/>
  <c r="LC119" i="17"/>
  <c r="KU119" i="17"/>
  <c r="KW119" i="17"/>
  <c r="KN119" i="17"/>
  <c r="LJ119" i="17"/>
  <c r="KF119" i="17"/>
  <c r="KZ119" i="17"/>
  <c r="KC119" i="17"/>
  <c r="KE119" i="17"/>
  <c r="KK119" i="17"/>
  <c r="KB119" i="17"/>
  <c r="KR119" i="17"/>
  <c r="KS119" i="17"/>
  <c r="LN119" i="17"/>
  <c r="LM119" i="17"/>
  <c r="KD119" i="17"/>
  <c r="LQ119" i="17"/>
  <c r="KQ119" i="17"/>
  <c r="JZ119" i="17"/>
  <c r="KM119" i="17"/>
  <c r="LE119" i="17"/>
  <c r="LI119" i="17"/>
  <c r="LR119" i="17"/>
  <c r="LF119" i="17"/>
  <c r="KL119" i="17"/>
  <c r="LP119" i="17"/>
  <c r="LB119" i="17"/>
  <c r="LG119" i="17"/>
  <c r="LH119" i="17"/>
  <c r="LD119" i="17"/>
  <c r="KV119" i="17"/>
  <c r="KI119" i="17"/>
  <c r="LO119" i="17"/>
  <c r="KO119" i="17"/>
  <c r="KG119" i="17"/>
  <c r="KJ119" i="17"/>
  <c r="KT119" i="17"/>
  <c r="KP119" i="17"/>
  <c r="LK119" i="17"/>
  <c r="KH119" i="17"/>
  <c r="LA119" i="17"/>
  <c r="JY119" i="17"/>
  <c r="LL119" i="17"/>
  <c r="KY119" i="17"/>
  <c r="KX119" i="17"/>
  <c r="JZ118" i="17"/>
  <c r="KL118" i="17"/>
  <c r="LB118" i="17"/>
  <c r="KV118" i="17"/>
  <c r="KB118" i="17"/>
  <c r="KE118" i="17"/>
  <c r="KY118" i="17"/>
  <c r="KR118" i="17"/>
  <c r="LF118" i="17"/>
  <c r="KZ118" i="17"/>
  <c r="KO118" i="17"/>
  <c r="LO118" i="17"/>
  <c r="LR118" i="17"/>
  <c r="KU118" i="17"/>
  <c r="KP118" i="17"/>
  <c r="LA118" i="17"/>
  <c r="KJ118" i="17"/>
  <c r="LH118" i="17"/>
  <c r="LM118" i="17"/>
  <c r="KN118" i="17"/>
  <c r="LN118" i="17"/>
  <c r="LJ118" i="17"/>
  <c r="KI118" i="17"/>
  <c r="KT118" i="17"/>
  <c r="KQ118" i="17"/>
  <c r="LI118" i="17"/>
  <c r="LP118" i="17"/>
  <c r="KH118" i="17"/>
  <c r="JX118" i="17"/>
  <c r="KC118" i="17"/>
  <c r="KA118" i="17"/>
  <c r="JY118" i="17"/>
  <c r="LK118" i="17"/>
  <c r="LL118" i="17"/>
  <c r="KF118" i="17"/>
  <c r="LC118" i="17"/>
  <c r="KK118" i="17"/>
  <c r="KW118" i="17"/>
  <c r="LD118" i="17"/>
  <c r="LQ118" i="17"/>
  <c r="KG118" i="17"/>
  <c r="LG118" i="17"/>
  <c r="KS118" i="17"/>
  <c r="KX118" i="17"/>
  <c r="KM118" i="17"/>
  <c r="KD118" i="17"/>
  <c r="Z116" i="17"/>
  <c r="AB116" i="17" s="1"/>
  <c r="Z122" i="17"/>
  <c r="Z120" i="17"/>
  <c r="AB120" i="17" s="1"/>
  <c r="Z118" i="17"/>
  <c r="Z121" i="17"/>
  <c r="AB121" i="17" s="1"/>
  <c r="Z123" i="17"/>
  <c r="Z119" i="17"/>
  <c r="AF106" i="17"/>
  <c r="AC106" i="17" s="1"/>
  <c r="Y100" i="17"/>
  <c r="AD100" i="17"/>
  <c r="Y98" i="17"/>
  <c r="AB98" i="17" s="1"/>
  <c r="AD11" i="17"/>
  <c r="AC11" i="17" s="1"/>
  <c r="AE98" i="17"/>
  <c r="AE99" i="17"/>
  <c r="AD98" i="17"/>
  <c r="Y99" i="17"/>
  <c r="AB99" i="17" s="1"/>
  <c r="AE97" i="17"/>
  <c r="AD99" i="17"/>
  <c r="AD97" i="17"/>
  <c r="AE100" i="17"/>
  <c r="Y118" i="17" l="1"/>
  <c r="AB118" i="17" s="1"/>
  <c r="Y119" i="17"/>
  <c r="AA119" i="17" s="1"/>
  <c r="X119" i="17" s="1"/>
  <c r="X100" i="17"/>
  <c r="AB100" i="17"/>
  <c r="Y123" i="17"/>
  <c r="AB123" i="17" s="1"/>
  <c r="Y122" i="17"/>
  <c r="AB122" i="17" s="1"/>
  <c r="AA99" i="17"/>
  <c r="X99" i="17" s="1"/>
  <c r="AA98" i="17"/>
  <c r="X98" i="17" s="1"/>
  <c r="AA116" i="17"/>
  <c r="X116" i="17" s="1"/>
  <c r="AA120" i="17"/>
  <c r="X120" i="17" s="1"/>
  <c r="AA121" i="17"/>
  <c r="X121" i="17" s="1"/>
  <c r="AF117" i="17"/>
  <c r="AC117" i="17" s="1"/>
  <c r="AF98" i="17"/>
  <c r="AC98" i="17" s="1"/>
  <c r="AF100" i="17"/>
  <c r="AC100" i="17" s="1"/>
  <c r="AF121" i="17"/>
  <c r="AC121" i="17" s="1"/>
  <c r="AF97" i="17"/>
  <c r="AC97" i="17" s="1"/>
  <c r="AF99" i="17"/>
  <c r="AC99" i="17" s="1"/>
  <c r="AB119" i="17" l="1"/>
  <c r="AA123" i="17"/>
  <c r="X123" i="17" s="1"/>
  <c r="AA122" i="17"/>
  <c r="X122" i="17" s="1"/>
  <c r="AA118" i="17"/>
  <c r="X118" i="17" s="1"/>
  <c r="AF123" i="17"/>
  <c r="AC123" i="17" s="1"/>
  <c r="AF122" i="17"/>
  <c r="AC122" i="17" s="1"/>
  <c r="AF119" i="17"/>
  <c r="AC119" i="17" s="1"/>
  <c r="AF118" i="17"/>
  <c r="AC118" i="17" s="1"/>
  <c r="AF116" i="17"/>
  <c r="AC116" i="17" s="1"/>
  <c r="AF120" i="17"/>
  <c r="AC120" i="17" s="1"/>
  <c r="HO111" i="17" l="1"/>
  <c r="MD111" i="17" s="1"/>
  <c r="HP111" i="17"/>
  <c r="ME111" i="17" s="1"/>
  <c r="HR111" i="17"/>
  <c r="MG111" i="17" s="1"/>
  <c r="HQ111" i="17"/>
  <c r="MF111" i="17" s="1"/>
  <c r="HV111" i="17"/>
  <c r="MK111" i="17" s="1"/>
  <c r="HW111" i="17"/>
  <c r="ML111" i="17" s="1"/>
  <c r="HT111" i="17"/>
  <c r="MI111" i="17" s="1"/>
  <c r="HX111" i="17"/>
  <c r="MM111" i="17" s="1"/>
  <c r="HZ111" i="17"/>
  <c r="MO111" i="17" s="1"/>
  <c r="HS111" i="17"/>
  <c r="HU111" i="17"/>
  <c r="MJ111" i="17" s="1"/>
  <c r="HY111" i="17"/>
  <c r="MN111" i="17" s="1"/>
  <c r="HL111" i="17"/>
  <c r="MA111" i="17" s="1"/>
  <c r="HM111" i="17"/>
  <c r="MB111" i="17" s="1"/>
  <c r="HK111" i="17"/>
  <c r="LZ111" i="17" s="1"/>
  <c r="HN111" i="17"/>
  <c r="MC111" i="17" s="1"/>
  <c r="M111" i="17" l="1"/>
  <c r="MH111" i="17"/>
  <c r="Z111" i="17" s="1"/>
  <c r="L111" i="17"/>
  <c r="N110" i="26"/>
  <c r="M110" i="26"/>
  <c r="L110" i="26"/>
  <c r="T110" i="26"/>
  <c r="K110" i="26"/>
  <c r="S110" i="26"/>
  <c r="J110" i="26"/>
  <c r="R110" i="26"/>
  <c r="P110" i="26"/>
  <c r="O110" i="26"/>
  <c r="AQ111" i="17"/>
  <c r="CY111" i="17" s="1"/>
  <c r="AP111" i="17"/>
  <c r="CX111" i="17" s="1"/>
  <c r="AO111" i="17"/>
  <c r="CW111" i="17" s="1"/>
  <c r="AN111" i="17"/>
  <c r="CV111" i="17" s="1"/>
  <c r="BB111" i="17"/>
  <c r="DJ111" i="17" s="1"/>
  <c r="BA111" i="17"/>
  <c r="DI111" i="17" s="1"/>
  <c r="AZ111" i="17"/>
  <c r="DH111" i="17" s="1"/>
  <c r="AY111" i="17"/>
  <c r="DG111" i="17" s="1"/>
  <c r="AX111" i="17"/>
  <c r="DF111" i="17" s="1"/>
  <c r="BC111" i="17"/>
  <c r="DK111" i="17" s="1"/>
  <c r="AW111" i="17"/>
  <c r="DE111" i="17" s="1"/>
  <c r="AV111" i="17"/>
  <c r="DD111" i="17" s="1"/>
  <c r="AT111" i="17"/>
  <c r="DB111" i="17" s="1"/>
  <c r="AS111" i="17"/>
  <c r="DA111" i="17" s="1"/>
  <c r="AR111" i="17"/>
  <c r="CZ111" i="17" s="1"/>
  <c r="AU111" i="17"/>
  <c r="DC111" i="17" s="1"/>
  <c r="AE125" i="40" l="1"/>
  <c r="S111" i="17"/>
  <c r="T111" i="17"/>
  <c r="V110" i="26"/>
  <c r="AA111" i="17"/>
  <c r="X111" i="17" s="1"/>
  <c r="AB111" i="17"/>
  <c r="P111" i="17"/>
  <c r="J1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tc={F38AC9FE-8E9E-40B2-AAF8-6FFFF531DF66}</author>
    <author>tc={C6414085-2EBA-42FB-B1FA-1A732E3989FE}</author>
  </authors>
  <commentList>
    <comment ref="K52" authorId="0" shapeId="0" xr:uid="{F38AC9FE-8E9E-40B2-AAF8-6FFFF531DF66}">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 ref="K57" authorId="1" shapeId="0" xr:uid="{C6414085-2EBA-42FB-B1FA-1A732E3989FE}">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tc={02814B0E-D833-4EA7-90B7-976F3743A645}</author>
    <author>tc={F590E41F-CEF8-4A4C-AAF5-C8D8881881F0}</author>
    <author>tc={BD8F6173-041D-44E9-B8D3-EC5D61B05C7D}</author>
    <author>tc={B58592B0-0F49-417B-A149-B37BB2B58724}</author>
    <author>tc={BBCE5694-8081-4F3A-9BAF-99141907D26B}</author>
    <author>tc={62C9EAA7-FD27-4D1D-B806-D4FCDCA41AA7}</author>
    <author>tc={0E7C9ACA-1854-4045-996B-9C7416B385E9}</author>
    <author>tc={1189DD5F-9D24-48CE-8A50-AB9E3F7384D9}</author>
  </authors>
  <commentList>
    <comment ref="E38" authorId="0" shapeId="0" xr:uid="{02814B0E-D833-4EA7-90B7-976F3743A645}">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 ref="E45" authorId="1" shapeId="0" xr:uid="{F590E41F-CEF8-4A4C-AAF5-C8D8881881F0}">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 ref="AK45" authorId="2" shapeId="0" xr:uid="{BD8F6173-041D-44E9-B8D3-EC5D61B05C7D}">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 ref="CR45" authorId="3" shapeId="0" xr:uid="{B58592B0-0F49-417B-A149-B37BB2B58724}">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 ref="EZ45" authorId="4" shapeId="0" xr:uid="{BBCE5694-8081-4F3A-9BAF-99141907D26B}">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 ref="HG45" authorId="5" shapeId="0" xr:uid="{62C9EAA7-FD27-4D1D-B806-D4FCDCA41AA7}">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 ref="JO45" authorId="6" shapeId="0" xr:uid="{0E7C9ACA-1854-4045-996B-9C7416B385E9}">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 ref="LV45" authorId="7" shapeId="0" xr:uid="{1189DD5F-9D24-48CE-8A50-AB9E3F7384D9}">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tc={6703C353-44E4-44D0-8656-6E43FCBCEA48}</author>
    <author>tc={52C40C52-CC4C-49FC-B724-F5C55421A43B}</author>
    <author>tc={1E4ABBF3-F974-4D16-8BED-B0013D36B195}</author>
  </authors>
  <commentList>
    <comment ref="D17" authorId="0" shapeId="0" xr:uid="{6703C353-44E4-44D0-8656-6E43FCBCEA48}">
      <text>
        <t>[Threaded comment]
Your version of Excel allows you to read this threaded comment; however, any edits to it will get removed if the file is opened in a newer version of Excel. Learn more: https://go.microsoft.com/fwlink/?linkid=870924
Comment:
    Says value but its just a count - redefine</t>
      </text>
    </comment>
    <comment ref="X30" authorId="1" shapeId="0" xr:uid="{52C40C52-CC4C-49FC-B724-F5C55421A43B}">
      <text>
        <t>[Threaded comment]
Your version of Excel allows you to read this threaded comment; however, any edits to it will get removed if the file is opened in a newer version of Excel. Learn more: https://go.microsoft.com/fwlink/?linkid=870924
Comment:
    The FTE Days are 22.5 days on the Return submitted - reduced due to holiday absence</t>
      </text>
    </comment>
    <comment ref="Y30" authorId="2" shapeId="0" xr:uid="{1E4ABBF3-F974-4D16-8BED-B0013D36B195}">
      <text>
        <t>[Threaded comment]
Your version of Excel allows you to read this threaded comment; however, any edits to it will get removed if the file is opened in a newer version of Excel. Learn more: https://go.microsoft.com/fwlink/?linkid=870924
Comment:
    Reduced due to sickness absence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tc={78366A00-D2DD-4422-87CE-61A92182F9C3}</author>
  </authors>
  <commentList>
    <comment ref="AM18" authorId="0" shapeId="0" xr:uid="{78366A00-D2DD-4422-87CE-61A92182F9C3}">
      <text>
        <t xml:space="preserve">[Threaded comment]
Your version of Excel allows you to read this threaded comment; however, any edits to it will get removed if the file is opened in a newer version of Excel. Learn more: https://go.microsoft.com/fwlink/?linkid=870924
Comment:
    Staff on holidays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tc={A1554D7A-FC1C-45F8-84CE-E8788C88E47C}</author>
    <author>tc={EB700A71-0CC4-4BB5-9905-D37D5728158B}</author>
    <author>tc={B0CEC05C-27AE-4C0E-AD0F-1746A1273557}</author>
  </authors>
  <commentList>
    <comment ref="AG18" authorId="0" shapeId="0" xr:uid="{A1554D7A-FC1C-45F8-84CE-E8788C88E47C}">
      <text>
        <t>[Threaded comment]
Your version of Excel allows you to read this threaded comment; however, any edits to it will get removed if the file is opened in a newer version of Excel. Learn more: https://go.microsoft.com/fwlink/?linkid=870924
Comment:
    Chris Goddard - Headset, CAD Laptop, CAD docking Station</t>
      </text>
    </comment>
    <comment ref="AI18" authorId="1" shapeId="0" xr:uid="{EB700A71-0CC4-4BB5-9905-D37D5728158B}">
      <text>
        <t>[Threaded comment]
Your version of Excel allows you to read this threaded comment; however, any edits to it will get removed if the file is opened in a newer version of Excel. Learn more: https://go.microsoft.com/fwlink/?linkid=870924
Comment:
    Chris Goddard new monitors and monitor arm, and keyboard and mouse set - values NET</t>
      </text>
    </comment>
    <comment ref="AJ18" authorId="2" shapeId="0" xr:uid="{B0CEC05C-27AE-4C0E-AD0F-1746A1273557}">
      <text>
        <t>[Threaded comment]
Your version of Excel allows you to read this threaded comment; however, any edits to it will get removed if the file is opened in a newer version of Excel. Learn more: https://go.microsoft.com/fwlink/?linkid=870924
Comment:
    Shannon Buck - Docking Station</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Katherine Sanganee</author>
    <author>tc={0EE8E3AB-1F51-401D-85CB-B60BA97EC419}</author>
    <author>tc={7A3FE2A1-509E-44FD-9986-9CA2E9E409F2}</author>
    <author>tc={CC50F871-E194-4A50-8183-F639750698E0}</author>
    <author>tc={36E4CF61-86EF-4076-BD40-1A1151FA2BBD}</author>
    <author>tc={113F4A0B-0B7F-4504-92CE-8180F2462370}</author>
  </authors>
  <commentList>
    <comment ref="I9" authorId="0" shapeId="0" xr:uid="{E01E5407-A580-4774-B303-372DFA76CEDD}">
      <text>
        <r>
          <rPr>
            <b/>
            <sz val="9"/>
            <color indexed="81"/>
            <rFont val="Tahoma"/>
            <family val="2"/>
          </rPr>
          <t>Katherine Sanganee:</t>
        </r>
        <r>
          <rPr>
            <sz val="9"/>
            <color indexed="81"/>
            <rFont val="Tahoma"/>
            <family val="2"/>
          </rPr>
          <t xml:space="preserve">
OVO Case Study, SOP Chocolate Bars</t>
        </r>
      </text>
    </comment>
    <comment ref="J9" authorId="0" shapeId="0" xr:uid="{02DA55CB-1F06-4F5C-8653-6652B7C9E7D2}">
      <text>
        <r>
          <rPr>
            <b/>
            <sz val="9"/>
            <color indexed="81"/>
            <rFont val="Tahoma"/>
            <family val="2"/>
          </rPr>
          <t>Katherine Sanganee:</t>
        </r>
        <r>
          <rPr>
            <sz val="9"/>
            <color indexed="81"/>
            <rFont val="Tahoma"/>
            <family val="2"/>
          </rPr>
          <t xml:space="preserve">
Case Study published a week early</t>
        </r>
      </text>
    </comment>
    <comment ref="K9" authorId="0" shapeId="0" xr:uid="{6CF4AE25-3B70-4EDF-8408-5DA79FD89D98}">
      <text>
        <r>
          <rPr>
            <b/>
            <sz val="9"/>
            <color indexed="81"/>
            <rFont val="Tahoma"/>
            <family val="2"/>
          </rPr>
          <t>Katherine Sanganee:</t>
        </r>
        <r>
          <rPr>
            <sz val="9"/>
            <color indexed="81"/>
            <rFont val="Tahoma"/>
            <family val="2"/>
          </rPr>
          <t xml:space="preserve">
Christmas SharePoint article and additional social post (Insta Story)</t>
        </r>
      </text>
    </comment>
    <comment ref="N9" authorId="0" shapeId="0" xr:uid="{F4EA1473-9C3E-496C-8426-7B4695791266}">
      <text>
        <r>
          <rPr>
            <b/>
            <sz val="9"/>
            <color indexed="81"/>
            <rFont val="Tahoma"/>
            <family val="2"/>
          </rPr>
          <t>Katherine Sanganee:</t>
        </r>
        <r>
          <rPr>
            <sz val="9"/>
            <color indexed="81"/>
            <rFont val="Tahoma"/>
            <family val="2"/>
          </rPr>
          <t xml:space="preserve">
Two social posts, SAS380, Global GreenTag, Overbury Quiz Advert, Subcontractor Event Invitation</t>
        </r>
      </text>
    </comment>
    <comment ref="O9" authorId="0" shapeId="0" xr:uid="{DCDA50C0-F865-49B1-8A3F-D3B5C608EF59}">
      <text>
        <r>
          <rPr>
            <b/>
            <sz val="9"/>
            <color indexed="81"/>
            <rFont val="Tahoma"/>
            <family val="2"/>
          </rPr>
          <t>Katherine Sanganee:</t>
        </r>
        <r>
          <rPr>
            <sz val="9"/>
            <color indexed="81"/>
            <rFont val="Tahoma"/>
            <family val="2"/>
          </rPr>
          <t xml:space="preserve">
IIAH Markek presentation slides, airport maps, careers page update, Australia case study, Trims brochure edits, SOP image edits, Futures Institute Case Study, Horizon trademark</t>
        </r>
      </text>
    </comment>
    <comment ref="P9" authorId="0" shapeId="0" xr:uid="{CC13CD20-9357-4FFE-92AE-646E1A3A4684}">
      <text>
        <r>
          <rPr>
            <b/>
            <sz val="9"/>
            <color indexed="81"/>
            <rFont val="Tahoma"/>
            <family val="2"/>
          </rPr>
          <t>Katherine Sanganee:</t>
        </r>
        <r>
          <rPr>
            <sz val="9"/>
            <color indexed="81"/>
            <rFont val="Tahoma"/>
            <family val="2"/>
          </rPr>
          <t xml:space="preserve">
Blue Monday SharePoint, DIALux announcement (GM), rECOver slides (TP) </t>
        </r>
      </text>
    </comment>
    <comment ref="R9" authorId="1" shapeId="0" xr:uid="{0EE8E3AB-1F51-401D-85CB-B60BA97EC419}">
      <text>
        <t>[Threaded comment]
Your version of Excel allows you to read this threaded comment; however, any edits to it will get removed if the file is opened in a newer version of Excel. Learn more: https://go.microsoft.com/fwlink/?linkid=870924
Comment:
    Venue booked for sustainability event, NAW videos edited, NAW web page drafted, Photos for David Booth clients</t>
      </text>
    </comment>
    <comment ref="S9" authorId="2" shapeId="0" xr:uid="{7A3FE2A1-509E-44FD-9986-9CA2E9E409F2}">
      <text>
        <t xml:space="preserve">[Threaded comment]
Your version of Excel allows you to read this threaded comment; however, any edits to it will get removed if the file is opened in a newer version of Excel. Learn more: https://go.microsoft.com/fwlink/?linkid=870924
Comment:
    NAW Webpage published, NAW YouTube videos posted, Autoresponder email drafted (Account Engagement), two social posts </t>
      </text>
    </comment>
    <comment ref="T9" authorId="0" shapeId="0" xr:uid="{574D2B81-B890-44D4-9BDB-766C6E9578E0}">
      <text>
        <r>
          <rPr>
            <b/>
            <sz val="9"/>
            <color indexed="81"/>
            <rFont val="Tahoma"/>
            <family val="2"/>
          </rPr>
          <t>Katherine Sanganee:</t>
        </r>
        <r>
          <rPr>
            <sz val="9"/>
            <color indexed="81"/>
            <rFont val="Tahoma"/>
            <family val="2"/>
          </rPr>
          <t xml:space="preserve">
SAS385, Australian Case Study, Nexus SharePoint Training</t>
        </r>
      </text>
    </comment>
    <comment ref="U9" authorId="0" shapeId="0" xr:uid="{3BDAD5A1-6235-4CE0-8EC9-2BB4EE932953}">
      <text>
        <r>
          <rPr>
            <b/>
            <sz val="9"/>
            <color indexed="81"/>
            <rFont val="Tahoma"/>
            <family val="2"/>
          </rPr>
          <t>Katherine Sanganee:</t>
        </r>
        <r>
          <rPr>
            <sz val="9"/>
            <color indexed="81"/>
            <rFont val="Tahoma"/>
            <family val="2"/>
          </rPr>
          <t xml:space="preserve">
DIALux on SharePoint, Nexus paid social posts (x2), WoodTones brochure edits</t>
        </r>
      </text>
    </comment>
    <comment ref="V9" authorId="0" shapeId="0" xr:uid="{05C0C16E-3DEA-468F-BDF9-FEF19552ED46}">
      <text>
        <r>
          <rPr>
            <b/>
            <sz val="9"/>
            <color indexed="81"/>
            <rFont val="Tahoma"/>
            <family val="2"/>
          </rPr>
          <t>Katherine Sanganee:</t>
        </r>
        <r>
          <rPr>
            <sz val="9"/>
            <color indexed="81"/>
            <rFont val="Tahoma"/>
            <family val="2"/>
          </rPr>
          <t xml:space="preserve">
DiaLUX, Marseille Airport (post and page), SAS380 (organic), Tim spreadsheet request, Letterheads</t>
        </r>
      </text>
    </comment>
    <comment ref="W9" authorId="0" shapeId="0" xr:uid="{3DA73E1B-6091-4095-ACAA-42690A1987A9}">
      <text>
        <r>
          <rPr>
            <b/>
            <sz val="9"/>
            <color indexed="81"/>
            <rFont val="Tahoma"/>
            <family val="2"/>
          </rPr>
          <t>Katherine Sanganee:</t>
        </r>
        <r>
          <rPr>
            <sz val="9"/>
            <color indexed="81"/>
            <rFont val="Tahoma"/>
            <family val="2"/>
          </rPr>
          <t xml:space="preserve">
Marseille Airport social, SAS385 Nexus social post, International Women's Day SharePoint, Sustainability Report</t>
        </r>
      </text>
    </comment>
    <comment ref="X9" authorId="0" shapeId="0" xr:uid="{704D379F-20B9-4A8E-BA89-72F0B359D5EC}">
      <text>
        <r>
          <rPr>
            <b/>
            <sz val="9"/>
            <color indexed="81"/>
            <rFont val="Tahoma"/>
            <family val="2"/>
          </rPr>
          <t>Katherine Sanganee:</t>
        </r>
        <r>
          <rPr>
            <sz val="9"/>
            <color indexed="81"/>
            <rFont val="Tahoma"/>
            <family val="2"/>
          </rPr>
          <t xml:space="preserve">
SAS720 post, Sustainability Post 1, SAS720 highlight, Sustainability Report (webpage and SharePoint article), SAS380 Nexus paid post, UK Sales Map Update, CDW Guide Entry</t>
        </r>
      </text>
    </comment>
    <comment ref="Y9" authorId="0" shapeId="0" xr:uid="{06671A7E-0159-4D93-B5E6-50B2D038DB47}">
      <text>
        <r>
          <rPr>
            <b/>
            <sz val="9"/>
            <color indexed="81"/>
            <rFont val="Tahoma"/>
            <family val="2"/>
          </rPr>
          <t>Katherine Sanganee:</t>
        </r>
        <r>
          <rPr>
            <sz val="9"/>
            <color indexed="81"/>
            <rFont val="Tahoma"/>
            <family val="2"/>
          </rPr>
          <t xml:space="preserve">
Sustainability post, bulkhead post, Sales Map edit, Scotland presentation slides, SKA case study, Abdul presentation (Zaha Hadid images), Easter event content, Plato on Australia website, Duncan (chilled ceiling images)</t>
        </r>
      </text>
    </comment>
    <comment ref="Z9" authorId="0" shapeId="0" xr:uid="{A6E04CFF-48C5-4ED2-B2AC-0CC91BD2B427}">
      <text>
        <r>
          <rPr>
            <b/>
            <sz val="9"/>
            <color indexed="81"/>
            <rFont val="Tahoma"/>
            <family val="2"/>
          </rPr>
          <t>Katherine Sanganee:</t>
        </r>
        <r>
          <rPr>
            <sz val="9"/>
            <color indexed="81"/>
            <rFont val="Tahoma"/>
            <family val="2"/>
          </rPr>
          <t xml:space="preserve">
Gender Pay Gap (SharePoint), Sustainability Report (post 3), Porsche case study, Porsche post, Sales Map</t>
        </r>
      </text>
    </comment>
    <comment ref="AA9" authorId="0" shapeId="0" xr:uid="{6D30BC82-E661-46A8-826A-D0DD3850B332}">
      <text>
        <r>
          <rPr>
            <b/>
            <sz val="9"/>
            <color indexed="81"/>
            <rFont val="Tahoma"/>
            <family val="2"/>
          </rPr>
          <t>Katherine Sanganee:</t>
        </r>
        <r>
          <rPr>
            <sz val="9"/>
            <color indexed="81"/>
            <rFont val="Tahoma"/>
            <family val="2"/>
          </rPr>
          <t xml:space="preserve">
SAS120 and SAS710 social posts, Sales map changes, Modern Slavery on website and formatted, DCD Connect email, DCD Connect LinkedIn paid post, trims brochure date change</t>
        </r>
      </text>
    </comment>
    <comment ref="AB9" authorId="0" shapeId="0" xr:uid="{F42BF15F-9815-4060-B8A8-79DE478B4C3A}">
      <text>
        <r>
          <rPr>
            <b/>
            <sz val="9"/>
            <color indexed="81"/>
            <rFont val="Tahoma"/>
            <family val="2"/>
          </rPr>
          <t>Katherine Sanganee:</t>
        </r>
        <r>
          <rPr>
            <sz val="9"/>
            <color indexed="81"/>
            <rFont val="Tahoma"/>
            <family val="2"/>
          </rPr>
          <t xml:space="preserve">
USA Tom Presentation Slides, Henly Projects Charity branding, Abdul SAS800 photos, Rail presentation slides for Tom, SAS710 social post, Mesh social post, UK Lunch and Learn flyers</t>
        </r>
      </text>
    </comment>
    <comment ref="AC9" authorId="0" shapeId="0" xr:uid="{A5AC7F0F-C7D7-486E-90E6-799C91E275A7}">
      <text>
        <r>
          <rPr>
            <b/>
            <sz val="9"/>
            <color indexed="81"/>
            <rFont val="Tahoma"/>
            <family val="2"/>
          </rPr>
          <t>Katherine Sanganee:</t>
        </r>
        <r>
          <rPr>
            <sz val="9"/>
            <color indexed="81"/>
            <rFont val="Tahoma"/>
            <family val="2"/>
          </rPr>
          <t xml:space="preserve">
Social posts x2, coffered ceiling blog, paid social posts x4, Victoria and Hannah image requests, carbon certificate</t>
        </r>
      </text>
    </comment>
    <comment ref="AD9" authorId="0" shapeId="0" xr:uid="{E18D681C-A1BC-435C-A049-88661ED4023E}">
      <text>
        <r>
          <rPr>
            <b/>
            <sz val="9"/>
            <color indexed="81"/>
            <rFont val="Tahoma"/>
            <family val="2"/>
          </rPr>
          <t>Katherine Sanganee:</t>
        </r>
        <r>
          <rPr>
            <sz val="9"/>
            <color indexed="81"/>
            <rFont val="Tahoma"/>
            <family val="2"/>
          </rPr>
          <t xml:space="preserve">
Social Posts - coffered, H&amp;S, Long Neck case study, H&amp;S Day on SharePoint, H&amp;S blog, MinRes HQ case study, Nexus render video, Dubai Stock Brochure</t>
        </r>
      </text>
    </comment>
    <comment ref="AE9" authorId="0" shapeId="0" xr:uid="{1E24132D-11E6-4A08-A41E-D000B8B91D19}">
      <text>
        <r>
          <rPr>
            <b/>
            <sz val="9"/>
            <color indexed="81"/>
            <rFont val="Tahoma"/>
            <family val="2"/>
          </rPr>
          <t>Katherine Sanganee:</t>
        </r>
        <r>
          <rPr>
            <sz val="9"/>
            <color indexed="81"/>
            <rFont val="Tahoma"/>
            <family val="2"/>
          </rPr>
          <t xml:space="preserve">
Clerkenwell social post, SAS700 social post, Australia and Shop email banners, Static Stretch redesign and print, Clerkenwell presentation, WoodTones redesign and print, Newsletter - UK and Ireland</t>
        </r>
      </text>
    </comment>
    <comment ref="AF9" authorId="0" shapeId="0" xr:uid="{17260114-E1D0-453E-84BE-8FA87A7CC294}">
      <text>
        <r>
          <rPr>
            <b/>
            <sz val="9"/>
            <color indexed="81"/>
            <rFont val="Tahoma"/>
            <family val="2"/>
          </rPr>
          <t>Katherine Sanganee:</t>
        </r>
        <r>
          <rPr>
            <sz val="9"/>
            <color indexed="81"/>
            <rFont val="Tahoma"/>
            <family val="2"/>
          </rPr>
          <t xml:space="preserve">
Social posts LinkedIn: Clerkenwell, Uni of Aberdeen, Sales social post template, Instagram (x2), Ireland Advert, Active Stretch brochure, Pop-Up Bar, TexTiles samples boxes (Clerkenwell), bar stools collected, static and active webpages, Clerkenwell email banner</t>
        </r>
      </text>
    </comment>
    <comment ref="AG9" authorId="0" shapeId="0" xr:uid="{6024F700-3C08-4929-80ED-8699CD4EC762}">
      <text>
        <r>
          <rPr>
            <b/>
            <sz val="9"/>
            <color indexed="81"/>
            <rFont val="Tahoma"/>
            <family val="2"/>
          </rPr>
          <t>Katherine Sanganee:</t>
        </r>
        <r>
          <rPr>
            <sz val="9"/>
            <color indexed="81"/>
            <rFont val="Tahoma"/>
            <family val="2"/>
          </rPr>
          <t xml:space="preserve">
TexTiles on SharePoint, three LinkedIn post, one Instagram post, three Instagram stories, Bisnow Nexus Adverts x2</t>
        </r>
      </text>
    </comment>
    <comment ref="AH9" authorId="0" shapeId="0" xr:uid="{63ECF47D-FB0F-4450-94FF-876642B4B121}">
      <text>
        <r>
          <rPr>
            <b/>
            <sz val="9"/>
            <color indexed="81"/>
            <rFont val="Tahoma"/>
            <family val="2"/>
          </rPr>
          <t>Katherine Sanganee:</t>
        </r>
        <r>
          <rPr>
            <sz val="9"/>
            <color indexed="81"/>
            <rFont val="Tahoma"/>
            <family val="2"/>
          </rPr>
          <t xml:space="preserve">
Social posts (3 LinkedIn, 3 Insta, 2 stories), 199 Bishopsgate Case Study, AJ100 advert (TexTiles), TP Bennett Studio Lates (write-up), Account Engagement email for Clerkenwell Prospects</t>
        </r>
      </text>
    </comment>
    <comment ref="AI9" authorId="0" shapeId="0" xr:uid="{8C4D62DF-A6F3-48BB-BBB6-717D5D70BB94}">
      <text>
        <r>
          <rPr>
            <b/>
            <sz val="9"/>
            <color indexed="81"/>
            <rFont val="Tahoma"/>
            <family val="2"/>
          </rPr>
          <t>Katherine Sanganee:</t>
        </r>
        <r>
          <rPr>
            <sz val="9"/>
            <color indexed="81"/>
            <rFont val="Tahoma"/>
            <family val="2"/>
          </rPr>
          <t xml:space="preserve">
TexTiles and SAS600 posts (LinkedIn, Insta and stories), Eurshell mesh image request, four images uploaded on pinterest, Fit-Out awards write up, made brochures for SOP, SharePoint article</t>
        </r>
      </text>
    </comment>
    <comment ref="AJ9" authorId="0" shapeId="0" xr:uid="{A04F05EC-5357-4E38-A43A-76C862E74CBF}">
      <text>
        <r>
          <rPr>
            <b/>
            <sz val="9"/>
            <color indexed="81"/>
            <rFont val="Tahoma"/>
            <family val="2"/>
          </rPr>
          <t>Katherine Sanganee:</t>
        </r>
        <r>
          <rPr>
            <sz val="9"/>
            <color indexed="81"/>
            <rFont val="Tahoma"/>
            <family val="2"/>
          </rPr>
          <t xml:space="preserve">
Australian web updates, SAS600 technical docs, removed acoustic summaries (included in DS), Togetherall section changed on SharePoint, Acoustic blog updated, Social posts (studio lates, active stretch, SAS600, Arbor case study), SAS Shop email banner, pinterest upload</t>
        </r>
      </text>
    </comment>
    <comment ref="AK9" authorId="0" shapeId="0" xr:uid="{4DE551B2-A1B0-47A7-AFF1-43AF157044AE}">
      <text>
        <r>
          <rPr>
            <b/>
            <sz val="9"/>
            <color indexed="81"/>
            <rFont val="Tahoma"/>
            <family val="2"/>
          </rPr>
          <t>Katherine Sanganee:</t>
        </r>
        <r>
          <rPr>
            <sz val="9"/>
            <color indexed="81"/>
            <rFont val="Tahoma"/>
            <family val="2"/>
          </rPr>
          <t xml:space="preserve">
Social posts - A/Maze, Veil and Active Stretch, Cathal's backdoor sign, pinterest upload, project round up blog, newsletter to all regions (non Aus and USA), Veil Case Study, David Fry - dye sub photography, USA Nexus pages updated but not posted, Bisnow London advert, Orms and SAS Recover presentation slides, Website stakeholder information</t>
        </r>
      </text>
    </comment>
    <comment ref="AL9" authorId="0" shapeId="0" xr:uid="{131D4189-7476-43BD-A0D8-DDE0A0C73A85}">
      <text>
        <r>
          <rPr>
            <b/>
            <sz val="9"/>
            <color indexed="81"/>
            <rFont val="Tahoma"/>
            <family val="2"/>
          </rPr>
          <t>Katherine Sanganee:</t>
        </r>
        <r>
          <rPr>
            <sz val="9"/>
            <color indexed="81"/>
            <rFont val="Tahoma"/>
            <family val="2"/>
          </rPr>
          <t xml:space="preserve">
SAS510 posts (x4), branding photography review, Solving CAT A Waste write up, Morning Briefing Marketing Slides</t>
        </r>
      </text>
    </comment>
    <comment ref="AM9" authorId="0" shapeId="0" xr:uid="{801D49BA-2E0A-48EE-9624-37CF6FF4BC49}">
      <text>
        <r>
          <rPr>
            <b/>
            <sz val="9"/>
            <color indexed="81"/>
            <rFont val="Tahoma"/>
            <family val="2"/>
          </rPr>
          <t>Katherine Sanganee:</t>
        </r>
        <r>
          <rPr>
            <sz val="9"/>
            <color indexed="81"/>
            <rFont val="Tahoma"/>
            <family val="2"/>
          </rPr>
          <t xml:space="preserve">
Social posts - LinkedIn x2, Inst x3, Pinterest, Tough Mudder on SharePoint, Trims brochure price updates, Australian case study </t>
        </r>
      </text>
    </comment>
    <comment ref="AN9" authorId="0" shapeId="0" xr:uid="{D1F8E33B-30CF-4267-91CE-357821BEA403}">
      <text>
        <r>
          <rPr>
            <b/>
            <sz val="9"/>
            <color indexed="81"/>
            <rFont val="Tahoma"/>
            <family val="2"/>
          </rPr>
          <t>Katherine Sanganee:</t>
        </r>
        <r>
          <rPr>
            <sz val="9"/>
            <color indexed="81"/>
            <rFont val="Tahoma"/>
            <family val="2"/>
          </rPr>
          <t xml:space="preserve">
Website Workshop (prep and notes), The Veil and Kodiak case study posts, RAL and Interpon restocking, Sample Labels, Abby handover document (and training), UK Lunch and Learn edits, Morning Briefing Slides, Brand feedback from Siobhan, HSBC New York Case Study, US Newsletter, Job Descriptions and ATR forms (x2)</t>
        </r>
      </text>
    </comment>
    <comment ref="AO9" authorId="0" shapeId="0" xr:uid="{D9D6F00B-9B22-41EB-84E3-CB05BA0867F4}">
      <text>
        <r>
          <rPr>
            <b/>
            <sz val="9"/>
            <color indexed="81"/>
            <rFont val="Tahoma"/>
            <family val="2"/>
          </rPr>
          <t>Katherine Sanganee:</t>
        </r>
        <r>
          <rPr>
            <sz val="9"/>
            <color indexed="81"/>
            <rFont val="Tahoma"/>
            <family val="2"/>
          </rPr>
          <t xml:space="preserve">
Two posts per platform for SAS500 and Brooklyn Library, Work Placement Benjamin (work set, completed and feedback given to school), Interpon samples reordered, USA WoodTones swatches assembled and shipped, website persona info for Propellant</t>
        </r>
      </text>
    </comment>
    <comment ref="AP9" authorId="0" shapeId="0" xr:uid="{B2B1F8B9-AEFB-4B26-AD46-98602E7A1263}">
      <text>
        <r>
          <rPr>
            <b/>
            <sz val="9"/>
            <color indexed="81"/>
            <rFont val="Tahoma"/>
            <family val="2"/>
          </rPr>
          <t>Katherine Sanganee:</t>
        </r>
        <r>
          <rPr>
            <sz val="9"/>
            <color indexed="81"/>
            <rFont val="Tahoma"/>
            <family val="2"/>
          </rPr>
          <t xml:space="preserve">
Middle East WoodTones, life science and Skye posts (LN, Insta, Story), Staff Rewards Post, Material Source Panels, image and logo requests (Matt B, Tracy and Rana) </t>
        </r>
      </text>
    </comment>
    <comment ref="AQ9" authorId="0" shapeId="0" xr:uid="{B4E800C2-78E1-431C-B84D-621E26A6247A}">
      <text>
        <r>
          <rPr>
            <b/>
            <sz val="9"/>
            <color indexed="81"/>
            <rFont val="Tahoma"/>
            <family val="2"/>
          </rPr>
          <t>Katherine Sanganee:</t>
        </r>
        <r>
          <rPr>
            <sz val="9"/>
            <color indexed="81"/>
            <rFont val="Tahoma"/>
            <family val="2"/>
          </rPr>
          <t xml:space="preserve">
Fire Safety blog (Australia), Data Centre blog, Skye social posts, Oak Cancer Centre blog and posts, July Newsletter, USA/Ireland/Aus WoodTones swatches, Visual Identity image requests, Material Source Studio invoice audit</t>
        </r>
      </text>
    </comment>
    <comment ref="AR9" authorId="0" shapeId="0" xr:uid="{6BF36783-9362-4248-AC29-B3F0E157117D}">
      <text>
        <r>
          <rPr>
            <b/>
            <sz val="9"/>
            <color indexed="81"/>
            <rFont val="Tahoma"/>
            <family val="2"/>
          </rPr>
          <t>Katherine Sanganee:</t>
        </r>
        <r>
          <rPr>
            <sz val="9"/>
            <color indexed="81"/>
            <rFont val="Tahoma"/>
            <family val="2"/>
          </rPr>
          <t xml:space="preserve">
Nexus social posts, NextDC case study posts, invoice training for BE reception, Australia Metro case study, DCD Connect Pop-Up, Newsletter report, LinkedIn HR images, brand roll out gantt chart</t>
        </r>
      </text>
    </comment>
    <comment ref="AT9" authorId="0" shapeId="0" xr:uid="{D77F44A6-237D-4901-8A33-429AEAA16EB0}">
      <text>
        <r>
          <rPr>
            <b/>
            <sz val="9"/>
            <color indexed="81"/>
            <rFont val="Tahoma"/>
            <family val="2"/>
          </rPr>
          <t>Katherine Sanganee:</t>
        </r>
        <r>
          <rPr>
            <sz val="9"/>
            <color indexed="81"/>
            <rFont val="Tahoma"/>
            <family val="2"/>
          </rPr>
          <t xml:space="preserve">
RAL social post (x2), Finishes page update, Metronet social posts (x2), SAS Shop image search</t>
        </r>
      </text>
    </comment>
    <comment ref="AU9" authorId="0" shapeId="0" xr:uid="{685A135B-441F-4BE0-961F-6E5DAA5A3AB3}">
      <text>
        <r>
          <rPr>
            <b/>
            <sz val="9"/>
            <color indexed="81"/>
            <rFont val="Tahoma"/>
            <family val="2"/>
          </rPr>
          <t>Katherine Sanganee:</t>
        </r>
        <r>
          <rPr>
            <sz val="9"/>
            <color indexed="81"/>
            <rFont val="Tahoma"/>
            <family val="2"/>
          </rPr>
          <t xml:space="preserve">
Social posts - SAS330 (X4), August newsletter, AJ editorial, FX editorial</t>
        </r>
      </text>
    </comment>
    <comment ref="AV9" authorId="0" shapeId="0" xr:uid="{121754AA-AD07-4169-8C66-2C9FF492F677}">
      <text>
        <r>
          <rPr>
            <b/>
            <sz val="9"/>
            <color indexed="81"/>
            <rFont val="Tahoma"/>
            <family val="2"/>
          </rPr>
          <t>Katherine Sanganee:</t>
        </r>
        <r>
          <rPr>
            <sz val="9"/>
            <color indexed="81"/>
            <rFont val="Tahoma"/>
            <family val="2"/>
          </rPr>
          <t xml:space="preserve">
Social media report, SAS330 and HSBC social posts, Australian case study - Queensland, Mesh images for Ireland, Camira sample reorder, Hadley Script, USA Presentation Slides, Photography Plan and Brief (Reading)</t>
        </r>
      </text>
    </comment>
    <comment ref="AW9" authorId="0" shapeId="0" xr:uid="{8C203F5E-C903-4F57-8409-3FCD603A9648}">
      <text>
        <r>
          <rPr>
            <b/>
            <sz val="9"/>
            <color indexed="81"/>
            <rFont val="Tahoma"/>
            <family val="2"/>
          </rPr>
          <t>Katherine Sanganee:</t>
        </r>
        <r>
          <rPr>
            <sz val="9"/>
            <color indexed="81"/>
            <rFont val="Tahoma"/>
            <family val="2"/>
          </rPr>
          <t xml:space="preserve">
Social posts: WoodTones (insta), WoodTones, 199 Bishopsgate, DCD Connect event (LinkedIn), DCD Connect booth props, DCD Connect Contact Form, Siobhan's USA Presentation, Harvard photography, Website Discovery Presentation </t>
        </r>
      </text>
    </comment>
    <comment ref="AX9" authorId="0" shapeId="0" xr:uid="{B3133028-8199-459D-8047-90DA8F0A7F1E}">
      <text>
        <r>
          <rPr>
            <b/>
            <sz val="9"/>
            <color indexed="81"/>
            <rFont val="Tahoma"/>
            <charset val="1"/>
          </rPr>
          <t>Katherine Sanganee:</t>
        </r>
        <r>
          <rPr>
            <sz val="9"/>
            <color indexed="81"/>
            <rFont val="Tahoma"/>
            <charset val="1"/>
          </rPr>
          <t xml:space="preserve">
DCD social post, Nicholas Grimshaw reshare, SAS320 Highlight, Interpon samples sent, Website login issues, Alex Training (Trello, Salesforce, Finishes, Media Monitoring) Market Research Results, Circular Lighting Live slides, Strategic Marketing slides, Photograaphy brief</t>
        </r>
      </text>
    </comment>
    <comment ref="AY9" authorId="0" shapeId="0" xr:uid="{BFA45709-FE26-4D68-98AA-B56368C341F4}">
      <text>
        <r>
          <rPr>
            <b/>
            <sz val="9"/>
            <color indexed="81"/>
            <rFont val="Tahoma"/>
            <charset val="1"/>
          </rPr>
          <t>Katherine Sanganee:</t>
        </r>
        <r>
          <rPr>
            <sz val="9"/>
            <color indexed="81"/>
            <rFont val="Tahoma"/>
            <charset val="1"/>
          </rPr>
          <t xml:space="preserve">
Social posts: Acoustics (Insta and LinkedIn), photoshoot (2 days), 120 King's Road case study, Australia blog post</t>
        </r>
      </text>
    </comment>
    <comment ref="AZ9" authorId="0" shapeId="0" xr:uid="{63B9ED78-6211-4027-A9A5-DAC1A84A7113}">
      <text>
        <r>
          <rPr>
            <b/>
            <sz val="9"/>
            <color indexed="81"/>
            <rFont val="Tahoma"/>
            <charset val="1"/>
          </rPr>
          <t>Katherine Sanganee:</t>
        </r>
        <r>
          <rPr>
            <sz val="9"/>
            <color indexed="81"/>
            <rFont val="Tahoma"/>
            <charset val="1"/>
          </rPr>
          <t xml:space="preserve">
Ireland 1/4 page ad, Fit Out Award bulletin, DCD follow up email, monthly newsletter, 120 King's Road social posts (x2), Static Stretch social posts (x2), Alugrid image request (David Fry)</t>
        </r>
      </text>
    </comment>
    <comment ref="BA9" authorId="0" shapeId="0" xr:uid="{9AE9CB8A-7307-445B-9FBF-874633069D9F}">
      <text>
        <r>
          <rPr>
            <b/>
            <sz val="9"/>
            <color indexed="81"/>
            <rFont val="Tahoma"/>
            <charset val="1"/>
          </rPr>
          <t>Katherine Sanganee:</t>
        </r>
        <r>
          <rPr>
            <sz val="9"/>
            <color indexed="81"/>
            <rFont val="Tahoma"/>
            <charset val="1"/>
          </rPr>
          <t xml:space="preserve">
Mesh and Senex Aust Case Study (social posts), Northern business card design, website navigation feedback, Australian case study, UK Office presentation for SME and PS, Website Tender (finalised and distributed)</t>
        </r>
      </text>
    </comment>
    <comment ref="BB9" authorId="0" shapeId="0" xr:uid="{2D1EADD8-7ABA-42D5-A0FF-DE37167061DD}">
      <text>
        <r>
          <rPr>
            <b/>
            <sz val="9"/>
            <color indexed="81"/>
            <rFont val="Tahoma"/>
            <charset val="1"/>
          </rPr>
          <t>Katherine Sanganee:</t>
        </r>
        <r>
          <rPr>
            <sz val="9"/>
            <color indexed="81"/>
            <rFont val="Tahoma"/>
            <charset val="1"/>
          </rPr>
          <t xml:space="preserve">
Pinterest research, SAS205 social post (x4), Australian blog, all website banners updated, Website FAQs</t>
        </r>
      </text>
    </comment>
    <comment ref="O12" authorId="0" shapeId="0" xr:uid="{F4BF5083-C354-4636-9B88-B1A806C20A98}">
      <text>
        <r>
          <rPr>
            <b/>
            <sz val="9"/>
            <color indexed="81"/>
            <rFont val="Tahoma"/>
            <family val="2"/>
          </rPr>
          <t>Katherine Sanganee:</t>
        </r>
        <r>
          <rPr>
            <sz val="9"/>
            <color indexed="81"/>
            <rFont val="Tahoma"/>
            <family val="2"/>
          </rPr>
          <t xml:space="preserve">
social post was a day late, Nexus video delayed by edits</t>
        </r>
      </text>
    </comment>
    <comment ref="R12" authorId="3" shapeId="0" xr:uid="{CC50F871-E194-4A50-8183-F639750698E0}">
      <text>
        <t xml:space="preserve">[Threaded comment]
Your version of Excel allows you to read this threaded comment; however, any edits to it will get removed if the file is opened in a newer version of Excel. Learn more: https://go.microsoft.com/fwlink/?linkid=870924
Comment:
    Social post delayed - DiaLux announcement wasn’t sent out </t>
      </text>
    </comment>
    <comment ref="S12" authorId="4" shapeId="0" xr:uid="{36E4CF61-86EF-4076-BD40-1A1151FA2BBD}">
      <text>
        <t xml:space="preserve">[Threaded comment]
Your version of Excel allows you to read this threaded comment; however, any edits to it will get removed if the file is opened in a newer version of Excel. Learn more: https://go.microsoft.com/fwlink/?linkid=870924
Comment:
    Waiting on approval of new NAW video before posting on social media </t>
      </text>
    </comment>
    <comment ref="AJ12" authorId="0" shapeId="0" xr:uid="{9908507B-EC12-4DCD-9CB8-F6F742D646E5}">
      <text>
        <r>
          <rPr>
            <b/>
            <sz val="9"/>
            <color indexed="81"/>
            <rFont val="Tahoma"/>
            <family val="2"/>
          </rPr>
          <t>Katherine Sanganee:</t>
        </r>
        <r>
          <rPr>
            <sz val="9"/>
            <color indexed="81"/>
            <rFont val="Tahoma"/>
            <family val="2"/>
          </rPr>
          <t xml:space="preserve">
Newsletter delayed by 1 week</t>
        </r>
      </text>
    </comment>
    <comment ref="AL12" authorId="0" shapeId="0" xr:uid="{DC25D7F1-24B2-48B4-B739-5F84C3AFC37D}">
      <text>
        <r>
          <rPr>
            <b/>
            <sz val="9"/>
            <color indexed="81"/>
            <rFont val="Tahoma"/>
            <family val="2"/>
          </rPr>
          <t>Katherine Sanganee:</t>
        </r>
        <r>
          <rPr>
            <sz val="9"/>
            <color indexed="81"/>
            <rFont val="Tahoma"/>
            <family val="2"/>
          </rPr>
          <t xml:space="preserve">
two social posts for Thursday delayed by one day due to staff shortage. No new case study or SharePint article.</t>
        </r>
      </text>
    </comment>
    <comment ref="AM12" authorId="0" shapeId="0" xr:uid="{DCEA0866-5707-4A98-92C2-F74DA109323B}">
      <text>
        <r>
          <rPr>
            <b/>
            <sz val="9"/>
            <color indexed="81"/>
            <rFont val="Tahoma"/>
            <family val="2"/>
          </rPr>
          <t>Katherine Sanganee:</t>
        </r>
        <r>
          <rPr>
            <sz val="9"/>
            <color indexed="81"/>
            <rFont val="Tahoma"/>
            <family val="2"/>
          </rPr>
          <t xml:space="preserve">
Two social posts delayed by one day due to staff shortage</t>
        </r>
      </text>
    </comment>
    <comment ref="AQ12" authorId="0" shapeId="0" xr:uid="{50917D6F-6992-47B2-842B-9D65843609F7}">
      <text>
        <r>
          <rPr>
            <b/>
            <sz val="9"/>
            <color indexed="81"/>
            <rFont val="Tahoma"/>
            <family val="2"/>
          </rPr>
          <t>Katherine Sanganee:</t>
        </r>
        <r>
          <rPr>
            <sz val="9"/>
            <color indexed="81"/>
            <rFont val="Tahoma"/>
            <family val="2"/>
          </rPr>
          <t xml:space="preserve">
Newsletter and second round of social posts delayed by approvals needed for Oak Cancer Centre and Fire Safety blog</t>
        </r>
      </text>
    </comment>
    <comment ref="AR12" authorId="0" shapeId="0" xr:uid="{3E107D6B-75F5-49DB-B679-32A60EE79BB0}">
      <text>
        <r>
          <rPr>
            <b/>
            <sz val="9"/>
            <color indexed="81"/>
            <rFont val="Tahoma"/>
            <family val="2"/>
          </rPr>
          <t>Katherine Sanganee:</t>
        </r>
        <r>
          <rPr>
            <sz val="9"/>
            <color indexed="81"/>
            <rFont val="Tahoma"/>
            <family val="2"/>
          </rPr>
          <t xml:space="preserve">
Thursday social posts delayed to Friday due to training, presentations and DCD Connect deadlines</t>
        </r>
      </text>
    </comment>
    <comment ref="I15" authorId="0" shapeId="0" xr:uid="{88469024-DDEF-4E65-A570-D913CCA4CAB7}">
      <text>
        <r>
          <rPr>
            <b/>
            <sz val="9"/>
            <color indexed="81"/>
            <rFont val="Tahoma"/>
            <family val="2"/>
          </rPr>
          <t>Katherine Sanganee:</t>
        </r>
        <r>
          <rPr>
            <sz val="9"/>
            <color indexed="81"/>
            <rFont val="Tahoma"/>
            <family val="2"/>
          </rPr>
          <t xml:space="preserve">
1. wrong subject line was sent on a UK email campaign. 2. product warranty information incorrect is Nexus brochures. </t>
        </r>
      </text>
    </comment>
    <comment ref="N15" authorId="0" shapeId="0" xr:uid="{ECCA92A8-A0E8-4BC3-BD58-233F2FA4760B}">
      <text>
        <r>
          <rPr>
            <b/>
            <sz val="9"/>
            <color indexed="81"/>
            <rFont val="Tahoma"/>
            <family val="2"/>
          </rPr>
          <t>Katherine Sanganee:</t>
        </r>
        <r>
          <rPr>
            <sz val="9"/>
            <color indexed="81"/>
            <rFont val="Tahoma"/>
            <family val="2"/>
          </rPr>
          <t xml:space="preserve">
Typo on an Australian social media post</t>
        </r>
      </text>
    </comment>
    <comment ref="O15" authorId="0" shapeId="0" xr:uid="{A08CE174-7BB1-4776-B1EE-E22550DDDE83}">
      <text>
        <r>
          <rPr>
            <b/>
            <sz val="9"/>
            <color indexed="81"/>
            <rFont val="Tahoma"/>
            <family val="2"/>
          </rPr>
          <t>Katherine Sanganee:</t>
        </r>
        <r>
          <rPr>
            <sz val="9"/>
            <color indexed="81"/>
            <rFont val="Tahoma"/>
            <family val="2"/>
          </rPr>
          <t xml:space="preserve">
Ireland coasters returned to Reading (no one in the office)</t>
        </r>
      </text>
    </comment>
    <comment ref="P15" authorId="0" shapeId="0" xr:uid="{4E31F069-4251-4F94-AD1A-1038660D0CD3}">
      <text>
        <r>
          <rPr>
            <b/>
            <sz val="9"/>
            <color indexed="81"/>
            <rFont val="Tahoma"/>
            <family val="2"/>
          </rPr>
          <t>Katherine Sanganee:</t>
        </r>
        <r>
          <rPr>
            <sz val="9"/>
            <color indexed="81"/>
            <rFont val="Tahoma"/>
            <family val="2"/>
          </rPr>
          <t xml:space="preserve">
Steamed Beech (USA)</t>
        </r>
      </text>
    </comment>
    <comment ref="S15" authorId="5" shapeId="0" xr:uid="{113F4A0B-0B7F-4504-92CE-8180F2462370}">
      <text>
        <t xml:space="preserve">[Threaded comment]
Your version of Excel allows you to read this threaded comment; however, any edits to it will get removed if the file is opened in a newer version of Excel. Learn more: https://go.microsoft.com/fwlink/?linkid=870924
Comment:
    Gender pay gap report on the website was linked to the modern slavery statement  </t>
      </text>
    </comment>
    <comment ref="T15" authorId="0" shapeId="0" xr:uid="{75409694-023A-4E9C-991F-6A178C5D6D96}">
      <text>
        <r>
          <rPr>
            <b/>
            <sz val="9"/>
            <color indexed="81"/>
            <rFont val="Tahoma"/>
            <family val="2"/>
          </rPr>
          <t>Katherine Sanganee:</t>
        </r>
        <r>
          <rPr>
            <sz val="9"/>
            <color indexed="81"/>
            <rFont val="Tahoma"/>
            <family val="2"/>
          </rPr>
          <t xml:space="preserve">
SAS730 website error - can be external with modifications</t>
        </r>
      </text>
    </comment>
    <comment ref="U15" authorId="0" shapeId="0" xr:uid="{A6EC5BE2-7436-4F87-8E6D-5A55437EB206}">
      <text>
        <r>
          <rPr>
            <b/>
            <sz val="9"/>
            <color indexed="81"/>
            <rFont val="Tahoma"/>
            <family val="2"/>
          </rPr>
          <t>Katherine Sanganee:</t>
        </r>
        <r>
          <rPr>
            <sz val="9"/>
            <color indexed="81"/>
            <rFont val="Tahoma"/>
            <family val="2"/>
          </rPr>
          <t xml:space="preserve">
WoodTones - Steamed beech, warranty and Oliva</t>
        </r>
      </text>
    </comment>
    <comment ref="AG15" authorId="0" shapeId="0" xr:uid="{27120630-1E9C-42D0-904B-8F5033D78431}">
      <text>
        <r>
          <rPr>
            <b/>
            <sz val="9"/>
            <color indexed="81"/>
            <rFont val="Tahoma"/>
            <family val="2"/>
          </rPr>
          <t>Katherine Sanganee:</t>
        </r>
        <r>
          <rPr>
            <sz val="9"/>
            <color indexed="81"/>
            <rFont val="Tahoma"/>
            <family val="2"/>
          </rPr>
          <t xml:space="preserve">
change new text from '2000 cities' to '2000 locations' on all resources</t>
        </r>
      </text>
    </comment>
    <comment ref="AI15" authorId="0" shapeId="0" xr:uid="{AB5348C2-DC23-462E-80BD-291936FF79D8}">
      <text>
        <r>
          <rPr>
            <b/>
            <sz val="9"/>
            <color indexed="81"/>
            <rFont val="Tahoma"/>
            <family val="2"/>
          </rPr>
          <t>Katherine Sanganee:</t>
        </r>
        <r>
          <rPr>
            <sz val="9"/>
            <color indexed="81"/>
            <rFont val="Tahoma"/>
            <family val="2"/>
          </rPr>
          <t xml:space="preserve">
commas missing from TexTiles brochure</t>
        </r>
      </text>
    </comment>
    <comment ref="AJ15" authorId="0" shapeId="0" xr:uid="{9FCB0A2D-7E2F-42B1-97C7-939E74F1F3EA}">
      <text>
        <r>
          <rPr>
            <b/>
            <sz val="9"/>
            <color indexed="81"/>
            <rFont val="Tahoma"/>
            <family val="2"/>
          </rPr>
          <t>Katherine Sanganee:</t>
        </r>
        <r>
          <rPr>
            <sz val="9"/>
            <color indexed="81"/>
            <rFont val="Tahoma"/>
            <family val="2"/>
          </rPr>
          <t xml:space="preserve">
Togetherall section on SharePoint out of date</t>
        </r>
      </text>
    </comment>
    <comment ref="AK15" authorId="0" shapeId="0" xr:uid="{BD4C5DB7-303D-47B8-8446-7769B04BEA6F}">
      <text>
        <r>
          <rPr>
            <b/>
            <sz val="9"/>
            <color indexed="81"/>
            <rFont val="Tahoma"/>
            <family val="2"/>
          </rPr>
          <t>Katherine Sanganee:</t>
        </r>
        <r>
          <rPr>
            <sz val="9"/>
            <color indexed="81"/>
            <rFont val="Tahoma"/>
            <family val="2"/>
          </rPr>
          <t xml:space="preserve">
Supawood misleading social post - deleted before contacted</t>
        </r>
      </text>
    </comment>
    <comment ref="AP15" authorId="0" shapeId="0" xr:uid="{F9B01DBD-C7B6-45A5-A8B3-63115020C4B3}">
      <text>
        <r>
          <rPr>
            <b/>
            <sz val="9"/>
            <color indexed="81"/>
            <rFont val="Tahoma"/>
            <family val="2"/>
          </rPr>
          <t>Katherine Sanganee:</t>
        </r>
        <r>
          <rPr>
            <sz val="9"/>
            <color indexed="81"/>
            <rFont val="Tahoma"/>
            <family val="2"/>
          </rPr>
          <t xml:space="preserve">
Australian social media post incorrect (SAS500 mislabelled as SAS330 - corrected by Caitlyn)</t>
        </r>
      </text>
    </comment>
    <comment ref="AR15" authorId="0" shapeId="0" xr:uid="{43C3240F-2FC2-464A-8B66-076FFA51EA91}">
      <text>
        <r>
          <rPr>
            <b/>
            <sz val="9"/>
            <color indexed="81"/>
            <rFont val="Tahoma"/>
            <family val="2"/>
          </rPr>
          <t>Katherine Sanganee:</t>
        </r>
        <r>
          <rPr>
            <sz val="9"/>
            <color indexed="81"/>
            <rFont val="Tahoma"/>
            <family val="2"/>
          </rPr>
          <t xml:space="preserve">
Broken links on SAS385 read more page (going to SAS380), missing links from Aussie case studies, removed all out of date EPDs</t>
        </r>
      </text>
    </comment>
    <comment ref="AT15" authorId="0" shapeId="0" xr:uid="{F344C57E-4871-479E-BDE0-B796E001AA5C}">
      <text>
        <r>
          <rPr>
            <b/>
            <sz val="9"/>
            <color indexed="81"/>
            <rFont val="Tahoma"/>
            <family val="2"/>
          </rPr>
          <t>Katherine Sanganee:</t>
        </r>
        <r>
          <rPr>
            <sz val="9"/>
            <color indexed="81"/>
            <rFont val="Tahoma"/>
            <family val="2"/>
          </rPr>
          <t xml:space="preserve">
Australian article published without UK feedback with errors</t>
        </r>
      </text>
    </comment>
    <comment ref="AU15" authorId="0" shapeId="0" xr:uid="{6FEB6370-E61F-4B77-8B3F-8836C9BF2176}">
      <text>
        <r>
          <rPr>
            <b/>
            <sz val="9"/>
            <color indexed="81"/>
            <rFont val="Tahoma"/>
            <family val="2"/>
          </rPr>
          <t>Katherine Sanganee:</t>
        </r>
        <r>
          <rPr>
            <sz val="9"/>
            <color indexed="81"/>
            <rFont val="Tahoma"/>
            <family val="2"/>
          </rPr>
          <t xml:space="preserve">
Chevron case study correction - SAS200 not SAS330</t>
        </r>
      </text>
    </comment>
    <comment ref="AV15" authorId="0" shapeId="0" xr:uid="{28300964-235A-410A-890D-73A672260160}">
      <text>
        <r>
          <rPr>
            <b/>
            <sz val="9"/>
            <color indexed="81"/>
            <rFont val="Tahoma"/>
            <family val="2"/>
          </rPr>
          <t>Katherine Sanganee:</t>
        </r>
        <r>
          <rPr>
            <sz val="9"/>
            <color indexed="81"/>
            <rFont val="Tahoma"/>
            <family val="2"/>
          </rPr>
          <t xml:space="preserve">
edit to Reading address 'Sutton' to 'Suttons'</t>
        </r>
      </text>
    </comment>
    <comment ref="I17" authorId="0" shapeId="0" xr:uid="{74A7A548-8DD3-4D99-A4E5-65301771F098}">
      <text>
        <r>
          <rPr>
            <b/>
            <sz val="9"/>
            <color indexed="81"/>
            <rFont val="Tahoma"/>
            <family val="2"/>
          </rPr>
          <t>Katherine Sanganee:</t>
        </r>
        <r>
          <rPr>
            <sz val="9"/>
            <color indexed="81"/>
            <rFont val="Tahoma"/>
            <family val="2"/>
          </rPr>
          <t xml:space="preserve">
Surge UAE £6808
35 social media, 22 email, 10 projects/contacts at event = 67 engagements</t>
        </r>
      </text>
    </comment>
    <comment ref="W17" authorId="0" shapeId="0" xr:uid="{24063543-7C6F-49A7-928F-49EE54B8CEC0}">
      <text>
        <r>
          <rPr>
            <b/>
            <sz val="9"/>
            <color indexed="81"/>
            <rFont val="Tahoma"/>
            <family val="2"/>
          </rPr>
          <t>Katherine Sanganee:</t>
        </r>
        <r>
          <rPr>
            <sz val="9"/>
            <color indexed="81"/>
            <rFont val="Tahoma"/>
            <family val="2"/>
          </rPr>
          <t xml:space="preserve">
Sustainability Event £5000
15 attendees, 5 projects/contacts, 5 attendee testimonials, 10 interations on social media = 35</t>
        </r>
      </text>
    </comment>
    <comment ref="X17" authorId="0" shapeId="0" xr:uid="{10536DA0-599C-4109-A86D-372217D36E47}">
      <text>
        <r>
          <rPr>
            <b/>
            <sz val="9"/>
            <color indexed="81"/>
            <rFont val="Tahoma"/>
            <family val="2"/>
          </rPr>
          <t>Katherine Sanganee:</t>
        </r>
        <r>
          <rPr>
            <sz val="9"/>
            <color indexed="81"/>
            <rFont val="Tahoma"/>
            <family val="2"/>
          </rPr>
          <t xml:space="preserve">
Sustainability Event £5000
15 attendees, 5 projects/contacts, 5 attendee testimonials, 10 interations on social media = 35</t>
        </r>
      </text>
    </comment>
    <comment ref="AG17" authorId="0" shapeId="0" xr:uid="{AE9DA486-9A8F-49AA-8971-4A5EF80697AC}">
      <text>
        <r>
          <rPr>
            <b/>
            <sz val="9"/>
            <color indexed="81"/>
            <rFont val="Tahoma"/>
            <family val="2"/>
          </rPr>
          <t>Katherine Sanganee:</t>
        </r>
        <r>
          <rPr>
            <sz val="9"/>
            <color indexed="81"/>
            <rFont val="Tahoma"/>
            <family val="2"/>
          </rPr>
          <t xml:space="preserve">
Clerkenwell Design Week £20000
200 leads, 250 paid social post clicks, 100 organic social post clicks, 50 AJ100 Advert, 85 ADF Advert, 300 email opens = 985</t>
        </r>
      </text>
    </comment>
    <comment ref="AX17" authorId="0" shapeId="0" xr:uid="{3B9B3FEF-C29E-4245-9A9D-A74897165F0A}">
      <text>
        <r>
          <rPr>
            <b/>
            <sz val="9"/>
            <color indexed="81"/>
            <rFont val="Tahoma"/>
            <charset val="1"/>
          </rPr>
          <t>Katherine Sanganee:</t>
        </r>
        <r>
          <rPr>
            <sz val="9"/>
            <color indexed="81"/>
            <rFont val="Tahoma"/>
            <charset val="1"/>
          </rPr>
          <t xml:space="preserve">
DCD Connect London - £16,000, Brochure cost, 40 contacts, 10 email clicks, 10 likes on social media</t>
        </r>
      </text>
    </comment>
    <comment ref="BH17" authorId="0" shapeId="0" xr:uid="{2C0616BB-539A-4407-80CD-F2BC29222C79}">
      <text>
        <r>
          <rPr>
            <b/>
            <sz val="9"/>
            <color indexed="81"/>
            <rFont val="Tahoma"/>
            <family val="2"/>
          </rPr>
          <t>Katherine Sanganee:</t>
        </r>
        <r>
          <rPr>
            <sz val="9"/>
            <color indexed="81"/>
            <rFont val="Tahoma"/>
            <family val="2"/>
          </rPr>
          <t xml:space="preserve">
Fit Out Awards Ireland £8000
5 contacts, 10 social post clicks, 10 email opens, 5 QR code scans = 30</t>
        </r>
      </text>
    </comment>
    <comment ref="BI17" authorId="0" shapeId="0" xr:uid="{8D2C9519-A7C9-4133-B1CF-FADF6AE56BE8}">
      <text>
        <r>
          <rPr>
            <b/>
            <sz val="9"/>
            <color indexed="81"/>
            <rFont val="Tahoma"/>
            <family val="2"/>
          </rPr>
          <t>Katherine Sanganee:</t>
        </r>
        <r>
          <rPr>
            <sz val="9"/>
            <color indexed="81"/>
            <rFont val="Tahoma"/>
            <family val="2"/>
          </rPr>
          <t xml:space="preserve">
Surge UAE £6808
35 social media, 22 email, 10 projects/contacts = 67</t>
        </r>
      </text>
    </comment>
    <comment ref="I18" authorId="0" shapeId="0" xr:uid="{4D82E24A-9F09-4198-9D73-E5CA12730AE1}">
      <text>
        <r>
          <rPr>
            <b/>
            <sz val="9"/>
            <color indexed="81"/>
            <rFont val="Tahoma"/>
            <family val="2"/>
          </rPr>
          <t>Katherine Sanganee:</t>
        </r>
        <r>
          <rPr>
            <sz val="9"/>
            <color indexed="81"/>
            <rFont val="Tahoma"/>
            <family val="2"/>
          </rPr>
          <t xml:space="preserve">
Surge £6808 - social clicks 8, email opens 11, contacts 1, project enquiries 5 (mesh and timber) = 25</t>
        </r>
      </text>
    </comment>
    <comment ref="X18" authorId="0" shapeId="0" xr:uid="{D46E947D-AF12-49A9-87A7-B749A3DCD9A7}">
      <text>
        <r>
          <rPr>
            <b/>
            <sz val="9"/>
            <color indexed="81"/>
            <rFont val="Tahoma"/>
            <family val="2"/>
          </rPr>
          <t>Katherine Sanganee:</t>
        </r>
        <r>
          <rPr>
            <sz val="9"/>
            <color indexed="81"/>
            <rFont val="Tahoma"/>
            <family val="2"/>
          </rPr>
          <t xml:space="preserve">
£1725 Hotel and Food, £230 Book Giveaway, £150 Gift bags = £2,105
14 Attendees, 2 guest speakers (new information), 12 post-event emails with thanks and comments</t>
        </r>
      </text>
    </comment>
    <comment ref="AG18" authorId="0" shapeId="0" xr:uid="{CE9877FC-027D-44D1-9858-93E7C602577F}">
      <text>
        <r>
          <rPr>
            <b/>
            <sz val="9"/>
            <color indexed="81"/>
            <rFont val="Tahoma"/>
            <family val="2"/>
          </rPr>
          <t>Katherine Sanganee:</t>
        </r>
        <r>
          <rPr>
            <sz val="9"/>
            <color indexed="81"/>
            <rFont val="Tahoma"/>
            <family val="2"/>
          </rPr>
          <t xml:space="preserve">
not based on the new scoring system (see table on tab 2). Final costs expected by end of the month.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Lisa Perrett</author>
  </authors>
  <commentList>
    <comment ref="AP9" authorId="0" shapeId="0" xr:uid="{238EF228-9D5B-49FC-AD22-0F243517E7BE}">
      <text>
        <r>
          <rPr>
            <b/>
            <sz val="9"/>
            <color indexed="81"/>
            <rFont val="Tahoma"/>
            <family val="2"/>
          </rPr>
          <t>Lisa Perrett:</t>
        </r>
        <r>
          <rPr>
            <sz val="9"/>
            <color indexed="81"/>
            <rFont val="Tahoma"/>
            <family val="2"/>
          </rPr>
          <t xml:space="preserve">
1 Team Member Hols</t>
        </r>
      </text>
    </comment>
    <comment ref="AQ9" authorId="0" shapeId="0" xr:uid="{BC7B6F43-C330-4F99-B7C2-B7DB2FC6DE05}">
      <text>
        <r>
          <rPr>
            <b/>
            <sz val="9"/>
            <color indexed="81"/>
            <rFont val="Tahoma"/>
            <family val="2"/>
          </rPr>
          <t>Lisa Perrett:</t>
        </r>
        <r>
          <rPr>
            <sz val="9"/>
            <color indexed="81"/>
            <rFont val="Tahoma"/>
            <family val="2"/>
          </rPr>
          <t xml:space="preserve">
1 team member hols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tc={59758534-94C6-4B6C-9CAC-2A35B9DD3B3C}</author>
    <author>tc={7D84ED7E-2607-4A09-BC21-C9E578C9D4F0}</author>
    <author>tc={923AACFB-AF82-4E7F-95F0-BD089C1E3C7C}</author>
    <author>tc={32DFD3C5-165E-4030-A6E6-EF507D57C389}</author>
    <author>tc={2BAD7BCF-AF75-43CA-B6EC-1007FEB751DB}</author>
    <author>tc={B23BF5BF-4285-4E09-876A-F6888C831FE8}</author>
    <author>tc={53F1FD37-51A2-4D8C-AAC5-3FFCE635D8D8}</author>
    <author>tc={7F446A2B-92CA-43DA-8C03-7884C05D7756}</author>
    <author>tc={D885FF49-B74E-4442-A53B-D1DF8F238971}</author>
    <author>tc={B3FE4A8D-00A4-46FE-AF42-5450EF3C2F45}</author>
    <author>tc={0F83D6EE-2CEA-4AD8-88CD-D9683C89D1AE}</author>
    <author>tc={6D281B72-F07E-4F0A-BC2B-973A394A420B}</author>
    <author>tc={B2D106D8-CF4E-4D84-B072-B07F533BAA0E}</author>
    <author>tc={61C7DD1B-7D63-43C0-BEE3-4EB82493C7ED}</author>
    <author>tc={9B1CC2C5-7253-4221-A210-67C37CA7E4BF}</author>
    <author>tc={4A761621-C362-432B-88AA-F6426E00D442}</author>
    <author>tc={11F8F2F6-8D29-441F-9E5E-C316235FFC0C}</author>
    <author>tc={0F05A97B-C2C8-48DE-AC99-E7D82C1609E2}</author>
    <author>tc={31395974-E098-412A-AF3F-2833F62B4FBD}</author>
    <author>tc={D1200598-5A0A-4180-A127-DD4E5FD046A9}</author>
    <author>tc={3840D583-F395-4986-8423-3C7CE983E4F6}</author>
    <author>tc={43B1811D-CB21-425F-B4FB-9EA53C524B04}</author>
    <author>tc={05A4FB93-74FB-4950-BEB8-FE680D50D07E}</author>
    <author>tc={D25F0749-AF03-4DB8-BAA6-D67EF8710B70}</author>
    <author>tc={530DAB2F-9C1B-4242-AAFD-2FC55B1543AF}</author>
    <author>tc={4CEF3577-A670-4E7C-918A-6053A5E8B61A}</author>
    <author>tc={5A2EFCD8-6C86-4A15-8A92-7649AEDF9E1B}</author>
    <author>tc={B497959F-B6D7-437B-BF85-7F3F1AF793EE}</author>
    <author>tc={C1761E92-8283-4D84-B4F1-E1C67C5E66FC}</author>
    <author>tc={2809BB76-9732-4BF5-9D1B-295A2D1819BA}</author>
    <author>tc={18025451-D43D-4B98-B83D-DCD97289AF89}</author>
    <author>tc={0A2DC9A6-B2D4-4591-9414-96A0572E0D8F}</author>
    <author>tc={468FF545-F84E-4912-BF25-D35EF257DC0A}</author>
    <author>tc={0B688C32-4E0A-4F7E-9139-1A78E73A9975}</author>
    <author>tc={A18BF1A2-F2C5-468B-B397-00DBCCF82D15}</author>
    <author>tc={F31CBF55-086D-4FA9-A29E-ADFF39532CA1}</author>
    <author>tc={13219F23-0B7D-431A-977E-3872C44E7661}</author>
    <author>tc={6BFDC1D7-80A0-4BA7-B74B-739375FF4C8D}</author>
    <author>tc={5458E7C5-D740-40D4-ACFD-FA496DB0A047}</author>
    <author>tc={EAA4E826-125C-45B8-B45C-0761204235F1}</author>
    <author>tc={562664EC-81AE-4985-9AD9-27A23E7FF229}</author>
    <author>tc={DC81D33F-B3E8-4F5E-A6C7-02AFF9813545}</author>
    <author>tc={A175A7A5-2F35-4594-8AC0-D3D5EA6C6449}</author>
    <author>tc={9F2127B8-707B-421A-94B9-BF43708E9AFD}</author>
    <author>tc={4AE1E2ED-7101-4E4B-98B2-BB798ECF934A}</author>
    <author>tc={94E73DD0-8B37-426C-A68A-C5679A084F05}</author>
    <author>tc={49291039-C017-4DA4-B472-BA59C51CF8EA}</author>
    <author>tc={B90DEAFC-62E6-4B8D-AD9F-82DFA3E1BACE}</author>
  </authors>
  <commentList>
    <comment ref="N10" authorId="0" shapeId="0" xr:uid="{59758534-94C6-4B6C-9CAC-2A35B9DD3B3C}">
      <text>
        <t>[Threaded comment]
Your version of Excel allows you to read this threaded comment; however, any edits to it will get removed if the file is opened in a newer version of Excel. Learn more: https://go.microsoft.com/fwlink/?linkid=870924
Comment:
    1st Week no report</t>
      </text>
    </comment>
    <comment ref="S10" authorId="1" shapeId="0" xr:uid="{7D84ED7E-2607-4A09-BC21-C9E578C9D4F0}">
      <text>
        <t xml:space="preserve">[Threaded comment]
Your version of Excel allows you to read this threaded comment; however, any edits to it will get removed if the file is opened in a newer version of Excel. Learn more: https://go.microsoft.com/fwlink/?linkid=870924
Comment:
    1 week in arrears
</t>
      </text>
    </comment>
    <comment ref="N11" authorId="2" shapeId="0" xr:uid="{923AACFB-AF82-4E7F-95F0-BD089C1E3C7C}">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12" authorId="3" shapeId="0" xr:uid="{32DFD3C5-165E-4030-A6E6-EF507D57C389}">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13" authorId="4" shapeId="0" xr:uid="{2BAD7BCF-AF75-43CA-B6EC-1007FEB751DB}">
      <text>
        <t>[Threaded comment]
Your version of Excel allows you to read this threaded comment; however, any edits to it will get removed if the file is opened in a newer version of Excel. Learn more: https://go.microsoft.com/fwlink/?linkid=870924
Comment:
    1st Week no report</t>
      </text>
    </comment>
    <comment ref="O13" authorId="5" shapeId="0" xr:uid="{B23BF5BF-4285-4E09-876A-F6888C831FE8}">
      <text>
        <t>[Threaded comment]
Your version of Excel allows you to read this threaded comment; however, any edits to it will get removed if the file is opened in a newer version of Excel. Learn more: https://go.microsoft.com/fwlink/?linkid=870924
Comment:
    Some weeks have no data available</t>
      </text>
    </comment>
    <comment ref="N14" authorId="6" shapeId="0" xr:uid="{53F1FD37-51A2-4D8C-AAC5-3FFCE635D8D8}">
      <text>
        <t>[Threaded comment]
Your version of Excel allows you to read this threaded comment; however, any edits to it will get removed if the file is opened in a newer version of Excel. Learn more: https://go.microsoft.com/fwlink/?linkid=870924
Comment:
    1st Week no report</t>
      </text>
    </comment>
    <comment ref="O14" authorId="7" shapeId="0" xr:uid="{7F446A2B-92CA-43DA-8C03-7884C05D7756}">
      <text>
        <t>[Threaded comment]
Your version of Excel allows you to read this threaded comment; however, any edits to it will get removed if the file is opened in a newer version of Excel. Learn more: https://go.microsoft.com/fwlink/?linkid=870924
Comment:
    Some weeks have no data available</t>
      </text>
    </comment>
    <comment ref="N23" authorId="8" shapeId="0" xr:uid="{D885FF49-B74E-4442-A53B-D1DF8F238971}">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24" authorId="9" shapeId="0" xr:uid="{B3FE4A8D-00A4-46FE-AF42-5450EF3C2F45}">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25" authorId="10" shapeId="0" xr:uid="{0F83D6EE-2CEA-4AD8-88CD-D9683C89D1AE}">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26" authorId="11" shapeId="0" xr:uid="{6D281B72-F07E-4F0A-BC2B-973A394A420B}">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27" authorId="12" shapeId="0" xr:uid="{B2D106D8-CF4E-4D84-B072-B07F533BAA0E}">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30" authorId="13" shapeId="0" xr:uid="{61C7DD1B-7D63-43C0-BEE3-4EB82493C7ED}">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31" authorId="14" shapeId="0" xr:uid="{9B1CC2C5-7253-4221-A210-67C37CA7E4BF}">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32" authorId="15" shapeId="0" xr:uid="{4A761621-C362-432B-88AA-F6426E00D442}">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33" authorId="16" shapeId="0" xr:uid="{11F8F2F6-8D29-441F-9E5E-C316235FFC0C}">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36" authorId="17" shapeId="0" xr:uid="{0F05A97B-C2C8-48DE-AC99-E7D82C1609E2}">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37" authorId="18" shapeId="0" xr:uid="{31395974-E098-412A-AF3F-2833F62B4FBD}">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38" authorId="19" shapeId="0" xr:uid="{D1200598-5A0A-4180-A127-DD4E5FD046A9}">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39" authorId="20" shapeId="0" xr:uid="{3840D583-F395-4986-8423-3C7CE983E4F6}">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40" authorId="21" shapeId="0" xr:uid="{43B1811D-CB21-425F-B4FB-9EA53C524B04}">
      <text>
        <t>[Threaded comment]
Your version of Excel allows you to read this threaded comment; however, any edits to it will get removed if the file is opened in a newer version of Excel. Learn more: https://go.microsoft.com/fwlink/?linkid=870924
Comment:
    1st Week no report</t>
      </text>
    </comment>
    <comment ref="E43" authorId="22" shapeId="0" xr:uid="{05A4FB93-74FB-4950-BEB8-FE680D50D07E}">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 ref="N43" authorId="23" shapeId="0" xr:uid="{D25F0749-AF03-4DB8-BAA6-D67EF8710B70}">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44" authorId="24" shapeId="0" xr:uid="{530DAB2F-9C1B-4242-AAFD-2FC55B1543AF}">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45" authorId="25" shapeId="0" xr:uid="{4CEF3577-A670-4E7C-918A-6053A5E8B61A}">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47" authorId="26" shapeId="0" xr:uid="{5A2EFCD8-6C86-4A15-8A92-7649AEDF9E1B}">
      <text>
        <t>[Threaded comment]
Your version of Excel allows you to read this threaded comment; however, any edits to it will get removed if the file is opened in a newer version of Excel. Learn more: https://go.microsoft.com/fwlink/?linkid=870924
Comment:
    1st Week no report</t>
      </text>
    </comment>
    <comment ref="E50" authorId="27" shapeId="0" xr:uid="{B497959F-B6D7-437B-BF85-7F3F1AF793EE}">
      <text>
        <t>[Threaded comment]
Your version of Excel allows you to read this threaded comment; however, any edits to it will get removed if the file is opened in a newer version of Excel. Learn more: https://go.microsoft.com/fwlink/?linkid=870924
Comment:
    Is this a percentage - why is the target only 80% and how is 183% achieved?</t>
      </text>
    </comment>
    <comment ref="N50" authorId="28" shapeId="0" xr:uid="{C1761E92-8283-4D84-B4F1-E1C67C5E66FC}">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51" authorId="29" shapeId="0" xr:uid="{2809BB76-9732-4BF5-9D1B-295A2D1819BA}">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52" authorId="30" shapeId="0" xr:uid="{18025451-D43D-4B98-B83D-DCD97289AF89}">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54" authorId="31" shapeId="0" xr:uid="{0A2DC9A6-B2D4-4591-9414-96A0572E0D8F}">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57" authorId="32" shapeId="0" xr:uid="{468FF545-F84E-4912-BF25-D35EF257DC0A}">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58" authorId="33" shapeId="0" xr:uid="{0B688C32-4E0A-4F7E-9139-1A78E73A9975}">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59" authorId="34" shapeId="0" xr:uid="{A18BF1A2-F2C5-468B-B397-00DBCCF82D15}">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60" authorId="35" shapeId="0" xr:uid="{F31CBF55-086D-4FA9-A29E-ADFF39532CA1}">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63" authorId="36" shapeId="0" xr:uid="{13219F23-0B7D-431A-977E-3872C44E7661}">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64" authorId="37" shapeId="0" xr:uid="{6BFDC1D7-80A0-4BA7-B74B-739375FF4C8D}">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65" authorId="38" shapeId="0" xr:uid="{5458E7C5-D740-40D4-ACFD-FA496DB0A047}">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66" authorId="39" shapeId="0" xr:uid="{EAA4E826-125C-45B8-B45C-0761204235F1}">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96" authorId="40" shapeId="0" xr:uid="{562664EC-81AE-4985-9AD9-27A23E7FF229}">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97" authorId="41" shapeId="0" xr:uid="{DC81D33F-B3E8-4F5E-A6C7-02AFF9813545}">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98" authorId="42" shapeId="0" xr:uid="{A175A7A5-2F35-4594-8AC0-D3D5EA6C6449}">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99" authorId="43" shapeId="0" xr:uid="{9F2127B8-707B-421A-94B9-BF43708E9AFD}">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102" authorId="44" shapeId="0" xr:uid="{4AE1E2ED-7101-4E4B-98B2-BB798ECF934A}">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103" authorId="45" shapeId="0" xr:uid="{94E73DD0-8B37-426C-A68A-C5679A084F05}">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104" authorId="46" shapeId="0" xr:uid="{49291039-C017-4DA4-B472-BA59C51CF8EA}">
      <text>
        <t>[Threaded comment]
Your version of Excel allows you to read this threaded comment; however, any edits to it will get removed if the file is opened in a newer version of Excel. Learn more: https://go.microsoft.com/fwlink/?linkid=870924
Comment:
    1st Week no report</t>
      </text>
    </comment>
    <comment ref="N105" authorId="47" shapeId="0" xr:uid="{B90DEAFC-62E6-4B8D-AD9F-82DFA3E1BACE}">
      <text>
        <t>[Threaded comment]
Your version of Excel allows you to read this threaded comment; however, any edits to it will get removed if the file is opened in a newer version of Excel. Learn more: https://go.microsoft.com/fwlink/?linkid=870924
Comment:
    1st Week no report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<sst xmlns="http://schemas.openxmlformats.org/spreadsheetml/2006/main" count="6101" uniqueCount="710">
  <si>
    <t>R</t>
  </si>
  <si>
    <t>KPI is worse than Target</t>
  </si>
  <si>
    <t>A</t>
  </si>
  <si>
    <t>KPI is &lt;5% worse than Target</t>
  </si>
  <si>
    <t>G</t>
  </si>
  <si>
    <t>KPI is better than Target</t>
  </si>
  <si>
    <t>SLT</t>
  </si>
  <si>
    <t>Week</t>
  </si>
  <si>
    <t>Estimating</t>
  </si>
  <si>
    <t>SOP</t>
  </si>
  <si>
    <t>Design and R&amp;D</t>
  </si>
  <si>
    <t>Logistics</t>
  </si>
  <si>
    <t>Engineering</t>
  </si>
  <si>
    <t>Marketing</t>
  </si>
  <si>
    <t>Finance</t>
  </si>
  <si>
    <t>Procurement</t>
  </si>
  <si>
    <t>HR</t>
  </si>
  <si>
    <t>IT</t>
  </si>
  <si>
    <t>Rees Nanney</t>
  </si>
  <si>
    <t>Sam Westwood</t>
  </si>
  <si>
    <t>Andrew Skitt</t>
  </si>
  <si>
    <t>Paul Dolan</t>
  </si>
  <si>
    <t>Geraint Leiws</t>
  </si>
  <si>
    <t>Scott McMillan</t>
  </si>
  <si>
    <t>Neil Laing</t>
  </si>
  <si>
    <t xml:space="preserve">Katherine </t>
  </si>
  <si>
    <t>Gethin Davies</t>
  </si>
  <si>
    <t>Matt Pope</t>
  </si>
  <si>
    <t>Bethan Grant</t>
  </si>
  <si>
    <t>Chris Bayliss</t>
  </si>
  <si>
    <t>Productivity</t>
  </si>
  <si>
    <t>Cost</t>
  </si>
  <si>
    <t>Quality</t>
  </si>
  <si>
    <t>Delivery</t>
  </si>
  <si>
    <t>YTD</t>
  </si>
  <si>
    <t>TBC</t>
  </si>
  <si>
    <t>EHS</t>
  </si>
  <si>
    <r>
      <t xml:space="preserve">Commentary
</t>
    </r>
    <r>
      <rPr>
        <i/>
        <sz val="11"/>
        <color theme="0"/>
        <rFont val="Aptos Narrow"/>
        <family val="2"/>
        <scheme val="minor"/>
      </rPr>
      <t>[in relation to current week, trend and outlook]</t>
    </r>
  </si>
  <si>
    <t>Category</t>
  </si>
  <si>
    <t>KPI</t>
  </si>
  <si>
    <t>Measure</t>
  </si>
  <si>
    <t>Date (Fri)</t>
  </si>
  <si>
    <t>Lost Working Days</t>
  </si>
  <si>
    <t>Working days lost through accidents or injury attributed to the workplace. Data from Accident Tracker</t>
  </si>
  <si>
    <t>Target</t>
  </si>
  <si>
    <t>Actual</t>
  </si>
  <si>
    <t>Variance</t>
  </si>
  <si>
    <t>Completion rate of Start with CARE inspections based on a visual standard at BE,MB,TSL</t>
  </si>
  <si>
    <t>Average score of  Start with CARE inspections based on a visual standard at BE,MB,TSL</t>
  </si>
  <si>
    <r>
      <t>Compares the CO</t>
    </r>
    <r>
      <rPr>
        <sz val="10"/>
        <color theme="1"/>
        <rFont val="Aptos Narrow"/>
        <family val="2"/>
      </rPr>
      <t>₂</t>
    </r>
    <r>
      <rPr>
        <i/>
        <sz val="10"/>
        <color theme="1"/>
        <rFont val="Aptos Narrow"/>
        <family val="2"/>
      </rPr>
      <t xml:space="preserve">e produced from BE and MB gas and electricity use with quantities produced at those sites. </t>
    </r>
    <r>
      <rPr>
        <i/>
        <sz val="10"/>
        <color theme="1"/>
        <rFont val="Aptos Narrow"/>
        <family val="2"/>
        <scheme val="minor"/>
      </rPr>
      <t>Total kg CO</t>
    </r>
    <r>
      <rPr>
        <sz val="10"/>
        <color theme="1"/>
        <rFont val="Aptos Narrow"/>
        <family val="2"/>
      </rPr>
      <t>₂</t>
    </r>
    <r>
      <rPr>
        <i/>
        <sz val="10"/>
        <color theme="1"/>
        <rFont val="Aptos Narrow"/>
        <family val="2"/>
      </rPr>
      <t>e/quantities. Lower is better</t>
    </r>
  </si>
  <si>
    <t>Unbudgeted Spend</t>
  </si>
  <si>
    <t>Downtime</t>
  </si>
  <si>
    <t>Move Printer from Reading (NL Office Move)
New CAD Laptop</t>
  </si>
  <si>
    <t>Tasks completed per week</t>
  </si>
  <si>
    <t>Regular social media posts, webpages, brochures, presentations, documents, research, event planning</t>
  </si>
  <si>
    <t>2 social posts per week, 1 case study per month, 1 sharepoint article per month, 1 brochure/booth/webpage every two months</t>
  </si>
  <si>
    <t>Tasks completed on time</t>
  </si>
  <si>
    <t>Social media posts, webpages, brochures, presentations, documents, research, event planning</t>
  </si>
  <si>
    <t>%</t>
  </si>
  <si>
    <t>Issues found</t>
  </si>
  <si>
    <t>All regions and platforms</t>
  </si>
  <si>
    <t>Number of issues found in marketing content</t>
  </si>
  <si>
    <t>Cost per Engagement</t>
  </si>
  <si>
    <t>Cost of activity divided by clicks, visitors, leads</t>
  </si>
  <si>
    <t>Paid social media, digital advertising, event sponsorship</t>
  </si>
  <si>
    <t>-</t>
  </si>
  <si>
    <t>Lines Released</t>
  </si>
  <si>
    <t>Number of Order Lines being completed each week</t>
  </si>
  <si>
    <t>Measure of activity in the team. Can identify a benchmark of what s expected, or a rolling average, to compare actual volumes to see if team efficiency is improving</t>
  </si>
  <si>
    <t>OTIF</t>
  </si>
  <si>
    <t xml:space="preserve"> Complaints</t>
  </si>
  <si>
    <t>£/FTE</t>
  </si>
  <si>
    <t>FTE as a ratio of Orders Released</t>
  </si>
  <si>
    <t>Value of Orders completed divided by the number of FTEs. Can identify a benchmark of what s expected, or a rolling average, to compare actual volumes to see if team efficiency is improving</t>
  </si>
  <si>
    <t xml:space="preserve">Adherence to Company wide development plans and reviews </t>
  </si>
  <si>
    <t>Volume Completed</t>
  </si>
  <si>
    <t>Number of Approx. Design requests closed weekly</t>
  </si>
  <si>
    <t>Design Rejections</t>
  </si>
  <si>
    <t xml:space="preserve">Number  of rejected designs (internal to Design team)
</t>
  </si>
  <si>
    <t>Department:</t>
  </si>
  <si>
    <t>Comment</t>
  </si>
  <si>
    <t>Jan</t>
  </si>
  <si>
    <t>Feb</t>
  </si>
  <si>
    <t>Mar</t>
  </si>
  <si>
    <t>Apr</t>
  </si>
  <si>
    <t>May</t>
  </si>
  <si>
    <t>Jun</t>
  </si>
  <si>
    <t>Jul</t>
  </si>
  <si>
    <t>Aug</t>
  </si>
  <si>
    <t>Sept</t>
  </si>
  <si>
    <t>Oct</t>
  </si>
  <si>
    <t>Nov</t>
  </si>
  <si>
    <t>Dec</t>
  </si>
  <si>
    <t xml:space="preserve">Turnover and absence rates remain in control all locations </t>
  </si>
  <si>
    <t>Revenue per employee</t>
  </si>
  <si>
    <t>OTIF to Delivery Date</t>
  </si>
  <si>
    <t>Cost of Quality</t>
  </si>
  <si>
    <t>Production Value</t>
  </si>
  <si>
    <t xml:space="preserve">Performance review completion outstanding in AUS/USA
Development activities have been programmed into a group wide plan which all the team feed into. Slippage is noted due to the Divisional GM / Plant Manager pool not completing the 360 correctly, this is due to be concluded first week of March </t>
  </si>
  <si>
    <t>Management feedback survey score from historic survey. Due to be resurveyed H2</t>
  </si>
  <si>
    <t xml:space="preserve">5 day customer complaint
</t>
  </si>
  <si>
    <t>Debtor Days</t>
  </si>
  <si>
    <t>Creditor Days</t>
  </si>
  <si>
    <t>Turnover / Employee</t>
  </si>
  <si>
    <t>No of P/L invoices Processed</t>
  </si>
  <si>
    <t>Number of P/L posted in Syteline compared to 2024 weekly average</t>
  </si>
  <si>
    <t>Monthly Calculation
Target = TBC</t>
  </si>
  <si>
    <t>% Productivity</t>
  </si>
  <si>
    <t>Output of Lines vs Capacity
%</t>
  </si>
  <si>
    <t>BOM Lead time for Capacity Planning</t>
  </si>
  <si>
    <t>Lead time for full order conversion order</t>
  </si>
  <si>
    <t>days</t>
  </si>
  <si>
    <t>Delivery - BOM</t>
  </si>
  <si>
    <t>Delivery - Order Conversion</t>
  </si>
  <si>
    <t>Delivery - OTIF</t>
  </si>
  <si>
    <t>Delivery - Drawing</t>
  </si>
  <si>
    <t>Lead time for full task completion</t>
  </si>
  <si>
    <t>Drawings Completed</t>
  </si>
  <si>
    <t>Order Lines completed versus Capacity %</t>
  </si>
  <si>
    <t>Rhian Owen</t>
  </si>
  <si>
    <t>Geraint Smith</t>
  </si>
  <si>
    <t>Owner</t>
  </si>
  <si>
    <t>Blank</t>
  </si>
  <si>
    <t>Completed up to week</t>
  </si>
  <si>
    <t xml:space="preserve"> </t>
  </si>
  <si>
    <t>Tab</t>
  </si>
  <si>
    <t>Week No</t>
  </si>
  <si>
    <t>Information Technology</t>
  </si>
  <si>
    <t>Design</t>
  </si>
  <si>
    <t>Product Design</t>
  </si>
  <si>
    <t>Product Eng - MB</t>
  </si>
  <si>
    <t>Product Eng - BE</t>
  </si>
  <si>
    <t>Design &amp; R&amp;D</t>
  </si>
  <si>
    <t>Katherine Sanganee</t>
  </si>
  <si>
    <t>Sales Order Processing</t>
  </si>
  <si>
    <t>Human Resources</t>
  </si>
  <si>
    <t>Product Engineering Maybole</t>
  </si>
  <si>
    <t>Product Engineering Bridgend</t>
  </si>
  <si>
    <t>Visual Inspection Count</t>
  </si>
  <si>
    <t>Visual Inspection Pass Rate</t>
  </si>
  <si>
    <t>UOM</t>
  </si>
  <si>
    <t>Lost Days</t>
  </si>
  <si>
    <t>Count</t>
  </si>
  <si>
    <t>£</t>
  </si>
  <si>
    <t>Percentage</t>
  </si>
  <si>
    <t>Ratio of Gas / Elec emissions to prod Quantity</t>
  </si>
  <si>
    <t>Days</t>
  </si>
  <si>
    <t>Ratio</t>
  </si>
  <si>
    <t>Total</t>
  </si>
  <si>
    <t>Green</t>
  </si>
  <si>
    <t>Amber</t>
  </si>
  <si>
    <t>Red</t>
  </si>
  <si>
    <t>Check</t>
  </si>
  <si>
    <t>Stats on weekly KPI's</t>
  </si>
  <si>
    <t>Under Breach</t>
  </si>
  <si>
    <t>No Target</t>
  </si>
  <si>
    <t>Target 95%</t>
  </si>
  <si>
    <t>Target Zero</t>
  </si>
  <si>
    <t>Target 45 wk</t>
  </si>
  <si>
    <t>Sign</t>
  </si>
  <si>
    <t>Product Engineering - Bridgend</t>
  </si>
  <si>
    <t>Product Engineering - Maybole</t>
  </si>
  <si>
    <t xml:space="preserve">Product Design </t>
  </si>
  <si>
    <t>Manufacturing Maybole</t>
  </si>
  <si>
    <t>Manufacturing Bridgend</t>
  </si>
  <si>
    <t>Completed up to Month</t>
  </si>
  <si>
    <t>Output Lines</t>
  </si>
  <si>
    <t>Count Output Lines</t>
  </si>
  <si>
    <t>Count Order Line</t>
  </si>
  <si>
    <t>£'s</t>
  </si>
  <si>
    <t>£'s  
TBC</t>
  </si>
  <si>
    <t>Over Breach</t>
  </si>
  <si>
    <t>Delivery 1</t>
  </si>
  <si>
    <t>Delivery 2</t>
  </si>
  <si>
    <t>Not Appl</t>
  </si>
  <si>
    <t>Maybole
Manuf</t>
  </si>
  <si>
    <t>Bridgend
Manuf</t>
  </si>
  <si>
    <t>Monthly</t>
  </si>
  <si>
    <t>Environment, Health and Safety</t>
  </si>
  <si>
    <t>Data is missing / gaps</t>
  </si>
  <si>
    <t>Not applicable</t>
  </si>
  <si>
    <t>Extra Row where there is more tests in 1 department</t>
  </si>
  <si>
    <t>Undefined</t>
  </si>
  <si>
    <t>the KPI in this category has not been defined or entered</t>
  </si>
  <si>
    <t>There is no tab for these departments so the KPI in these categories have not been defined or entered</t>
  </si>
  <si>
    <t>Over</t>
  </si>
  <si>
    <t>Under</t>
  </si>
  <si>
    <t>Current Week 
RAG Status</t>
  </si>
  <si>
    <t>Comparative week</t>
  </si>
  <si>
    <t>Completed to Week</t>
  </si>
  <si>
    <t>KPIs</t>
  </si>
  <si>
    <t>Visual Inspections Count</t>
  </si>
  <si>
    <t>Visual Inspections Pass Rates</t>
  </si>
  <si>
    <t>Current Week</t>
  </si>
  <si>
    <t>OD</t>
  </si>
  <si>
    <t>Overdue</t>
  </si>
  <si>
    <t>Blank
Wks</t>
  </si>
  <si>
    <t>Bridgend Manuf</t>
  </si>
  <si>
    <t>Maybole Manuf</t>
  </si>
  <si>
    <t>Top KPI's by Department</t>
  </si>
  <si>
    <t>Week Ending</t>
  </si>
  <si>
    <t>Tasks complete per week</t>
  </si>
  <si>
    <t>Tasks completed on Time</t>
  </si>
  <si>
    <t>Content Issues found</t>
  </si>
  <si>
    <t>Cost per Engagement for campaigns</t>
  </si>
  <si>
    <t>Target 2-3</t>
  </si>
  <si>
    <t>Target 100%</t>
  </si>
  <si>
    <t>Target Varies</t>
  </si>
  <si>
    <t>Order Lines Released</t>
  </si>
  <si>
    <t>Customer Complaints</t>
  </si>
  <si>
    <t>Order Value completed per FTE head</t>
  </si>
  <si>
    <t>No Target Set</t>
  </si>
  <si>
    <t>MONTHLY KPI</t>
  </si>
  <si>
    <t>Design requests closed</t>
  </si>
  <si>
    <t>Designs completed to internal days estimate</t>
  </si>
  <si>
    <t>Designs rejected (Internal)</t>
  </si>
  <si>
    <t>Not entered</t>
  </si>
  <si>
    <t>Target 35</t>
  </si>
  <si>
    <t>Percentage of OTIF that achieved delivery date</t>
  </si>
  <si>
    <t>Target each mth</t>
  </si>
  <si>
    <t>Target £5K</t>
  </si>
  <si>
    <t>Target £2k</t>
  </si>
  <si>
    <t>Target 1</t>
  </si>
  <si>
    <t>purchase ledger invoices posted (Target 2024 avg)</t>
  </si>
  <si>
    <t>Debtor Days (Monthly only)</t>
  </si>
  <si>
    <t>Breach Sign Conv</t>
  </si>
  <si>
    <t>Delivery against Target as a percentage</t>
  </si>
  <si>
    <t>Lead Time Days to Full Task Completion</t>
  </si>
  <si>
    <t>Drawings Completed - Order Lines</t>
  </si>
  <si>
    <t>Target 150</t>
  </si>
  <si>
    <t>Target 90%</t>
  </si>
  <si>
    <t>Target 7 Days</t>
  </si>
  <si>
    <t>Not Entered</t>
  </si>
  <si>
    <t>Output lines as a percentage of capacity</t>
  </si>
  <si>
    <t>BOM Lead time</t>
  </si>
  <si>
    <t>Lead Time for full order conversion</t>
  </si>
  <si>
    <t>Target 80%</t>
  </si>
  <si>
    <t>Target 5 Days</t>
  </si>
  <si>
    <t>Target 10 Days</t>
  </si>
  <si>
    <t>End Date</t>
  </si>
  <si>
    <t>Week RAG
Status</t>
  </si>
  <si>
    <t>dategory</t>
  </si>
  <si>
    <t>Weekk No</t>
  </si>
  <si>
    <t>end Date</t>
  </si>
  <si>
    <t>Group Turnover per employee</t>
  </si>
  <si>
    <t>Needs defining</t>
  </si>
  <si>
    <t>% of target</t>
  </si>
  <si>
    <t>Act Result</t>
  </si>
  <si>
    <t>update</t>
  </si>
  <si>
    <t>Actual Result if no Target set</t>
  </si>
  <si>
    <t>Otherwise a % versus the target (adjusted by sign if the variance is to be over or under the target)</t>
  </si>
  <si>
    <t>Act Results</t>
  </si>
  <si>
    <t>MTO Lines</t>
  </si>
  <si>
    <t>Dist Lines</t>
  </si>
  <si>
    <t xml:space="preserve">FTE </t>
  </si>
  <si>
    <t>Calc</t>
  </si>
  <si>
    <t>Split of Order Line</t>
  </si>
  <si>
    <t>£/FTE Calc</t>
  </si>
  <si>
    <t>Productivity 1</t>
  </si>
  <si>
    <t>Productivity 2</t>
  </si>
  <si>
    <t>Total employee turnover figure vs Industry Standard / Target</t>
  </si>
  <si>
    <t>Total absence group</t>
  </si>
  <si>
    <t>Statistics on weekly KPI Submissions</t>
  </si>
  <si>
    <t>Stats &gt;&gt;</t>
  </si>
  <si>
    <t>RAG Status Trend by Week</t>
  </si>
  <si>
    <t>Katherine 
Sanganee</t>
  </si>
  <si>
    <t>Rhian 
Owen</t>
  </si>
  <si>
    <t>Paul 
Dolan</t>
  </si>
  <si>
    <t>Neil 
Laing</t>
  </si>
  <si>
    <t>Matt 
Pope</t>
  </si>
  <si>
    <t>KPI reaches or exceeds the required level</t>
  </si>
  <si>
    <t>Test is below the required level by less than 5%</t>
  </si>
  <si>
    <t>Test is below the required level by more than 5%</t>
  </si>
  <si>
    <t>There are gaps on the required data</t>
  </si>
  <si>
    <t>The data is blank for the week, this could be where the KPI is undefined</t>
  </si>
  <si>
    <t>The KPI submission for the latest weeks are overdue, i.e. submissions are not up to date.</t>
  </si>
  <si>
    <t>Current
Week versus Prior Week</t>
  </si>
  <si>
    <t>FYTD
Actualversus Target</t>
  </si>
  <si>
    <t>Current
Week Actual versus Target</t>
  </si>
  <si>
    <t>Actual Results Trended</t>
  </si>
  <si>
    <t>Targets Trended</t>
  </si>
  <si>
    <t>Actuals by Week</t>
  </si>
  <si>
    <t>Target by Week</t>
  </si>
  <si>
    <t>Avg FTYD - Actuals</t>
  </si>
  <si>
    <t>Avg FYTD Act</t>
  </si>
  <si>
    <t>Avg FYTD Target</t>
  </si>
  <si>
    <t>NA</t>
  </si>
  <si>
    <t>Weekly KPI Calc</t>
  </si>
  <si>
    <t>Actual Current Week 
Result</t>
  </si>
  <si>
    <t>FYTD avg of Actuals</t>
  </si>
  <si>
    <t>FYTD Avg of Target</t>
  </si>
  <si>
    <t>FYTD Avg of Targets</t>
  </si>
  <si>
    <t>FYTD Avg of Actuals</t>
  </si>
  <si>
    <t>Review of Current Week versus Target</t>
  </si>
  <si>
    <t>Review of Current Week versus prior week</t>
  </si>
  <si>
    <t>Target 0</t>
  </si>
  <si>
    <r>
      <rPr>
        <b/>
        <sz val="11"/>
        <color theme="1"/>
        <rFont val="Aptos Narrow"/>
        <family val="2"/>
        <scheme val="minor"/>
      </rPr>
      <t>Current</t>
    </r>
    <r>
      <rPr>
        <sz val="11"/>
        <color theme="1"/>
        <rFont val="Aptos Narrow"/>
        <family val="2"/>
        <scheme val="minor"/>
      </rPr>
      <t xml:space="preserve"> Week </t>
    </r>
    <r>
      <rPr>
        <b/>
        <sz val="11"/>
        <color theme="1"/>
        <rFont val="Aptos Narrow"/>
        <family val="2"/>
        <scheme val="minor"/>
      </rPr>
      <t>Actual</t>
    </r>
  </si>
  <si>
    <r>
      <rPr>
        <b/>
        <sz val="11"/>
        <color theme="1"/>
        <rFont val="Aptos Narrow"/>
        <family val="2"/>
        <scheme val="minor"/>
      </rPr>
      <t>Current</t>
    </r>
    <r>
      <rPr>
        <sz val="11"/>
        <color theme="1"/>
        <rFont val="Aptos Narrow"/>
        <family val="2"/>
        <scheme val="minor"/>
      </rPr>
      <t xml:space="preserve"> Week </t>
    </r>
    <r>
      <rPr>
        <b/>
        <sz val="11"/>
        <color theme="1"/>
        <rFont val="Aptos Narrow"/>
        <family val="2"/>
        <scheme val="minor"/>
      </rPr>
      <t>Target</t>
    </r>
  </si>
  <si>
    <r>
      <rPr>
        <b/>
        <sz val="11"/>
        <color theme="1"/>
        <rFont val="Aptos Narrow"/>
        <family val="2"/>
        <scheme val="minor"/>
      </rPr>
      <t xml:space="preserve">Prior </t>
    </r>
    <r>
      <rPr>
        <sz val="11"/>
        <color theme="1"/>
        <rFont val="Aptos Narrow"/>
        <family val="2"/>
        <scheme val="minor"/>
      </rPr>
      <t xml:space="preserve">Week </t>
    </r>
    <r>
      <rPr>
        <b/>
        <sz val="11"/>
        <color theme="1"/>
        <rFont val="Aptos Narrow"/>
        <family val="2"/>
        <scheme val="minor"/>
      </rPr>
      <t>Actual</t>
    </r>
  </si>
  <si>
    <r>
      <rPr>
        <b/>
        <sz val="11"/>
        <color theme="1"/>
        <rFont val="Aptos Narrow"/>
        <family val="2"/>
        <scheme val="minor"/>
      </rPr>
      <t>Current</t>
    </r>
    <r>
      <rPr>
        <sz val="11"/>
        <color theme="1"/>
        <rFont val="Aptos Narrow"/>
        <family val="2"/>
        <scheme val="minor"/>
      </rPr>
      <t xml:space="preserve"> Week </t>
    </r>
    <r>
      <rPr>
        <b/>
        <sz val="11"/>
        <color theme="1"/>
        <rFont val="Aptos Narrow"/>
        <family val="2"/>
        <scheme val="minor"/>
      </rPr>
      <t>Test</t>
    </r>
    <r>
      <rPr>
        <sz val="11"/>
        <color theme="1"/>
        <rFont val="Aptos Narrow"/>
        <family val="2"/>
        <scheme val="minor"/>
      </rPr>
      <t xml:space="preserve"> Value</t>
    </r>
  </si>
  <si>
    <r>
      <t xml:space="preserve">Prior Week </t>
    </r>
    <r>
      <rPr>
        <b/>
        <sz val="11"/>
        <color theme="1"/>
        <rFont val="Aptos Narrow"/>
        <family val="2"/>
        <scheme val="minor"/>
      </rPr>
      <t>Test</t>
    </r>
    <r>
      <rPr>
        <sz val="11"/>
        <color theme="1"/>
        <rFont val="Aptos Narrow"/>
        <family val="2"/>
        <scheme val="minor"/>
      </rPr>
      <t xml:space="preserve"> Value</t>
    </r>
  </si>
  <si>
    <t>Actual Value This week V Last Week</t>
  </si>
  <si>
    <t>FYTD
Test Value</t>
  </si>
  <si>
    <t>FYTD Avg Actual</t>
  </si>
  <si>
    <t>FYTD  Avg Target</t>
  </si>
  <si>
    <t>Above Zero</t>
  </si>
  <si>
    <t>Value of customer complaints attributed to SOP - lag in the process, so the stats would represent timing of when confirmed it was an SOP issue and not when the issue occurred
Also record the number of complaints and decide which is most appropriate measure to escalate</t>
  </si>
  <si>
    <t>Review of Avg FYTD 
( Actual versus Target Current Week)</t>
  </si>
  <si>
    <t>Review of Avg FYTD 
(Actual versus Target Prior Week)</t>
  </si>
  <si>
    <t>Week v Week</t>
  </si>
  <si>
    <t>Trend view of KPI Calc over time</t>
  </si>
  <si>
    <r>
      <rPr>
        <b/>
        <sz val="11"/>
        <color theme="1"/>
        <rFont val="Aptos Narrow"/>
        <family val="2"/>
        <scheme val="minor"/>
      </rPr>
      <t>FYTD</t>
    </r>
    <r>
      <rPr>
        <sz val="11"/>
        <color theme="1"/>
        <rFont val="Aptos Narrow"/>
        <family val="2"/>
        <scheme val="minor"/>
      </rPr>
      <t xml:space="preserve"> Avg </t>
    </r>
    <r>
      <rPr>
        <b/>
        <sz val="11"/>
        <color theme="1"/>
        <rFont val="Aptos Narrow"/>
        <family val="2"/>
        <scheme val="minor"/>
      </rPr>
      <t>Actual</t>
    </r>
  </si>
  <si>
    <r>
      <rPr>
        <b/>
        <sz val="11"/>
        <color theme="1"/>
        <rFont val="Aptos Narrow"/>
        <family val="2"/>
        <scheme val="minor"/>
      </rPr>
      <t>FYTD</t>
    </r>
    <r>
      <rPr>
        <sz val="11"/>
        <color theme="1"/>
        <rFont val="Aptos Narrow"/>
        <family val="2"/>
        <scheme val="minor"/>
      </rPr>
      <t xml:space="preserve">  Avg </t>
    </r>
    <r>
      <rPr>
        <b/>
        <sz val="11"/>
        <color theme="1"/>
        <rFont val="Aptos Narrow"/>
        <family val="2"/>
        <scheme val="minor"/>
      </rPr>
      <t>Target</t>
    </r>
  </si>
  <si>
    <r>
      <rPr>
        <b/>
        <sz val="11"/>
        <color theme="1"/>
        <rFont val="Aptos Narrow"/>
        <family val="2"/>
        <scheme val="minor"/>
      </rPr>
      <t>FYTD</t>
    </r>
    <r>
      <rPr>
        <sz val="11"/>
        <color theme="1"/>
        <rFont val="Aptos Narrow"/>
        <family val="2"/>
        <scheme val="minor"/>
      </rPr>
      <t xml:space="preserve">
</t>
    </r>
    <r>
      <rPr>
        <b/>
        <sz val="11"/>
        <color theme="1"/>
        <rFont val="Aptos Narrow"/>
        <family val="2"/>
        <scheme val="minor"/>
      </rPr>
      <t>Test</t>
    </r>
    <r>
      <rPr>
        <sz val="11"/>
        <color theme="1"/>
        <rFont val="Aptos Narrow"/>
        <family val="2"/>
        <scheme val="minor"/>
      </rPr>
      <t xml:space="preserve"> Value</t>
    </r>
  </si>
  <si>
    <r>
      <rPr>
        <b/>
        <sz val="11"/>
        <color theme="1"/>
        <rFont val="Aptos Narrow"/>
        <family val="2"/>
        <scheme val="minor"/>
      </rPr>
      <t>Current Wk FYTD</t>
    </r>
    <r>
      <rPr>
        <sz val="11"/>
        <color theme="1"/>
        <rFont val="Aptos Narrow"/>
        <family val="2"/>
        <scheme val="minor"/>
      </rPr>
      <t xml:space="preserve">
RAG Status</t>
    </r>
  </si>
  <si>
    <r>
      <rPr>
        <b/>
        <sz val="11"/>
        <color theme="1"/>
        <rFont val="Aptos Narrow"/>
        <family val="2"/>
        <scheme val="minor"/>
      </rPr>
      <t>Prior Wk FYTD</t>
    </r>
    <r>
      <rPr>
        <sz val="11"/>
        <color theme="1"/>
        <rFont val="Aptos Narrow"/>
        <family val="2"/>
        <scheme val="minor"/>
      </rPr>
      <t xml:space="preserve">
RAG Status</t>
    </r>
  </si>
  <si>
    <t>Test Value
This week Act v Target</t>
  </si>
  <si>
    <t>Supplier Delivery Performance</t>
  </si>
  <si>
    <t xml:space="preserve">Under Breach
</t>
  </si>
  <si>
    <t>Employee Turnover</t>
  </si>
  <si>
    <t>Absence Levels</t>
  </si>
  <si>
    <t>target below 12 % pa - grows evenly by month</t>
  </si>
  <si>
    <t>Quality 1</t>
  </si>
  <si>
    <t>Quality 2</t>
  </si>
  <si>
    <t>Development Plans</t>
  </si>
  <si>
    <t>Review Completion</t>
  </si>
  <si>
    <t>Avg Score Values</t>
  </si>
  <si>
    <t>Cost 1</t>
  </si>
  <si>
    <t>Cost 2</t>
  </si>
  <si>
    <t>Headcount</t>
  </si>
  <si>
    <t>Job Evaluation</t>
  </si>
  <si>
    <t>Headcount v Budget</t>
  </si>
  <si>
    <t>JE Progress %</t>
  </si>
  <si>
    <t>Scores v Target</t>
  </si>
  <si>
    <t>Avg Score per team / site</t>
  </si>
  <si>
    <t>Heads</t>
  </si>
  <si>
    <t>KPI P1</t>
  </si>
  <si>
    <t>KPI D1</t>
  </si>
  <si>
    <t>KPI Q1</t>
  </si>
  <si>
    <t>KPI C1</t>
  </si>
  <si>
    <t>KPI P2</t>
  </si>
  <si>
    <t>KPI D2</t>
  </si>
  <si>
    <t>KPI Q2</t>
  </si>
  <si>
    <t>KPI C2</t>
  </si>
  <si>
    <t>Completed to Month</t>
  </si>
  <si>
    <t>Avg Score Value</t>
  </si>
  <si>
    <t>Score</t>
  </si>
  <si>
    <t>Management Feed Back Scores</t>
  </si>
  <si>
    <t>Management Feed Back Score</t>
  </si>
  <si>
    <t>Supplier Delivery Performance - on time and full into SAS</t>
  </si>
  <si>
    <t>Cost of Quality - Raw materials - Quality Failures</t>
  </si>
  <si>
    <t>set on KPI Control Tab</t>
  </si>
  <si>
    <t>Review 
Meeting</t>
  </si>
  <si>
    <t>Completed</t>
  </si>
  <si>
    <t>M</t>
  </si>
  <si>
    <t xml:space="preserve">Count of Customer Complaints </t>
  </si>
  <si>
    <t>Andrew
Skitt</t>
  </si>
  <si>
    <t>Geraint
Lewis</t>
  </si>
  <si>
    <t>Production output / Heads in direct manufacturing</t>
  </si>
  <si>
    <t>From the quality team - cost involved in manufacturing remakes - Material / Labour and transport</t>
  </si>
  <si>
    <t>From Syteline  - OTIF Delivery Statistics</t>
  </si>
  <si>
    <t>From Syteline - Production Value</t>
  </si>
  <si>
    <t xml:space="preserve">All from the production weekly scorecard report - </t>
  </si>
  <si>
    <t>This has been received to update the missing week 8 and the latest weeks 12 and 13</t>
  </si>
  <si>
    <t>Some of the historical data was different these have been amended to reflect the latest balance scorecard supplied.</t>
  </si>
  <si>
    <t>Andy Skitt</t>
  </si>
  <si>
    <t>Raw Material Inventory Value Stock Turn</t>
  </si>
  <si>
    <t>Value of the Cost of good sold and scrap / current Raw Material inventory value the Bridgend Plant at end of the period</t>
  </si>
  <si>
    <t>Stock Turns</t>
  </si>
  <si>
    <t>Supplier Deliveries on time and in full into SAS (for critical suppliers only)</t>
  </si>
  <si>
    <t>Purchase Price Variance</t>
  </si>
  <si>
    <t>Count of Raw materials Failures</t>
  </si>
  <si>
    <t>Count of failures related to raw materials reported in to customer care</t>
  </si>
  <si>
    <t>Current Mth</t>
  </si>
  <si>
    <t>Target below 3% absence pa - grows evenly by month</t>
  </si>
  <si>
    <t>Current Month</t>
  </si>
  <si>
    <t>Missing Submission</t>
  </si>
  <si>
    <t>No Submission</t>
  </si>
  <si>
    <t>Submission</t>
  </si>
  <si>
    <t>1 week in arrears</t>
  </si>
  <si>
    <t>update as data entereed</t>
  </si>
  <si>
    <t>Month</t>
  </si>
  <si>
    <t>Mth no</t>
  </si>
  <si>
    <t>Sep</t>
  </si>
  <si>
    <t>Status</t>
  </si>
  <si>
    <t>Weekly</t>
  </si>
  <si>
    <t>Quotes Issues</t>
  </si>
  <si>
    <t>Count of quotes issued</t>
  </si>
  <si>
    <t>Quotes Issues on Time</t>
  </si>
  <si>
    <t>Percentage of quotes issues on time (TBC all of export only)</t>
  </si>
  <si>
    <t>Estimated Hours</t>
  </si>
  <si>
    <t>Hours used on estimations, (further split by division)</t>
  </si>
  <si>
    <t>Rate of Sales per square meter</t>
  </si>
  <si>
    <t>Report 1 week in arrears</t>
  </si>
  <si>
    <t>on Hold</t>
  </si>
  <si>
    <t>1 week behind - no meeting yet</t>
  </si>
  <si>
    <t>1 week behind chased</t>
  </si>
  <si>
    <t>History missing also questions on one test - have chased</t>
  </si>
  <si>
    <t>Data is there in sales force waiting for it to be submitted</t>
  </si>
  <si>
    <t>Need to be set - have chased</t>
  </si>
  <si>
    <t>All up to date</t>
  </si>
  <si>
    <t>For Monthly KPIs</t>
  </si>
  <si>
    <t>For Weekly KPI's</t>
  </si>
  <si>
    <t>Lookup Drivers for</t>
  </si>
  <si>
    <t>1 week in Arrears</t>
  </si>
  <si>
    <t>Month No</t>
  </si>
  <si>
    <t>FYTD This week Versus 
FYTD Target</t>
  </si>
  <si>
    <t>Month no</t>
  </si>
  <si>
    <t>HR Monthly</t>
  </si>
  <si>
    <t>Mth</t>
  </si>
  <si>
    <t>Two Measures in each category</t>
  </si>
  <si>
    <t>On HR two measures for each category in two separate columns</t>
  </si>
  <si>
    <t>New months data is only available after mth end close - so the previous months data repeated until that point</t>
  </si>
  <si>
    <t xml:space="preserve">Scott </t>
  </si>
  <si>
    <t>Customer complaints - MB Production</t>
  </si>
  <si>
    <t>Compliance Score</t>
  </si>
  <si>
    <t>OTIF - Group</t>
  </si>
  <si>
    <t>Distribution Costs - Group</t>
  </si>
  <si>
    <t>Total Sales Value Despatched - Group</t>
  </si>
  <si>
    <t xml:space="preserve">Customer complaints - MB all </t>
  </si>
  <si>
    <t>Internal Audit Plan</t>
  </si>
  <si>
    <t xml:space="preserve">Over Breach
</t>
  </si>
  <si>
    <t>In place need description adding</t>
  </si>
  <si>
    <t>Target 0.5</t>
  </si>
  <si>
    <t>Target £1757</t>
  </si>
  <si>
    <t>Target £174K</t>
  </si>
  <si>
    <t>Last two weeks in place history outstanding</t>
  </si>
  <si>
    <t>Sales Value Despatched - Group</t>
  </si>
  <si>
    <t>Logistics - Delivery - OTIF Group</t>
  </si>
  <si>
    <t>Varies</t>
  </si>
  <si>
    <t>Quotes Issued</t>
  </si>
  <si>
    <t>Quotes issued on time</t>
  </si>
  <si>
    <t>Hours</t>
  </si>
  <si>
    <t>Rate of Sales per sq Meter</t>
  </si>
  <si>
    <t>PPV - Cost differential between Std and Inv Cost</t>
  </si>
  <si>
    <t>Production Value per employee</t>
  </si>
  <si>
    <t>Production Value  per Employee</t>
  </si>
  <si>
    <t>Production Value per Employee</t>
  </si>
  <si>
    <t>Customer complaints</t>
  </si>
  <si>
    <t>count</t>
  </si>
  <si>
    <t>No of complaints</t>
  </si>
  <si>
    <t>Power BI Report</t>
  </si>
  <si>
    <t>Manager</t>
  </si>
  <si>
    <t>EHS - 1st Aid, LTI, RIDDOR</t>
  </si>
  <si>
    <t xml:space="preserve">Count of Reportable incidents
</t>
  </si>
  <si>
    <t>Count of internal audit plans completed</t>
  </si>
  <si>
    <t>Reraise - Internal rework costs</t>
  </si>
  <si>
    <t>Cost of the Internal Rework</t>
  </si>
  <si>
    <t>Production Facilitator Syteline Report</t>
  </si>
  <si>
    <t>Count of Customer complaints</t>
  </si>
  <si>
    <t xml:space="preserve">The cost of the Quality department </t>
  </si>
  <si>
    <t>Maybole Quality - salesforce dashboard</t>
  </si>
  <si>
    <t>Customer Care Salesforce Dashboard</t>
  </si>
  <si>
    <t>Quality XL Scorecard - Maybole</t>
  </si>
  <si>
    <t xml:space="preserve">Cost of Quality - MB </t>
  </si>
  <si>
    <t>Logistics Compliance Audits</t>
  </si>
  <si>
    <t>Syeline Download via Simon Chard</t>
  </si>
  <si>
    <t>Sales Value Despatched</t>
  </si>
  <si>
    <t>Sales Values Despatched in full and on time</t>
  </si>
  <si>
    <t xml:space="preserve">Logistics Compliance Audits </t>
  </si>
  <si>
    <t>From Finance</t>
  </si>
  <si>
    <t xml:space="preserve"> Sales Force - https://sasinternational.lightning.force.com/lightning/r/Report/00OP3000005K1gDMAS/view</t>
  </si>
  <si>
    <t>Sales Force - https://sasinternational.lightning.force.com/lightning/r/Report/00OP3000003GHJJMA4/view</t>
  </si>
  <si>
    <t>Sales Force - https://sasinternational.lightning.force.com/lightning/r/Report/00OP3000005cl33MAA/view?queryScope=userFolders</t>
  </si>
  <si>
    <t xml:space="preserve">Expected Opportunity value / No of proposals collated 
</t>
  </si>
  <si>
    <t>Opportunity Value per proposal</t>
  </si>
  <si>
    <t>% of Designs closed that were completed by the Internal Date</t>
  </si>
  <si>
    <t>Count of customer complaints</t>
  </si>
  <si>
    <t>Outstanding</t>
  </si>
  <si>
    <t>Never reported</t>
  </si>
  <si>
    <t>First three weeks missed , first week blank</t>
  </si>
  <si>
    <t>4 weeks data missed, first week blank</t>
  </si>
  <si>
    <t>First week blank</t>
  </si>
  <si>
    <t>First week blank, only reported on week 14 and 15 so far, one week behind and history needed</t>
  </si>
  <si>
    <t>First week blank, one week behind</t>
  </si>
  <si>
    <t>First week blank, not in place</t>
  </si>
  <si>
    <t>First week blank, one week behind, last three weeks no data</t>
  </si>
  <si>
    <t>&gt;</t>
  </si>
  <si>
    <t>Department</t>
  </si>
  <si>
    <t>Monthly Submission</t>
  </si>
  <si>
    <t>Weekly Submission</t>
  </si>
  <si>
    <t>Group Weekly Turnover (annualised) / Total Employees
Target = Budget, G &gt; Bugdet, A = 5% of Budget, R = below 5% of Budget</t>
  </si>
  <si>
    <t>Paul Smith (Engineering Director) and Julian Sparrow (Commercial Lead)</t>
  </si>
  <si>
    <t>Reported in arrears always 1 week overdue</t>
  </si>
  <si>
    <t>1st week blank, then data for weeks 2,4,5 only, week 3 blank</t>
  </si>
  <si>
    <t>Only 1 KPI set, and only data for 3 weeks only</t>
  </si>
  <si>
    <t>All up to date and in place, Only first week blank</t>
  </si>
  <si>
    <t>Tammy</t>
  </si>
  <si>
    <t>Laurence</t>
  </si>
  <si>
    <t>Micaela</t>
  </si>
  <si>
    <t>Doreen</t>
  </si>
  <si>
    <t>Sheila</t>
  </si>
  <si>
    <t>Julie</t>
  </si>
  <si>
    <t>Sam</t>
  </si>
  <si>
    <t>This should be 32.5 as above so not sure what needs fixing</t>
  </si>
  <si>
    <t>No Delivery KPI Reported, others up to date and in place,  reporting started on wk 5, wks 2,3,4 TBC</t>
  </si>
  <si>
    <t>Missed</t>
  </si>
  <si>
    <t>No KPI</t>
  </si>
  <si>
    <t>KPI no data</t>
  </si>
  <si>
    <t>Gaps</t>
  </si>
  <si>
    <t>No return wk 1</t>
  </si>
  <si>
    <t>Missed
Wks</t>
  </si>
  <si>
    <t>KPI but no submission</t>
  </si>
  <si>
    <t>First week blank, being introduced from week 18? Tbc</t>
  </si>
  <si>
    <t>Total
Weeks</t>
  </si>
  <si>
    <t>Total wks Not Included</t>
  </si>
  <si>
    <t>Weekly KPI</t>
  </si>
  <si>
    <t>Monthly KPI</t>
  </si>
  <si>
    <t>Week KPI Calc</t>
  </si>
  <si>
    <t>G &lt;55 days
A = 55-57.9 days (95%)
R = &gt;57.9 days</t>
  </si>
  <si>
    <t>K:\Finance\Projects\KPIs\Finance Department\Purchase Ledger Inv Listing\AP PostedTransactions Analysis.xlsx</t>
  </si>
  <si>
    <t>Conversion Ratio</t>
  </si>
  <si>
    <t>Mean Time to Allocate - Time between Job / project being Logged and being picked up by an Engineer</t>
  </si>
  <si>
    <t>Mean Time to Allocate (MTTA)</t>
  </si>
  <si>
    <t>Conversion Ratio - Jobs complete / Jobs picked up - throughput measure</t>
  </si>
  <si>
    <t>Simon Brace</t>
  </si>
  <si>
    <t>Nick Biggs</t>
  </si>
  <si>
    <t>Department Spend</t>
  </si>
  <si>
    <t>Cost Transfer Value Per Day</t>
  </si>
  <si>
    <t>Delivery Against Target where the target is the Customer Due date</t>
  </si>
  <si>
    <t>Eng - Have KPI actual but no target</t>
  </si>
  <si>
    <t>Week Ending (Fri)</t>
  </si>
  <si>
    <t>Date</t>
  </si>
  <si>
    <t>Freq</t>
  </si>
  <si>
    <t>Mth No</t>
  </si>
  <si>
    <t>Wk No</t>
  </si>
  <si>
    <t>W</t>
  </si>
  <si>
    <t>Shown</t>
  </si>
  <si>
    <t>Data to Sun</t>
  </si>
  <si>
    <t>Wk</t>
  </si>
  <si>
    <t>Top KPI's by Department - Last 5 week Data</t>
  </si>
  <si>
    <t>The KPI Calc Colours are - Green if  KPI Calc is 100% or Greater , Amber if between 95% and 99.9%, Red if lower than 95%</t>
  </si>
  <si>
    <t>In HR and Finance there are Monthly KPIs these are noted by the M in the "Freq" column. The "WK" column De</t>
  </si>
  <si>
    <t>Opportunity Value Per design</t>
  </si>
  <si>
    <t>Cost Transfer Value per Day</t>
  </si>
  <si>
    <t>Mean Time to Allocate MTTA</t>
  </si>
  <si>
    <t>Conversion Ratio - Jobs complete / Jobs Picked Up</t>
  </si>
  <si>
    <t>Calcs issued on OD</t>
  </si>
  <si>
    <t>No KPI Defined</t>
  </si>
  <si>
    <t>Employee Turnover %</t>
  </si>
  <si>
    <t>Group Absence %</t>
  </si>
  <si>
    <t>Development Plans actions against project plan</t>
  </si>
  <si>
    <t>Review Complete actions against project plan</t>
  </si>
  <si>
    <t>Job Evaluation Progress actions against project plan</t>
  </si>
  <si>
    <t>Head Count - Heads</t>
  </si>
  <si>
    <r>
      <t>Customer Complaints (</t>
    </r>
    <r>
      <rPr>
        <b/>
        <sz val="11"/>
        <color theme="1"/>
        <rFont val="Aptos Narrow"/>
        <family val="2"/>
        <scheme val="minor"/>
      </rPr>
      <t>Maybole only)</t>
    </r>
  </si>
  <si>
    <r>
      <t>Cost of Quality - (</t>
    </r>
    <r>
      <rPr>
        <b/>
        <sz val="11"/>
        <color theme="1"/>
        <rFont val="Aptos Narrow"/>
        <family val="2"/>
        <scheme val="minor"/>
      </rPr>
      <t>Maybole only)</t>
    </r>
  </si>
  <si>
    <t>Creditor Days (Monthly only) - (Fav if paid promptly)</t>
  </si>
  <si>
    <t>)</t>
  </si>
  <si>
    <t>% of quality defects vs   items output</t>
  </si>
  <si>
    <t>Target 2.5%</t>
  </si>
  <si>
    <t>Quality Defects / Items Output as a percentage</t>
  </si>
  <si>
    <t>Target 40</t>
  </si>
  <si>
    <t>Target 110</t>
  </si>
  <si>
    <t xml:space="preserve">No Target </t>
  </si>
  <si>
    <t>Changes Mthly circa £1k</t>
  </si>
  <si>
    <t>Jobs Ratio</t>
  </si>
  <si>
    <t>A new 6S visual inspection regime has been implemented but drop in engagement in inspections. Expecting to see this up Wk 19.</t>
  </si>
  <si>
    <t>&lt;&lt;&lt;&lt;Update Wk nos here</t>
  </si>
  <si>
    <t>automatic</t>
  </si>
  <si>
    <t xml:space="preserve">Engineering </t>
  </si>
  <si>
    <t>Completed to month</t>
  </si>
  <si>
    <t>Phil Smith</t>
  </si>
  <si>
    <t>Displayed below is a mixture of the actual KPI result and the KPI Calc i.e.  actual result / Target (In some cases this is inverted) depending on whether the test is adverse if above or below see column M for the definition</t>
  </si>
  <si>
    <t>Hours on each Estimate</t>
  </si>
  <si>
    <t>(Target 3)</t>
  </si>
  <si>
    <t>Cost differiencial between the standard cost and the invoiced cost on orders completed that week. A positive value is the savings on the Standard Costs</t>
  </si>
  <si>
    <t>There are issues calculating this KPI, in Syteline the Order price is changing - Matt is discussing this with Gareth</t>
  </si>
  <si>
    <t>Simon</t>
  </si>
  <si>
    <t>Beth
Grant</t>
  </si>
  <si>
    <t>Phil
Smith</t>
  </si>
  <si>
    <t>Gareth
Thomas</t>
  </si>
  <si>
    <t>Matt
Harrison</t>
  </si>
  <si>
    <t>Alyn
Gammon</t>
  </si>
  <si>
    <t>Scott
McMillan</t>
  </si>
  <si>
    <t>Brad
Giles</t>
  </si>
  <si>
    <r>
      <t xml:space="preserve">Quality Internal Audit Plan  </t>
    </r>
    <r>
      <rPr>
        <b/>
        <sz val="11"/>
        <color theme="1"/>
        <rFont val="Aptos Narrow"/>
        <family val="2"/>
        <scheme val="minor"/>
      </rPr>
      <t>(Maybole only)</t>
    </r>
  </si>
  <si>
    <r>
      <t xml:space="preserve">Quality - Internal Rework orders raised </t>
    </r>
    <r>
      <rPr>
        <b/>
        <sz val="11"/>
        <color theme="1"/>
        <rFont val="Aptos Narrow"/>
        <family val="2"/>
        <scheme val="minor"/>
      </rPr>
      <t xml:space="preserve"> (Maybole only)</t>
    </r>
  </si>
  <si>
    <t>Target 126 a</t>
  </si>
  <si>
    <t>Target 126 avg 1st Qtr</t>
  </si>
  <si>
    <t>Target 85% avg 1st Qtr</t>
  </si>
  <si>
    <t>Target 28 avg 1st Qtr</t>
  </si>
  <si>
    <t>No Data yet</t>
  </si>
  <si>
    <t>(IF(DO$7&gt;$D$3,"",IF(BG17="Missed","Missed",IF(BG17="OD","OD",IF(BG17="TBC","TBC",</t>
  </si>
  <si>
    <t>(IF(cv$7&gt;$D$3,"",IF(BG17="Missed","Missed",IF(BG17="OD","OD",IF(BG17="TBC","TBC",</t>
  </si>
  <si>
    <t>OD Misseed TBC Undefined</t>
  </si>
  <si>
    <t>https://sasinternational.lightning.force.com/lightning/r/Dashboard/01ZP300000LvtuyMAB/view</t>
  </si>
  <si>
    <t>https://sasinternational.lightning.force.com/lightning/r/Dashboard/01ZP300000Cx5BJMAZ/view</t>
  </si>
  <si>
    <t>https://app.powerbi.com/groups/db5641cb-990b-490c-b265-004fa6ab7ccc/reports/c5a5202a-b830-4950-81c2-e6c43d145b86/ReportSectione0549df5f3c91c6fdcd2?redirectedFromSignup=1&amp;experience=power-bi</t>
  </si>
  <si>
    <t>SafetyCulture-Issues-20250519-1</t>
  </si>
  <si>
    <t> Ops Process Mgmt Performance Figures.xlsx</t>
  </si>
  <si>
    <t> BOM Help Desk.xlsx</t>
  </si>
  <si>
    <t>Days to complete the BOM</t>
  </si>
  <si>
    <t>Days to convert the Order in full</t>
  </si>
  <si>
    <t>Costs incurred on the weekly transfer per day</t>
  </si>
  <si>
    <t>£s</t>
  </si>
  <si>
    <t>(Target 40)</t>
  </si>
  <si>
    <t>(Target 110)</t>
  </si>
  <si>
    <t>(Target 7 days)</t>
  </si>
  <si>
    <t xml:space="preserve">Number of days that the order is worked on by the SOP team in the cleaning Stage until it is completed. </t>
  </si>
  <si>
    <t xml:space="preserve">Number of days that the order is worked on by the SOP team in the Sign off Stage until it is completed. </t>
  </si>
  <si>
    <t>Days Target</t>
  </si>
  <si>
    <t>Target avg of the actual results Q1</t>
  </si>
  <si>
    <t>OTIF - Order Cleansing</t>
  </si>
  <si>
    <t>OTIF - Order Sign off</t>
  </si>
  <si>
    <t>Order Cleansing On Target / In Full (OTIF) days to complete</t>
  </si>
  <si>
    <t>Order Sign off On Target / In Full (OTIF) days to complete</t>
  </si>
  <si>
    <t>Target 5 Days (95%)</t>
  </si>
  <si>
    <t>Target 1 day (95%)</t>
  </si>
  <si>
    <t>Order Cleaning
(95% reach Target  of 1 day)</t>
  </si>
  <si>
    <t>Order Sign off
95% reach Target of  5 Days)</t>
  </si>
  <si>
    <t xml:space="preserve"> first week blank</t>
  </si>
  <si>
    <t>(Target 95%)</t>
  </si>
  <si>
    <t>(Target 90%)</t>
  </si>
  <si>
    <t>(Target 1)</t>
  </si>
  <si>
    <t>(Target 5)</t>
  </si>
  <si>
    <t>(Target 10)</t>
  </si>
  <si>
    <t>Target 2.5%)</t>
  </si>
  <si>
    <t>(Target 4)</t>
  </si>
  <si>
    <t>(Target 0) Act Result Shown</t>
  </si>
  <si>
    <t>(Target 500)</t>
  </si>
  <si>
    <t>These Quality KPIs are Maybole only</t>
  </si>
  <si>
    <t>Target amended as now includes other countries</t>
  </si>
  <si>
    <t>Percentage of No of Tickets closed on Time</t>
  </si>
  <si>
    <t>Employee Satisfaction</t>
  </si>
  <si>
    <t>Unbudgeted Spend on IT Hardware</t>
  </si>
  <si>
    <t>Value of sales per Sq meter (Power BI data but excludes those with an item per SQM below 0.03, Arbitary Target set by Finance)</t>
  </si>
  <si>
    <t>Budget Headcount is 759</t>
  </si>
  <si>
    <t>(Target 250)</t>
  </si>
  <si>
    <t>(Target 80%)</t>
  </si>
  <si>
    <t>(Target is 0)</t>
  </si>
  <si>
    <t>New KPI Target 95%</t>
  </si>
  <si>
    <t>New KPI Target 70%</t>
  </si>
  <si>
    <t>Percentage of Tickets Closed on Time</t>
  </si>
  <si>
    <t>Target 70%</t>
  </si>
  <si>
    <t>(Target 2 days)</t>
  </si>
  <si>
    <t>(Target 100%)</t>
  </si>
  <si>
    <t>(Target £55,801, £59,592)</t>
  </si>
  <si>
    <t>EW HC</t>
  </si>
  <si>
    <t>Co EU</t>
  </si>
  <si>
    <t>Missing data for this KPI</t>
  </si>
  <si>
    <t>£'000s</t>
  </si>
  <si>
    <t>Complete</t>
  </si>
  <si>
    <t>Garin Bowen</t>
  </si>
  <si>
    <t>Merge</t>
  </si>
  <si>
    <t>Julian Sparrow</t>
  </si>
  <si>
    <t>WK 23</t>
  </si>
  <si>
    <t>WK 8</t>
  </si>
  <si>
    <t>Accident at Bloomberg</t>
  </si>
  <si>
    <t>Screw to Finger, Bridgend Sector 3</t>
  </si>
  <si>
    <t>Twisted ankle, Bridgend Sector 3</t>
  </si>
  <si>
    <t>Accident Summary</t>
  </si>
  <si>
    <t>Target  - average of FY24 is 48.9 Days - 
Used 38 avg Q1-Q3 2025</t>
  </si>
  <si>
    <t>Target 38 days</t>
  </si>
  <si>
    <t>Target 55 days</t>
  </si>
  <si>
    <t>6,20</t>
  </si>
  <si>
    <t>Quality Maybole</t>
  </si>
  <si>
    <t>Quality
Maybole</t>
  </si>
  <si>
    <t>Scott McMIllan</t>
  </si>
  <si>
    <t>Please note the data in these weeks changed post submission</t>
  </si>
  <si>
    <t>Proposals marked as closed were reopened</t>
  </si>
  <si>
    <t>They were not amended</t>
  </si>
  <si>
    <t>Submittted</t>
  </si>
  <si>
    <t>Proactive v Reactive Maintenance</t>
  </si>
  <si>
    <t>Percentage of Maintenance time that is Proactive</t>
  </si>
  <si>
    <t>Target Based on Qtr 1 actuals</t>
  </si>
  <si>
    <t>Target set but may be reevaluated</t>
  </si>
  <si>
    <t>3 engineering KPI's now set to monthly, with just one weekly</t>
  </si>
  <si>
    <t>Post WK20 logistics ownership moved from Scott to Garin</t>
  </si>
  <si>
    <t>Target 5 days</t>
  </si>
  <si>
    <t>Target 1 day</t>
  </si>
  <si>
    <t>WK 24-WK 27</t>
  </si>
  <si>
    <t>Target zero, Meeting Room Set up x3</t>
  </si>
  <si>
    <t>WK27</t>
  </si>
  <si>
    <t>Twisted ankle, Bridgend Sector 3(Returned to work)</t>
  </si>
  <si>
    <t>WK 23-28</t>
  </si>
  <si>
    <t>(Target 90%) 6S project should help</t>
  </si>
  <si>
    <t>FYTD 27 days lost (details on last pg)</t>
  </si>
  <si>
    <t>Test added but Target to be clarified</t>
  </si>
  <si>
    <t>Avg Target £138k per employee</t>
  </si>
  <si>
    <t>Days lost over - 3 incidents</t>
  </si>
  <si>
    <t>Meat Time between Failure</t>
  </si>
  <si>
    <t>21st July</t>
  </si>
  <si>
    <t>5th July</t>
  </si>
  <si>
    <t>Mean TimesBetwen failure</t>
  </si>
  <si>
    <t>Men Time Between Failures</t>
  </si>
  <si>
    <t xml:space="preserve">(Target is 4.0) </t>
  </si>
  <si>
    <t>(Target is 80%)</t>
  </si>
  <si>
    <t>Mean Time Between Failures</t>
  </si>
  <si>
    <t>Test results by week - 1st Block some are actual results</t>
  </si>
  <si>
    <t>Reported 1 Wk in arrears (Target 1)</t>
  </si>
  <si>
    <t>2 lost time accidents at Bridgend Sector 3 on 05/06. Screw to finger (1 day), twisted ankle (11 days line ends this week). Latter related to a medical condition</t>
  </si>
  <si>
    <t>The score reflects that the new checks at BE are starting to take effect but will take time for all areas to be maintained at consistent standard.</t>
  </si>
  <si>
    <t>Currently using Bridgend quantities. KPI is showing a large fluctuation based on parts produced. Additional information on parts may be needed.</t>
  </si>
  <si>
    <t>No Longer in use</t>
  </si>
  <si>
    <t xml:space="preserve">(Target 80%) - </t>
  </si>
  <si>
    <t>Target 139 invoices, BH plus Hols</t>
  </si>
  <si>
    <r>
      <t xml:space="preserve">Ratio of gas and electricity emissions to </t>
    </r>
    <r>
      <rPr>
        <b/>
        <i/>
        <sz val="11"/>
        <color theme="1"/>
        <rFont val="Aptos Narrow"/>
        <family val="2"/>
        <scheme val="minor"/>
      </rPr>
      <t>quantities</t>
    </r>
    <r>
      <rPr>
        <i/>
        <sz val="10"/>
        <color theme="1"/>
        <rFont val="Aptos Narrow"/>
        <family val="2"/>
        <scheme val="minor"/>
      </rPr>
      <t xml:space="preserve"> produced</t>
    </r>
  </si>
  <si>
    <r>
      <t xml:space="preserve">Ratio of gas and electricity emissions to </t>
    </r>
    <r>
      <rPr>
        <b/>
        <i/>
        <sz val="12"/>
        <color theme="1"/>
        <rFont val="Aptos Narrow"/>
        <family val="2"/>
        <scheme val="minor"/>
      </rPr>
      <t>m²</t>
    </r>
    <r>
      <rPr>
        <i/>
        <sz val="10"/>
        <color theme="1"/>
        <rFont val="Aptos Narrow"/>
        <family val="2"/>
        <scheme val="minor"/>
      </rPr>
      <t xml:space="preserve"> produced</t>
    </r>
  </si>
  <si>
    <t>Ratio of Gas / Elec emissions to prod Volume M2</t>
  </si>
  <si>
    <t>Reported 1 Wk in arrears (Target 2.75)</t>
  </si>
  <si>
    <t>Planning Engineering Complaints</t>
  </si>
  <si>
    <t>No Of Complaints</t>
  </si>
  <si>
    <t>Transport Complaints</t>
  </si>
  <si>
    <t>No of Complaints</t>
  </si>
  <si>
    <t>KPI Q3</t>
  </si>
  <si>
    <t>£'000</t>
  </si>
  <si>
    <t>Value of New orders into SOP (UK)</t>
  </si>
  <si>
    <t>Value of Orders Released (UK)</t>
  </si>
  <si>
    <t>Sum Last 4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</si>
</sst>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8" formatCode="&quot;£&quot;#,##0.00;[Red]\-&quot;£&quot;#,##0.00"/>
    <numFmt numFmtId="44" formatCode="_-&quot;£&quot;* #,##0.00_-;\-&quot;£&quot;* #,##0.00_-;_-&quot;£&quot;* &quot;-&quot;??_-;_-@_-"/>
    <numFmt numFmtId="43" formatCode="_-* #,##0.00_-;\-* #,##0.00_-;_-* &quot;-&quot;??_-;_-@_-"/>
    <numFmt numFmtId="164" formatCode="_-&quot;£&quot;* #,##0_-;\-&quot;£&quot;* #,##0_-;_-&quot;£&quot;* &quot;-&quot;??_-;_-@_-"/>
    <numFmt numFmtId="165" formatCode="_-* #,##0_-;\-* #,##0_-;_-* &quot;-&quot;??_-;_-@_-"/>
    <numFmt numFmtId="166" formatCode="0.0%"/>
    <numFmt numFmtId="167" formatCode="_-* #,##0.0_-;\-* #,##0.0_-;_-* &quot;-&quot;??_-;_-@_-"/>
    <numFmt numFmtId="168" formatCode="ddd\,\ dd/mm/yyyy"/>
    <numFmt numFmtId="169" formatCode="d/m/yy;@"/>
    <numFmt numFmtId="170" formatCode="0.0"/>
  </numFmts>
  <fonts count="46" x14ac:knownFonts="1">
    <font>
      <sz val="11"/>
      <color theme="1"/>
      <name val="Aptos Narrow"/>
      <family val="2"/>
      <scheme val="minor"/>
    </font>
    <font>
      <b/>
      <sz val="11"/>
      <color theme="0"/>
      <name val="Aptos Narrow"/>
      <family val="2"/>
      <scheme val="minor"/>
    </font>
    <font>
      <b/>
      <sz val="11"/>
      <color theme="1"/>
      <name val="Aptos Narrow"/>
      <family val="2"/>
      <scheme val="minor"/>
    </font>
    <font>
      <b/>
      <sz val="12"/>
      <color theme="0"/>
      <name val="Aptos Narrow"/>
      <family val="2"/>
      <scheme val="minor"/>
    </font>
    <font>
      <sz val="12"/>
      <color theme="1"/>
      <name val="Aptos Narrow"/>
      <family val="2"/>
      <scheme val="minor"/>
    </font>
    <font>
      <b/>
      <sz val="18"/>
      <color theme="0"/>
      <name val="Aptos Narrow"/>
      <family val="2"/>
      <scheme val="minor"/>
    </font>
    <font>
      <b/>
      <sz val="14"/>
      <color theme="0"/>
      <name val="Aptos Narrow"/>
      <family val="2"/>
      <scheme val="minor"/>
    </font>
    <font>
      <b/>
      <sz val="20"/>
      <color theme="0"/>
      <name val="Aptos Narrow"/>
      <family val="2"/>
      <scheme val="minor"/>
    </font>
    <font>
      <u/>
      <sz val="11"/>
      <color theme="10"/>
      <name val="Aptos Narrow"/>
      <family val="2"/>
      <scheme val="minor"/>
    </font>
    <font>
      <b/>
      <sz val="14"/>
      <color theme="1"/>
      <name val="Aptos Narrow"/>
      <family val="2"/>
      <scheme val="minor"/>
    </font>
    <font>
      <i/>
      <sz val="11"/>
      <color theme="0"/>
      <name val="Aptos Narrow"/>
      <family val="2"/>
      <scheme val="minor"/>
    </font>
    <font>
      <sz val="8"/>
      <color theme="0"/>
      <name val="Aptos Narrow"/>
      <family val="2"/>
      <scheme val="minor"/>
    </font>
    <font>
      <sz val="12"/>
      <color theme="0"/>
      <name val="Aptos Narrow"/>
      <family val="2"/>
      <scheme val="minor"/>
    </font>
    <font>
      <i/>
      <sz val="10"/>
      <color theme="1"/>
      <name val="Aptos Narrow"/>
      <family val="2"/>
      <scheme val="minor"/>
    </font>
    <font>
      <b/>
      <sz val="10"/>
      <color theme="1"/>
      <name val="Aptos Narrow"/>
      <family val="2"/>
      <scheme val="minor"/>
    </font>
    <font>
      <sz val="10"/>
      <color theme="1"/>
      <name val="Aptos Narrow"/>
      <family val="2"/>
      <scheme val="minor"/>
    </font>
    <font>
      <sz val="10"/>
      <color theme="1"/>
      <name val="Aptos Narrow"/>
      <family val="2"/>
    </font>
    <font>
      <i/>
      <sz val="10"/>
      <color theme="1"/>
      <name val="Aptos Narrow"/>
      <family val="2"/>
    </font>
    <font>
      <b/>
      <i/>
      <sz val="10"/>
      <color theme="1"/>
      <name val="Aptos Narrow"/>
      <family val="2"/>
      <scheme val="minor"/>
    </font>
    <font>
      <b/>
      <sz val="9"/>
      <color indexed="81"/>
      <name val="Tahoma"/>
      <family val="2"/>
    </font>
    <font>
      <sz val="9"/>
      <color indexed="81"/>
      <name val="Tahoma"/>
      <family val="2"/>
    </font>
    <font>
      <i/>
      <sz val="11"/>
      <color theme="1"/>
      <name val="Aptos Narrow"/>
      <family val="2"/>
      <scheme val="minor"/>
    </font>
    <font>
      <sz val="9"/>
      <color theme="1"/>
      <name val="Aptos Narrow"/>
      <family val="2"/>
      <scheme val="minor"/>
    </font>
    <font>
      <sz val="11"/>
      <color theme="1"/>
      <name val="Aptos Narrow"/>
      <family val="2"/>
      <scheme val="minor"/>
    </font>
    <font>
      <b/>
      <sz val="8"/>
      <color theme="0"/>
      <name val="Aptos Narrow"/>
      <family val="2"/>
      <scheme val="minor"/>
    </font>
    <font>
      <sz val="8"/>
      <color theme="1"/>
      <name val="Aptos Narrow"/>
      <family val="2"/>
      <scheme val="minor"/>
    </font>
    <font>
      <sz val="11"/>
      <color theme="0"/>
      <name val="Aptos Narrow"/>
      <family val="2"/>
      <scheme val="minor"/>
    </font>
    <font>
      <sz val="16"/>
      <color theme="1"/>
      <name val="Aptos Narrow"/>
      <family val="2"/>
      <scheme val="minor"/>
    </font>
    <font>
      <sz val="10"/>
      <color rgb="FF000000"/>
      <name val="Aptos Narrow"/>
      <family val="2"/>
      <scheme val="minor"/>
    </font>
    <font>
      <i/>
      <sz val="11"/>
      <color rgb="FF000000"/>
      <name val="Aptos Narrow"/>
      <family val="2"/>
      <scheme val="minor"/>
    </font>
    <font>
      <sz val="11"/>
      <name val="Aptos Narrow"/>
      <family val="2"/>
      <scheme val="minor"/>
    </font>
    <font>
      <sz val="11"/>
      <color rgb="FF000000"/>
      <name val="Aptos Narrow"/>
      <family val="2"/>
      <scheme val="minor"/>
    </font>
    <font>
      <b/>
      <sz val="22"/>
      <color theme="1" tint="0.34998626667073579"/>
      <name val="Aptos Display"/>
      <family val="2"/>
      <scheme val="major"/>
    </font>
    <font>
      <sz val="10"/>
      <name val="Aptos Narrow"/>
      <family val="2"/>
      <scheme val="minor"/>
    </font>
    <font>
      <sz val="14"/>
      <color theme="1"/>
      <name val="Aptos Narrow"/>
      <family val="2"/>
      <scheme val="minor"/>
    </font>
    <font>
      <u/>
      <sz val="11"/>
      <color indexed="12"/>
      <name val="Arial"/>
      <family val="2"/>
    </font>
    <font>
      <sz val="8"/>
      <name val="Aptos Narrow"/>
      <family val="2"/>
      <scheme val="minor"/>
    </font>
    <font>
      <b/>
      <sz val="16"/>
      <color theme="1"/>
      <name val="Aptos Narrow"/>
      <family val="2"/>
      <scheme val="minor"/>
    </font>
    <font>
      <i/>
      <sz val="10"/>
      <color rgb="FF0070C0"/>
      <name val="Aptos Narrow"/>
      <family val="2"/>
      <scheme val="minor"/>
    </font>
    <font>
      <i/>
      <sz val="12"/>
      <color rgb="FF0070C0"/>
      <name val="Aptos Narrow"/>
      <family val="2"/>
      <scheme val="minor"/>
    </font>
    <font>
      <b/>
      <i/>
      <sz val="11"/>
      <color theme="1"/>
      <name val="Aptos Narrow"/>
      <family val="2"/>
      <scheme val="minor"/>
    </font>
    <font>
      <b/>
      <i/>
      <sz val="12"/>
      <color theme="1"/>
      <name val="Aptos Narrow"/>
      <family val="2"/>
      <scheme val="minor"/>
    </font>
    <font>
      <sz val="10"/>
      <color rgb="FF000000"/>
      <name val="Aptos Narrow"/>
      <family val="2"/>
    </font>
    <font>
      <b/>
      <sz val="9"/>
      <color indexed="81"/>
      <name val="Tahoma"/>
      <charset val="1"/>
    </font>
    <font>
      <sz val="9"/>
      <color indexed="81"/>
      <name val="Tahoma"/>
      <charset val="1"/>
    </font>
    <font>
      <sz val="18"/>
      <color theme="1"/>
      <name val="Aptos Narrow"/>
      <family val="2"/>
      <scheme val="minor"/>
    </font>
  </fonts>
  <fills count="40">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rgb="FF00B050"/>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3"/>
        <bgColor indexed="64"/>
      </patternFill>
    </fill>
    <fill>
      <patternFill patternType="solid">
        <fgColor theme="4"/>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6"/>
        <bgColor indexed="64"/>
      </patternFill>
    </fill>
    <fill>
      <patternFill patternType="solid">
        <fgColor theme="6" tint="-0.499984740745262"/>
        <bgColor indexed="64"/>
      </patternFill>
    </fill>
    <fill>
      <patternFill patternType="solid">
        <fgColor rgb="FFFFFFCC"/>
        <bgColor indexed="64"/>
      </patternFill>
    </fill>
    <fill>
      <patternFill patternType="solid">
        <fgColor theme="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3" tint="0.89999084444715716"/>
        <bgColor indexed="64"/>
      </patternFill>
    </fill>
    <fill>
      <patternFill patternType="solid">
        <fgColor theme="5"/>
        <bgColor indexed="64"/>
      </patternFill>
    </fill>
    <fill>
      <patternFill patternType="solid">
        <fgColor rgb="FF00206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CCFF"/>
        <bgColor indexed="64"/>
      </patternFill>
    </fill>
    <fill>
      <patternFill patternType="solid">
        <fgColor rgb="FFE8E8E8"/>
        <bgColor rgb="FF000000"/>
      </patternFill>
    </fill>
    <fill>
      <patternFill patternType="solid">
        <fgColor rgb="FFDAF2D0"/>
        <bgColor rgb="FF000000"/>
      </patternFill>
    </fill>
    <fill>
      <patternFill patternType="solid">
        <fgColor rgb="FFFFFFCC"/>
        <bgColor rgb="FF000000"/>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FFFF"/>
        <bgColor rgb="FF000000"/>
      </patternFill>
    </fill>
    <fill>
      <patternFill patternType="solid">
        <fgColor rgb="FFFFFF00"/>
        <bgColor indexed="64"/>
      </patternFill>
    </fill>
    <fill>
      <patternFill patternType="solid">
        <fgColor theme="6" tint="0.59999389629810485"/>
        <bgColor indexed="64"/>
      </patternFill>
    </fill>
    <fill>
      <patternFill patternType="solid">
        <fgColor theme="3" tint="0.499984740745262"/>
        <bgColor indexed="64"/>
      </patternFill>
    </fill>
    <fill>
      <patternFill patternType="solid">
        <fgColor rgb="FF92D050"/>
        <bgColor indexed="64"/>
      </patternFill>
    </fill>
    <fill>
      <patternFill patternType="solid">
        <fgColor theme="0" tint="-4.9989318521683403E-2"/>
        <bgColor indexed="64"/>
      </patternFill>
    </fill>
  </fills>
  <borders count="193">
    <border>
      <left/>
      <right/>
      <top/>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dotted">
        <color theme="0" tint="-0.499984740745262"/>
      </left>
      <right style="dotted">
        <color theme="0" tint="-0.499984740745262"/>
      </right>
      <top style="dotted">
        <color theme="0" tint="-0.499984740745262"/>
      </top>
      <bottom style="dotted">
        <color theme="0" tint="-0.499984740745262"/>
      </bottom>
      <diagonal/>
    </border>
    <border>
      <left style="thin">
        <color theme="0"/>
      </left>
      <right/>
      <top/>
      <bottom style="thin">
        <color theme="0"/>
      </bottom>
      <diagonal/>
    </border>
    <border>
      <left/>
      <right style="thin">
        <color theme="0"/>
      </right>
      <top/>
      <bottom style="thin">
        <color theme="0"/>
      </bottom>
      <diagonal/>
    </border>
    <border>
      <left style="dotted">
        <color theme="0" tint="-0.499984740745262"/>
      </left>
      <right/>
      <top style="dotted">
        <color theme="0" tint="-0.499984740745262"/>
      </top>
      <bottom style="dotted">
        <color theme="0"/>
      </bottom>
      <diagonal/>
    </border>
    <border>
      <left/>
      <right style="dotted">
        <color theme="0"/>
      </right>
      <top style="dotted">
        <color theme="0" tint="-0.499984740745262"/>
      </top>
      <bottom style="dotted">
        <color theme="0"/>
      </bottom>
      <diagonal/>
    </border>
    <border>
      <left style="dotted">
        <color theme="0"/>
      </left>
      <right style="dotted">
        <color theme="0"/>
      </right>
      <top style="dotted">
        <color theme="0"/>
      </top>
      <bottom/>
      <diagonal/>
    </border>
    <border>
      <left/>
      <right/>
      <top style="dotted">
        <color theme="0"/>
      </top>
      <bottom style="dotted">
        <color theme="0"/>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right style="thin">
        <color theme="0"/>
      </right>
      <top style="thin">
        <color theme="0"/>
      </top>
      <bottom style="thin">
        <color theme="0"/>
      </bottom>
      <diagonal/>
    </border>
    <border>
      <left style="dotted">
        <color theme="0"/>
      </left>
      <right style="dotted">
        <color theme="0"/>
      </right>
      <top style="dotted">
        <color theme="0"/>
      </top>
      <bottom style="dotted">
        <color theme="0"/>
      </bottom>
      <diagonal/>
    </border>
    <border>
      <left style="dotted">
        <color theme="0"/>
      </left>
      <right style="dotted">
        <color theme="0"/>
      </right>
      <top/>
      <bottom style="dotted">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dotted">
        <color theme="0" tint="-0.499984740745262"/>
      </left>
      <right style="dotted">
        <color theme="0" tint="-0.499984740745262"/>
      </right>
      <top/>
      <bottom style="dotted">
        <color theme="0" tint="-0.499984740745262"/>
      </bottom>
      <diagonal/>
    </border>
    <border>
      <left style="dotted">
        <color theme="0" tint="-0.499984740745262"/>
      </left>
      <right/>
      <top/>
      <bottom style="dotted">
        <color theme="0" tint="-0.499984740745262"/>
      </bottom>
      <diagonal/>
    </border>
    <border>
      <left/>
      <right/>
      <top/>
      <bottom style="thin">
        <color theme="0"/>
      </bottom>
      <diagonal/>
    </border>
    <border>
      <left style="medium">
        <color indexed="64"/>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diagonal/>
    </border>
    <border>
      <left style="medium">
        <color indexed="64"/>
      </left>
      <right style="thin">
        <color theme="0"/>
      </right>
      <top style="thin">
        <color theme="0"/>
      </top>
      <bottom/>
      <diagonal/>
    </border>
    <border>
      <left style="thin">
        <color theme="0"/>
      </left>
      <right style="thin">
        <color theme="0"/>
      </right>
      <top style="thin">
        <color theme="0"/>
      </top>
      <bottom/>
      <diagonal/>
    </border>
    <border>
      <left style="thin">
        <color theme="0"/>
      </left>
      <right style="medium">
        <color indexed="64"/>
      </right>
      <top style="thin">
        <color theme="0"/>
      </top>
      <bottom/>
      <diagonal/>
    </border>
    <border>
      <left style="dotted">
        <color theme="0" tint="-0.499984740745262"/>
      </left>
      <right/>
      <top style="dotted">
        <color theme="0" tint="-0.499984740745262"/>
      </top>
      <bottom style="dotted">
        <color theme="0" tint="-0.499984740745262"/>
      </bottom>
      <diagonal/>
    </border>
    <border>
      <left style="medium">
        <color indexed="64"/>
      </left>
      <right style="dotted">
        <color theme="0" tint="-0.499984740745262"/>
      </right>
      <top style="dotted">
        <color theme="0" tint="-0.499984740745262"/>
      </top>
      <bottom style="dotted">
        <color theme="0" tint="-0.499984740745262"/>
      </bottom>
      <diagonal/>
    </border>
    <border>
      <left/>
      <right style="dotted">
        <color theme="0" tint="-0.499984740745262"/>
      </right>
      <top style="dotted">
        <color theme="0" tint="-0.499984740745262"/>
      </top>
      <bottom style="dotted">
        <color theme="0" tint="-0.499984740745262"/>
      </bottom>
      <diagonal/>
    </border>
    <border>
      <left style="medium">
        <color indexed="64"/>
      </left>
      <right style="dotted">
        <color theme="0" tint="-0.499984740745262"/>
      </right>
      <top style="dotted">
        <color theme="0" tint="-0.499984740745262"/>
      </top>
      <bottom style="medium">
        <color indexed="64"/>
      </bottom>
      <diagonal/>
    </border>
    <border>
      <left style="dotted">
        <color theme="0" tint="-0.499984740745262"/>
      </left>
      <right style="dotted">
        <color theme="0" tint="-0.499984740745262"/>
      </right>
      <top style="dotted">
        <color theme="0" tint="-0.499984740745262"/>
      </top>
      <bottom style="medium">
        <color indexed="64"/>
      </bottom>
      <diagonal/>
    </border>
    <border>
      <left/>
      <right style="medium">
        <color indexed="64"/>
      </right>
      <top style="medium">
        <color indexed="64"/>
      </top>
      <bottom style="thin">
        <color theme="0"/>
      </bottom>
      <diagonal/>
    </border>
    <border>
      <left/>
      <right style="medium">
        <color indexed="64"/>
      </right>
      <top style="thin">
        <color theme="0"/>
      </top>
      <bottom style="thin">
        <color theme="0"/>
      </bottom>
      <diagonal/>
    </border>
    <border>
      <left/>
      <right style="medium">
        <color indexed="64"/>
      </right>
      <top/>
      <bottom style="thin">
        <color theme="0"/>
      </bottom>
      <diagonal/>
    </border>
    <border>
      <left/>
      <right style="medium">
        <color indexed="64"/>
      </right>
      <top style="thin">
        <color theme="0"/>
      </top>
      <bottom/>
      <diagonal/>
    </border>
    <border>
      <left/>
      <right style="medium">
        <color indexed="64"/>
      </right>
      <top style="dotted">
        <color theme="0" tint="-0.499984740745262"/>
      </top>
      <bottom style="dotted">
        <color theme="0" tint="-0.499984740745262"/>
      </bottom>
      <diagonal/>
    </border>
    <border>
      <left/>
      <right style="medium">
        <color indexed="64"/>
      </right>
      <top style="dotted">
        <color theme="0" tint="-0.499984740745262"/>
      </top>
      <bottom style="medium">
        <color indexed="64"/>
      </bottom>
      <diagonal/>
    </border>
    <border>
      <left/>
      <right style="thin">
        <color theme="0"/>
      </right>
      <top style="medium">
        <color indexed="64"/>
      </top>
      <bottom style="thin">
        <color theme="0"/>
      </bottom>
      <diagonal/>
    </border>
    <border>
      <left style="dotted">
        <color theme="0" tint="-0.499984740745262"/>
      </left>
      <right/>
      <top/>
      <bottom style="thin">
        <color theme="0"/>
      </bottom>
      <diagonal/>
    </border>
    <border>
      <left style="thin">
        <color theme="0"/>
      </left>
      <right style="thin">
        <color theme="0"/>
      </right>
      <top style="thin">
        <color theme="0"/>
      </top>
      <bottom style="dotted">
        <color theme="1" tint="0.499984740745262"/>
      </bottom>
      <diagonal/>
    </border>
    <border>
      <left style="medium">
        <color indexed="64"/>
      </left>
      <right/>
      <top style="dotted">
        <color theme="0" tint="-0.499984740745262"/>
      </top>
      <bottom style="dotted">
        <color theme="0" tint="-0.499984740745262"/>
      </bottom>
      <diagonal/>
    </border>
    <border>
      <left style="dotted">
        <color theme="1" tint="0.499984740745262"/>
      </left>
      <right style="dotted">
        <color theme="1" tint="0.499984740745262"/>
      </right>
      <top style="dotted">
        <color theme="1" tint="0.499984740745262"/>
      </top>
      <bottom style="dotted">
        <color theme="0" tint="-0.499984740745262"/>
      </bottom>
      <diagonal/>
    </border>
    <border>
      <left style="dotted">
        <color theme="1" tint="0.499984740745262"/>
      </left>
      <right style="dotted">
        <color theme="1" tint="0.499984740745262"/>
      </right>
      <top style="dotted">
        <color theme="0" tint="-0.499984740745262"/>
      </top>
      <bottom style="dotted">
        <color theme="0" tint="-0.499984740745262"/>
      </bottom>
      <diagonal/>
    </border>
    <border>
      <left style="dotted">
        <color theme="1" tint="0.499984740745262"/>
      </left>
      <right style="medium">
        <color indexed="64"/>
      </right>
      <top style="dotted">
        <color theme="0" tint="-0.499984740745262"/>
      </top>
      <bottom style="dotted">
        <color theme="0" tint="-0.499984740745262"/>
      </bottom>
      <diagonal/>
    </border>
    <border>
      <left style="dotted">
        <color theme="0" tint="-0.499984740745262"/>
      </left>
      <right style="dotted">
        <color theme="0" tint="-0.499984740745262"/>
      </right>
      <top style="dotted">
        <color theme="0" tint="-0.499984740745262"/>
      </top>
      <bottom/>
      <diagonal/>
    </border>
    <border>
      <left style="dotted">
        <color theme="0" tint="-0.499984740745262"/>
      </left>
      <right style="dotted">
        <color theme="0" tint="-0.499984740745262"/>
      </right>
      <top/>
      <bottom/>
      <diagonal/>
    </border>
    <border>
      <left style="medium">
        <color indexed="64"/>
      </left>
      <right style="dotted">
        <color indexed="64"/>
      </right>
      <top style="dotted">
        <color theme="0" tint="-0.499984740745262"/>
      </top>
      <bottom style="medium">
        <color indexed="64"/>
      </bottom>
      <diagonal/>
    </border>
    <border>
      <left style="dotted">
        <color indexed="64"/>
      </left>
      <right style="dotted">
        <color indexed="64"/>
      </right>
      <top style="dotted">
        <color theme="0" tint="-0.499984740745262"/>
      </top>
      <bottom style="medium">
        <color indexed="64"/>
      </bottom>
      <diagonal/>
    </border>
    <border>
      <left/>
      <right/>
      <top style="dotted">
        <color theme="0" tint="-0.499984740745262"/>
      </top>
      <bottom style="medium">
        <color indexed="64"/>
      </bottom>
      <diagonal/>
    </border>
    <border>
      <left/>
      <right/>
      <top style="dotted">
        <color theme="1" tint="0.499984740745262"/>
      </top>
      <bottom/>
      <diagonal/>
    </border>
    <border>
      <left/>
      <right style="dotted">
        <color theme="0" tint="-0.499984740745262"/>
      </right>
      <top style="dotted">
        <color theme="0" tint="-0.499984740745262"/>
      </top>
      <bottom style="medium">
        <color indexed="64"/>
      </bottom>
      <diagonal/>
    </border>
    <border>
      <left/>
      <right/>
      <top style="medium">
        <color indexed="64"/>
      </top>
      <bottom style="thin">
        <color theme="0"/>
      </bottom>
      <diagonal/>
    </border>
    <border>
      <left/>
      <right/>
      <top style="dotted">
        <color theme="0" tint="-0.499984740745262"/>
      </top>
      <bottom style="dotted">
        <color theme="0" tint="-0.499984740745262"/>
      </bottom>
      <diagonal/>
    </border>
    <border>
      <left/>
      <right style="dotted">
        <color theme="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dotted">
        <color theme="0"/>
      </right>
      <top style="dotted">
        <color theme="0" tint="-0.499984740745262"/>
      </top>
      <bottom/>
      <diagonal/>
    </border>
    <border>
      <left style="thin">
        <color theme="0"/>
      </left>
      <right/>
      <top style="medium">
        <color indexed="64"/>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dotted">
        <color theme="0" tint="-0.499984740745262"/>
      </bottom>
      <diagonal/>
    </border>
    <border>
      <left style="medium">
        <color indexed="64"/>
      </left>
      <right/>
      <top style="dotted">
        <color theme="0" tint="-0.499984740745262"/>
      </top>
      <bottom style="medium">
        <color indexed="64"/>
      </bottom>
      <diagonal/>
    </border>
    <border>
      <left style="medium">
        <color indexed="64"/>
      </left>
      <right style="thin">
        <color theme="0"/>
      </right>
      <top style="medium">
        <color indexed="64"/>
      </top>
      <bottom/>
      <diagonal/>
    </border>
    <border>
      <left style="thin">
        <color theme="0"/>
      </left>
      <right style="medium">
        <color indexed="64"/>
      </right>
      <top style="medium">
        <color indexed="64"/>
      </top>
      <bottom/>
      <diagonal/>
    </border>
    <border>
      <left style="medium">
        <color indexed="64"/>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dotted">
        <color theme="0" tint="-0.499984740745262"/>
      </bottom>
      <diagonal/>
    </border>
    <border>
      <left style="medium">
        <color indexed="64"/>
      </left>
      <right style="thin">
        <color indexed="64"/>
      </right>
      <top style="dotted">
        <color theme="0" tint="-0.499984740745262"/>
      </top>
      <bottom style="dotted">
        <color theme="0" tint="-0.499984740745262"/>
      </bottom>
      <diagonal/>
    </border>
    <border>
      <left style="medium">
        <color indexed="64"/>
      </left>
      <right style="thin">
        <color indexed="64"/>
      </right>
      <top style="dotted">
        <color theme="0" tint="-0.499984740745262"/>
      </top>
      <bottom style="medium">
        <color indexed="64"/>
      </bottom>
      <diagonal/>
    </border>
    <border>
      <left/>
      <right style="thin">
        <color indexed="64"/>
      </right>
      <top/>
      <bottom/>
      <diagonal/>
    </border>
    <border>
      <left style="medium">
        <color indexed="64"/>
      </left>
      <right style="medium">
        <color indexed="64"/>
      </right>
      <top style="medium">
        <color indexed="64"/>
      </top>
      <bottom style="dotted">
        <color theme="0" tint="-0.499984740745262"/>
      </bottom>
      <diagonal/>
    </border>
    <border>
      <left style="medium">
        <color indexed="64"/>
      </left>
      <right style="medium">
        <color indexed="64"/>
      </right>
      <top style="dotted">
        <color theme="0" tint="-0.499984740745262"/>
      </top>
      <bottom style="dotted">
        <color theme="0" tint="-0.499984740745262"/>
      </bottom>
      <diagonal/>
    </border>
    <border>
      <left style="medium">
        <color indexed="64"/>
      </left>
      <right style="medium">
        <color indexed="64"/>
      </right>
      <top style="dotted">
        <color theme="0" tint="-0.499984740745262"/>
      </top>
      <bottom style="medium">
        <color indexed="64"/>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
      <left style="dotted">
        <color rgb="FF808080"/>
      </left>
      <right style="dotted">
        <color rgb="FF808080"/>
      </right>
      <top/>
      <bottom/>
      <diagonal/>
    </border>
    <border>
      <left style="dotted">
        <color rgb="FF808080"/>
      </left>
      <right style="dotted">
        <color rgb="FF808080"/>
      </right>
      <top style="dotted">
        <color rgb="FF808080"/>
      </top>
      <bottom style="dotted">
        <color rgb="FF808080"/>
      </bottom>
      <diagonal/>
    </border>
    <border>
      <left style="dotted">
        <color rgb="FF808080"/>
      </left>
      <right style="dotted">
        <color rgb="FF808080"/>
      </right>
      <top style="dotted">
        <color rgb="FF80808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theme="0"/>
      </top>
      <bottom/>
      <diagonal/>
    </border>
    <border>
      <left style="thin">
        <color indexed="64"/>
      </left>
      <right style="medium">
        <color indexed="64"/>
      </right>
      <top style="thin">
        <color theme="0"/>
      </top>
      <bottom/>
      <diagonal/>
    </border>
    <border>
      <left style="medium">
        <color indexed="64"/>
      </left>
      <right style="thin">
        <color indexed="64"/>
      </right>
      <top style="thin">
        <color theme="0"/>
      </top>
      <bottom style="medium">
        <color indexed="64"/>
      </bottom>
      <diagonal/>
    </border>
    <border>
      <left style="thin">
        <color indexed="64"/>
      </left>
      <right style="medium">
        <color indexed="64"/>
      </right>
      <top style="thin">
        <color theme="0"/>
      </top>
      <bottom style="medium">
        <color indexed="64"/>
      </bottom>
      <diagonal/>
    </border>
    <border>
      <left style="thin">
        <color indexed="64"/>
      </left>
      <right/>
      <top style="medium">
        <color indexed="64"/>
      </top>
      <bottom/>
      <diagonal/>
    </border>
    <border>
      <left style="thin">
        <color indexed="64"/>
      </left>
      <right/>
      <top style="thin">
        <color theme="0"/>
      </top>
      <bottom/>
      <diagonal/>
    </border>
    <border>
      <left style="thin">
        <color indexed="64"/>
      </left>
      <right/>
      <top style="thin">
        <color theme="0"/>
      </top>
      <bottom style="medium">
        <color indexed="64"/>
      </bottom>
      <diagonal/>
    </border>
    <border>
      <left style="medium">
        <color indexed="64"/>
      </left>
      <right style="medium">
        <color indexed="64"/>
      </right>
      <top style="thin">
        <color theme="0"/>
      </top>
      <bottom/>
      <diagonal/>
    </border>
    <border>
      <left style="medium">
        <color indexed="64"/>
      </left>
      <right style="medium">
        <color indexed="64"/>
      </right>
      <top style="thin">
        <color theme="0"/>
      </top>
      <bottom style="medium">
        <color indexed="64"/>
      </bottom>
      <diagonal/>
    </border>
    <border>
      <left/>
      <right style="medium">
        <color indexed="64"/>
      </right>
      <top style="thin">
        <color theme="0"/>
      </top>
      <bottom style="medium">
        <color indexed="64"/>
      </bottom>
      <diagonal/>
    </border>
    <border>
      <left style="dotted">
        <color theme="0" tint="-0.499984740745262"/>
      </left>
      <right style="dotted">
        <color theme="0" tint="-0.499984740745262"/>
      </right>
      <top style="dotted">
        <color theme="0"/>
      </top>
      <bottom/>
      <diagonal/>
    </border>
    <border>
      <left style="dotted">
        <color theme="0" tint="-0.499984740745262"/>
      </left>
      <right/>
      <top/>
      <bottom/>
      <diagonal/>
    </border>
    <border>
      <left style="dotted">
        <color theme="0" tint="-0.499984740745262"/>
      </left>
      <right/>
      <top style="dotted">
        <color theme="0" tint="-0.499984740745262"/>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medium">
        <color theme="0" tint="-0.14996795556505021"/>
      </top>
      <bottom style="medium">
        <color theme="0" tint="-0.14996795556505021"/>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left>
      <right style="dotted">
        <color theme="0" tint="-0.499984740745262"/>
      </right>
      <top style="thin">
        <color theme="0"/>
      </top>
      <bottom/>
      <diagonal/>
    </border>
    <border>
      <left style="thin">
        <color theme="0"/>
      </left>
      <right style="dotted">
        <color theme="0" tint="-0.499984740745262"/>
      </right>
      <top/>
      <bottom/>
      <diagonal/>
    </border>
    <border>
      <left style="thin">
        <color theme="0"/>
      </left>
      <right style="dotted">
        <color theme="0" tint="-0.499984740745262"/>
      </right>
      <top/>
      <bottom style="thin">
        <color theme="0"/>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medium">
        <color indexed="64"/>
      </left>
      <right/>
      <top style="thin">
        <color theme="0"/>
      </top>
      <bottom style="medium">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thin">
        <color indexed="64"/>
      </right>
      <top style="thin">
        <color theme="0"/>
      </top>
      <bottom style="thin">
        <color theme="0"/>
      </bottom>
      <diagonal/>
    </border>
    <border>
      <left style="medium">
        <color theme="1"/>
      </left>
      <right/>
      <top style="thin">
        <color theme="0"/>
      </top>
      <bottom style="thin">
        <color theme="0"/>
      </bottom>
      <diagonal/>
    </border>
    <border>
      <left style="medium">
        <color indexed="64"/>
      </left>
      <right/>
      <top style="thin">
        <color theme="0"/>
      </top>
      <bottom style="thin">
        <color theme="0"/>
      </bottom>
      <diagonal/>
    </border>
    <border>
      <left style="medium">
        <color indexed="64"/>
      </left>
      <right/>
      <top style="medium">
        <color indexed="64"/>
      </top>
      <bottom style="thin">
        <color theme="0"/>
      </bottom>
      <diagonal/>
    </border>
    <border>
      <left/>
      <right/>
      <top style="thin">
        <color theme="0"/>
      </top>
      <bottom style="medium">
        <color indexed="64"/>
      </bottom>
      <diagonal/>
    </border>
    <border>
      <left/>
      <right style="thin">
        <color theme="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dotted">
        <color theme="0" tint="-0.499984740745262"/>
      </top>
      <bottom/>
      <diagonal/>
    </border>
    <border>
      <left style="medium">
        <color indexed="64"/>
      </left>
      <right style="thin">
        <color indexed="64"/>
      </right>
      <top style="dotted">
        <color theme="0" tint="-0.499984740745262"/>
      </top>
      <bottom/>
      <diagonal/>
    </border>
    <border>
      <left style="medium">
        <color indexed="64"/>
      </left>
      <right/>
      <top style="dotted">
        <color theme="0"/>
      </top>
      <bottom style="medium">
        <color indexed="64"/>
      </bottom>
      <diagonal/>
    </border>
    <border>
      <left style="medium">
        <color indexed="64"/>
      </left>
      <right style="thin">
        <color indexed="64"/>
      </right>
      <top style="dotted">
        <color theme="0"/>
      </top>
      <bottom style="medium">
        <color indexed="64"/>
      </bottom>
      <diagonal/>
    </border>
    <border>
      <left style="medium">
        <color indexed="64"/>
      </left>
      <right style="medium">
        <color indexed="64"/>
      </right>
      <top style="medium">
        <color indexed="64"/>
      </top>
      <bottom style="hair">
        <color theme="0"/>
      </bottom>
      <diagonal/>
    </border>
    <border>
      <left style="medium">
        <color indexed="64"/>
      </left>
      <right/>
      <top style="medium">
        <color indexed="64"/>
      </top>
      <bottom style="hair">
        <color theme="0"/>
      </bottom>
      <diagonal/>
    </border>
    <border>
      <left style="medium">
        <color indexed="64"/>
      </left>
      <right style="medium">
        <color indexed="64"/>
      </right>
      <top style="hair">
        <color theme="0"/>
      </top>
      <bottom style="hair">
        <color theme="0"/>
      </bottom>
      <diagonal/>
    </border>
    <border>
      <left/>
      <right style="medium">
        <color indexed="64"/>
      </right>
      <top style="hair">
        <color theme="0"/>
      </top>
      <bottom style="hair">
        <color theme="0"/>
      </bottom>
      <diagonal/>
    </border>
    <border>
      <left style="medium">
        <color indexed="64"/>
      </left>
      <right style="medium">
        <color indexed="64"/>
      </right>
      <top style="hair">
        <color theme="0"/>
      </top>
      <bottom style="medium">
        <color indexed="64"/>
      </bottom>
      <diagonal/>
    </border>
    <border>
      <left/>
      <right style="medium">
        <color indexed="64"/>
      </right>
      <top style="hair">
        <color theme="0"/>
      </top>
      <bottom style="medium">
        <color indexed="64"/>
      </bottom>
      <diagonal/>
    </border>
    <border>
      <left style="medium">
        <color indexed="64"/>
      </left>
      <right style="medium">
        <color indexed="64"/>
      </right>
      <top style="dotted">
        <color theme="0"/>
      </top>
      <bottom style="medium">
        <color indexed="64"/>
      </bottom>
      <diagonal/>
    </border>
    <border>
      <left style="thin">
        <color indexed="64"/>
      </left>
      <right style="thin">
        <color indexed="64"/>
      </right>
      <top style="dotted">
        <color theme="0"/>
      </top>
      <bottom style="medium">
        <color indexed="64"/>
      </bottom>
      <diagonal/>
    </border>
    <border>
      <left style="thin">
        <color indexed="64"/>
      </left>
      <right style="medium">
        <color indexed="64"/>
      </right>
      <top style="dotted">
        <color theme="0"/>
      </top>
      <bottom style="medium">
        <color indexed="64"/>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
      <left style="medium">
        <color indexed="64"/>
      </left>
      <right style="thin">
        <color indexed="64"/>
      </right>
      <top style="dotted">
        <color theme="0" tint="-0.499984740745262"/>
      </top>
      <bottom style="dotted">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style="dotted">
        <color indexed="64"/>
      </top>
      <bottom style="medium">
        <color indexed="64"/>
      </bottom>
      <diagonal/>
    </border>
    <border>
      <left style="medium">
        <color indexed="64"/>
      </left>
      <right/>
      <top style="dotted">
        <color indexed="64"/>
      </top>
      <bottom style="medium">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dotted">
        <color theme="0" tint="-0.499984740745262"/>
      </top>
      <bottom/>
      <diagonal/>
    </border>
    <border>
      <left/>
      <right style="medium">
        <color indexed="64"/>
      </right>
      <top style="dotted">
        <color indexed="64"/>
      </top>
      <bottom style="medium">
        <color indexed="64"/>
      </bottom>
      <diagonal/>
    </border>
    <border>
      <left style="medium">
        <color indexed="64"/>
      </left>
      <right/>
      <top/>
      <bottom style="dotted">
        <color indexed="64"/>
      </bottom>
      <diagonal/>
    </border>
    <border>
      <left style="medium">
        <color indexed="64"/>
      </left>
      <right style="medium">
        <color indexed="64"/>
      </right>
      <top style="dotted">
        <color theme="0" tint="-0.499984740745262"/>
      </top>
      <bottom style="dotted">
        <color indexed="64"/>
      </bottom>
      <diagonal/>
    </border>
    <border>
      <left style="medium">
        <color indexed="64"/>
      </left>
      <right style="thin">
        <color indexed="64"/>
      </right>
      <top/>
      <bottom style="dotted">
        <color indexed="64"/>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rgb="FFFFFFFF"/>
      </right>
      <top/>
      <bottom style="thin">
        <color rgb="FFFFFFFF"/>
      </bottom>
      <diagonal/>
    </border>
  </borders>
  <cellStyleXfs count="13">
    <xf numFmtId="0" fontId="0" fillId="0" borderId="0"/>
    <xf numFmtId="0" fontId="8" fillId="0" borderId="0" applyNumberFormat="0" applyFill="0" applyBorder="0" applyAlignment="0" applyProtection="0"/>
    <xf numFmtId="9" fontId="23" fillId="0" borderId="0" applyFont="0" applyFill="0" applyBorder="0" applyAlignment="0" applyProtection="0"/>
    <xf numFmtId="44" fontId="23" fillId="0" borderId="0" applyFont="0" applyFill="0" applyBorder="0" applyAlignment="0" applyProtection="0"/>
    <xf numFmtId="43" fontId="23" fillId="0" borderId="0" applyFont="0" applyFill="0" applyBorder="0" applyAlignment="0" applyProtection="0"/>
    <xf numFmtId="0" fontId="32" fillId="0" borderId="0" applyNumberFormat="0" applyFill="0" applyBorder="0" applyAlignment="0" applyProtection="0"/>
    <xf numFmtId="0" fontId="34" fillId="0" borderId="0" applyNumberFormat="0" applyFill="0" applyProtection="0">
      <alignment vertical="top"/>
    </xf>
    <xf numFmtId="0" fontId="23" fillId="0" borderId="0" applyNumberFormat="0" applyFill="0" applyProtection="0">
      <alignment horizontal="right" indent="1"/>
    </xf>
    <xf numFmtId="168" fontId="23" fillId="0" borderId="115">
      <alignment horizontal="center" vertical="center"/>
    </xf>
    <xf numFmtId="0" fontId="23" fillId="0" borderId="116" applyFill="0">
      <alignment horizontal="center" vertical="center"/>
    </xf>
    <xf numFmtId="0" fontId="23" fillId="0" borderId="116" applyFill="0">
      <alignment horizontal="left" vertical="center" indent="2"/>
    </xf>
    <xf numFmtId="169" fontId="23" fillId="0" borderId="116" applyFill="0">
      <alignment horizontal="center" vertical="center"/>
    </xf>
    <xf numFmtId="0" fontId="35" fillId="0" borderId="0" applyNumberFormat="0" applyFill="0" applyBorder="0" applyAlignment="0" applyProtection="0">
      <alignment vertical="top"/>
      <protection locked="0"/>
    </xf>
  </cellStyleXfs>
  <cellXfs count="980">
    <xf numFmtId="0" fontId="0" fillId="0" borderId="0" xfId="0"/>
    <xf numFmtId="0" fontId="3" fillId="2" borderId="0" xfId="0" applyFont="1" applyFill="1" applyAlignment="1">
      <alignment horizontal="center"/>
    </xf>
    <xf numFmtId="0" fontId="0" fillId="3" borderId="0" xfId="0" applyFill="1"/>
    <xf numFmtId="0" fontId="4" fillId="3" borderId="0" xfId="0" applyFont="1" applyFill="1"/>
    <xf numFmtId="0" fontId="3" fillId="4" borderId="0" xfId="0" applyFont="1" applyFill="1" applyAlignment="1">
      <alignment horizontal="center"/>
    </xf>
    <xf numFmtId="0" fontId="3" fillId="5" borderId="0" xfId="0" applyFont="1" applyFill="1" applyAlignment="1">
      <alignment horizontal="center"/>
    </xf>
    <xf numFmtId="0" fontId="3" fillId="9" borderId="3" xfId="0" applyFont="1" applyFill="1" applyBorder="1" applyAlignment="1">
      <alignment horizontal="center" vertical="center" wrapText="1"/>
    </xf>
    <xf numFmtId="0" fontId="6" fillId="8" borderId="4" xfId="0" applyFont="1" applyFill="1" applyBorder="1" applyAlignment="1">
      <alignment horizontal="center" vertical="center"/>
    </xf>
    <xf numFmtId="16" fontId="6" fillId="8" borderId="4" xfId="0" applyNumberFormat="1" applyFont="1" applyFill="1" applyBorder="1" applyAlignment="1">
      <alignment horizontal="center" vertical="center"/>
    </xf>
    <xf numFmtId="0" fontId="3" fillId="10" borderId="5" xfId="0" applyFont="1" applyFill="1" applyBorder="1" applyAlignment="1">
      <alignment horizontal="center" vertical="center" wrapText="1"/>
    </xf>
    <xf numFmtId="0" fontId="3" fillId="10" borderId="3" xfId="0" applyFont="1" applyFill="1" applyBorder="1" applyAlignment="1">
      <alignment horizontal="center" vertical="center" wrapText="1"/>
    </xf>
    <xf numFmtId="0" fontId="2" fillId="11" borderId="6" xfId="0" applyFont="1" applyFill="1" applyBorder="1" applyAlignment="1">
      <alignment horizontal="center" vertical="center"/>
    </xf>
    <xf numFmtId="0" fontId="3" fillId="12" borderId="3" xfId="0" applyFont="1" applyFill="1" applyBorder="1" applyAlignment="1">
      <alignment horizontal="center" vertical="center" wrapText="1"/>
    </xf>
    <xf numFmtId="0" fontId="0" fillId="3" borderId="0" xfId="0" applyFill="1" applyAlignment="1">
      <alignment horizontal="left"/>
    </xf>
    <xf numFmtId="0" fontId="6" fillId="9" borderId="3" xfId="0" applyFont="1" applyFill="1" applyBorder="1" applyAlignment="1">
      <alignment vertical="center"/>
    </xf>
    <xf numFmtId="0" fontId="1" fillId="9" borderId="12" xfId="0" applyFont="1" applyFill="1" applyBorder="1"/>
    <xf numFmtId="0" fontId="1" fillId="10" borderId="13" xfId="0" applyFont="1" applyFill="1" applyBorder="1" applyAlignment="1">
      <alignment horizontal="center"/>
    </xf>
    <xf numFmtId="0" fontId="1" fillId="10" borderId="14" xfId="0" applyFont="1" applyFill="1" applyBorder="1" applyAlignment="1">
      <alignment horizontal="center"/>
    </xf>
    <xf numFmtId="0" fontId="1" fillId="9" borderId="15" xfId="0" applyFont="1" applyFill="1" applyBorder="1" applyAlignment="1">
      <alignment horizontal="center"/>
    </xf>
    <xf numFmtId="0" fontId="1" fillId="9" borderId="4" xfId="0" applyFont="1" applyFill="1" applyBorder="1" applyAlignment="1">
      <alignment horizontal="center"/>
    </xf>
    <xf numFmtId="0" fontId="1" fillId="9" borderId="3" xfId="0" applyFont="1" applyFill="1" applyBorder="1" applyAlignment="1">
      <alignment vertical="center"/>
    </xf>
    <xf numFmtId="0" fontId="6" fillId="9" borderId="16" xfId="0" applyFont="1" applyFill="1" applyBorder="1" applyAlignment="1">
      <alignment horizontal="left" vertical="center"/>
    </xf>
    <xf numFmtId="16" fontId="11" fillId="10" borderId="18" xfId="0" applyNumberFormat="1" applyFont="1" applyFill="1" applyBorder="1" applyAlignment="1">
      <alignment horizontal="center" textRotation="90"/>
    </xf>
    <xf numFmtId="16" fontId="11" fillId="10" borderId="4" xfId="0" applyNumberFormat="1" applyFont="1" applyFill="1" applyBorder="1" applyAlignment="1">
      <alignment horizontal="center" textRotation="90"/>
    </xf>
    <xf numFmtId="16" fontId="11" fillId="9" borderId="15" xfId="0" applyNumberFormat="1" applyFont="1" applyFill="1" applyBorder="1" applyAlignment="1">
      <alignment horizontal="center" textRotation="90"/>
    </xf>
    <xf numFmtId="16" fontId="11" fillId="9" borderId="4" xfId="0" applyNumberFormat="1" applyFont="1" applyFill="1" applyBorder="1" applyAlignment="1">
      <alignment horizontal="center" textRotation="90"/>
    </xf>
    <xf numFmtId="0" fontId="1" fillId="9" borderId="1" xfId="0" applyFont="1" applyFill="1" applyBorder="1" applyAlignment="1">
      <alignment vertical="center"/>
    </xf>
    <xf numFmtId="0" fontId="14" fillId="15" borderId="22" xfId="0" applyFont="1" applyFill="1" applyBorder="1" applyAlignment="1">
      <alignment horizontal="center" vertical="center"/>
    </xf>
    <xf numFmtId="0" fontId="15" fillId="15" borderId="23" xfId="0" applyFont="1" applyFill="1" applyBorder="1" applyAlignment="1">
      <alignment horizontal="center" vertical="center"/>
    </xf>
    <xf numFmtId="0" fontId="15" fillId="15" borderId="24" xfId="0" applyFont="1" applyFill="1" applyBorder="1" applyAlignment="1">
      <alignment horizontal="center" vertical="center"/>
    </xf>
    <xf numFmtId="0" fontId="15" fillId="15" borderId="8" xfId="0" applyFont="1" applyFill="1" applyBorder="1" applyAlignment="1">
      <alignment horizontal="center" vertical="center"/>
    </xf>
    <xf numFmtId="0" fontId="15" fillId="15" borderId="7" xfId="0" applyFont="1" applyFill="1" applyBorder="1" applyAlignment="1">
      <alignment horizontal="center" vertical="center"/>
    </xf>
    <xf numFmtId="0" fontId="15" fillId="15" borderId="3" xfId="0" applyFont="1" applyFill="1" applyBorder="1" applyAlignment="1">
      <alignment horizontal="center" vertical="center"/>
    </xf>
    <xf numFmtId="0" fontId="14" fillId="16" borderId="25" xfId="0" applyFont="1" applyFill="1" applyBorder="1" applyAlignment="1">
      <alignment horizontal="center" vertical="center"/>
    </xf>
    <xf numFmtId="0" fontId="15" fillId="16" borderId="26" xfId="0" applyFont="1" applyFill="1" applyBorder="1" applyAlignment="1">
      <alignment horizontal="center" vertical="center"/>
    </xf>
    <xf numFmtId="0" fontId="15" fillId="16" borderId="27" xfId="0" applyFont="1" applyFill="1" applyBorder="1" applyAlignment="1">
      <alignment horizontal="center" vertical="center"/>
    </xf>
    <xf numFmtId="0" fontId="15" fillId="16" borderId="2" xfId="0" applyFont="1" applyFill="1" applyBorder="1" applyAlignment="1">
      <alignment horizontal="center" vertical="center"/>
    </xf>
    <xf numFmtId="0" fontId="15" fillId="16" borderId="1" xfId="0" applyFont="1" applyFill="1" applyBorder="1" applyAlignment="1">
      <alignment horizontal="center" vertical="center"/>
    </xf>
    <xf numFmtId="0" fontId="14" fillId="11" borderId="29" xfId="0" applyFont="1" applyFill="1" applyBorder="1" applyAlignment="1">
      <alignment horizontal="center" vertical="center"/>
    </xf>
    <xf numFmtId="0" fontId="15" fillId="11" borderId="30" xfId="0" applyFont="1" applyFill="1" applyBorder="1" applyAlignment="1">
      <alignment horizontal="center" vertical="center"/>
    </xf>
    <xf numFmtId="0" fontId="15" fillId="11" borderId="6" xfId="0" applyFont="1" applyFill="1" applyBorder="1" applyAlignment="1">
      <alignment horizontal="center" vertical="center"/>
    </xf>
    <xf numFmtId="0" fontId="15" fillId="11" borderId="31" xfId="0" applyFont="1" applyFill="1" applyBorder="1" applyAlignment="1">
      <alignment horizontal="center" vertical="center"/>
    </xf>
    <xf numFmtId="0" fontId="15" fillId="3" borderId="6" xfId="0" applyFont="1" applyFill="1" applyBorder="1" applyAlignment="1">
      <alignment horizontal="center" vertical="center"/>
    </xf>
    <xf numFmtId="0" fontId="15" fillId="11" borderId="32" xfId="0" applyFont="1" applyFill="1" applyBorder="1" applyAlignment="1">
      <alignment horizontal="center" vertical="center"/>
    </xf>
    <xf numFmtId="0" fontId="15" fillId="11" borderId="33" xfId="0" applyFont="1" applyFill="1" applyBorder="1" applyAlignment="1">
      <alignment horizontal="center" vertical="center"/>
    </xf>
    <xf numFmtId="0" fontId="13" fillId="3" borderId="0" xfId="0" applyFont="1" applyFill="1"/>
    <xf numFmtId="0" fontId="2" fillId="3" borderId="0" xfId="0" applyFont="1" applyFill="1"/>
    <xf numFmtId="0" fontId="18" fillId="3" borderId="0" xfId="0" applyFont="1" applyFill="1" applyAlignment="1">
      <alignment horizontal="left"/>
    </xf>
    <xf numFmtId="0" fontId="1" fillId="9" borderId="13" xfId="0" applyFont="1" applyFill="1" applyBorder="1" applyAlignment="1">
      <alignment horizontal="center"/>
    </xf>
    <xf numFmtId="0" fontId="1" fillId="9" borderId="14" xfId="0" applyFont="1" applyFill="1" applyBorder="1" applyAlignment="1">
      <alignment horizontal="center"/>
    </xf>
    <xf numFmtId="16" fontId="11" fillId="9" borderId="18" xfId="0" applyNumberFormat="1" applyFont="1" applyFill="1" applyBorder="1" applyAlignment="1">
      <alignment horizontal="center" textRotation="90"/>
    </xf>
    <xf numFmtId="0" fontId="15" fillId="15" borderId="36" xfId="0" applyFont="1" applyFill="1" applyBorder="1" applyAlignment="1">
      <alignment horizontal="center" vertical="center"/>
    </xf>
    <xf numFmtId="0" fontId="15" fillId="16" borderId="37" xfId="0" applyFont="1" applyFill="1" applyBorder="1" applyAlignment="1">
      <alignment horizontal="center" vertical="center"/>
    </xf>
    <xf numFmtId="0" fontId="15" fillId="11" borderId="38" xfId="0" applyFont="1" applyFill="1" applyBorder="1" applyAlignment="1">
      <alignment horizontal="center" vertical="center"/>
    </xf>
    <xf numFmtId="0" fontId="15" fillId="11" borderId="39" xfId="0" applyFont="1" applyFill="1" applyBorder="1" applyAlignment="1">
      <alignment horizontal="center" vertical="center"/>
    </xf>
    <xf numFmtId="0" fontId="1" fillId="10" borderId="34" xfId="0" applyFont="1" applyFill="1" applyBorder="1" applyAlignment="1">
      <alignment horizontal="center"/>
    </xf>
    <xf numFmtId="16" fontId="11" fillId="10" borderId="35" xfId="0" applyNumberFormat="1" applyFont="1" applyFill="1" applyBorder="1" applyAlignment="1">
      <alignment horizontal="center" textRotation="90"/>
    </xf>
    <xf numFmtId="0" fontId="1" fillId="17" borderId="13" xfId="0" applyFont="1" applyFill="1" applyBorder="1" applyAlignment="1">
      <alignment horizontal="center"/>
    </xf>
    <xf numFmtId="0" fontId="1" fillId="17" borderId="40" xfId="0" applyFont="1" applyFill="1" applyBorder="1" applyAlignment="1">
      <alignment horizontal="center"/>
    </xf>
    <xf numFmtId="0" fontId="1" fillId="17" borderId="34" xfId="0" applyFont="1" applyFill="1" applyBorder="1" applyAlignment="1">
      <alignment horizontal="center"/>
    </xf>
    <xf numFmtId="16" fontId="11" fillId="17" borderId="18" xfId="0" applyNumberFormat="1" applyFont="1" applyFill="1" applyBorder="1" applyAlignment="1">
      <alignment horizontal="center" textRotation="90"/>
    </xf>
    <xf numFmtId="16" fontId="11" fillId="17" borderId="4" xfId="0" applyNumberFormat="1" applyFont="1" applyFill="1" applyBorder="1" applyAlignment="1">
      <alignment horizontal="center" textRotation="90"/>
    </xf>
    <xf numFmtId="16" fontId="11" fillId="17" borderId="19" xfId="0" applyNumberFormat="1" applyFont="1" applyFill="1" applyBorder="1" applyAlignment="1">
      <alignment horizontal="center" textRotation="90"/>
    </xf>
    <xf numFmtId="0" fontId="14" fillId="15" borderId="41" xfId="0" applyFont="1" applyFill="1" applyBorder="1" applyAlignment="1">
      <alignment horizontal="center" vertical="center"/>
    </xf>
    <xf numFmtId="0" fontId="15" fillId="15" borderId="18" xfId="0" applyFont="1" applyFill="1" applyBorder="1" applyAlignment="1">
      <alignment horizontal="center" vertical="center"/>
    </xf>
    <xf numFmtId="0" fontId="15" fillId="15" borderId="15" xfId="0" applyFont="1" applyFill="1" applyBorder="1" applyAlignment="1">
      <alignment horizontal="center" vertical="center"/>
    </xf>
    <xf numFmtId="0" fontId="15" fillId="15" borderId="35" xfId="0" applyFont="1" applyFill="1" applyBorder="1" applyAlignment="1">
      <alignment horizontal="center" vertical="center"/>
    </xf>
    <xf numFmtId="0" fontId="15" fillId="15" borderId="4" xfId="0" applyFont="1" applyFill="1" applyBorder="1" applyAlignment="1">
      <alignment horizontal="center" vertical="center"/>
    </xf>
    <xf numFmtId="0" fontId="15" fillId="16" borderId="42" xfId="0" applyFont="1" applyFill="1" applyBorder="1" applyAlignment="1">
      <alignment horizontal="center" vertical="center"/>
    </xf>
    <xf numFmtId="0" fontId="15" fillId="11" borderId="43" xfId="0" applyFont="1" applyFill="1" applyBorder="1" applyAlignment="1">
      <alignment horizontal="center" vertical="center"/>
    </xf>
    <xf numFmtId="0" fontId="15" fillId="11" borderId="44" xfId="0" applyFont="1" applyFill="1" applyBorder="1" applyAlignment="1">
      <alignment horizontal="center" vertical="center"/>
    </xf>
    <xf numFmtId="0" fontId="15" fillId="11" borderId="45" xfId="0" applyFont="1" applyFill="1" applyBorder="1" applyAlignment="1">
      <alignment horizontal="center" vertical="center"/>
    </xf>
    <xf numFmtId="0" fontId="15" fillId="11" borderId="46" xfId="0" applyFont="1" applyFill="1" applyBorder="1" applyAlignment="1">
      <alignment horizontal="center" vertical="center"/>
    </xf>
    <xf numFmtId="6" fontId="15" fillId="15" borderId="23" xfId="0" applyNumberFormat="1" applyFont="1" applyFill="1" applyBorder="1" applyAlignment="1">
      <alignment horizontal="center" vertical="center"/>
    </xf>
    <xf numFmtId="6" fontId="15" fillId="15" borderId="8" xfId="0" applyNumberFormat="1" applyFont="1" applyFill="1" applyBorder="1" applyAlignment="1">
      <alignment horizontal="center" vertical="center"/>
    </xf>
    <xf numFmtId="6" fontId="15" fillId="15" borderId="36" xfId="0" applyNumberFormat="1" applyFont="1" applyFill="1" applyBorder="1" applyAlignment="1">
      <alignment horizontal="center" vertical="center"/>
    </xf>
    <xf numFmtId="6" fontId="15" fillId="16" borderId="26" xfId="0" applyNumberFormat="1" applyFont="1" applyFill="1" applyBorder="1" applyAlignment="1">
      <alignment horizontal="center" vertical="center"/>
    </xf>
    <xf numFmtId="0" fontId="15" fillId="11" borderId="49" xfId="0" applyFont="1" applyFill="1" applyBorder="1" applyAlignment="1">
      <alignment horizontal="center" vertical="center"/>
    </xf>
    <xf numFmtId="0" fontId="15" fillId="11" borderId="50" xfId="0" applyFont="1" applyFill="1" applyBorder="1" applyAlignment="1">
      <alignment horizontal="center" vertical="center"/>
    </xf>
    <xf numFmtId="0" fontId="15" fillId="11" borderId="51" xfId="0" applyFont="1" applyFill="1" applyBorder="1" applyAlignment="1">
      <alignment horizontal="center" vertical="center"/>
    </xf>
    <xf numFmtId="0" fontId="0" fillId="3" borderId="52" xfId="0" applyFill="1" applyBorder="1"/>
    <xf numFmtId="0" fontId="15" fillId="11" borderId="53" xfId="0" applyFont="1" applyFill="1" applyBorder="1" applyAlignment="1">
      <alignment horizontal="center" vertical="center"/>
    </xf>
    <xf numFmtId="0" fontId="1" fillId="9" borderId="40" xfId="0" applyFont="1" applyFill="1" applyBorder="1" applyAlignment="1">
      <alignment horizontal="center"/>
    </xf>
    <xf numFmtId="0" fontId="1" fillId="9" borderId="54" xfId="0" applyFont="1" applyFill="1" applyBorder="1" applyAlignment="1">
      <alignment horizontal="center"/>
    </xf>
    <xf numFmtId="0" fontId="1" fillId="17" borderId="14" xfId="0" applyFont="1" applyFill="1" applyBorder="1" applyAlignment="1">
      <alignment horizontal="center"/>
    </xf>
    <xf numFmtId="16" fontId="11" fillId="9" borderId="3" xfId="0" applyNumberFormat="1" applyFont="1" applyFill="1" applyBorder="1" applyAlignment="1">
      <alignment horizontal="center" textRotation="90"/>
    </xf>
    <xf numFmtId="0" fontId="15" fillId="15" borderId="5" xfId="0" applyFont="1" applyFill="1" applyBorder="1" applyAlignment="1">
      <alignment horizontal="center" vertical="center"/>
    </xf>
    <xf numFmtId="0" fontId="15" fillId="16" borderId="25" xfId="0" applyFont="1" applyFill="1" applyBorder="1" applyAlignment="1">
      <alignment horizontal="center" vertical="center"/>
    </xf>
    <xf numFmtId="0" fontId="15" fillId="2" borderId="30" xfId="0" applyFont="1" applyFill="1" applyBorder="1" applyAlignment="1">
      <alignment horizontal="center" vertical="center"/>
    </xf>
    <xf numFmtId="0" fontId="15" fillId="18" borderId="31" xfId="0" applyFont="1" applyFill="1" applyBorder="1" applyAlignment="1">
      <alignment horizontal="center" vertical="center"/>
    </xf>
    <xf numFmtId="0" fontId="15" fillId="11" borderId="55" xfId="0" applyFont="1" applyFill="1" applyBorder="1" applyAlignment="1">
      <alignment horizontal="center" vertical="center"/>
    </xf>
    <xf numFmtId="0" fontId="15" fillId="4" borderId="31" xfId="0" applyFont="1" applyFill="1" applyBorder="1" applyAlignment="1">
      <alignment horizontal="center" vertical="center"/>
    </xf>
    <xf numFmtId="0" fontId="15" fillId="15" borderId="22" xfId="0" applyFont="1" applyFill="1" applyBorder="1" applyAlignment="1">
      <alignment horizontal="center" vertical="center"/>
    </xf>
    <xf numFmtId="0" fontId="15" fillId="2" borderId="6" xfId="0" applyFont="1" applyFill="1" applyBorder="1" applyAlignment="1">
      <alignment horizontal="center" vertical="center"/>
    </xf>
    <xf numFmtId="0" fontId="9" fillId="19" borderId="56" xfId="0" applyFont="1" applyFill="1" applyBorder="1" applyAlignment="1">
      <alignment horizontal="left" vertical="center"/>
    </xf>
    <xf numFmtId="0" fontId="6" fillId="9" borderId="17" xfId="0" applyFont="1" applyFill="1" applyBorder="1" applyAlignment="1">
      <alignment horizontal="left" vertical="center"/>
    </xf>
    <xf numFmtId="9" fontId="14" fillId="15" borderId="41" xfId="0" applyNumberFormat="1" applyFont="1" applyFill="1" applyBorder="1" applyAlignment="1">
      <alignment horizontal="center" vertical="center" wrapText="1"/>
    </xf>
    <xf numFmtId="9" fontId="15" fillId="15" borderId="24" xfId="2" applyFont="1" applyFill="1" applyBorder="1" applyAlignment="1">
      <alignment horizontal="center" vertical="center"/>
    </xf>
    <xf numFmtId="9" fontId="15" fillId="16" borderId="27" xfId="2" applyFont="1" applyFill="1" applyBorder="1" applyAlignment="1">
      <alignment horizontal="center" vertical="center"/>
    </xf>
    <xf numFmtId="164" fontId="15" fillId="15" borderId="24" xfId="3" applyNumberFormat="1" applyFont="1" applyFill="1" applyBorder="1" applyAlignment="1">
      <alignment horizontal="center" vertical="center"/>
    </xf>
    <xf numFmtId="164" fontId="15" fillId="16" borderId="27" xfId="3" applyNumberFormat="1" applyFont="1" applyFill="1" applyBorder="1" applyAlignment="1">
      <alignment horizontal="center" vertical="center"/>
    </xf>
    <xf numFmtId="164" fontId="15" fillId="15" borderId="4" xfId="3" applyNumberFormat="1" applyFont="1" applyFill="1" applyBorder="1" applyAlignment="1">
      <alignment horizontal="center" vertical="center"/>
    </xf>
    <xf numFmtId="164" fontId="15" fillId="11" borderId="6" xfId="3" applyNumberFormat="1" applyFont="1" applyFill="1" applyBorder="1" applyAlignment="1">
      <alignment horizontal="center" vertical="center"/>
    </xf>
    <xf numFmtId="2" fontId="15" fillId="16" borderId="27" xfId="0" applyNumberFormat="1" applyFont="1" applyFill="1" applyBorder="1" applyAlignment="1">
      <alignment horizontal="center" vertical="center"/>
    </xf>
    <xf numFmtId="6" fontId="15" fillId="16" borderId="27" xfId="0" applyNumberFormat="1" applyFont="1" applyFill="1" applyBorder="1" applyAlignment="1">
      <alignment horizontal="center" vertical="center"/>
    </xf>
    <xf numFmtId="8" fontId="15" fillId="16" borderId="27" xfId="0" applyNumberFormat="1" applyFont="1" applyFill="1" applyBorder="1" applyAlignment="1">
      <alignment horizontal="center" vertical="center"/>
    </xf>
    <xf numFmtId="0" fontId="9" fillId="14" borderId="10" xfId="0" applyFont="1" applyFill="1" applyBorder="1" applyAlignment="1">
      <alignment horizontal="left" vertical="center"/>
    </xf>
    <xf numFmtId="0" fontId="25" fillId="3" borderId="6" xfId="0" applyFont="1" applyFill="1" applyBorder="1" applyAlignment="1">
      <alignment horizontal="left" vertical="center" wrapText="1"/>
    </xf>
    <xf numFmtId="0" fontId="3" fillId="20" borderId="3" xfId="0" applyFont="1" applyFill="1" applyBorder="1" applyAlignment="1">
      <alignment horizontal="center" vertical="center" wrapText="1"/>
    </xf>
    <xf numFmtId="0" fontId="9" fillId="14" borderId="9" xfId="0" applyFont="1" applyFill="1" applyBorder="1" applyAlignment="1">
      <alignment horizontal="left" vertical="center"/>
    </xf>
    <xf numFmtId="0" fontId="0" fillId="5" borderId="0" xfId="0" applyFill="1"/>
    <xf numFmtId="0" fontId="2" fillId="0" borderId="0" xfId="0" applyFont="1"/>
    <xf numFmtId="0" fontId="9" fillId="0" borderId="0" xfId="0" applyFont="1"/>
    <xf numFmtId="0" fontId="26" fillId="21" borderId="0" xfId="0" applyFont="1" applyFill="1"/>
    <xf numFmtId="43" fontId="15" fillId="16" borderId="26" xfId="4" applyFont="1" applyFill="1" applyBorder="1" applyAlignment="1">
      <alignment horizontal="center" vertical="center"/>
    </xf>
    <xf numFmtId="43" fontId="15" fillId="16" borderId="37" xfId="4" applyFont="1" applyFill="1" applyBorder="1" applyAlignment="1">
      <alignment horizontal="center" vertical="center"/>
    </xf>
    <xf numFmtId="0" fontId="3" fillId="3" borderId="0" xfId="0" applyFont="1" applyFill="1" applyAlignment="1">
      <alignment horizontal="center"/>
    </xf>
    <xf numFmtId="0" fontId="0" fillId="3" borderId="0" xfId="0" applyFill="1" applyAlignment="1">
      <alignment wrapText="1"/>
    </xf>
    <xf numFmtId="0" fontId="9" fillId="14" borderId="61" xfId="0" applyFont="1" applyFill="1" applyBorder="1" applyAlignment="1">
      <alignment horizontal="left" vertical="center"/>
    </xf>
    <xf numFmtId="0" fontId="0" fillId="3" borderId="58" xfId="0" applyFill="1" applyBorder="1"/>
    <xf numFmtId="0" fontId="0" fillId="3" borderId="57" xfId="0" applyFill="1" applyBorder="1"/>
    <xf numFmtId="0" fontId="6" fillId="9" borderId="3" xfId="0" applyFont="1" applyFill="1" applyBorder="1" applyAlignment="1">
      <alignment vertical="center" wrapText="1"/>
    </xf>
    <xf numFmtId="0" fontId="3" fillId="2" borderId="0" xfId="0" applyFont="1" applyFill="1" applyAlignment="1">
      <alignment horizontal="center" wrapText="1"/>
    </xf>
    <xf numFmtId="0" fontId="3" fillId="4" borderId="0" xfId="0" applyFont="1" applyFill="1" applyAlignment="1">
      <alignment horizontal="center" wrapText="1"/>
    </xf>
    <xf numFmtId="0" fontId="3" fillId="5" borderId="0" xfId="0" applyFont="1" applyFill="1" applyAlignment="1">
      <alignment horizontal="center" wrapText="1"/>
    </xf>
    <xf numFmtId="0" fontId="2" fillId="3" borderId="0" xfId="0" applyFont="1" applyFill="1" applyAlignment="1">
      <alignment wrapText="1"/>
    </xf>
    <xf numFmtId="0" fontId="1" fillId="9" borderId="62" xfId="0" applyFont="1" applyFill="1" applyBorder="1" applyAlignment="1">
      <alignment horizontal="center"/>
    </xf>
    <xf numFmtId="0" fontId="2" fillId="22" borderId="6" xfId="0" applyFont="1" applyFill="1" applyBorder="1" applyAlignment="1">
      <alignment horizontal="center" vertical="center"/>
    </xf>
    <xf numFmtId="0" fontId="4" fillId="23" borderId="0" xfId="0" applyFont="1" applyFill="1"/>
    <xf numFmtId="0" fontId="27" fillId="0" borderId="59" xfId="0" applyFont="1" applyBorder="1" applyAlignment="1">
      <alignment horizontal="centerContinuous" vertical="distributed"/>
    </xf>
    <xf numFmtId="0" fontId="27" fillId="0" borderId="60" xfId="0" applyFont="1" applyBorder="1" applyAlignment="1">
      <alignment horizontal="centerContinuous" vertical="distributed"/>
    </xf>
    <xf numFmtId="0" fontId="0" fillId="0" borderId="58" xfId="0" applyBorder="1" applyAlignment="1">
      <alignment wrapText="1"/>
    </xf>
    <xf numFmtId="0" fontId="0" fillId="0" borderId="59" xfId="0" applyBorder="1" applyAlignment="1">
      <alignment wrapText="1"/>
    </xf>
    <xf numFmtId="0" fontId="0" fillId="0" borderId="63" xfId="0" applyBorder="1"/>
    <xf numFmtId="0" fontId="0" fillId="0" borderId="64" xfId="0" applyBorder="1"/>
    <xf numFmtId="0" fontId="0" fillId="0" borderId="65" xfId="0" applyBorder="1"/>
    <xf numFmtId="0" fontId="0" fillId="0" borderId="66" xfId="0" applyBorder="1"/>
    <xf numFmtId="0" fontId="0" fillId="0" borderId="67" xfId="0" applyBorder="1"/>
    <xf numFmtId="0" fontId="0" fillId="0" borderId="68" xfId="0" applyBorder="1"/>
    <xf numFmtId="0" fontId="0" fillId="0" borderId="69" xfId="0" applyBorder="1"/>
    <xf numFmtId="0" fontId="0" fillId="0" borderId="70" xfId="0" applyBorder="1"/>
    <xf numFmtId="0" fontId="0" fillId="0" borderId="71" xfId="0" applyBorder="1"/>
    <xf numFmtId="0" fontId="0" fillId="0" borderId="72" xfId="0" applyBorder="1"/>
    <xf numFmtId="0" fontId="0" fillId="0" borderId="73" xfId="0" applyBorder="1"/>
    <xf numFmtId="0" fontId="0" fillId="0" borderId="74" xfId="0" applyBorder="1"/>
    <xf numFmtId="0" fontId="0" fillId="0" borderId="75" xfId="0" applyBorder="1"/>
    <xf numFmtId="0" fontId="0" fillId="0" borderId="76" xfId="0" applyBorder="1"/>
    <xf numFmtId="0" fontId="0" fillId="0" borderId="77" xfId="0" applyBorder="1"/>
    <xf numFmtId="0" fontId="0" fillId="0" borderId="78" xfId="0" applyBorder="1"/>
    <xf numFmtId="0" fontId="0" fillId="0" borderId="79" xfId="0" applyBorder="1"/>
    <xf numFmtId="0" fontId="0" fillId="5" borderId="63" xfId="0" applyFill="1" applyBorder="1"/>
    <xf numFmtId="0" fontId="0" fillId="4" borderId="64" xfId="0" applyFill="1" applyBorder="1"/>
    <xf numFmtId="0" fontId="0" fillId="2" borderId="64" xfId="0" applyFill="1" applyBorder="1"/>
    <xf numFmtId="0" fontId="0" fillId="5" borderId="66" xfId="0" applyFill="1" applyBorder="1"/>
    <xf numFmtId="0" fontId="0" fillId="4" borderId="0" xfId="0" applyFill="1"/>
    <xf numFmtId="0" fontId="0" fillId="2" borderId="0" xfId="0" applyFill="1"/>
    <xf numFmtId="0" fontId="0" fillId="5" borderId="68" xfId="0" applyFill="1" applyBorder="1"/>
    <xf numFmtId="0" fontId="0" fillId="4" borderId="69" xfId="0" applyFill="1" applyBorder="1"/>
    <xf numFmtId="0" fontId="0" fillId="2" borderId="69" xfId="0" applyFill="1" applyBorder="1"/>
    <xf numFmtId="0" fontId="15" fillId="11" borderId="80" xfId="0" applyFont="1" applyFill="1" applyBorder="1" applyAlignment="1">
      <alignment horizontal="center" vertical="center"/>
    </xf>
    <xf numFmtId="0" fontId="15" fillId="11" borderId="81" xfId="0" applyFont="1" applyFill="1" applyBorder="1" applyAlignment="1">
      <alignment horizontal="center" vertical="center"/>
    </xf>
    <xf numFmtId="43" fontId="15" fillId="16" borderId="82" xfId="4" applyFont="1" applyFill="1" applyBorder="1" applyAlignment="1">
      <alignment horizontal="center" vertical="center"/>
    </xf>
    <xf numFmtId="43" fontId="15" fillId="16" borderId="83" xfId="4" applyFont="1" applyFill="1" applyBorder="1" applyAlignment="1">
      <alignment horizontal="center" vertical="center"/>
    </xf>
    <xf numFmtId="43" fontId="15" fillId="16" borderId="28" xfId="4" applyFont="1" applyFill="1" applyBorder="1" applyAlignment="1">
      <alignment horizontal="center" vertical="center"/>
    </xf>
    <xf numFmtId="43" fontId="15" fillId="16" borderId="84" xfId="4" applyFont="1" applyFill="1" applyBorder="1" applyAlignment="1">
      <alignment horizontal="center" vertical="center"/>
    </xf>
    <xf numFmtId="43" fontId="15" fillId="16" borderId="85" xfId="4" applyFont="1" applyFill="1" applyBorder="1" applyAlignment="1">
      <alignment horizontal="center" vertical="center"/>
    </xf>
    <xf numFmtId="0" fontId="26" fillId="21" borderId="71" xfId="0" applyFont="1" applyFill="1" applyBorder="1" applyAlignment="1">
      <alignment horizontal="centerContinuous" vertical="center"/>
    </xf>
    <xf numFmtId="0" fontId="0" fillId="0" borderId="57" xfId="0" applyBorder="1" applyAlignment="1">
      <alignment wrapText="1"/>
    </xf>
    <xf numFmtId="43" fontId="15" fillId="0" borderId="71" xfId="4" applyFont="1" applyFill="1" applyBorder="1" applyAlignment="1">
      <alignment horizontal="center" vertical="center"/>
    </xf>
    <xf numFmtId="43" fontId="15" fillId="0" borderId="78" xfId="4" applyFont="1" applyFill="1" applyBorder="1" applyAlignment="1">
      <alignment horizontal="center" vertical="center"/>
    </xf>
    <xf numFmtId="43" fontId="15" fillId="0" borderId="79" xfId="4" applyFont="1" applyFill="1" applyBorder="1" applyAlignment="1">
      <alignment horizontal="center" vertical="center"/>
    </xf>
    <xf numFmtId="0" fontId="26" fillId="5" borderId="59" xfId="0" applyFont="1" applyFill="1" applyBorder="1"/>
    <xf numFmtId="0" fontId="26" fillId="4" borderId="59" xfId="0" applyFont="1" applyFill="1" applyBorder="1"/>
    <xf numFmtId="0" fontId="26" fillId="2" borderId="59" xfId="0" applyFont="1" applyFill="1" applyBorder="1"/>
    <xf numFmtId="0" fontId="26" fillId="21" borderId="57" xfId="0" applyFont="1" applyFill="1" applyBorder="1"/>
    <xf numFmtId="0" fontId="26" fillId="21" borderId="58" xfId="0" applyFont="1" applyFill="1" applyBorder="1" applyAlignment="1">
      <alignment horizontal="centerContinuous" vertical="center"/>
    </xf>
    <xf numFmtId="0" fontId="26" fillId="21" borderId="59" xfId="0" applyFont="1" applyFill="1" applyBorder="1" applyAlignment="1">
      <alignment horizontal="centerContinuous" vertical="center"/>
    </xf>
    <xf numFmtId="43" fontId="15" fillId="26" borderId="71" xfId="4" applyFont="1" applyFill="1" applyBorder="1" applyAlignment="1">
      <alignment horizontal="center" vertical="center"/>
    </xf>
    <xf numFmtId="43" fontId="15" fillId="26" borderId="78" xfId="4" applyFont="1" applyFill="1" applyBorder="1" applyAlignment="1">
      <alignment horizontal="center" vertical="center"/>
    </xf>
    <xf numFmtId="0" fontId="0" fillId="0" borderId="57" xfId="0" applyBorder="1"/>
    <xf numFmtId="0" fontId="0" fillId="24" borderId="63" xfId="0" applyFill="1" applyBorder="1"/>
    <xf numFmtId="0" fontId="0" fillId="24" borderId="57" xfId="0" applyFill="1" applyBorder="1" applyAlignment="1">
      <alignment horizontal="centerContinuous"/>
    </xf>
    <xf numFmtId="0" fontId="0" fillId="24" borderId="59" xfId="0" applyFill="1" applyBorder="1" applyAlignment="1">
      <alignment horizontal="centerContinuous"/>
    </xf>
    <xf numFmtId="0" fontId="0" fillId="24" borderId="60" xfId="0" applyFill="1" applyBorder="1" applyAlignment="1">
      <alignment horizontal="centerContinuous"/>
    </xf>
    <xf numFmtId="0" fontId="27" fillId="0" borderId="57" xfId="0" applyFont="1" applyBorder="1" applyAlignment="1">
      <alignment horizontal="centerContinuous" vertical="distributed"/>
    </xf>
    <xf numFmtId="0" fontId="0" fillId="24" borderId="57" xfId="0" applyFill="1" applyBorder="1"/>
    <xf numFmtId="0" fontId="27" fillId="0" borderId="0" xfId="0" applyFont="1"/>
    <xf numFmtId="14" fontId="0" fillId="0" borderId="57" xfId="0" applyNumberFormat="1" applyBorder="1"/>
    <xf numFmtId="43" fontId="15" fillId="26" borderId="79" xfId="4" applyFont="1" applyFill="1" applyBorder="1" applyAlignment="1">
      <alignment horizontal="center" vertical="center"/>
    </xf>
    <xf numFmtId="0" fontId="9" fillId="14" borderId="9" xfId="0" applyFont="1" applyFill="1" applyBorder="1" applyAlignment="1">
      <alignment vertical="center"/>
    </xf>
    <xf numFmtId="0" fontId="9" fillId="14" borderId="10" xfId="0" applyFont="1" applyFill="1" applyBorder="1" applyAlignment="1">
      <alignment vertical="center"/>
    </xf>
    <xf numFmtId="0" fontId="0" fillId="27" borderId="63" xfId="0" applyFill="1" applyBorder="1" applyAlignment="1">
      <alignment horizontal="centerContinuous" wrapText="1"/>
    </xf>
    <xf numFmtId="0" fontId="0" fillId="27" borderId="64" xfId="0" applyFill="1" applyBorder="1" applyAlignment="1">
      <alignment horizontal="centerContinuous" wrapText="1"/>
    </xf>
    <xf numFmtId="0" fontId="26" fillId="21" borderId="58" xfId="0" applyFont="1" applyFill="1" applyBorder="1" applyAlignment="1">
      <alignment horizontal="centerContinuous" vertical="center" wrapText="1"/>
    </xf>
    <xf numFmtId="0" fontId="0" fillId="0" borderId="0" xfId="0" applyAlignment="1">
      <alignment horizontal="centerContinuous"/>
    </xf>
    <xf numFmtId="0" fontId="0" fillId="0" borderId="58" xfId="0" applyBorder="1" applyAlignment="1">
      <alignment horizontal="centerContinuous" wrapText="1"/>
    </xf>
    <xf numFmtId="9" fontId="0" fillId="0" borderId="75" xfId="0" applyNumberFormat="1" applyBorder="1"/>
    <xf numFmtId="0" fontId="0" fillId="24" borderId="86" xfId="0" applyFill="1" applyBorder="1" applyAlignment="1">
      <alignment horizontal="centerContinuous"/>
    </xf>
    <xf numFmtId="0" fontId="15" fillId="11" borderId="87" xfId="0" applyFont="1" applyFill="1" applyBorder="1" applyAlignment="1">
      <alignment horizontal="center" vertical="center"/>
    </xf>
    <xf numFmtId="0" fontId="15" fillId="11" borderId="88" xfId="0" applyFont="1" applyFill="1" applyBorder="1" applyAlignment="1">
      <alignment horizontal="center" vertical="center"/>
    </xf>
    <xf numFmtId="0" fontId="15" fillId="11" borderId="89" xfId="0" applyFont="1" applyFill="1" applyBorder="1" applyAlignment="1">
      <alignment horizontal="center" vertical="center"/>
    </xf>
    <xf numFmtId="0" fontId="0" fillId="0" borderId="90" xfId="0" applyBorder="1"/>
    <xf numFmtId="0" fontId="0" fillId="3" borderId="0" xfId="0" applyFill="1" applyAlignment="1">
      <alignment textRotation="90"/>
    </xf>
    <xf numFmtId="0" fontId="25" fillId="0" borderId="0" xfId="0" applyFont="1"/>
    <xf numFmtId="14" fontId="25" fillId="0" borderId="0" xfId="0" applyNumberFormat="1" applyFont="1"/>
    <xf numFmtId="14" fontId="25" fillId="0" borderId="0" xfId="0" applyNumberFormat="1" applyFont="1" applyAlignment="1">
      <alignment horizontal="centerContinuous"/>
    </xf>
    <xf numFmtId="43" fontId="0" fillId="0" borderId="73" xfId="0" applyNumberFormat="1" applyBorder="1"/>
    <xf numFmtId="43" fontId="0" fillId="0" borderId="75" xfId="0" applyNumberFormat="1" applyBorder="1"/>
    <xf numFmtId="43" fontId="0" fillId="0" borderId="77" xfId="0" applyNumberFormat="1" applyBorder="1"/>
    <xf numFmtId="0" fontId="0" fillId="24" borderId="57" xfId="0" applyFill="1" applyBorder="1" applyAlignment="1">
      <alignment horizontal="centerContinuous" wrapText="1"/>
    </xf>
    <xf numFmtId="0" fontId="0" fillId="24" borderId="86" xfId="0" applyFill="1" applyBorder="1" applyAlignment="1">
      <alignment horizontal="centerContinuous" wrapText="1"/>
    </xf>
    <xf numFmtId="0" fontId="15" fillId="0" borderId="87" xfId="0" applyFont="1" applyBorder="1" applyAlignment="1">
      <alignment horizontal="center" vertical="center"/>
    </xf>
    <xf numFmtId="0" fontId="15" fillId="0" borderId="43" xfId="0" applyFont="1" applyBorder="1" applyAlignment="1">
      <alignment horizontal="center" vertical="center"/>
    </xf>
    <xf numFmtId="0" fontId="15" fillId="0" borderId="89" xfId="0" applyFont="1" applyBorder="1" applyAlignment="1">
      <alignment horizontal="center" vertical="center"/>
    </xf>
    <xf numFmtId="0" fontId="15" fillId="0" borderId="88" xfId="0" applyFont="1" applyBorder="1" applyAlignment="1">
      <alignment horizontal="center" vertical="center"/>
    </xf>
    <xf numFmtId="0" fontId="0" fillId="25" borderId="57" xfId="0" applyFill="1" applyBorder="1" applyAlignment="1">
      <alignment horizontal="center" wrapText="1"/>
    </xf>
    <xf numFmtId="10" fontId="15" fillId="0" borderId="80" xfId="0" applyNumberFormat="1" applyFont="1" applyBorder="1" applyAlignment="1">
      <alignment horizontal="center" vertical="center"/>
    </xf>
    <xf numFmtId="10" fontId="15" fillId="0" borderId="81" xfId="0" applyNumberFormat="1" applyFont="1" applyBorder="1" applyAlignment="1">
      <alignment horizontal="center" vertical="center"/>
    </xf>
    <xf numFmtId="0" fontId="0" fillId="4" borderId="57" xfId="0" applyFill="1" applyBorder="1"/>
    <xf numFmtId="166" fontId="15" fillId="0" borderId="88" xfId="2" applyNumberFormat="1" applyFont="1" applyFill="1" applyBorder="1" applyAlignment="1">
      <alignment horizontal="center" vertical="center"/>
    </xf>
    <xf numFmtId="0" fontId="26" fillId="21" borderId="57" xfId="0" applyFont="1" applyFill="1" applyBorder="1" applyAlignment="1">
      <alignment horizontal="centerContinuous" vertical="center" wrapText="1"/>
    </xf>
    <xf numFmtId="0" fontId="0" fillId="0" borderId="57" xfId="0" applyBorder="1" applyAlignment="1">
      <alignment horizontal="centerContinuous" wrapText="1"/>
    </xf>
    <xf numFmtId="2" fontId="15" fillId="0" borderId="87" xfId="0" applyNumberFormat="1" applyFont="1" applyBorder="1" applyAlignment="1">
      <alignment horizontal="center" vertical="center"/>
    </xf>
    <xf numFmtId="2" fontId="15" fillId="0" borderId="88" xfId="0" applyNumberFormat="1" applyFont="1" applyBorder="1" applyAlignment="1">
      <alignment horizontal="center" vertical="center"/>
    </xf>
    <xf numFmtId="2" fontId="15" fillId="0" borderId="89" xfId="0" applyNumberFormat="1" applyFont="1" applyBorder="1" applyAlignment="1">
      <alignment horizontal="center" vertical="center"/>
    </xf>
    <xf numFmtId="43" fontId="15" fillId="0" borderId="87" xfId="4" applyFont="1" applyFill="1" applyBorder="1" applyAlignment="1">
      <alignment horizontal="center" vertical="center"/>
    </xf>
    <xf numFmtId="43" fontId="15" fillId="0" borderId="88" xfId="4" applyFont="1" applyFill="1" applyBorder="1" applyAlignment="1">
      <alignment horizontal="center" vertical="center"/>
    </xf>
    <xf numFmtId="43" fontId="15" fillId="0" borderId="89" xfId="4" applyFont="1" applyFill="1" applyBorder="1" applyAlignment="1">
      <alignment horizontal="center" vertical="center"/>
    </xf>
    <xf numFmtId="0" fontId="28" fillId="29" borderId="94" xfId="0" applyFont="1" applyFill="1" applyBorder="1" applyAlignment="1">
      <alignment horizontal="center" vertical="center"/>
    </xf>
    <xf numFmtId="0" fontId="28" fillId="30" borderId="95" xfId="0" applyFont="1" applyFill="1" applyBorder="1" applyAlignment="1">
      <alignment horizontal="center" vertical="center"/>
    </xf>
    <xf numFmtId="0" fontId="28" fillId="29" borderId="96" xfId="0" applyFont="1" applyFill="1" applyBorder="1" applyAlignment="1">
      <alignment horizontal="center" vertical="center"/>
    </xf>
    <xf numFmtId="0" fontId="29" fillId="31" borderId="97" xfId="0" applyFont="1" applyFill="1" applyBorder="1" applyAlignment="1">
      <alignment horizontal="center" vertical="center" wrapText="1"/>
    </xf>
    <xf numFmtId="0" fontId="29" fillId="31" borderId="98" xfId="0" applyFont="1" applyFill="1" applyBorder="1" applyAlignment="1">
      <alignment horizontal="center" vertical="center" wrapText="1"/>
    </xf>
    <xf numFmtId="165" fontId="29" fillId="31" borderId="98" xfId="4" applyNumberFormat="1" applyFont="1" applyFill="1" applyBorder="1" applyAlignment="1">
      <alignment horizontal="center" vertical="center" wrapText="1"/>
    </xf>
    <xf numFmtId="167" fontId="15" fillId="15" borderId="4" xfId="4" applyNumberFormat="1" applyFont="1" applyFill="1" applyBorder="1" applyAlignment="1">
      <alignment horizontal="center" vertical="center"/>
    </xf>
    <xf numFmtId="0" fontId="0" fillId="0" borderId="59" xfId="0" applyBorder="1" applyAlignment="1">
      <alignment horizontal="centerContinuous"/>
    </xf>
    <xf numFmtId="0" fontId="0" fillId="0" borderId="60" xfId="0" applyBorder="1" applyAlignment="1">
      <alignment horizontal="centerContinuous"/>
    </xf>
    <xf numFmtId="0" fontId="0" fillId="14" borderId="57" xfId="0" applyFill="1" applyBorder="1" applyAlignment="1">
      <alignment horizontal="centerContinuous"/>
    </xf>
    <xf numFmtId="0" fontId="0" fillId="14" borderId="59" xfId="0" applyFill="1" applyBorder="1" applyAlignment="1">
      <alignment horizontal="centerContinuous"/>
    </xf>
    <xf numFmtId="0" fontId="0" fillId="14" borderId="60" xfId="0" applyFill="1" applyBorder="1" applyAlignment="1">
      <alignment horizontal="centerContinuous"/>
    </xf>
    <xf numFmtId="0" fontId="0" fillId="26" borderId="73" xfId="0" applyFill="1" applyBorder="1"/>
    <xf numFmtId="0" fontId="2" fillId="27" borderId="57" xfId="0" applyFont="1" applyFill="1" applyBorder="1"/>
    <xf numFmtId="0" fontId="0" fillId="28" borderId="71" xfId="0" applyFill="1" applyBorder="1"/>
    <xf numFmtId="0" fontId="0" fillId="28" borderId="72" xfId="0" applyFill="1" applyBorder="1"/>
    <xf numFmtId="0" fontId="0" fillId="28" borderId="74" xfId="0" applyFill="1" applyBorder="1"/>
    <xf numFmtId="0" fontId="0" fillId="28" borderId="76" xfId="0" applyFill="1" applyBorder="1"/>
    <xf numFmtId="43" fontId="15" fillId="11" borderId="87" xfId="4" applyFont="1" applyFill="1" applyBorder="1" applyAlignment="1">
      <alignment horizontal="center" vertical="center"/>
    </xf>
    <xf numFmtId="43" fontId="15" fillId="11" borderId="88" xfId="4" applyFont="1" applyFill="1" applyBorder="1" applyAlignment="1">
      <alignment horizontal="center" vertical="center"/>
    </xf>
    <xf numFmtId="43" fontId="15" fillId="11" borderId="89" xfId="4" applyFont="1" applyFill="1" applyBorder="1" applyAlignment="1">
      <alignment horizontal="center" vertical="center"/>
    </xf>
    <xf numFmtId="43" fontId="0" fillId="0" borderId="90" xfId="4" applyFont="1" applyBorder="1"/>
    <xf numFmtId="43" fontId="0" fillId="24" borderId="86" xfId="4" applyFont="1" applyFill="1" applyBorder="1" applyAlignment="1">
      <alignment horizontal="centerContinuous"/>
    </xf>
    <xf numFmtId="43" fontId="0" fillId="24" borderId="86" xfId="4" applyFont="1" applyFill="1" applyBorder="1" applyAlignment="1">
      <alignment horizontal="centerContinuous" wrapText="1"/>
    </xf>
    <xf numFmtId="166" fontId="15" fillId="16" borderId="28" xfId="2" applyNumberFormat="1" applyFont="1" applyFill="1" applyBorder="1" applyAlignment="1">
      <alignment horizontal="center" vertical="center"/>
    </xf>
    <xf numFmtId="166" fontId="15" fillId="16" borderId="83" xfId="4" applyNumberFormat="1" applyFont="1" applyFill="1" applyBorder="1" applyAlignment="1">
      <alignment horizontal="center" vertical="center"/>
    </xf>
    <xf numFmtId="166" fontId="15" fillId="16" borderId="28" xfId="4" applyNumberFormat="1" applyFont="1" applyFill="1" applyBorder="1" applyAlignment="1">
      <alignment horizontal="center" vertical="center"/>
    </xf>
    <xf numFmtId="166" fontId="15" fillId="16" borderId="85" xfId="2" applyNumberFormat="1" applyFont="1" applyFill="1" applyBorder="1" applyAlignment="1">
      <alignment horizontal="center" vertical="center"/>
    </xf>
    <xf numFmtId="0" fontId="26" fillId="21" borderId="63" xfId="0" applyFont="1" applyFill="1" applyBorder="1" applyAlignment="1">
      <alignment horizontal="centerContinuous" vertical="center" wrapText="1"/>
    </xf>
    <xf numFmtId="0" fontId="0" fillId="0" borderId="100" xfId="0" applyBorder="1" applyAlignment="1">
      <alignment wrapText="1"/>
    </xf>
    <xf numFmtId="0" fontId="0" fillId="0" borderId="60" xfId="0" applyBorder="1" applyAlignment="1">
      <alignment wrapText="1"/>
    </xf>
    <xf numFmtId="166" fontId="15" fillId="16" borderId="83" xfId="2" applyNumberFormat="1" applyFont="1" applyFill="1" applyBorder="1" applyAlignment="1">
      <alignment horizontal="center" vertical="center"/>
    </xf>
    <xf numFmtId="165" fontId="15" fillId="0" borderId="87" xfId="4" applyNumberFormat="1" applyFont="1" applyBorder="1" applyAlignment="1">
      <alignment horizontal="center" vertical="center"/>
    </xf>
    <xf numFmtId="9" fontId="15" fillId="16" borderId="26" xfId="2" applyFont="1" applyFill="1" applyBorder="1" applyAlignment="1">
      <alignment horizontal="center" vertical="center"/>
    </xf>
    <xf numFmtId="43" fontId="15" fillId="16" borderId="101" xfId="4" applyFont="1" applyFill="1" applyBorder="1" applyAlignment="1">
      <alignment horizontal="center" vertical="center"/>
    </xf>
    <xf numFmtId="166" fontId="15" fillId="16" borderId="73" xfId="2" applyNumberFormat="1" applyFont="1" applyFill="1" applyBorder="1" applyAlignment="1">
      <alignment horizontal="center" vertical="center"/>
    </xf>
    <xf numFmtId="43" fontId="15" fillId="16" borderId="102" xfId="4" applyFont="1" applyFill="1" applyBorder="1" applyAlignment="1">
      <alignment horizontal="center" vertical="center"/>
    </xf>
    <xf numFmtId="166" fontId="15" fillId="16" borderId="103" xfId="2" applyNumberFormat="1" applyFont="1" applyFill="1" applyBorder="1" applyAlignment="1">
      <alignment horizontal="center" vertical="center"/>
    </xf>
    <xf numFmtId="43" fontId="15" fillId="16" borderId="104" xfId="4" applyFont="1" applyFill="1" applyBorder="1" applyAlignment="1">
      <alignment horizontal="center" vertical="center"/>
    </xf>
    <xf numFmtId="166" fontId="15" fillId="16" borderId="105" xfId="2" applyNumberFormat="1" applyFont="1" applyFill="1" applyBorder="1" applyAlignment="1">
      <alignment horizontal="center" vertical="center"/>
    </xf>
    <xf numFmtId="43" fontId="15" fillId="16" borderId="106" xfId="4" applyFont="1" applyFill="1" applyBorder="1" applyAlignment="1">
      <alignment horizontal="center" vertical="center"/>
    </xf>
    <xf numFmtId="43" fontId="15" fillId="16" borderId="107" xfId="4" applyFont="1" applyFill="1" applyBorder="1" applyAlignment="1">
      <alignment horizontal="center" vertical="center"/>
    </xf>
    <xf numFmtId="43" fontId="15" fillId="16" borderId="108" xfId="4" applyFont="1" applyFill="1" applyBorder="1" applyAlignment="1">
      <alignment horizontal="center" vertical="center"/>
    </xf>
    <xf numFmtId="166" fontId="15" fillId="16" borderId="71" xfId="2" applyNumberFormat="1" applyFont="1" applyFill="1" applyBorder="1" applyAlignment="1">
      <alignment horizontal="center" vertical="center"/>
    </xf>
    <xf numFmtId="166" fontId="15" fillId="16" borderId="109" xfId="2" applyNumberFormat="1" applyFont="1" applyFill="1" applyBorder="1" applyAlignment="1">
      <alignment horizontal="center" vertical="center"/>
    </xf>
    <xf numFmtId="166" fontId="15" fillId="16" borderId="110" xfId="2" applyNumberFormat="1" applyFont="1" applyFill="1" applyBorder="1" applyAlignment="1">
      <alignment horizontal="center" vertical="center"/>
    </xf>
    <xf numFmtId="43" fontId="15" fillId="16" borderId="65" xfId="4" applyFont="1" applyFill="1" applyBorder="1" applyAlignment="1">
      <alignment horizontal="center" vertical="center"/>
    </xf>
    <xf numFmtId="166" fontId="15" fillId="16" borderId="37" xfId="2" applyNumberFormat="1" applyFont="1" applyFill="1" applyBorder="1" applyAlignment="1">
      <alignment horizontal="center" vertical="center"/>
    </xf>
    <xf numFmtId="166" fontId="15" fillId="16" borderId="111" xfId="2" applyNumberFormat="1" applyFont="1" applyFill="1" applyBorder="1" applyAlignment="1">
      <alignment horizontal="center" vertical="center"/>
    </xf>
    <xf numFmtId="43" fontId="15" fillId="16" borderId="73" xfId="4" applyFont="1" applyFill="1" applyBorder="1" applyAlignment="1">
      <alignment horizontal="center" vertical="center"/>
    </xf>
    <xf numFmtId="43" fontId="15" fillId="16" borderId="103" xfId="4" applyFont="1" applyFill="1" applyBorder="1" applyAlignment="1">
      <alignment horizontal="center" vertical="center"/>
    </xf>
    <xf numFmtId="43" fontId="15" fillId="16" borderId="105" xfId="4" applyFont="1" applyFill="1" applyBorder="1" applyAlignment="1">
      <alignment horizontal="center" vertical="center"/>
    </xf>
    <xf numFmtId="43" fontId="15" fillId="16" borderId="71" xfId="4" applyFont="1" applyFill="1" applyBorder="1" applyAlignment="1">
      <alignment horizontal="center" vertical="center"/>
    </xf>
    <xf numFmtId="166" fontId="15" fillId="16" borderId="65" xfId="2" applyNumberFormat="1" applyFont="1" applyFill="1" applyBorder="1" applyAlignment="1">
      <alignment horizontal="center" vertical="center"/>
    </xf>
    <xf numFmtId="9" fontId="15" fillId="16" borderId="102" xfId="2" applyFont="1" applyFill="1" applyBorder="1" applyAlignment="1">
      <alignment horizontal="center" vertical="center"/>
    </xf>
    <xf numFmtId="9" fontId="15" fillId="16" borderId="103" xfId="2" applyFont="1" applyFill="1" applyBorder="1" applyAlignment="1">
      <alignment horizontal="center" vertical="center"/>
    </xf>
    <xf numFmtId="166" fontId="15" fillId="16" borderId="65" xfId="4" applyNumberFormat="1" applyFont="1" applyFill="1" applyBorder="1" applyAlignment="1">
      <alignment horizontal="center" vertical="center"/>
    </xf>
    <xf numFmtId="166" fontId="15" fillId="16" borderId="37" xfId="4" applyNumberFormat="1" applyFont="1" applyFill="1" applyBorder="1" applyAlignment="1">
      <alignment horizontal="center" vertical="center"/>
    </xf>
    <xf numFmtId="43" fontId="15" fillId="16" borderId="111" xfId="4" applyFont="1" applyFill="1" applyBorder="1" applyAlignment="1">
      <alignment horizontal="center" vertical="center"/>
    </xf>
    <xf numFmtId="166" fontId="15" fillId="16" borderId="101" xfId="2" applyNumberFormat="1" applyFont="1" applyFill="1" applyBorder="1" applyAlignment="1">
      <alignment horizontal="center" vertical="center"/>
    </xf>
    <xf numFmtId="166" fontId="15" fillId="16" borderId="102" xfId="2" applyNumberFormat="1" applyFont="1" applyFill="1" applyBorder="1" applyAlignment="1">
      <alignment horizontal="center" vertical="center"/>
    </xf>
    <xf numFmtId="166" fontId="15" fillId="16" borderId="104" xfId="2" applyNumberFormat="1" applyFont="1" applyFill="1" applyBorder="1" applyAlignment="1">
      <alignment horizontal="center" vertical="center"/>
    </xf>
    <xf numFmtId="0" fontId="26" fillId="21" borderId="60" xfId="0" applyFont="1" applyFill="1" applyBorder="1" applyAlignment="1">
      <alignment horizontal="center" vertical="center"/>
    </xf>
    <xf numFmtId="0" fontId="0" fillId="24" borderId="60" xfId="0" applyFill="1" applyBorder="1" applyAlignment="1">
      <alignment horizontal="center"/>
    </xf>
    <xf numFmtId="0" fontId="0" fillId="0" borderId="0" xfId="0" applyAlignment="1">
      <alignment horizontal="center"/>
    </xf>
    <xf numFmtId="0" fontId="25" fillId="0" borderId="0" xfId="0" applyFont="1" applyAlignment="1">
      <alignment horizontal="center"/>
    </xf>
    <xf numFmtId="0" fontId="0" fillId="25" borderId="71" xfId="0" applyFill="1" applyBorder="1" applyAlignment="1">
      <alignment horizontal="center"/>
    </xf>
    <xf numFmtId="0" fontId="0" fillId="25" borderId="78" xfId="0" applyFill="1" applyBorder="1" applyAlignment="1">
      <alignment horizontal="center"/>
    </xf>
    <xf numFmtId="0" fontId="0" fillId="25" borderId="79" xfId="0" applyFill="1" applyBorder="1" applyAlignment="1">
      <alignment horizontal="center"/>
    </xf>
    <xf numFmtId="0" fontId="30" fillId="32" borderId="60" xfId="0" applyFont="1" applyFill="1" applyBorder="1" applyAlignment="1">
      <alignment vertical="center" wrapText="1"/>
    </xf>
    <xf numFmtId="9" fontId="15" fillId="16" borderId="107" xfId="2" applyFont="1" applyFill="1" applyBorder="1" applyAlignment="1">
      <alignment horizontal="center" vertical="center"/>
    </xf>
    <xf numFmtId="166" fontId="15" fillId="16" borderId="101" xfId="4" applyNumberFormat="1" applyFont="1" applyFill="1" applyBorder="1" applyAlignment="1">
      <alignment horizontal="center" vertical="center"/>
    </xf>
    <xf numFmtId="166" fontId="15" fillId="16" borderId="73" xfId="4" applyNumberFormat="1" applyFont="1" applyFill="1" applyBorder="1" applyAlignment="1">
      <alignment horizontal="center" vertical="center"/>
    </xf>
    <xf numFmtId="166" fontId="15" fillId="16" borderId="102" xfId="4" applyNumberFormat="1" applyFont="1" applyFill="1" applyBorder="1" applyAlignment="1">
      <alignment horizontal="center" vertical="center"/>
    </xf>
    <xf numFmtId="166" fontId="15" fillId="16" borderId="103" xfId="4" applyNumberFormat="1" applyFont="1" applyFill="1" applyBorder="1" applyAlignment="1">
      <alignment horizontal="center" vertical="center"/>
    </xf>
    <xf numFmtId="43" fontId="14" fillId="15" borderId="41" xfId="4" applyFont="1" applyFill="1" applyBorder="1" applyAlignment="1">
      <alignment horizontal="center" vertical="center" wrapText="1"/>
    </xf>
    <xf numFmtId="10" fontId="14" fillId="15" borderId="41" xfId="2" applyNumberFormat="1" applyFont="1" applyFill="1" applyBorder="1" applyAlignment="1">
      <alignment horizontal="center" vertical="center" wrapText="1"/>
    </xf>
    <xf numFmtId="10" fontId="14" fillId="16" borderId="25" xfId="2" applyNumberFormat="1" applyFont="1" applyFill="1" applyBorder="1" applyAlignment="1">
      <alignment horizontal="center" vertical="center"/>
    </xf>
    <xf numFmtId="43" fontId="14" fillId="16" borderId="25" xfId="4" applyFont="1" applyFill="1" applyBorder="1" applyAlignment="1">
      <alignment horizontal="center" vertical="center"/>
    </xf>
    <xf numFmtId="0" fontId="0" fillId="0" borderId="66" xfId="0" applyBorder="1" applyAlignment="1">
      <alignment horizontal="left" vertical="top" wrapText="1"/>
    </xf>
    <xf numFmtId="0" fontId="0" fillId="33" borderId="71" xfId="0" applyFill="1" applyBorder="1"/>
    <xf numFmtId="43" fontId="15" fillId="16" borderId="27" xfId="4" applyFont="1" applyFill="1" applyBorder="1" applyAlignment="1">
      <alignment horizontal="center" vertical="center"/>
    </xf>
    <xf numFmtId="0" fontId="0" fillId="35" borderId="57" xfId="0" applyFill="1" applyBorder="1"/>
    <xf numFmtId="0" fontId="0" fillId="0" borderId="0" xfId="0" applyAlignment="1">
      <alignment wrapText="1"/>
    </xf>
    <xf numFmtId="0" fontId="0" fillId="0" borderId="0" xfId="0" applyAlignment="1">
      <alignment vertical="center"/>
    </xf>
    <xf numFmtId="0" fontId="0" fillId="36" borderId="0" xfId="0" applyFill="1"/>
    <xf numFmtId="0" fontId="33" fillId="3" borderId="88" xfId="0" applyFont="1" applyFill="1" applyBorder="1" applyAlignment="1">
      <alignment horizontal="center" vertical="center"/>
    </xf>
    <xf numFmtId="166" fontId="33" fillId="16" borderId="37" xfId="2" applyNumberFormat="1" applyFont="1" applyFill="1" applyBorder="1" applyAlignment="1">
      <alignment horizontal="center" vertical="center"/>
    </xf>
    <xf numFmtId="0" fontId="30" fillId="0" borderId="0" xfId="0" applyFont="1"/>
    <xf numFmtId="0" fontId="30" fillId="24" borderId="57" xfId="0" applyFont="1" applyFill="1" applyBorder="1" applyAlignment="1">
      <alignment horizontal="centerContinuous"/>
    </xf>
    <xf numFmtId="0" fontId="33" fillId="0" borderId="80" xfId="0" applyFont="1" applyBorder="1" applyAlignment="1">
      <alignment horizontal="center" vertical="center"/>
    </xf>
    <xf numFmtId="0" fontId="33" fillId="0" borderId="91" xfId="0" applyFont="1" applyBorder="1" applyAlignment="1">
      <alignment horizontal="center" vertical="center"/>
    </xf>
    <xf numFmtId="0" fontId="33" fillId="3" borderId="81" xfId="0" applyFont="1" applyFill="1" applyBorder="1" applyAlignment="1">
      <alignment horizontal="center" vertical="center"/>
    </xf>
    <xf numFmtId="0" fontId="30" fillId="24" borderId="57" xfId="0" applyFont="1" applyFill="1" applyBorder="1" applyAlignment="1">
      <alignment horizontal="centerContinuous" wrapText="1"/>
    </xf>
    <xf numFmtId="0" fontId="0" fillId="24" borderId="58" xfId="0" applyFill="1" applyBorder="1" applyAlignment="1">
      <alignment horizontal="centerContinuous"/>
    </xf>
    <xf numFmtId="166" fontId="33" fillId="16" borderId="109" xfId="2" applyNumberFormat="1" applyFont="1" applyFill="1" applyBorder="1" applyAlignment="1">
      <alignment horizontal="center" vertical="center"/>
    </xf>
    <xf numFmtId="166" fontId="33" fillId="16" borderId="110" xfId="2" applyNumberFormat="1" applyFont="1" applyFill="1" applyBorder="1" applyAlignment="1">
      <alignment horizontal="center" vertical="center"/>
    </xf>
    <xf numFmtId="166" fontId="33" fillId="16" borderId="111" xfId="2" applyNumberFormat="1" applyFont="1" applyFill="1" applyBorder="1" applyAlignment="1">
      <alignment horizontal="center" vertical="center"/>
    </xf>
    <xf numFmtId="0" fontId="0" fillId="24" borderId="58" xfId="0" applyFill="1" applyBorder="1" applyAlignment="1">
      <alignment horizontal="centerContinuous" wrapText="1"/>
    </xf>
    <xf numFmtId="166" fontId="33" fillId="16" borderId="71" xfId="2" applyNumberFormat="1" applyFont="1" applyFill="1" applyBorder="1" applyAlignment="1">
      <alignment horizontal="center" vertical="center"/>
    </xf>
    <xf numFmtId="166" fontId="33" fillId="16" borderId="65" xfId="2" applyNumberFormat="1" applyFont="1" applyFill="1" applyBorder="1" applyAlignment="1">
      <alignment horizontal="center" vertical="center"/>
    </xf>
    <xf numFmtId="0" fontId="33" fillId="3" borderId="92" xfId="0" applyFont="1" applyFill="1" applyBorder="1" applyAlignment="1">
      <alignment horizontal="center" vertical="center"/>
    </xf>
    <xf numFmtId="10" fontId="15" fillId="0" borderId="87" xfId="2" applyNumberFormat="1" applyFont="1" applyFill="1" applyBorder="1" applyAlignment="1">
      <alignment horizontal="right" vertical="center"/>
    </xf>
    <xf numFmtId="10" fontId="15" fillId="0" borderId="88" xfId="2" applyNumberFormat="1" applyFont="1" applyFill="1" applyBorder="1" applyAlignment="1">
      <alignment horizontal="right" vertical="center"/>
    </xf>
    <xf numFmtId="43" fontId="15" fillId="0" borderId="88" xfId="4" applyFont="1" applyFill="1" applyBorder="1" applyAlignment="1">
      <alignment horizontal="right" vertical="center"/>
    </xf>
    <xf numFmtId="10" fontId="15" fillId="0" borderId="89" xfId="2" applyNumberFormat="1" applyFont="1" applyFill="1" applyBorder="1" applyAlignment="1">
      <alignment horizontal="right" vertical="center"/>
    </xf>
    <xf numFmtId="10" fontId="15" fillId="16" borderId="101" xfId="2" applyNumberFormat="1" applyFont="1" applyFill="1" applyBorder="1" applyAlignment="1">
      <alignment horizontal="right" vertical="center"/>
    </xf>
    <xf numFmtId="10" fontId="15" fillId="16" borderId="73" xfId="2" applyNumberFormat="1" applyFont="1" applyFill="1" applyBorder="1" applyAlignment="1">
      <alignment horizontal="right" vertical="center"/>
    </xf>
    <xf numFmtId="10" fontId="15" fillId="16" borderId="102" xfId="2" applyNumberFormat="1" applyFont="1" applyFill="1" applyBorder="1" applyAlignment="1">
      <alignment horizontal="right" vertical="center"/>
    </xf>
    <xf numFmtId="10" fontId="15" fillId="16" borderId="103" xfId="2" applyNumberFormat="1" applyFont="1" applyFill="1" applyBorder="1" applyAlignment="1">
      <alignment horizontal="right" vertical="center"/>
    </xf>
    <xf numFmtId="10" fontId="15" fillId="16" borderId="104" xfId="2" applyNumberFormat="1" applyFont="1" applyFill="1" applyBorder="1" applyAlignment="1">
      <alignment horizontal="right" vertical="center"/>
    </xf>
    <xf numFmtId="10" fontId="15" fillId="16" borderId="105" xfId="2" applyNumberFormat="1" applyFont="1" applyFill="1" applyBorder="1" applyAlignment="1">
      <alignment horizontal="right" vertical="center"/>
    </xf>
    <xf numFmtId="0" fontId="0" fillId="28" borderId="0" xfId="0" applyFill="1"/>
    <xf numFmtId="0" fontId="15" fillId="11" borderId="31" xfId="0" applyFont="1" applyFill="1" applyBorder="1" applyAlignment="1">
      <alignment horizontal="left" vertical="center"/>
    </xf>
    <xf numFmtId="0" fontId="0" fillId="3" borderId="71" xfId="0" applyFill="1" applyBorder="1"/>
    <xf numFmtId="0" fontId="0" fillId="3" borderId="57" xfId="0" applyFill="1" applyBorder="1" applyAlignment="1">
      <alignment horizontal="left"/>
    </xf>
    <xf numFmtId="16" fontId="11" fillId="9" borderId="15" xfId="0" applyNumberFormat="1" applyFont="1" applyFill="1" applyBorder="1" applyAlignment="1">
      <alignment horizontal="center"/>
    </xf>
    <xf numFmtId="16" fontId="11" fillId="9" borderId="4" xfId="0" applyNumberFormat="1" applyFont="1" applyFill="1" applyBorder="1" applyAlignment="1">
      <alignment horizontal="center"/>
    </xf>
    <xf numFmtId="0" fontId="0" fillId="14" borderId="57" xfId="0" applyFill="1" applyBorder="1"/>
    <xf numFmtId="0" fontId="0" fillId="3" borderId="57" xfId="0" applyFill="1" applyBorder="1" applyAlignment="1">
      <alignment horizontal="left" wrapText="1"/>
    </xf>
    <xf numFmtId="0" fontId="25" fillId="14" borderId="0" xfId="0" applyFont="1" applyFill="1"/>
    <xf numFmtId="0" fontId="0" fillId="14" borderId="0" xfId="0" applyFill="1"/>
    <xf numFmtId="0" fontId="0" fillId="14" borderId="74" xfId="0" applyFill="1" applyBorder="1"/>
    <xf numFmtId="0" fontId="0" fillId="0" borderId="71" xfId="0" applyBorder="1" applyAlignment="1">
      <alignment wrapText="1"/>
    </xf>
    <xf numFmtId="0" fontId="0" fillId="0" borderId="64" xfId="0" applyBorder="1" applyAlignment="1">
      <alignment wrapText="1"/>
    </xf>
    <xf numFmtId="0" fontId="0" fillId="0" borderId="63" xfId="0" applyBorder="1" applyAlignment="1">
      <alignment wrapText="1"/>
    </xf>
    <xf numFmtId="0" fontId="0" fillId="0" borderId="65" xfId="0" applyBorder="1" applyAlignment="1">
      <alignment wrapText="1"/>
    </xf>
    <xf numFmtId="0" fontId="0" fillId="25" borderId="71" xfId="0" applyFill="1" applyBorder="1" applyAlignment="1">
      <alignment horizontal="center" wrapText="1"/>
    </xf>
    <xf numFmtId="0" fontId="0" fillId="25" borderId="63" xfId="0" applyFill="1" applyBorder="1"/>
    <xf numFmtId="0" fontId="0" fillId="25" borderId="64" xfId="0" applyFill="1" applyBorder="1"/>
    <xf numFmtId="0" fontId="0" fillId="25" borderId="65" xfId="0" applyFill="1" applyBorder="1" applyAlignment="1">
      <alignment horizontal="center"/>
    </xf>
    <xf numFmtId="0" fontId="0" fillId="25" borderId="68" xfId="0" applyFill="1" applyBorder="1"/>
    <xf numFmtId="0" fontId="0" fillId="25" borderId="69" xfId="0" applyFill="1" applyBorder="1"/>
    <xf numFmtId="0" fontId="0" fillId="25" borderId="70" xfId="0" applyFill="1" applyBorder="1" applyAlignment="1">
      <alignment horizontal="center"/>
    </xf>
    <xf numFmtId="0" fontId="0" fillId="25" borderId="0" xfId="0" applyFill="1"/>
    <xf numFmtId="0" fontId="0" fillId="25" borderId="65" xfId="0" applyFill="1" applyBorder="1"/>
    <xf numFmtId="0" fontId="0" fillId="25" borderId="70" xfId="0" applyFill="1" applyBorder="1"/>
    <xf numFmtId="0" fontId="0" fillId="4" borderId="57" xfId="0" applyFill="1" applyBorder="1" applyAlignment="1">
      <alignment horizontal="centerContinuous" wrapText="1"/>
    </xf>
    <xf numFmtId="166" fontId="15" fillId="25" borderId="71" xfId="2" applyNumberFormat="1" applyFont="1" applyFill="1" applyBorder="1" applyAlignment="1">
      <alignment horizontal="center" vertical="center"/>
    </xf>
    <xf numFmtId="166" fontId="15" fillId="25" borderId="110" xfId="2" applyNumberFormat="1" applyFont="1" applyFill="1" applyBorder="1" applyAlignment="1">
      <alignment horizontal="center" vertical="center"/>
    </xf>
    <xf numFmtId="166" fontId="15" fillId="25" borderId="101" xfId="2" applyNumberFormat="1" applyFont="1" applyFill="1" applyBorder="1" applyAlignment="1">
      <alignment horizontal="center" vertical="center"/>
    </xf>
    <xf numFmtId="166" fontId="15" fillId="25" borderId="73" xfId="2" applyNumberFormat="1" applyFont="1" applyFill="1" applyBorder="1" applyAlignment="1">
      <alignment horizontal="center" vertical="center"/>
    </xf>
    <xf numFmtId="166" fontId="15" fillId="25" borderId="104" xfId="2" applyNumberFormat="1" applyFont="1" applyFill="1" applyBorder="1" applyAlignment="1">
      <alignment horizontal="center" vertical="center"/>
    </xf>
    <xf numFmtId="166" fontId="15" fillId="25" borderId="105" xfId="2" applyNumberFormat="1" applyFont="1" applyFill="1" applyBorder="1" applyAlignment="1">
      <alignment horizontal="center" vertical="center"/>
    </xf>
    <xf numFmtId="166" fontId="15" fillId="25" borderId="109" xfId="2" applyNumberFormat="1" applyFont="1" applyFill="1" applyBorder="1" applyAlignment="1">
      <alignment horizontal="center" vertical="center"/>
    </xf>
    <xf numFmtId="166" fontId="15" fillId="25" borderId="102" xfId="2" applyNumberFormat="1" applyFont="1" applyFill="1" applyBorder="1" applyAlignment="1">
      <alignment horizontal="center" vertical="center"/>
    </xf>
    <xf numFmtId="166" fontId="15" fillId="25" borderId="103" xfId="2" applyNumberFormat="1" applyFont="1" applyFill="1" applyBorder="1" applyAlignment="1">
      <alignment horizontal="center" vertical="center"/>
    </xf>
    <xf numFmtId="166" fontId="15" fillId="25" borderId="37" xfId="2" applyNumberFormat="1" applyFont="1" applyFill="1" applyBorder="1" applyAlignment="1">
      <alignment horizontal="center" vertical="center"/>
    </xf>
    <xf numFmtId="166" fontId="15" fillId="16" borderId="78" xfId="2" applyNumberFormat="1" applyFont="1" applyFill="1" applyBorder="1" applyAlignment="1">
      <alignment horizontal="center" vertical="center"/>
    </xf>
    <xf numFmtId="166" fontId="15" fillId="16" borderId="79" xfId="2" applyNumberFormat="1" applyFont="1" applyFill="1" applyBorder="1" applyAlignment="1">
      <alignment horizontal="center" vertical="center"/>
    </xf>
    <xf numFmtId="166" fontId="15" fillId="16" borderId="117" xfId="2" applyNumberFormat="1" applyFont="1" applyFill="1" applyBorder="1" applyAlignment="1">
      <alignment horizontal="center" vertical="center"/>
    </xf>
    <xf numFmtId="166" fontId="15" fillId="16" borderId="75" xfId="2" applyNumberFormat="1" applyFont="1" applyFill="1" applyBorder="1" applyAlignment="1">
      <alignment horizontal="center" vertical="center"/>
    </xf>
    <xf numFmtId="166" fontId="15" fillId="16" borderId="118" xfId="2" applyNumberFormat="1" applyFont="1" applyFill="1" applyBorder="1" applyAlignment="1">
      <alignment horizontal="center" vertical="center"/>
    </xf>
    <xf numFmtId="166" fontId="15" fillId="16" borderId="77" xfId="2" applyNumberFormat="1" applyFont="1" applyFill="1" applyBorder="1" applyAlignment="1">
      <alignment horizontal="center" vertical="center"/>
    </xf>
    <xf numFmtId="0" fontId="0" fillId="25" borderId="57" xfId="0" applyFill="1" applyBorder="1"/>
    <xf numFmtId="14" fontId="0" fillId="25" borderId="0" xfId="0" applyNumberFormat="1" applyFill="1"/>
    <xf numFmtId="0" fontId="0" fillId="25" borderId="73" xfId="0" applyFill="1" applyBorder="1"/>
    <xf numFmtId="10" fontId="15" fillId="25" borderId="87" xfId="2" applyNumberFormat="1" applyFont="1" applyFill="1" applyBorder="1" applyAlignment="1">
      <alignment horizontal="right" vertical="center"/>
    </xf>
    <xf numFmtId="0" fontId="0" fillId="0" borderId="119" xfId="0" applyBorder="1"/>
    <xf numFmtId="170" fontId="15" fillId="16" borderId="27" xfId="0" applyNumberFormat="1" applyFont="1" applyFill="1" applyBorder="1" applyAlignment="1">
      <alignment horizontal="center" vertical="center"/>
    </xf>
    <xf numFmtId="165" fontId="15" fillId="15" borderId="4" xfId="4" applyNumberFormat="1" applyFont="1" applyFill="1" applyBorder="1" applyAlignment="1">
      <alignment horizontal="center" vertical="center"/>
    </xf>
    <xf numFmtId="165" fontId="15" fillId="16" borderId="27" xfId="4" applyNumberFormat="1" applyFont="1" applyFill="1" applyBorder="1" applyAlignment="1">
      <alignment horizontal="center" vertical="center"/>
    </xf>
    <xf numFmtId="9" fontId="15" fillId="16" borderId="2" xfId="2" applyFont="1" applyFill="1" applyBorder="1" applyAlignment="1">
      <alignment horizontal="center" vertical="center"/>
    </xf>
    <xf numFmtId="165" fontId="15" fillId="15" borderId="24" xfId="4" applyNumberFormat="1" applyFont="1" applyFill="1" applyBorder="1" applyAlignment="1">
      <alignment horizontal="center" vertical="center"/>
    </xf>
    <xf numFmtId="165" fontId="15" fillId="16" borderId="2" xfId="4" applyNumberFormat="1" applyFont="1" applyFill="1" applyBorder="1" applyAlignment="1">
      <alignment horizontal="center" vertical="center"/>
    </xf>
    <xf numFmtId="9" fontId="15" fillId="15" borderId="8" xfId="2" applyFont="1" applyFill="1" applyBorder="1" applyAlignment="1">
      <alignment horizontal="center" vertical="center"/>
    </xf>
    <xf numFmtId="9" fontId="15" fillId="16" borderId="1" xfId="2" applyFont="1" applyFill="1" applyBorder="1" applyAlignment="1">
      <alignment horizontal="center" vertical="center"/>
    </xf>
    <xf numFmtId="0" fontId="0" fillId="35" borderId="0" xfId="0" applyFill="1"/>
    <xf numFmtId="43" fontId="15" fillId="28" borderId="79" xfId="4" applyFont="1" applyFill="1" applyBorder="1" applyAlignment="1">
      <alignment horizontal="center" vertical="center"/>
    </xf>
    <xf numFmtId="2" fontId="15" fillId="15" borderId="24" xfId="0" applyNumberFormat="1" applyFont="1" applyFill="1" applyBorder="1" applyAlignment="1">
      <alignment horizontal="center" vertical="center"/>
    </xf>
    <xf numFmtId="0" fontId="0" fillId="0" borderId="70" xfId="0" applyBorder="1" applyAlignment="1">
      <alignment horizontal="center"/>
    </xf>
    <xf numFmtId="167" fontId="14" fillId="16" borderId="25" xfId="4" applyNumberFormat="1" applyFont="1" applyFill="1" applyBorder="1" applyAlignment="1">
      <alignment horizontal="center" vertical="center"/>
    </xf>
    <xf numFmtId="167" fontId="14" fillId="15" borderId="41" xfId="4" applyNumberFormat="1" applyFont="1" applyFill="1" applyBorder="1" applyAlignment="1">
      <alignment horizontal="center" vertical="center" wrapText="1"/>
    </xf>
    <xf numFmtId="0" fontId="37" fillId="3" borderId="0" xfId="0" applyFont="1" applyFill="1"/>
    <xf numFmtId="0" fontId="37" fillId="0" borderId="0" xfId="0" applyFont="1"/>
    <xf numFmtId="0" fontId="0" fillId="33" borderId="57" xfId="0" applyFill="1" applyBorder="1"/>
    <xf numFmtId="0" fontId="26" fillId="21" borderId="60" xfId="0" applyFont="1" applyFill="1" applyBorder="1" applyAlignment="1">
      <alignment wrapText="1"/>
    </xf>
    <xf numFmtId="0" fontId="26" fillId="37" borderId="59" xfId="0" applyFont="1" applyFill="1" applyBorder="1" applyAlignment="1">
      <alignment wrapText="1"/>
    </xf>
    <xf numFmtId="0" fontId="26" fillId="37" borderId="60" xfId="0" applyFont="1" applyFill="1" applyBorder="1"/>
    <xf numFmtId="0" fontId="25" fillId="0" borderId="0" xfId="0" applyFont="1" applyAlignment="1">
      <alignment wrapText="1"/>
    </xf>
    <xf numFmtId="0" fontId="0" fillId="28" borderId="64" xfId="0" applyFill="1" applyBorder="1"/>
    <xf numFmtId="0" fontId="0" fillId="28" borderId="69" xfId="0" applyFill="1" applyBorder="1"/>
    <xf numFmtId="0" fontId="26" fillId="21" borderId="58" xfId="0" applyFont="1" applyFill="1" applyBorder="1" applyAlignment="1">
      <alignment wrapText="1"/>
    </xf>
    <xf numFmtId="0" fontId="0" fillId="0" borderId="58" xfId="0" applyBorder="1"/>
    <xf numFmtId="0" fontId="0" fillId="24" borderId="66" xfId="0" applyFill="1" applyBorder="1"/>
    <xf numFmtId="0" fontId="2" fillId="27" borderId="78" xfId="0" applyFont="1" applyFill="1" applyBorder="1"/>
    <xf numFmtId="0" fontId="0" fillId="0" borderId="57" xfId="0" applyBorder="1" applyAlignment="1">
      <alignment horizontal="left" vertical="top" wrapText="1"/>
    </xf>
    <xf numFmtId="0" fontId="0" fillId="0" borderId="132" xfId="0" applyBorder="1"/>
    <xf numFmtId="0" fontId="0" fillId="0" borderId="128" xfId="0" applyBorder="1"/>
    <xf numFmtId="43" fontId="15" fillId="0" borderId="57" xfId="4" applyFont="1" applyFill="1" applyBorder="1" applyAlignment="1">
      <alignment horizontal="center" vertical="center"/>
    </xf>
    <xf numFmtId="43" fontId="15" fillId="16" borderId="117" xfId="4" applyFont="1" applyFill="1" applyBorder="1" applyAlignment="1">
      <alignment horizontal="center" vertical="center"/>
    </xf>
    <xf numFmtId="43" fontId="15" fillId="16" borderId="75" xfId="4" applyFont="1" applyFill="1" applyBorder="1" applyAlignment="1">
      <alignment horizontal="center" vertical="center"/>
    </xf>
    <xf numFmtId="0" fontId="0" fillId="0" borderId="71" xfId="0" applyBorder="1" applyAlignment="1">
      <alignment vertical="top" wrapText="1"/>
    </xf>
    <xf numFmtId="0" fontId="0" fillId="0" borderId="78" xfId="0" applyBorder="1" applyAlignment="1">
      <alignment vertical="top" wrapText="1"/>
    </xf>
    <xf numFmtId="0" fontId="0" fillId="0" borderId="79" xfId="0" applyBorder="1" applyAlignment="1">
      <alignment vertical="top" wrapText="1"/>
    </xf>
    <xf numFmtId="0" fontId="15" fillId="11" borderId="92" xfId="0" applyFont="1" applyFill="1" applyBorder="1" applyAlignment="1">
      <alignment horizontal="center" vertical="center"/>
    </xf>
    <xf numFmtId="0" fontId="15" fillId="11" borderId="93" xfId="0" applyFont="1" applyFill="1" applyBorder="1" applyAlignment="1">
      <alignment horizontal="center" vertical="center"/>
    </xf>
    <xf numFmtId="43" fontId="0" fillId="24" borderId="57" xfId="4" applyFont="1" applyFill="1" applyBorder="1" applyAlignment="1">
      <alignment horizontal="centerContinuous"/>
    </xf>
    <xf numFmtId="43" fontId="15" fillId="0" borderId="87" xfId="4" applyFont="1" applyFill="1" applyBorder="1" applyAlignment="1">
      <alignment horizontal="right" vertical="center"/>
    </xf>
    <xf numFmtId="43" fontId="15" fillId="0" borderId="92" xfId="4" applyFont="1" applyFill="1" applyBorder="1" applyAlignment="1">
      <alignment horizontal="right" vertical="center"/>
    </xf>
    <xf numFmtId="43" fontId="15" fillId="0" borderId="89" xfId="4" applyFont="1" applyFill="1" applyBorder="1" applyAlignment="1">
      <alignment horizontal="right" vertical="center"/>
    </xf>
    <xf numFmtId="43" fontId="15" fillId="0" borderId="93" xfId="4" applyFont="1" applyFill="1" applyBorder="1" applyAlignment="1">
      <alignment horizontal="right" vertical="center"/>
    </xf>
    <xf numFmtId="43" fontId="15" fillId="0" borderId="91" xfId="4" applyFont="1" applyFill="1" applyBorder="1" applyAlignment="1">
      <alignment horizontal="right" vertical="center"/>
    </xf>
    <xf numFmtId="43" fontId="15" fillId="25" borderId="87" xfId="4" applyFont="1" applyFill="1" applyBorder="1" applyAlignment="1">
      <alignment horizontal="right" vertical="center"/>
    </xf>
    <xf numFmtId="43" fontId="15" fillId="25" borderId="91" xfId="4" applyFont="1" applyFill="1" applyBorder="1" applyAlignment="1">
      <alignment horizontal="right" vertical="center"/>
    </xf>
    <xf numFmtId="43" fontId="15" fillId="16" borderId="101" xfId="4" applyFont="1" applyFill="1" applyBorder="1" applyAlignment="1">
      <alignment horizontal="right" vertical="center"/>
    </xf>
    <xf numFmtId="43" fontId="15" fillId="16" borderId="73" xfId="4" applyFont="1" applyFill="1" applyBorder="1" applyAlignment="1">
      <alignment horizontal="right" vertical="center"/>
    </xf>
    <xf numFmtId="43" fontId="15" fillId="16" borderId="102" xfId="4" applyFont="1" applyFill="1" applyBorder="1" applyAlignment="1">
      <alignment horizontal="right" vertical="center"/>
    </xf>
    <xf numFmtId="43" fontId="15" fillId="16" borderId="103" xfId="4" applyFont="1" applyFill="1" applyBorder="1" applyAlignment="1">
      <alignment horizontal="right" vertical="center"/>
    </xf>
    <xf numFmtId="43" fontId="15" fillId="16" borderId="104" xfId="4" applyFont="1" applyFill="1" applyBorder="1" applyAlignment="1">
      <alignment horizontal="right" vertical="center"/>
    </xf>
    <xf numFmtId="43" fontId="15" fillId="16" borderId="105" xfId="4" applyFont="1" applyFill="1" applyBorder="1" applyAlignment="1">
      <alignment horizontal="right" vertical="center"/>
    </xf>
    <xf numFmtId="165" fontId="0" fillId="24" borderId="57" xfId="0" applyNumberFormat="1" applyFill="1" applyBorder="1" applyAlignment="1">
      <alignment horizontal="centerContinuous"/>
    </xf>
    <xf numFmtId="165" fontId="15" fillId="16" borderId="106" xfId="4" applyNumberFormat="1" applyFont="1" applyFill="1" applyBorder="1" applyAlignment="1">
      <alignment horizontal="center" vertical="center"/>
    </xf>
    <xf numFmtId="165" fontId="15" fillId="16" borderId="101" xfId="4" applyNumberFormat="1" applyFont="1" applyFill="1" applyBorder="1" applyAlignment="1">
      <alignment horizontal="center" vertical="center"/>
    </xf>
    <xf numFmtId="165" fontId="15" fillId="16" borderId="73" xfId="4" applyNumberFormat="1" applyFont="1" applyFill="1" applyBorder="1" applyAlignment="1">
      <alignment horizontal="center" vertical="center"/>
    </xf>
    <xf numFmtId="43" fontId="15" fillId="16" borderId="79" xfId="4" applyFont="1" applyFill="1" applyBorder="1" applyAlignment="1">
      <alignment horizontal="center" vertical="center"/>
    </xf>
    <xf numFmtId="43" fontId="15" fillId="16" borderId="78" xfId="4" applyFont="1" applyFill="1" applyBorder="1" applyAlignment="1">
      <alignment horizontal="center" vertical="center"/>
    </xf>
    <xf numFmtId="43" fontId="15" fillId="16" borderId="118" xfId="4" applyFont="1" applyFill="1" applyBorder="1" applyAlignment="1">
      <alignment horizontal="center" vertical="center"/>
    </xf>
    <xf numFmtId="43" fontId="15" fillId="16" borderId="77" xfId="4" applyFont="1" applyFill="1" applyBorder="1" applyAlignment="1">
      <alignment horizontal="center" vertical="center"/>
    </xf>
    <xf numFmtId="44" fontId="14" fillId="15" borderId="22" xfId="3" applyFont="1" applyFill="1" applyBorder="1" applyAlignment="1">
      <alignment horizontal="center" vertical="center"/>
    </xf>
    <xf numFmtId="44" fontId="15" fillId="15" borderId="23" xfId="3" applyFont="1" applyFill="1" applyBorder="1" applyAlignment="1">
      <alignment horizontal="center" vertical="center"/>
    </xf>
    <xf numFmtId="44" fontId="15" fillId="15" borderId="24" xfId="3" applyFont="1" applyFill="1" applyBorder="1" applyAlignment="1">
      <alignment horizontal="center" vertical="center"/>
    </xf>
    <xf numFmtId="44" fontId="15" fillId="15" borderId="36" xfId="3" applyFont="1" applyFill="1" applyBorder="1" applyAlignment="1">
      <alignment horizontal="center" vertical="center"/>
    </xf>
    <xf numFmtId="44" fontId="0" fillId="3" borderId="0" xfId="3" applyFont="1" applyFill="1"/>
    <xf numFmtId="44" fontId="14" fillId="16" borderId="25" xfId="3" applyFont="1" applyFill="1" applyBorder="1" applyAlignment="1">
      <alignment horizontal="center" vertical="center"/>
    </xf>
    <xf numFmtId="44" fontId="15" fillId="16" borderId="26" xfId="3" applyFont="1" applyFill="1" applyBorder="1" applyAlignment="1">
      <alignment horizontal="center" vertical="center"/>
    </xf>
    <xf numFmtId="44" fontId="15" fillId="16" borderId="27" xfId="3" applyFont="1" applyFill="1" applyBorder="1" applyAlignment="1">
      <alignment horizontal="center" vertical="center"/>
    </xf>
    <xf numFmtId="44" fontId="15" fillId="16" borderId="37" xfId="3" applyFont="1" applyFill="1" applyBorder="1" applyAlignment="1">
      <alignment horizontal="center" vertical="center"/>
    </xf>
    <xf numFmtId="43" fontId="14" fillId="15" borderId="22" xfId="4" applyFont="1" applyFill="1" applyBorder="1" applyAlignment="1">
      <alignment horizontal="center" vertical="center"/>
    </xf>
    <xf numFmtId="43" fontId="15" fillId="15" borderId="23" xfId="4" applyFont="1" applyFill="1" applyBorder="1" applyAlignment="1">
      <alignment horizontal="center" vertical="center"/>
    </xf>
    <xf numFmtId="43" fontId="15" fillId="15" borderId="24" xfId="4" applyFont="1" applyFill="1" applyBorder="1" applyAlignment="1">
      <alignment horizontal="center" vertical="center"/>
    </xf>
    <xf numFmtId="43" fontId="15" fillId="15" borderId="36" xfId="4" applyFont="1" applyFill="1" applyBorder="1" applyAlignment="1">
      <alignment horizontal="center" vertical="center"/>
    </xf>
    <xf numFmtId="43" fontId="15" fillId="15" borderId="8" xfId="4" applyFont="1" applyFill="1" applyBorder="1" applyAlignment="1">
      <alignment horizontal="center" vertical="center"/>
    </xf>
    <xf numFmtId="43" fontId="15" fillId="15" borderId="3" xfId="4" applyFont="1" applyFill="1" applyBorder="1" applyAlignment="1">
      <alignment horizontal="center" vertical="center"/>
    </xf>
    <xf numFmtId="43" fontId="0" fillId="3" borderId="0" xfId="4" applyFont="1" applyFill="1"/>
    <xf numFmtId="43" fontId="15" fillId="16" borderId="2" xfId="4" applyFont="1" applyFill="1" applyBorder="1" applyAlignment="1">
      <alignment horizontal="center" vertical="center"/>
    </xf>
    <xf numFmtId="43" fontId="15" fillId="16" borderId="1" xfId="4" applyFont="1" applyFill="1" applyBorder="1" applyAlignment="1">
      <alignment horizontal="center" vertical="center"/>
    </xf>
    <xf numFmtId="0" fontId="0" fillId="0" borderId="67" xfId="0" applyBorder="1" applyAlignment="1">
      <alignment horizontal="center"/>
    </xf>
    <xf numFmtId="0" fontId="0" fillId="0" borderId="65" xfId="0" applyBorder="1" applyAlignment="1">
      <alignment horizontal="center"/>
    </xf>
    <xf numFmtId="165" fontId="0" fillId="0" borderId="0" xfId="4" applyNumberFormat="1" applyFont="1"/>
    <xf numFmtId="165" fontId="0" fillId="0" borderId="76" xfId="4" applyNumberFormat="1" applyFont="1" applyBorder="1"/>
    <xf numFmtId="165" fontId="0" fillId="0" borderId="77" xfId="4" applyNumberFormat="1" applyFont="1" applyBorder="1"/>
    <xf numFmtId="165" fontId="15" fillId="0" borderId="79" xfId="4" applyNumberFormat="1" applyFont="1" applyFill="1" applyBorder="1" applyAlignment="1">
      <alignment horizontal="center" vertical="center"/>
    </xf>
    <xf numFmtId="0" fontId="0" fillId="26" borderId="70" xfId="0" applyFill="1" applyBorder="1"/>
    <xf numFmtId="0" fontId="0" fillId="25" borderId="120" xfId="0" applyFill="1" applyBorder="1" applyAlignment="1">
      <alignment horizontal="center" vertical="center"/>
    </xf>
    <xf numFmtId="0" fontId="0" fillId="26" borderId="58" xfId="0" applyFill="1" applyBorder="1"/>
    <xf numFmtId="0" fontId="0" fillId="26" borderId="59" xfId="0" applyFill="1" applyBorder="1"/>
    <xf numFmtId="0" fontId="0" fillId="26" borderId="59" xfId="0" applyFill="1" applyBorder="1" applyAlignment="1">
      <alignment vertical="center"/>
    </xf>
    <xf numFmtId="0" fontId="0" fillId="26" borderId="60" xfId="0" applyFill="1" applyBorder="1"/>
    <xf numFmtId="0" fontId="0" fillId="25" borderId="133" xfId="0" applyFill="1" applyBorder="1"/>
    <xf numFmtId="0" fontId="0" fillId="25" borderId="134" xfId="0" applyFill="1" applyBorder="1"/>
    <xf numFmtId="0" fontId="0" fillId="25" borderId="134" xfId="0" applyFill="1" applyBorder="1" applyAlignment="1">
      <alignment vertical="center"/>
    </xf>
    <xf numFmtId="0" fontId="0" fillId="25" borderId="135" xfId="0" applyFill="1" applyBorder="1"/>
    <xf numFmtId="0" fontId="0" fillId="25" borderId="136" xfId="0" applyFill="1" applyBorder="1"/>
    <xf numFmtId="0" fontId="0" fillId="25" borderId="137" xfId="0" applyFill="1" applyBorder="1"/>
    <xf numFmtId="0" fontId="0" fillId="25" borderId="137" xfId="0" applyFill="1" applyBorder="1" applyAlignment="1">
      <alignment vertical="center"/>
    </xf>
    <xf numFmtId="0" fontId="0" fillId="25" borderId="138" xfId="0" applyFill="1" applyBorder="1"/>
    <xf numFmtId="9" fontId="33" fillId="16" borderId="111" xfId="2" applyFont="1" applyFill="1" applyBorder="1" applyAlignment="1">
      <alignment horizontal="center" vertical="center"/>
    </xf>
    <xf numFmtId="16" fontId="0" fillId="3" borderId="0" xfId="0" applyNumberFormat="1" applyFill="1"/>
    <xf numFmtId="0" fontId="33" fillId="3" borderId="93" xfId="0" applyFont="1" applyFill="1" applyBorder="1" applyAlignment="1">
      <alignment horizontal="center" vertical="center"/>
    </xf>
    <xf numFmtId="0" fontId="0" fillId="0" borderId="60" xfId="0" applyBorder="1" applyAlignment="1">
      <alignment horizontal="center"/>
    </xf>
    <xf numFmtId="0" fontId="0" fillId="0" borderId="60" xfId="0" applyBorder="1"/>
    <xf numFmtId="9" fontId="33" fillId="16" borderId="110" xfId="2" applyFont="1" applyFill="1" applyBorder="1" applyAlignment="1">
      <alignment horizontal="center" vertical="center"/>
    </xf>
    <xf numFmtId="0" fontId="0" fillId="26" borderId="139" xfId="0" applyFill="1" applyBorder="1" applyAlignment="1">
      <alignment horizontal="center" vertical="center"/>
    </xf>
    <xf numFmtId="0" fontId="0" fillId="26" borderId="58" xfId="0" applyFill="1" applyBorder="1" applyAlignment="1">
      <alignment vertical="center"/>
    </xf>
    <xf numFmtId="0" fontId="0" fillId="25" borderId="133" xfId="0" applyFill="1" applyBorder="1" applyAlignment="1">
      <alignment vertical="center"/>
    </xf>
    <xf numFmtId="0" fontId="0" fillId="25" borderId="136" xfId="0" applyFill="1" applyBorder="1" applyAlignment="1">
      <alignment vertical="center"/>
    </xf>
    <xf numFmtId="0" fontId="26" fillId="21" borderId="13" xfId="0" applyFont="1" applyFill="1" applyBorder="1"/>
    <xf numFmtId="0" fontId="26" fillId="21" borderId="14" xfId="0" applyFont="1" applyFill="1" applyBorder="1" applyAlignment="1">
      <alignment horizontal="center"/>
    </xf>
    <xf numFmtId="0" fontId="26" fillId="21" borderId="14" xfId="0" applyFont="1" applyFill="1" applyBorder="1"/>
    <xf numFmtId="0" fontId="26" fillId="21" borderId="140" xfId="0" applyFont="1" applyFill="1" applyBorder="1"/>
    <xf numFmtId="0" fontId="26" fillId="21" borderId="141" xfId="0" applyFont="1" applyFill="1" applyBorder="1"/>
    <xf numFmtId="0" fontId="26" fillId="21" borderId="142" xfId="0" applyFont="1" applyFill="1" applyBorder="1" applyAlignment="1">
      <alignment horizontal="center"/>
    </xf>
    <xf numFmtId="0" fontId="26" fillId="21" borderId="142" xfId="0" applyFont="1" applyFill="1" applyBorder="1"/>
    <xf numFmtId="0" fontId="26" fillId="21" borderId="143" xfId="0" applyFont="1" applyFill="1" applyBorder="1"/>
    <xf numFmtId="166" fontId="33" fillId="16" borderId="57" xfId="2" applyNumberFormat="1" applyFont="1" applyFill="1" applyBorder="1" applyAlignment="1">
      <alignment horizontal="center" vertical="center"/>
    </xf>
    <xf numFmtId="166" fontId="33" fillId="16" borderId="60" xfId="2" applyNumberFormat="1" applyFont="1" applyFill="1" applyBorder="1" applyAlignment="1">
      <alignment horizontal="center" vertical="center"/>
    </xf>
    <xf numFmtId="14" fontId="22" fillId="25" borderId="121" xfId="0" applyNumberFormat="1" applyFont="1" applyFill="1" applyBorder="1" applyAlignment="1">
      <alignment horizontal="center" vertical="center"/>
    </xf>
    <xf numFmtId="14" fontId="22" fillId="0" borderId="0" xfId="0" applyNumberFormat="1" applyFont="1"/>
    <xf numFmtId="0" fontId="34" fillId="0" borderId="0" xfId="0" applyFont="1" applyAlignment="1">
      <alignment horizontal="left" indent="2"/>
    </xf>
    <xf numFmtId="43" fontId="33" fillId="16" borderId="37" xfId="4" applyFont="1" applyFill="1" applyBorder="1" applyAlignment="1">
      <alignment horizontal="center" vertical="center"/>
    </xf>
    <xf numFmtId="43" fontId="33" fillId="16" borderId="109" xfId="4" applyFont="1" applyFill="1" applyBorder="1" applyAlignment="1">
      <alignment horizontal="center" vertical="center"/>
    </xf>
    <xf numFmtId="0" fontId="0" fillId="35" borderId="67" xfId="0" applyFill="1" applyBorder="1"/>
    <xf numFmtId="0" fontId="0" fillId="35" borderId="65" xfId="0" applyFill="1" applyBorder="1"/>
    <xf numFmtId="0" fontId="0" fillId="35" borderId="78" xfId="0" applyFill="1" applyBorder="1"/>
    <xf numFmtId="0" fontId="0" fillId="35" borderId="72" xfId="0" applyFill="1" applyBorder="1"/>
    <xf numFmtId="0" fontId="0" fillId="35" borderId="74" xfId="0" applyFill="1" applyBorder="1"/>
    <xf numFmtId="0" fontId="0" fillId="35" borderId="76" xfId="0" applyFill="1" applyBorder="1"/>
    <xf numFmtId="0" fontId="0" fillId="28" borderId="73" xfId="0" applyFill="1" applyBorder="1"/>
    <xf numFmtId="43" fontId="15" fillId="28" borderId="71" xfId="4" applyFont="1" applyFill="1" applyBorder="1" applyAlignment="1">
      <alignment horizontal="center" vertical="center"/>
    </xf>
    <xf numFmtId="0" fontId="0" fillId="28" borderId="75" xfId="0" applyFill="1" applyBorder="1"/>
    <xf numFmtId="43" fontId="15" fillId="28" borderId="78" xfId="4" applyFont="1" applyFill="1" applyBorder="1" applyAlignment="1">
      <alignment horizontal="center" vertical="center"/>
    </xf>
    <xf numFmtId="0" fontId="0" fillId="28" borderId="77" xfId="0" applyFill="1" applyBorder="1"/>
    <xf numFmtId="0" fontId="0" fillId="28" borderId="70" xfId="0" applyFill="1" applyBorder="1"/>
    <xf numFmtId="166" fontId="33" fillId="16" borderId="145" xfId="2" applyNumberFormat="1" applyFont="1" applyFill="1" applyBorder="1" applyAlignment="1">
      <alignment horizontal="center" vertical="center"/>
    </xf>
    <xf numFmtId="166" fontId="33" fillId="16" borderId="34" xfId="2" applyNumberFormat="1" applyFont="1" applyFill="1" applyBorder="1" applyAlignment="1">
      <alignment horizontal="center" vertical="center"/>
    </xf>
    <xf numFmtId="166" fontId="33" fillId="16" borderId="146" xfId="2" applyNumberFormat="1" applyFont="1" applyFill="1" applyBorder="1" applyAlignment="1">
      <alignment horizontal="center" vertical="center"/>
    </xf>
    <xf numFmtId="166" fontId="33" fillId="16" borderId="35" xfId="2" applyNumberFormat="1" applyFont="1" applyFill="1" applyBorder="1" applyAlignment="1">
      <alignment horizontal="center" vertical="center"/>
    </xf>
    <xf numFmtId="0" fontId="33" fillId="3" borderId="147" xfId="0" applyFont="1" applyFill="1" applyBorder="1" applyAlignment="1">
      <alignment horizontal="center" vertical="center"/>
    </xf>
    <xf numFmtId="0" fontId="33" fillId="3" borderId="146" xfId="0" applyFont="1" applyFill="1" applyBorder="1" applyAlignment="1">
      <alignment horizontal="center" vertical="center"/>
    </xf>
    <xf numFmtId="0" fontId="33" fillId="0" borderId="104" xfId="0" applyFont="1" applyBorder="1" applyAlignment="1">
      <alignment horizontal="center" vertical="center"/>
    </xf>
    <xf numFmtId="0" fontId="33" fillId="0" borderId="110" xfId="0" applyFont="1" applyBorder="1" applyAlignment="1">
      <alignment horizontal="center" vertical="center"/>
    </xf>
    <xf numFmtId="0" fontId="0" fillId="35" borderId="71" xfId="0" applyFill="1" applyBorder="1" applyAlignment="1">
      <alignment horizontal="center" vertical="top" wrapText="1"/>
    </xf>
    <xf numFmtId="0" fontId="0" fillId="35" borderId="78" xfId="0" applyFill="1" applyBorder="1" applyAlignment="1">
      <alignment horizontal="center" vertical="top" wrapText="1"/>
    </xf>
    <xf numFmtId="0" fontId="0" fillId="35" borderId="79" xfId="0" applyFill="1" applyBorder="1" applyAlignment="1">
      <alignment horizontal="center" vertical="top" wrapText="1"/>
    </xf>
    <xf numFmtId="0" fontId="0" fillId="35" borderId="79" xfId="0" applyFill="1" applyBorder="1" applyAlignment="1">
      <alignment horizontal="center"/>
    </xf>
    <xf numFmtId="0" fontId="33" fillId="3" borderId="80" xfId="0" applyFont="1" applyFill="1" applyBorder="1" applyAlignment="1">
      <alignment horizontal="center" vertical="center"/>
    </xf>
    <xf numFmtId="0" fontId="33" fillId="3" borderId="91" xfId="0" applyFont="1" applyFill="1" applyBorder="1" applyAlignment="1">
      <alignment horizontal="center" vertical="center"/>
    </xf>
    <xf numFmtId="166" fontId="33" fillId="0" borderId="71" xfId="2" applyNumberFormat="1" applyFont="1" applyFill="1" applyBorder="1" applyAlignment="1">
      <alignment horizontal="center" vertical="center"/>
    </xf>
    <xf numFmtId="166" fontId="33" fillId="0" borderId="65" xfId="2" applyNumberFormat="1" applyFont="1" applyFill="1" applyBorder="1" applyAlignment="1">
      <alignment horizontal="center" vertical="center"/>
    </xf>
    <xf numFmtId="166" fontId="33" fillId="0" borderId="109" xfId="2" applyNumberFormat="1" applyFont="1" applyFill="1" applyBorder="1" applyAlignment="1">
      <alignment horizontal="center" vertical="center"/>
    </xf>
    <xf numFmtId="166" fontId="33" fillId="0" borderId="37" xfId="2" applyNumberFormat="1" applyFont="1" applyFill="1" applyBorder="1" applyAlignment="1">
      <alignment horizontal="center" vertical="center"/>
    </xf>
    <xf numFmtId="0" fontId="33" fillId="0" borderId="148" xfId="0" applyFont="1" applyBorder="1" applyAlignment="1">
      <alignment horizontal="center" vertical="center"/>
    </xf>
    <xf numFmtId="0" fontId="33" fillId="0" borderId="149" xfId="0" applyFont="1" applyBorder="1" applyAlignment="1">
      <alignment horizontal="center" vertical="center"/>
    </xf>
    <xf numFmtId="0" fontId="33" fillId="0" borderId="146" xfId="0" applyFont="1" applyBorder="1" applyAlignment="1">
      <alignment horizontal="center" vertical="center"/>
    </xf>
    <xf numFmtId="166" fontId="33" fillId="0" borderId="110" xfId="2" applyNumberFormat="1" applyFont="1" applyFill="1" applyBorder="1" applyAlignment="1">
      <alignment horizontal="center" vertical="center"/>
    </xf>
    <xf numFmtId="166" fontId="33" fillId="0" borderId="111" xfId="2" applyNumberFormat="1" applyFont="1" applyFill="1" applyBorder="1" applyAlignment="1">
      <alignment horizontal="center" vertical="center"/>
    </xf>
    <xf numFmtId="0" fontId="26" fillId="21" borderId="152" xfId="0" applyFont="1" applyFill="1" applyBorder="1"/>
    <xf numFmtId="1" fontId="33" fillId="16" borderId="109" xfId="4" applyNumberFormat="1" applyFont="1" applyFill="1" applyBorder="1" applyAlignment="1">
      <alignment horizontal="center" vertical="center"/>
    </xf>
    <xf numFmtId="1" fontId="33" fillId="16" borderId="37" xfId="4" applyNumberFormat="1" applyFont="1" applyFill="1" applyBorder="1" applyAlignment="1">
      <alignment horizontal="center" vertical="center"/>
    </xf>
    <xf numFmtId="1" fontId="33" fillId="16" borderId="37" xfId="2" applyNumberFormat="1" applyFont="1" applyFill="1" applyBorder="1" applyAlignment="1">
      <alignment horizontal="center" vertical="center"/>
    </xf>
    <xf numFmtId="0" fontId="0" fillId="0" borderId="0" xfId="0" applyAlignment="1">
      <alignment horizontal="left"/>
    </xf>
    <xf numFmtId="0" fontId="25" fillId="0" borderId="0" xfId="0" applyFont="1" applyAlignment="1">
      <alignment horizontal="left"/>
    </xf>
    <xf numFmtId="0" fontId="0" fillId="0" borderId="71" xfId="0" applyBorder="1" applyAlignment="1">
      <alignment horizontal="left"/>
    </xf>
    <xf numFmtId="0" fontId="0" fillId="0" borderId="78" xfId="0" applyBorder="1" applyAlignment="1">
      <alignment horizontal="left"/>
    </xf>
    <xf numFmtId="0" fontId="0" fillId="0" borderId="79" xfId="0" applyBorder="1" applyAlignment="1">
      <alignment horizontal="left"/>
    </xf>
    <xf numFmtId="9" fontId="0" fillId="0" borderId="78" xfId="0" applyNumberFormat="1" applyBorder="1" applyAlignment="1">
      <alignment horizontal="left"/>
    </xf>
    <xf numFmtId="0" fontId="0" fillId="26" borderId="71" xfId="0" applyFill="1" applyBorder="1" applyAlignment="1">
      <alignment horizontal="left"/>
    </xf>
    <xf numFmtId="0" fontId="0" fillId="0" borderId="57" xfId="0" applyBorder="1" applyAlignment="1">
      <alignment horizontal="left"/>
    </xf>
    <xf numFmtId="0" fontId="2" fillId="27" borderId="57" xfId="0" applyFont="1" applyFill="1" applyBorder="1" applyAlignment="1">
      <alignment horizontal="left"/>
    </xf>
    <xf numFmtId="9" fontId="0" fillId="0" borderId="71" xfId="0" applyNumberFormat="1" applyBorder="1" applyAlignment="1">
      <alignment horizontal="left"/>
    </xf>
    <xf numFmtId="9" fontId="0" fillId="0" borderId="79" xfId="0" applyNumberFormat="1" applyBorder="1" applyAlignment="1">
      <alignment horizontal="left"/>
    </xf>
    <xf numFmtId="0" fontId="33" fillId="3" borderId="122" xfId="0" applyFont="1" applyFill="1" applyBorder="1" applyAlignment="1">
      <alignment horizontal="center" vertical="center"/>
    </xf>
    <xf numFmtId="9" fontId="33" fillId="16" borderId="123" xfId="2" applyFont="1" applyFill="1" applyBorder="1" applyAlignment="1">
      <alignment horizontal="center" vertical="center"/>
    </xf>
    <xf numFmtId="0" fontId="33" fillId="3" borderId="124" xfId="0" applyFont="1" applyFill="1" applyBorder="1" applyAlignment="1">
      <alignment horizontal="center" vertical="center"/>
    </xf>
    <xf numFmtId="9" fontId="33" fillId="16" borderId="125" xfId="2" applyFont="1" applyFill="1" applyBorder="1" applyAlignment="1">
      <alignment horizontal="center" vertical="center"/>
    </xf>
    <xf numFmtId="0" fontId="33" fillId="3" borderId="126" xfId="0" applyFont="1" applyFill="1" applyBorder="1" applyAlignment="1">
      <alignment horizontal="center" vertical="center"/>
    </xf>
    <xf numFmtId="9" fontId="33" fillId="16" borderId="127" xfId="2" applyFont="1" applyFill="1" applyBorder="1" applyAlignment="1">
      <alignment horizontal="center" vertical="center"/>
    </xf>
    <xf numFmtId="1" fontId="33" fillId="16" borderId="123" xfId="4" applyNumberFormat="1" applyFont="1" applyFill="1" applyBorder="1" applyAlignment="1">
      <alignment horizontal="center" vertical="center"/>
    </xf>
    <xf numFmtId="1" fontId="33" fillId="16" borderId="125" xfId="2" applyNumberFormat="1" applyFont="1" applyFill="1" applyBorder="1" applyAlignment="1">
      <alignment horizontal="center" vertical="center"/>
    </xf>
    <xf numFmtId="0" fontId="0" fillId="26" borderId="133" xfId="0" applyFill="1" applyBorder="1" applyAlignment="1">
      <alignment horizontal="centerContinuous" vertical="center"/>
    </xf>
    <xf numFmtId="0" fontId="0" fillId="26" borderId="135" xfId="0" applyFill="1" applyBorder="1" applyAlignment="1">
      <alignment horizontal="centerContinuous" vertical="center"/>
    </xf>
    <xf numFmtId="0" fontId="0" fillId="25" borderId="153" xfId="0" applyFill="1" applyBorder="1" applyAlignment="1">
      <alignment horizontal="centerContinuous" vertical="center"/>
    </xf>
    <xf numFmtId="0" fontId="0" fillId="25" borderId="154" xfId="0" applyFill="1" applyBorder="1" applyAlignment="1">
      <alignment horizontal="centerContinuous" vertical="center"/>
    </xf>
    <xf numFmtId="14" fontId="22" fillId="25" borderId="136" xfId="0" applyNumberFormat="1" applyFont="1" applyFill="1" applyBorder="1" applyAlignment="1">
      <alignment horizontal="centerContinuous" vertical="center"/>
    </xf>
    <xf numFmtId="14" fontId="22" fillId="25" borderId="138" xfId="0" applyNumberFormat="1" applyFont="1" applyFill="1" applyBorder="1" applyAlignment="1">
      <alignment horizontal="centerContinuous" vertical="center"/>
    </xf>
    <xf numFmtId="0" fontId="26" fillId="21" borderId="59" xfId="0" applyFont="1" applyFill="1" applyBorder="1" applyAlignment="1">
      <alignment horizontal="centerContinuous" vertical="center" wrapText="1"/>
    </xf>
    <xf numFmtId="0" fontId="26" fillId="21" borderId="60" xfId="0" applyFont="1" applyFill="1" applyBorder="1" applyAlignment="1">
      <alignment horizontal="centerContinuous" vertical="center" wrapText="1"/>
    </xf>
    <xf numFmtId="166" fontId="33" fillId="16" borderId="122" xfId="2" applyNumberFormat="1" applyFont="1" applyFill="1" applyBorder="1" applyAlignment="1">
      <alignment horizontal="center" vertical="center"/>
    </xf>
    <xf numFmtId="166" fontId="33" fillId="16" borderId="124" xfId="2" applyNumberFormat="1" applyFont="1" applyFill="1" applyBorder="1" applyAlignment="1">
      <alignment horizontal="center" vertical="center"/>
    </xf>
    <xf numFmtId="166" fontId="33" fillId="0" borderId="126" xfId="2" applyNumberFormat="1" applyFont="1" applyFill="1" applyBorder="1" applyAlignment="1">
      <alignment horizontal="center" vertical="center"/>
    </xf>
    <xf numFmtId="166" fontId="33" fillId="0" borderId="122" xfId="2" applyNumberFormat="1" applyFont="1" applyFill="1" applyBorder="1" applyAlignment="1">
      <alignment horizontal="center" vertical="center"/>
    </xf>
    <xf numFmtId="9" fontId="33" fillId="0" borderId="123" xfId="2" applyFont="1" applyFill="1" applyBorder="1" applyAlignment="1">
      <alignment horizontal="center" vertical="center"/>
    </xf>
    <xf numFmtId="166" fontId="33" fillId="0" borderId="124" xfId="2" applyNumberFormat="1" applyFont="1" applyFill="1" applyBorder="1" applyAlignment="1">
      <alignment horizontal="center" vertical="center"/>
    </xf>
    <xf numFmtId="9" fontId="33" fillId="0" borderId="125" xfId="2" applyFont="1" applyFill="1" applyBorder="1" applyAlignment="1">
      <alignment horizontal="center" vertical="center"/>
    </xf>
    <xf numFmtId="9" fontId="33" fillId="0" borderId="127" xfId="2" applyFont="1" applyFill="1" applyBorder="1" applyAlignment="1">
      <alignment horizontal="center" vertical="center"/>
    </xf>
    <xf numFmtId="9" fontId="33" fillId="3" borderId="81" xfId="2" applyFont="1" applyFill="1" applyBorder="1" applyAlignment="1">
      <alignment horizontal="center" vertical="center"/>
    </xf>
    <xf numFmtId="0" fontId="0" fillId="35" borderId="70" xfId="0" applyFill="1" applyBorder="1"/>
    <xf numFmtId="9" fontId="15" fillId="15" borderId="24" xfId="0" applyNumberFormat="1" applyFont="1" applyFill="1" applyBorder="1" applyAlignment="1">
      <alignment horizontal="center" vertical="center"/>
    </xf>
    <xf numFmtId="9" fontId="15" fillId="16" borderId="2" xfId="0" applyNumberFormat="1" applyFont="1" applyFill="1" applyBorder="1" applyAlignment="1">
      <alignment horizontal="center" vertical="center"/>
    </xf>
    <xf numFmtId="43" fontId="0" fillId="0" borderId="71" xfId="0" applyNumberFormat="1" applyBorder="1"/>
    <xf numFmtId="43" fontId="0" fillId="0" borderId="78" xfId="0" applyNumberFormat="1" applyBorder="1"/>
    <xf numFmtId="43" fontId="0" fillId="0" borderId="79" xfId="0" applyNumberFormat="1" applyBorder="1"/>
    <xf numFmtId="0" fontId="5" fillId="7" borderId="0" xfId="0" applyFont="1" applyFill="1" applyAlignment="1">
      <alignment horizontal="center" wrapText="1"/>
    </xf>
    <xf numFmtId="0" fontId="0" fillId="0" borderId="78" xfId="0" applyBorder="1" applyAlignment="1">
      <alignment horizontal="left" vertical="distributed"/>
    </xf>
    <xf numFmtId="0" fontId="0" fillId="0" borderId="79" xfId="0" applyBorder="1" applyAlignment="1">
      <alignment horizontal="left" vertical="distributed"/>
    </xf>
    <xf numFmtId="170" fontId="15" fillId="16" borderId="2" xfId="0" applyNumberFormat="1" applyFont="1" applyFill="1" applyBorder="1" applyAlignment="1">
      <alignment horizontal="center" vertical="center"/>
    </xf>
    <xf numFmtId="0" fontId="0" fillId="0" borderId="78" xfId="0" applyBorder="1" applyAlignment="1">
      <alignment horizontal="left" vertical="center" wrapText="1"/>
    </xf>
    <xf numFmtId="0" fontId="0" fillId="0" borderId="78" xfId="0" applyBorder="1" applyAlignment="1">
      <alignment horizontal="left" wrapText="1"/>
    </xf>
    <xf numFmtId="10" fontId="15" fillId="16" borderId="2" xfId="2" applyNumberFormat="1" applyFont="1" applyFill="1" applyBorder="1" applyAlignment="1">
      <alignment horizontal="center" vertical="center"/>
    </xf>
    <xf numFmtId="10" fontId="15" fillId="16" borderId="27" xfId="2" applyNumberFormat="1" applyFont="1" applyFill="1" applyBorder="1" applyAlignment="1">
      <alignment horizontal="center" vertical="center"/>
    </xf>
    <xf numFmtId="10" fontId="15" fillId="15" borderId="24" xfId="2" applyNumberFormat="1" applyFont="1" applyFill="1" applyBorder="1" applyAlignment="1">
      <alignment horizontal="center" vertical="center"/>
    </xf>
    <xf numFmtId="10" fontId="15" fillId="16" borderId="2" xfId="0" applyNumberFormat="1" applyFont="1" applyFill="1" applyBorder="1" applyAlignment="1">
      <alignment horizontal="center" vertical="center"/>
    </xf>
    <xf numFmtId="10" fontId="15" fillId="16" borderId="27" xfId="0" applyNumberFormat="1" applyFont="1" applyFill="1" applyBorder="1" applyAlignment="1">
      <alignment horizontal="center" vertical="center"/>
    </xf>
    <xf numFmtId="10" fontId="15" fillId="15" borderId="24" xfId="0" applyNumberFormat="1" applyFont="1" applyFill="1" applyBorder="1" applyAlignment="1">
      <alignment horizontal="center" vertical="center"/>
    </xf>
    <xf numFmtId="10" fontId="0" fillId="3" borderId="0" xfId="0" applyNumberFormat="1" applyFill="1"/>
    <xf numFmtId="0" fontId="38" fillId="0" borderId="0" xfId="0" applyFont="1"/>
    <xf numFmtId="10" fontId="15" fillId="0" borderId="88" xfId="2" applyNumberFormat="1" applyFont="1" applyBorder="1" applyAlignment="1">
      <alignment horizontal="center" vertical="center"/>
    </xf>
    <xf numFmtId="10" fontId="15" fillId="0" borderId="88" xfId="2" applyNumberFormat="1" applyFont="1" applyFill="1" applyBorder="1" applyAlignment="1">
      <alignment horizontal="center" vertical="center"/>
    </xf>
    <xf numFmtId="9" fontId="33" fillId="3" borderId="124" xfId="2" applyFont="1" applyFill="1" applyBorder="1" applyAlignment="1">
      <alignment horizontal="center" vertical="center"/>
    </xf>
    <xf numFmtId="164" fontId="15" fillId="15" borderId="8" xfId="3" applyNumberFormat="1" applyFont="1" applyFill="1" applyBorder="1" applyAlignment="1">
      <alignment horizontal="center" vertical="center"/>
    </xf>
    <xf numFmtId="164" fontId="15" fillId="16" borderId="2" xfId="3" applyNumberFormat="1" applyFont="1" applyFill="1" applyBorder="1" applyAlignment="1">
      <alignment horizontal="center" vertical="center"/>
    </xf>
    <xf numFmtId="164" fontId="15" fillId="16" borderId="2" xfId="4" applyNumberFormat="1" applyFont="1" applyFill="1" applyBorder="1" applyAlignment="1">
      <alignment horizontal="center" vertical="center"/>
    </xf>
    <xf numFmtId="0" fontId="0" fillId="0" borderId="67" xfId="0" applyBorder="1" applyAlignment="1">
      <alignment horizontal="center" vertical="center"/>
    </xf>
    <xf numFmtId="0" fontId="0" fillId="0" borderId="74" xfId="0" applyBorder="1" applyAlignment="1">
      <alignment vertical="center"/>
    </xf>
    <xf numFmtId="0" fontId="0" fillId="0" borderId="75" xfId="0" applyBorder="1" applyAlignment="1">
      <alignment vertical="center"/>
    </xf>
    <xf numFmtId="0" fontId="0" fillId="35" borderId="67" xfId="0" applyFill="1" applyBorder="1" applyAlignment="1">
      <alignment vertical="center"/>
    </xf>
    <xf numFmtId="0" fontId="0" fillId="0" borderId="71" xfId="0" applyBorder="1" applyAlignment="1">
      <alignment horizontal="left" wrapText="1"/>
    </xf>
    <xf numFmtId="0" fontId="0" fillId="25" borderId="71" xfId="0" applyFill="1" applyBorder="1" applyAlignment="1">
      <alignment horizontal="center" vertical="top" wrapText="1"/>
    </xf>
    <xf numFmtId="0" fontId="0" fillId="25" borderId="78" xfId="0" applyFill="1" applyBorder="1" applyAlignment="1">
      <alignment horizontal="center" vertical="top" wrapText="1"/>
    </xf>
    <xf numFmtId="0" fontId="0" fillId="25" borderId="78" xfId="0" applyFill="1" applyBorder="1" applyAlignment="1">
      <alignment horizontal="center" vertical="center" wrapText="1"/>
    </xf>
    <xf numFmtId="165" fontId="0" fillId="25" borderId="79" xfId="4" applyNumberFormat="1" applyFont="1" applyFill="1" applyBorder="1" applyAlignment="1">
      <alignment horizontal="center"/>
    </xf>
    <xf numFmtId="0" fontId="0" fillId="25" borderId="57" xfId="0" applyFill="1" applyBorder="1" applyAlignment="1">
      <alignment horizontal="center" vertical="top" wrapText="1"/>
    </xf>
    <xf numFmtId="0" fontId="33" fillId="0" borderId="124" xfId="0" applyFont="1" applyBorder="1" applyAlignment="1">
      <alignment horizontal="center" vertical="center"/>
    </xf>
    <xf numFmtId="0" fontId="15" fillId="4" borderId="24" xfId="0" applyFont="1" applyFill="1" applyBorder="1" applyAlignment="1">
      <alignment horizontal="center" vertical="center"/>
    </xf>
    <xf numFmtId="9" fontId="33" fillId="3" borderId="93" xfId="2" applyFont="1" applyFill="1" applyBorder="1" applyAlignment="1">
      <alignment horizontal="center" vertical="center"/>
    </xf>
    <xf numFmtId="0" fontId="15" fillId="11" borderId="91" xfId="0" applyFont="1" applyFill="1" applyBorder="1" applyAlignment="1">
      <alignment horizontal="center" vertical="center"/>
    </xf>
    <xf numFmtId="0" fontId="15" fillId="0" borderId="91" xfId="0" applyFont="1" applyBorder="1" applyAlignment="1">
      <alignment horizontal="center" vertical="center"/>
    </xf>
    <xf numFmtId="0" fontId="15" fillId="0" borderId="92" xfId="0" applyFont="1" applyBorder="1" applyAlignment="1">
      <alignment horizontal="center" vertical="center"/>
    </xf>
    <xf numFmtId="0" fontId="15" fillId="0" borderId="93" xfId="0" applyFont="1" applyBorder="1" applyAlignment="1">
      <alignment horizontal="center" vertical="center"/>
    </xf>
    <xf numFmtId="10" fontId="15" fillId="0" borderId="91" xfId="2" applyNumberFormat="1" applyFont="1" applyFill="1" applyBorder="1" applyAlignment="1">
      <alignment horizontal="center" vertical="center"/>
    </xf>
    <xf numFmtId="10" fontId="15" fillId="0" borderId="92" xfId="2" applyNumberFormat="1" applyFont="1" applyFill="1" applyBorder="1" applyAlignment="1">
      <alignment horizontal="center" vertical="center"/>
    </xf>
    <xf numFmtId="0" fontId="0" fillId="35" borderId="78" xfId="0" applyFill="1" applyBorder="1" applyAlignment="1">
      <alignment horizontal="center"/>
    </xf>
    <xf numFmtId="1" fontId="33" fillId="16" borderId="123" xfId="2" applyNumberFormat="1" applyFont="1" applyFill="1" applyBorder="1" applyAlignment="1">
      <alignment horizontal="center" vertical="center"/>
    </xf>
    <xf numFmtId="166" fontId="33" fillId="16" borderId="125" xfId="2" applyNumberFormat="1" applyFont="1" applyFill="1" applyBorder="1" applyAlignment="1">
      <alignment horizontal="center" vertical="center"/>
    </xf>
    <xf numFmtId="2" fontId="33" fillId="16" borderId="125" xfId="2" applyNumberFormat="1" applyFont="1" applyFill="1" applyBorder="1" applyAlignment="1">
      <alignment horizontal="center" vertical="center"/>
    </xf>
    <xf numFmtId="1" fontId="33" fillId="16" borderId="127" xfId="2" applyNumberFormat="1" applyFont="1" applyFill="1" applyBorder="1" applyAlignment="1">
      <alignment horizontal="center" vertical="center"/>
    </xf>
    <xf numFmtId="166" fontId="33" fillId="16" borderId="123" xfId="2" applyNumberFormat="1" applyFont="1" applyFill="1" applyBorder="1" applyAlignment="1">
      <alignment horizontal="center" vertical="center"/>
    </xf>
    <xf numFmtId="166" fontId="33" fillId="16" borderId="127" xfId="2" applyNumberFormat="1" applyFont="1" applyFill="1" applyBorder="1" applyAlignment="1">
      <alignment horizontal="center" vertical="center"/>
    </xf>
    <xf numFmtId="0" fontId="0" fillId="0" borderId="120" xfId="0" applyBorder="1"/>
    <xf numFmtId="0" fontId="0" fillId="0" borderId="120" xfId="0" applyBorder="1" applyAlignment="1">
      <alignment horizontal="left"/>
    </xf>
    <xf numFmtId="0" fontId="0" fillId="0" borderId="121" xfId="0" applyBorder="1"/>
    <xf numFmtId="44" fontId="33" fillId="16" borderId="127" xfId="3" applyFont="1" applyFill="1" applyBorder="1" applyAlignment="1">
      <alignment horizontal="center" vertical="center"/>
    </xf>
    <xf numFmtId="1" fontId="33" fillId="16" borderId="127" xfId="4" applyNumberFormat="1" applyFont="1" applyFill="1" applyBorder="1" applyAlignment="1">
      <alignment horizontal="center" vertical="center"/>
    </xf>
    <xf numFmtId="166" fontId="33" fillId="3" borderId="122" xfId="2" applyNumberFormat="1" applyFont="1" applyFill="1" applyBorder="1" applyAlignment="1">
      <alignment horizontal="center" vertical="center"/>
    </xf>
    <xf numFmtId="2" fontId="33" fillId="16" borderId="123" xfId="2" applyNumberFormat="1" applyFont="1" applyFill="1" applyBorder="1" applyAlignment="1">
      <alignment horizontal="center" vertical="center"/>
    </xf>
    <xf numFmtId="166" fontId="33" fillId="3" borderId="124" xfId="2" applyNumberFormat="1" applyFont="1" applyFill="1" applyBorder="1" applyAlignment="1">
      <alignment horizontal="center" vertical="center"/>
    </xf>
    <xf numFmtId="166" fontId="33" fillId="3" borderId="126" xfId="2" applyNumberFormat="1" applyFont="1" applyFill="1" applyBorder="1" applyAlignment="1">
      <alignment horizontal="center" vertical="center"/>
    </xf>
    <xf numFmtId="43" fontId="33" fillId="16" borderId="127" xfId="4" applyFont="1" applyFill="1" applyBorder="1" applyAlignment="1">
      <alignment horizontal="center" vertical="center"/>
    </xf>
    <xf numFmtId="3" fontId="33" fillId="16" borderId="123" xfId="2" applyNumberFormat="1" applyFont="1" applyFill="1" applyBorder="1" applyAlignment="1">
      <alignment horizontal="center" vertical="center"/>
    </xf>
    <xf numFmtId="0" fontId="0" fillId="38" borderId="0" xfId="0" applyFill="1"/>
    <xf numFmtId="166" fontId="33" fillId="0" borderId="133" xfId="2" applyNumberFormat="1" applyFont="1" applyFill="1" applyBorder="1" applyAlignment="1">
      <alignment horizontal="center" vertical="center"/>
    </xf>
    <xf numFmtId="166" fontId="33" fillId="0" borderId="136" xfId="2" applyNumberFormat="1" applyFont="1" applyFill="1" applyBorder="1" applyAlignment="1">
      <alignment horizontal="center" vertical="center"/>
    </xf>
    <xf numFmtId="0" fontId="0" fillId="3" borderId="0" xfId="0" applyFill="1" applyAlignment="1">
      <alignment horizontal="left" wrapText="1"/>
    </xf>
    <xf numFmtId="170" fontId="15" fillId="15" borderId="24" xfId="0" applyNumberFormat="1" applyFont="1" applyFill="1" applyBorder="1" applyAlignment="1">
      <alignment horizontal="center" vertical="center"/>
    </xf>
    <xf numFmtId="9" fontId="15" fillId="15" borderId="4" xfId="2" applyFont="1" applyFill="1" applyBorder="1" applyAlignment="1">
      <alignment horizontal="center" vertical="center"/>
    </xf>
    <xf numFmtId="9" fontId="14" fillId="16" borderId="25" xfId="2" applyFont="1" applyFill="1" applyBorder="1" applyAlignment="1">
      <alignment horizontal="center" vertical="center"/>
    </xf>
    <xf numFmtId="9" fontId="15" fillId="16" borderId="37" xfId="2" applyFont="1" applyFill="1" applyBorder="1" applyAlignment="1">
      <alignment horizontal="center" vertical="center"/>
    </xf>
    <xf numFmtId="9" fontId="0" fillId="3" borderId="0" xfId="2" applyFont="1" applyFill="1"/>
    <xf numFmtId="166" fontId="33" fillId="16" borderId="101" xfId="2" applyNumberFormat="1" applyFont="1" applyFill="1" applyBorder="1" applyAlignment="1">
      <alignment horizontal="center" vertical="center"/>
    </xf>
    <xf numFmtId="166" fontId="33" fillId="16" borderId="73" xfId="2" applyNumberFormat="1" applyFont="1" applyFill="1" applyBorder="1" applyAlignment="1">
      <alignment horizontal="center" vertical="center"/>
    </xf>
    <xf numFmtId="0" fontId="0" fillId="0" borderId="67" xfId="0" applyBorder="1" applyAlignment="1">
      <alignment wrapText="1"/>
    </xf>
    <xf numFmtId="0" fontId="0" fillId="0" borderId="70" xfId="0" applyBorder="1" applyAlignment="1">
      <alignment wrapText="1"/>
    </xf>
    <xf numFmtId="43" fontId="14" fillId="15" borderId="41" xfId="4" applyFont="1" applyFill="1" applyBorder="1" applyAlignment="1">
      <alignment horizontal="center" vertical="center"/>
    </xf>
    <xf numFmtId="43" fontId="15" fillId="15" borderId="18" xfId="4" applyFont="1" applyFill="1" applyBorder="1" applyAlignment="1">
      <alignment horizontal="center" vertical="center"/>
    </xf>
    <xf numFmtId="43" fontId="15" fillId="15" borderId="15" xfId="4" applyFont="1" applyFill="1" applyBorder="1" applyAlignment="1">
      <alignment horizontal="center" vertical="center"/>
    </xf>
    <xf numFmtId="43" fontId="15" fillId="15" borderId="35" xfId="4" applyFont="1" applyFill="1" applyBorder="1" applyAlignment="1">
      <alignment horizontal="center" vertical="center"/>
    </xf>
    <xf numFmtId="43" fontId="15" fillId="15" borderId="4" xfId="4" applyFont="1" applyFill="1" applyBorder="1" applyAlignment="1">
      <alignment horizontal="center" vertical="center"/>
    </xf>
    <xf numFmtId="165" fontId="0" fillId="3" borderId="0" xfId="4" applyNumberFormat="1" applyFont="1" applyFill="1"/>
    <xf numFmtId="165" fontId="0" fillId="3" borderId="0" xfId="4" applyNumberFormat="1" applyFont="1" applyFill="1" applyAlignment="1">
      <alignment horizontal="left"/>
    </xf>
    <xf numFmtId="165" fontId="29" fillId="31" borderId="99" xfId="4" applyNumberFormat="1" applyFont="1" applyFill="1" applyBorder="1" applyAlignment="1">
      <alignment horizontal="center" vertical="center" wrapText="1"/>
    </xf>
    <xf numFmtId="165" fontId="29" fillId="31" borderId="97" xfId="4" applyNumberFormat="1" applyFont="1" applyFill="1" applyBorder="1" applyAlignment="1">
      <alignment horizontal="center" vertical="center" wrapText="1"/>
    </xf>
    <xf numFmtId="0" fontId="0" fillId="3" borderId="0" xfId="0" applyFill="1" applyAlignment="1">
      <alignment horizontal="center"/>
    </xf>
    <xf numFmtId="0" fontId="0" fillId="3" borderId="57" xfId="0" applyFill="1" applyBorder="1" applyAlignment="1">
      <alignment horizontal="center"/>
    </xf>
    <xf numFmtId="9" fontId="15" fillId="15" borderId="24" xfId="4" applyNumberFormat="1" applyFont="1" applyFill="1" applyBorder="1" applyAlignment="1">
      <alignment horizontal="center" vertical="center"/>
    </xf>
    <xf numFmtId="9" fontId="15" fillId="16" borderId="27" xfId="4" applyNumberFormat="1" applyFont="1" applyFill="1" applyBorder="1" applyAlignment="1">
      <alignment horizontal="center" vertical="center"/>
    </xf>
    <xf numFmtId="0" fontId="0" fillId="0" borderId="64" xfId="0" applyBorder="1" applyAlignment="1">
      <alignment horizontal="left"/>
    </xf>
    <xf numFmtId="0" fontId="0" fillId="24" borderId="58" xfId="0" applyFill="1" applyBorder="1"/>
    <xf numFmtId="0" fontId="0" fillId="0" borderId="59" xfId="0" applyBorder="1"/>
    <xf numFmtId="0" fontId="0" fillId="0" borderId="101" xfId="0" applyBorder="1"/>
    <xf numFmtId="0" fontId="0" fillId="0" borderId="117" xfId="0" applyBorder="1"/>
    <xf numFmtId="0" fontId="0" fillId="0" borderId="118" xfId="0" applyBorder="1"/>
    <xf numFmtId="0" fontId="0" fillId="27" borderId="58" xfId="0" applyFill="1" applyBorder="1" applyAlignment="1">
      <alignment horizontal="centerContinuous" wrapText="1"/>
    </xf>
    <xf numFmtId="0" fontId="0" fillId="27" borderId="59" xfId="0" applyFill="1" applyBorder="1" applyAlignment="1">
      <alignment horizontal="centerContinuous" wrapText="1"/>
    </xf>
    <xf numFmtId="165" fontId="15" fillId="15" borderId="4" xfId="0" applyNumberFormat="1" applyFont="1" applyFill="1" applyBorder="1" applyAlignment="1">
      <alignment horizontal="center" vertical="center"/>
    </xf>
    <xf numFmtId="167" fontId="15" fillId="16" borderId="27" xfId="4" applyNumberFormat="1" applyFont="1" applyFill="1" applyBorder="1" applyAlignment="1">
      <alignment horizontal="center" vertical="center"/>
    </xf>
    <xf numFmtId="165" fontId="15" fillId="16" borderId="27" xfId="4" applyNumberFormat="1" applyFont="1" applyFill="1" applyBorder="1" applyAlignment="1">
      <alignment horizontal="center" vertical="center" wrapText="1"/>
    </xf>
    <xf numFmtId="167" fontId="28" fillId="29" borderId="96" xfId="4" applyNumberFormat="1" applyFont="1" applyFill="1" applyBorder="1" applyAlignment="1">
      <alignment horizontal="center" vertical="center"/>
    </xf>
    <xf numFmtId="167" fontId="15" fillId="15" borderId="24" xfId="4" applyNumberFormat="1" applyFont="1" applyFill="1" applyBorder="1" applyAlignment="1">
      <alignment horizontal="center" vertical="center"/>
    </xf>
    <xf numFmtId="167" fontId="28" fillId="30" borderId="95" xfId="4" applyNumberFormat="1" applyFont="1" applyFill="1" applyBorder="1" applyAlignment="1">
      <alignment horizontal="center" vertical="center"/>
    </xf>
    <xf numFmtId="167" fontId="15" fillId="16" borderId="1" xfId="4" applyNumberFormat="1" applyFont="1" applyFill="1" applyBorder="1" applyAlignment="1">
      <alignment horizontal="center" vertical="center"/>
    </xf>
    <xf numFmtId="0" fontId="39" fillId="0" borderId="0" xfId="0" applyFont="1"/>
    <xf numFmtId="2" fontId="33" fillId="16" borderId="127" xfId="4" applyNumberFormat="1" applyFont="1" applyFill="1" applyBorder="1" applyAlignment="1">
      <alignment horizontal="center" vertical="center"/>
    </xf>
    <xf numFmtId="14" fontId="0" fillId="4" borderId="57" xfId="0" applyNumberFormat="1" applyFill="1" applyBorder="1"/>
    <xf numFmtId="166" fontId="14" fillId="15" borderId="41" xfId="2" applyNumberFormat="1" applyFont="1" applyFill="1" applyBorder="1" applyAlignment="1">
      <alignment horizontal="center" vertical="center" wrapText="1"/>
    </xf>
    <xf numFmtId="166" fontId="14" fillId="16" borderId="25" xfId="2" applyNumberFormat="1" applyFont="1" applyFill="1" applyBorder="1" applyAlignment="1">
      <alignment horizontal="center" vertical="center"/>
    </xf>
    <xf numFmtId="166" fontId="14" fillId="15" borderId="41" xfId="0" applyNumberFormat="1" applyFont="1" applyFill="1" applyBorder="1" applyAlignment="1">
      <alignment horizontal="center" vertical="center" wrapText="1"/>
    </xf>
    <xf numFmtId="166" fontId="33" fillId="16" borderId="120" xfId="2" applyNumberFormat="1" applyFont="1" applyFill="1" applyBorder="1" applyAlignment="1">
      <alignment horizontal="center" vertical="center"/>
    </xf>
    <xf numFmtId="165" fontId="15" fillId="16" borderId="1" xfId="4" applyNumberFormat="1" applyFont="1" applyFill="1" applyBorder="1" applyAlignment="1">
      <alignment horizontal="center" vertical="center"/>
    </xf>
    <xf numFmtId="165" fontId="15" fillId="16" borderId="27" xfId="4" applyNumberFormat="1" applyFont="1" applyFill="1" applyBorder="1" applyAlignment="1">
      <alignment horizontal="center"/>
    </xf>
    <xf numFmtId="43" fontId="15" fillId="39" borderId="8" xfId="4" applyFont="1" applyFill="1" applyBorder="1" applyAlignment="1">
      <alignment horizontal="center" vertical="center"/>
    </xf>
    <xf numFmtId="167" fontId="15" fillId="39" borderId="27" xfId="4" applyNumberFormat="1" applyFont="1" applyFill="1" applyBorder="1" applyAlignment="1">
      <alignment horizontal="center" vertical="center"/>
    </xf>
    <xf numFmtId="0" fontId="2" fillId="27" borderId="71" xfId="0" applyFont="1" applyFill="1" applyBorder="1"/>
    <xf numFmtId="0" fontId="0" fillId="24" borderId="71" xfId="0" applyFill="1" applyBorder="1" applyAlignment="1">
      <alignment horizontal="centerContinuous"/>
    </xf>
    <xf numFmtId="0" fontId="0" fillId="24" borderId="101" xfId="0" applyFill="1" applyBorder="1" applyAlignment="1">
      <alignment horizontal="centerContinuous"/>
    </xf>
    <xf numFmtId="0" fontId="30" fillId="24" borderId="71" xfId="0" applyFont="1" applyFill="1" applyBorder="1" applyAlignment="1">
      <alignment horizontal="centerContinuous"/>
    </xf>
    <xf numFmtId="166" fontId="0" fillId="0" borderId="0" xfId="2" applyNumberFormat="1" applyFont="1"/>
    <xf numFmtId="166" fontId="0" fillId="0" borderId="63" xfId="2" applyNumberFormat="1" applyFont="1" applyBorder="1"/>
    <xf numFmtId="166" fontId="0" fillId="0" borderId="72" xfId="2" applyNumberFormat="1" applyFont="1" applyBorder="1"/>
    <xf numFmtId="166" fontId="0" fillId="0" borderId="73" xfId="2" applyNumberFormat="1" applyFont="1" applyBorder="1"/>
    <xf numFmtId="166" fontId="15" fillId="11" borderId="80" xfId="2" applyNumberFormat="1" applyFont="1" applyFill="1" applyBorder="1" applyAlignment="1">
      <alignment horizontal="center" vertical="center"/>
    </xf>
    <xf numFmtId="166" fontId="15" fillId="11" borderId="43" xfId="2" applyNumberFormat="1" applyFont="1" applyFill="1" applyBorder="1" applyAlignment="1">
      <alignment horizontal="center" vertical="center"/>
    </xf>
    <xf numFmtId="166" fontId="15" fillId="16" borderId="26" xfId="2" applyNumberFormat="1" applyFont="1" applyFill="1" applyBorder="1" applyAlignment="1">
      <alignment horizontal="center" vertical="center"/>
    </xf>
    <xf numFmtId="166" fontId="0" fillId="0" borderId="67" xfId="2" applyNumberFormat="1" applyFont="1" applyBorder="1" applyAlignment="1">
      <alignment horizontal="center"/>
    </xf>
    <xf numFmtId="166" fontId="15" fillId="11" borderId="87" xfId="2" applyNumberFormat="1" applyFont="1" applyFill="1" applyBorder="1" applyAlignment="1">
      <alignment horizontal="center" vertical="center"/>
    </xf>
    <xf numFmtId="166" fontId="15" fillId="11" borderId="91" xfId="2" applyNumberFormat="1" applyFont="1" applyFill="1" applyBorder="1" applyAlignment="1">
      <alignment horizontal="center" vertical="center"/>
    </xf>
    <xf numFmtId="166" fontId="0" fillId="0" borderId="66" xfId="2" applyNumberFormat="1" applyFont="1" applyBorder="1"/>
    <xf numFmtId="167" fontId="0" fillId="0" borderId="0" xfId="4" applyNumberFormat="1" applyFont="1"/>
    <xf numFmtId="167" fontId="0" fillId="0" borderId="68" xfId="4" applyNumberFormat="1" applyFont="1" applyBorder="1"/>
    <xf numFmtId="167" fontId="0" fillId="0" borderId="76" xfId="4" applyNumberFormat="1" applyFont="1" applyBorder="1"/>
    <xf numFmtId="167" fontId="0" fillId="0" borderId="77" xfId="4" applyNumberFormat="1" applyFont="1" applyBorder="1"/>
    <xf numFmtId="167" fontId="15" fillId="11" borderId="43" xfId="4" applyNumberFormat="1" applyFont="1" applyFill="1" applyBorder="1" applyAlignment="1">
      <alignment horizontal="center" vertical="center"/>
    </xf>
    <xf numFmtId="167" fontId="15" fillId="16" borderId="26" xfId="4" applyNumberFormat="1" applyFont="1" applyFill="1" applyBorder="1" applyAlignment="1">
      <alignment horizontal="center" vertical="center"/>
    </xf>
    <xf numFmtId="167" fontId="15" fillId="16" borderId="28" xfId="4" applyNumberFormat="1" applyFont="1" applyFill="1" applyBorder="1" applyAlignment="1">
      <alignment horizontal="center" vertical="center"/>
    </xf>
    <xf numFmtId="167" fontId="0" fillId="0" borderId="67" xfId="4" applyNumberFormat="1" applyFont="1" applyBorder="1" applyAlignment="1">
      <alignment horizontal="center"/>
    </xf>
    <xf numFmtId="167" fontId="0" fillId="0" borderId="66" xfId="4" applyNumberFormat="1" applyFont="1" applyBorder="1"/>
    <xf numFmtId="0" fontId="0" fillId="23" borderId="0" xfId="0" applyFill="1"/>
    <xf numFmtId="166" fontId="0" fillId="0" borderId="101" xfId="2" applyNumberFormat="1" applyFont="1" applyBorder="1"/>
    <xf numFmtId="167" fontId="0" fillId="0" borderId="118" xfId="4" applyNumberFormat="1" applyFont="1" applyBorder="1"/>
    <xf numFmtId="43" fontId="0" fillId="24" borderId="101" xfId="4" applyFont="1" applyFill="1" applyBorder="1" applyAlignment="1">
      <alignment horizontal="centerContinuous"/>
    </xf>
    <xf numFmtId="9" fontId="33" fillId="0" borderId="92" xfId="2" applyFont="1" applyBorder="1" applyAlignment="1">
      <alignment horizontal="center" vertical="center"/>
    </xf>
    <xf numFmtId="166" fontId="33" fillId="0" borderId="43" xfId="2" applyNumberFormat="1" applyFont="1" applyBorder="1" applyAlignment="1">
      <alignment horizontal="center" vertical="center"/>
    </xf>
    <xf numFmtId="10" fontId="33" fillId="0" borderId="43" xfId="2" applyNumberFormat="1" applyFont="1" applyBorder="1" applyAlignment="1">
      <alignment horizontal="center" vertical="center"/>
    </xf>
    <xf numFmtId="166" fontId="33" fillId="0" borderId="155" xfId="2" applyNumberFormat="1" applyFont="1" applyFill="1" applyBorder="1" applyAlignment="1">
      <alignment horizontal="center" vertical="center"/>
    </xf>
    <xf numFmtId="166" fontId="14" fillId="11" borderId="41" xfId="2" applyNumberFormat="1" applyFont="1" applyFill="1" applyBorder="1" applyAlignment="1">
      <alignment horizontal="center" vertical="center" wrapText="1"/>
    </xf>
    <xf numFmtId="166" fontId="14" fillId="11" borderId="25" xfId="2" applyNumberFormat="1" applyFont="1" applyFill="1" applyBorder="1" applyAlignment="1">
      <alignment horizontal="center" vertical="center"/>
    </xf>
    <xf numFmtId="43" fontId="14" fillId="11" borderId="41" xfId="4" applyFont="1" applyFill="1" applyBorder="1" applyAlignment="1">
      <alignment horizontal="center" vertical="center" wrapText="1"/>
    </xf>
    <xf numFmtId="43" fontId="14" fillId="11" borderId="25" xfId="4" applyFont="1" applyFill="1" applyBorder="1" applyAlignment="1">
      <alignment horizontal="center" vertical="center"/>
    </xf>
    <xf numFmtId="0" fontId="0" fillId="11" borderId="0" xfId="0" applyFill="1" applyAlignment="1">
      <alignment wrapText="1"/>
    </xf>
    <xf numFmtId="166" fontId="33" fillId="0" borderId="153" xfId="2" applyNumberFormat="1" applyFont="1" applyFill="1" applyBorder="1" applyAlignment="1">
      <alignment horizontal="center" vertical="center"/>
    </xf>
    <xf numFmtId="0" fontId="15" fillId="16" borderId="27" xfId="0" applyFont="1" applyFill="1" applyBorder="1" applyAlignment="1">
      <alignment horizontal="center"/>
    </xf>
    <xf numFmtId="166" fontId="33" fillId="0" borderId="121" xfId="2" applyNumberFormat="1" applyFont="1" applyFill="1" applyBorder="1" applyAlignment="1">
      <alignment horizontal="center" vertical="center"/>
    </xf>
    <xf numFmtId="166" fontId="33" fillId="16" borderId="153" xfId="2" applyNumberFormat="1" applyFont="1" applyFill="1" applyBorder="1" applyAlignment="1">
      <alignment horizontal="center" vertical="center"/>
    </xf>
    <xf numFmtId="0" fontId="0" fillId="0" borderId="156" xfId="0" applyBorder="1"/>
    <xf numFmtId="2" fontId="33" fillId="0" borderId="124" xfId="4" applyNumberFormat="1" applyFont="1" applyFill="1" applyBorder="1" applyAlignment="1">
      <alignment horizontal="center" vertical="center"/>
    </xf>
    <xf numFmtId="2" fontId="33" fillId="16" borderId="153" xfId="2" applyNumberFormat="1" applyFont="1" applyFill="1" applyBorder="1" applyAlignment="1">
      <alignment horizontal="center" vertical="center"/>
    </xf>
    <xf numFmtId="166" fontId="33" fillId="0" borderId="157" xfId="2" applyNumberFormat="1" applyFont="1" applyFill="1" applyBorder="1" applyAlignment="1">
      <alignment horizontal="center" vertical="center"/>
    </xf>
    <xf numFmtId="1" fontId="33" fillId="16" borderId="158" xfId="2" applyNumberFormat="1" applyFont="1" applyFill="1" applyBorder="1" applyAlignment="1">
      <alignment horizontal="center" vertical="center"/>
    </xf>
    <xf numFmtId="166" fontId="33" fillId="0" borderId="119" xfId="2" applyNumberFormat="1" applyFont="1" applyFill="1" applyBorder="1" applyAlignment="1">
      <alignment horizontal="center" vertical="center"/>
    </xf>
    <xf numFmtId="166" fontId="33" fillId="0" borderId="120" xfId="2" applyNumberFormat="1" applyFont="1" applyFill="1" applyBorder="1" applyAlignment="1">
      <alignment horizontal="center" vertical="center"/>
    </xf>
    <xf numFmtId="166" fontId="33" fillId="0" borderId="58" xfId="2" applyNumberFormat="1" applyFont="1" applyFill="1" applyBorder="1" applyAlignment="1">
      <alignment horizontal="center" vertical="center"/>
    </xf>
    <xf numFmtId="9" fontId="33" fillId="16" borderId="158" xfId="2" applyFont="1" applyFill="1" applyBorder="1" applyAlignment="1">
      <alignment horizontal="center" vertical="center"/>
    </xf>
    <xf numFmtId="166" fontId="33" fillId="16" borderId="138" xfId="2" applyNumberFormat="1" applyFont="1" applyFill="1" applyBorder="1" applyAlignment="1">
      <alignment horizontal="center" vertical="center"/>
    </xf>
    <xf numFmtId="0" fontId="33" fillId="3" borderId="157" xfId="0" applyFont="1" applyFill="1" applyBorder="1" applyAlignment="1">
      <alignment horizontal="center" vertical="center"/>
    </xf>
    <xf numFmtId="0" fontId="15" fillId="11" borderId="159" xfId="0" applyFont="1" applyFill="1" applyBorder="1" applyAlignment="1">
      <alignment horizontal="center" vertical="center"/>
    </xf>
    <xf numFmtId="0" fontId="15" fillId="11" borderId="160" xfId="0" applyFont="1" applyFill="1" applyBorder="1" applyAlignment="1">
      <alignment horizontal="center" vertical="center"/>
    </xf>
    <xf numFmtId="43" fontId="15" fillId="0" borderId="160" xfId="4" applyFont="1" applyFill="1" applyBorder="1" applyAlignment="1">
      <alignment horizontal="center" vertical="center"/>
    </xf>
    <xf numFmtId="166" fontId="33" fillId="16" borderId="121" xfId="2" applyNumberFormat="1" applyFont="1" applyFill="1" applyBorder="1" applyAlignment="1">
      <alignment horizontal="center" vertical="center"/>
    </xf>
    <xf numFmtId="0" fontId="15" fillId="11" borderId="161" xfId="0" applyFont="1" applyFill="1" applyBorder="1" applyAlignment="1">
      <alignment horizontal="center" vertical="center"/>
    </xf>
    <xf numFmtId="0" fontId="15" fillId="11" borderId="162" xfId="0" applyFont="1" applyFill="1" applyBorder="1" applyAlignment="1">
      <alignment horizontal="center" vertical="center"/>
    </xf>
    <xf numFmtId="0" fontId="33" fillId="3" borderId="163" xfId="0" applyFont="1" applyFill="1" applyBorder="1" applyAlignment="1">
      <alignment horizontal="center" vertical="center"/>
    </xf>
    <xf numFmtId="0" fontId="33" fillId="3" borderId="164" xfId="0" applyFont="1" applyFill="1" applyBorder="1" applyAlignment="1">
      <alignment horizontal="center" vertical="center"/>
    </xf>
    <xf numFmtId="166" fontId="33" fillId="16" borderId="165" xfId="2" applyNumberFormat="1" applyFont="1" applyFill="1" applyBorder="1" applyAlignment="1">
      <alignment horizontal="center" vertical="center"/>
    </xf>
    <xf numFmtId="166" fontId="33" fillId="16" borderId="166" xfId="2" applyNumberFormat="1" applyFont="1" applyFill="1" applyBorder="1" applyAlignment="1">
      <alignment horizontal="center" vertical="center"/>
    </xf>
    <xf numFmtId="166" fontId="33" fillId="16" borderId="167" xfId="2" applyNumberFormat="1" applyFont="1" applyFill="1" applyBorder="1" applyAlignment="1">
      <alignment horizontal="center" vertical="center"/>
    </xf>
    <xf numFmtId="166" fontId="33" fillId="16" borderId="168" xfId="2" applyNumberFormat="1" applyFont="1" applyFill="1" applyBorder="1" applyAlignment="1">
      <alignment horizontal="center" vertical="center"/>
    </xf>
    <xf numFmtId="0" fontId="0" fillId="0" borderId="161" xfId="0" applyBorder="1"/>
    <xf numFmtId="0" fontId="0" fillId="0" borderId="170" xfId="0" applyBorder="1"/>
    <xf numFmtId="0" fontId="0" fillId="35" borderId="170" xfId="0" applyFill="1" applyBorder="1"/>
    <xf numFmtId="0" fontId="0" fillId="0" borderId="171" xfId="0" applyBorder="1"/>
    <xf numFmtId="43" fontId="0" fillId="0" borderId="171" xfId="0" applyNumberFormat="1" applyBorder="1"/>
    <xf numFmtId="0" fontId="15" fillId="11" borderId="169" xfId="0" applyFont="1" applyFill="1" applyBorder="1" applyAlignment="1">
      <alignment horizontal="center" vertical="center"/>
    </xf>
    <xf numFmtId="0" fontId="0" fillId="0" borderId="172" xfId="0" applyBorder="1"/>
    <xf numFmtId="0" fontId="0" fillId="0" borderId="173" xfId="0" applyBorder="1"/>
    <xf numFmtId="0" fontId="15" fillId="0" borderId="174" xfId="0" applyFont="1" applyBorder="1" applyAlignment="1">
      <alignment horizontal="center" vertical="center"/>
    </xf>
    <xf numFmtId="0" fontId="0" fillId="0" borderId="175" xfId="0" applyBorder="1"/>
    <xf numFmtId="0" fontId="0" fillId="0" borderId="176" xfId="0" applyBorder="1"/>
    <xf numFmtId="0" fontId="15" fillId="0" borderId="177" xfId="0" applyFont="1" applyBorder="1" applyAlignment="1">
      <alignment horizontal="center" vertical="center"/>
    </xf>
    <xf numFmtId="0" fontId="15" fillId="0" borderId="160" xfId="0" applyFont="1" applyBorder="1" applyAlignment="1">
      <alignment horizontal="center" vertical="center"/>
    </xf>
    <xf numFmtId="0" fontId="0" fillId="0" borderId="178" xfId="0" applyBorder="1"/>
    <xf numFmtId="43" fontId="15" fillId="0" borderId="177" xfId="4" applyFont="1" applyFill="1" applyBorder="1" applyAlignment="1">
      <alignment horizontal="center" vertical="center"/>
    </xf>
    <xf numFmtId="2" fontId="0" fillId="0" borderId="78" xfId="0" applyNumberFormat="1" applyBorder="1" applyAlignment="1">
      <alignment horizontal="left"/>
    </xf>
    <xf numFmtId="166" fontId="33" fillId="0" borderId="118" xfId="2" applyNumberFormat="1" applyFont="1" applyFill="1" applyBorder="1" applyAlignment="1">
      <alignment horizontal="center" vertical="center"/>
    </xf>
    <xf numFmtId="166" fontId="33" fillId="16" borderId="77" xfId="2" applyNumberFormat="1" applyFont="1" applyFill="1" applyBorder="1" applyAlignment="1">
      <alignment horizontal="center" vertical="center"/>
    </xf>
    <xf numFmtId="166" fontId="33" fillId="0" borderId="86" xfId="2" applyNumberFormat="1" applyFont="1" applyFill="1" applyBorder="1" applyAlignment="1">
      <alignment horizontal="center" vertical="center"/>
    </xf>
    <xf numFmtId="9" fontId="33" fillId="16" borderId="128" xfId="2" applyFont="1" applyFill="1" applyBorder="1" applyAlignment="1">
      <alignment horizontal="center" vertical="center"/>
    </xf>
    <xf numFmtId="1" fontId="33" fillId="16" borderId="128" xfId="4" applyNumberFormat="1" applyFont="1" applyFill="1" applyBorder="1" applyAlignment="1">
      <alignment horizontal="center" vertical="center"/>
    </xf>
    <xf numFmtId="167" fontId="0" fillId="0" borderId="74" xfId="4" applyNumberFormat="1" applyFont="1" applyBorder="1"/>
    <xf numFmtId="167" fontId="0" fillId="0" borderId="75" xfId="4" applyNumberFormat="1" applyFont="1" applyBorder="1"/>
    <xf numFmtId="167" fontId="15" fillId="11" borderId="159" xfId="4" applyNumberFormat="1" applyFont="1" applyFill="1" applyBorder="1" applyAlignment="1">
      <alignment horizontal="center" vertical="center"/>
    </xf>
    <xf numFmtId="167" fontId="15" fillId="11" borderId="160" xfId="4" applyNumberFormat="1" applyFont="1" applyFill="1" applyBorder="1" applyAlignment="1">
      <alignment horizontal="center" vertical="center"/>
    </xf>
    <xf numFmtId="167" fontId="15" fillId="11" borderId="180" xfId="4" applyNumberFormat="1" applyFont="1" applyFill="1" applyBorder="1" applyAlignment="1">
      <alignment horizontal="center" vertical="center"/>
    </xf>
    <xf numFmtId="167" fontId="0" fillId="0" borderId="178" xfId="4" applyNumberFormat="1" applyFont="1" applyBorder="1"/>
    <xf numFmtId="167" fontId="0" fillId="0" borderId="175" xfId="4" applyNumberFormat="1" applyFont="1" applyBorder="1"/>
    <xf numFmtId="167" fontId="0" fillId="0" borderId="176" xfId="4" applyNumberFormat="1" applyFont="1" applyBorder="1"/>
    <xf numFmtId="167" fontId="15" fillId="11" borderId="178" xfId="4" applyNumberFormat="1" applyFont="1" applyFill="1" applyBorder="1" applyAlignment="1">
      <alignment horizontal="center" vertical="center"/>
    </xf>
    <xf numFmtId="167" fontId="15" fillId="11" borderId="177" xfId="4" applyNumberFormat="1" applyFont="1" applyFill="1" applyBorder="1" applyAlignment="1">
      <alignment horizontal="center" vertical="center"/>
    </xf>
    <xf numFmtId="167" fontId="15" fillId="11" borderId="179" xfId="4" applyNumberFormat="1" applyFont="1" applyFill="1" applyBorder="1" applyAlignment="1">
      <alignment horizontal="center" vertical="center"/>
    </xf>
    <xf numFmtId="10" fontId="33" fillId="16" borderId="37" xfId="2" applyNumberFormat="1" applyFont="1" applyFill="1" applyBorder="1" applyAlignment="1">
      <alignment horizontal="center" vertical="center"/>
    </xf>
    <xf numFmtId="10" fontId="33" fillId="16" borderId="181" xfId="2" applyNumberFormat="1" applyFont="1" applyFill="1" applyBorder="1" applyAlignment="1">
      <alignment horizontal="center" vertical="center"/>
    </xf>
    <xf numFmtId="167" fontId="15" fillId="11" borderId="118" xfId="4" applyNumberFormat="1" applyFont="1" applyFill="1" applyBorder="1" applyAlignment="1">
      <alignment horizontal="center" vertical="center"/>
    </xf>
    <xf numFmtId="167" fontId="15" fillId="11" borderId="79" xfId="4" applyNumberFormat="1" applyFont="1" applyFill="1" applyBorder="1" applyAlignment="1">
      <alignment horizontal="center" vertical="center"/>
    </xf>
    <xf numFmtId="167" fontId="0" fillId="0" borderId="182" xfId="4" applyNumberFormat="1" applyFont="1" applyBorder="1"/>
    <xf numFmtId="167" fontId="0" fillId="0" borderId="172" xfId="4" applyNumberFormat="1" applyFont="1" applyBorder="1"/>
    <xf numFmtId="167" fontId="0" fillId="0" borderId="173" xfId="4" applyNumberFormat="1" applyFont="1" applyBorder="1"/>
    <xf numFmtId="167" fontId="15" fillId="11" borderId="174" xfId="4" applyNumberFormat="1" applyFont="1" applyFill="1" applyBorder="1" applyAlignment="1">
      <alignment horizontal="center" vertical="center"/>
    </xf>
    <xf numFmtId="167" fontId="15" fillId="11" borderId="183" xfId="4" applyNumberFormat="1" applyFont="1" applyFill="1" applyBorder="1" applyAlignment="1">
      <alignment horizontal="center" vertical="center"/>
    </xf>
    <xf numFmtId="2" fontId="15" fillId="11" borderId="118" xfId="4" applyNumberFormat="1" applyFont="1" applyFill="1" applyBorder="1" applyAlignment="1">
      <alignment horizontal="center" vertical="center"/>
    </xf>
    <xf numFmtId="2" fontId="15" fillId="11" borderId="174" xfId="4" applyNumberFormat="1" applyFont="1" applyFill="1" applyBorder="1" applyAlignment="1">
      <alignment horizontal="center" vertical="center"/>
    </xf>
    <xf numFmtId="167" fontId="0" fillId="0" borderId="184" xfId="4" applyNumberFormat="1" applyFont="1" applyBorder="1"/>
    <xf numFmtId="166" fontId="33" fillId="3" borderId="63" xfId="2" applyNumberFormat="1" applyFont="1" applyFill="1" applyBorder="1" applyAlignment="1">
      <alignment horizontal="center" vertical="center"/>
    </xf>
    <xf numFmtId="166" fontId="33" fillId="3" borderId="101" xfId="2" applyNumberFormat="1" applyFont="1" applyFill="1" applyBorder="1" applyAlignment="1">
      <alignment horizontal="center" vertical="center"/>
    </xf>
    <xf numFmtId="9" fontId="33" fillId="16" borderId="106" xfId="2" applyFont="1" applyFill="1" applyBorder="1" applyAlignment="1">
      <alignment horizontal="center" vertical="center"/>
    </xf>
    <xf numFmtId="166" fontId="33" fillId="3" borderId="72" xfId="2" applyNumberFormat="1" applyFont="1" applyFill="1" applyBorder="1" applyAlignment="1">
      <alignment horizontal="center" vertical="center"/>
    </xf>
    <xf numFmtId="9" fontId="33" fillId="16" borderId="73" xfId="2" applyFont="1" applyFill="1" applyBorder="1" applyAlignment="1">
      <alignment horizontal="center" vertical="center"/>
    </xf>
    <xf numFmtId="166" fontId="33" fillId="3" borderId="185" xfId="2" applyNumberFormat="1" applyFont="1" applyFill="1" applyBorder="1" applyAlignment="1">
      <alignment horizontal="center" vertical="center"/>
    </xf>
    <xf numFmtId="166" fontId="33" fillId="3" borderId="153" xfId="2" applyNumberFormat="1" applyFont="1" applyFill="1" applyBorder="1" applyAlignment="1">
      <alignment horizontal="center" vertical="center"/>
    </xf>
    <xf numFmtId="9" fontId="33" fillId="16" borderId="186" xfId="2" applyFont="1" applyFill="1" applyBorder="1" applyAlignment="1">
      <alignment horizontal="center" vertical="center"/>
    </xf>
    <xf numFmtId="166" fontId="33" fillId="3" borderId="100" xfId="2" applyNumberFormat="1" applyFont="1" applyFill="1" applyBorder="1" applyAlignment="1">
      <alignment horizontal="center" vertical="center"/>
    </xf>
    <xf numFmtId="166" fontId="33" fillId="3" borderId="187" xfId="2" applyNumberFormat="1" applyFont="1" applyFill="1" applyBorder="1" applyAlignment="1">
      <alignment horizontal="center" vertical="center"/>
    </xf>
    <xf numFmtId="166" fontId="33" fillId="3" borderId="136" xfId="2" applyNumberFormat="1" applyFont="1" applyFill="1" applyBorder="1" applyAlignment="1">
      <alignment horizontal="center" vertical="center"/>
    </xf>
    <xf numFmtId="9" fontId="33" fillId="16" borderId="188" xfId="2" applyFont="1" applyFill="1" applyBorder="1" applyAlignment="1">
      <alignment horizontal="center" vertical="center"/>
    </xf>
    <xf numFmtId="166" fontId="33" fillId="3" borderId="189" xfId="2" applyNumberFormat="1" applyFont="1" applyFill="1" applyBorder="1" applyAlignment="1">
      <alignment horizontal="center" vertical="center"/>
    </xf>
    <xf numFmtId="2" fontId="33" fillId="16" borderId="127" xfId="2" applyNumberFormat="1" applyFont="1" applyFill="1" applyBorder="1" applyAlignment="1">
      <alignment horizontal="center" vertical="center"/>
    </xf>
    <xf numFmtId="166" fontId="33" fillId="3" borderId="190" xfId="2" applyNumberFormat="1" applyFont="1" applyFill="1" applyBorder="1" applyAlignment="1">
      <alignment horizontal="center" vertical="center"/>
    </xf>
    <xf numFmtId="165" fontId="0" fillId="0" borderId="79" xfId="4" applyNumberFormat="1" applyFont="1" applyBorder="1"/>
    <xf numFmtId="43" fontId="15" fillId="26" borderId="57" xfId="4" applyFont="1" applyFill="1" applyBorder="1" applyAlignment="1">
      <alignment horizontal="center" vertical="center"/>
    </xf>
    <xf numFmtId="166" fontId="33" fillId="3" borderId="133" xfId="2" applyNumberFormat="1" applyFont="1" applyFill="1" applyBorder="1" applyAlignment="1">
      <alignment horizontal="center" vertical="center"/>
    </xf>
    <xf numFmtId="166" fontId="33" fillId="0" borderId="63" xfId="2" applyNumberFormat="1" applyFont="1" applyFill="1" applyBorder="1" applyAlignment="1">
      <alignment horizontal="center" vertical="center"/>
    </xf>
    <xf numFmtId="166" fontId="33" fillId="3" borderId="86" xfId="2" applyNumberFormat="1" applyFont="1" applyFill="1" applyBorder="1" applyAlignment="1">
      <alignment horizontal="center" vertical="center"/>
    </xf>
    <xf numFmtId="9" fontId="33" fillId="16" borderId="191" xfId="2" applyFont="1" applyFill="1" applyBorder="1" applyAlignment="1">
      <alignment horizontal="center" vertical="center"/>
    </xf>
    <xf numFmtId="166" fontId="33" fillId="3" borderId="132" xfId="2" applyNumberFormat="1" applyFont="1" applyFill="1" applyBorder="1" applyAlignment="1">
      <alignment horizontal="center" vertical="center"/>
    </xf>
    <xf numFmtId="0" fontId="27" fillId="0" borderId="58" xfId="0" applyFont="1" applyBorder="1"/>
    <xf numFmtId="0" fontId="27" fillId="0" borderId="59" xfId="0" applyFont="1" applyBorder="1"/>
    <xf numFmtId="0" fontId="27" fillId="0" borderId="60" xfId="0" applyFont="1" applyBorder="1"/>
    <xf numFmtId="0" fontId="42" fillId="30" borderId="95" xfId="0" applyFont="1" applyFill="1" applyBorder="1" applyAlignment="1">
      <alignment horizontal="center" vertical="center"/>
    </xf>
    <xf numFmtId="6" fontId="42" fillId="29" borderId="192" xfId="0" applyNumberFormat="1" applyFont="1" applyFill="1" applyBorder="1" applyAlignment="1">
      <alignment horizontal="center" vertical="center"/>
    </xf>
    <xf numFmtId="0" fontId="0" fillId="0" borderId="153" xfId="0" applyBorder="1"/>
    <xf numFmtId="2" fontId="33" fillId="0" borderId="120" xfId="4" applyNumberFormat="1" applyFont="1" applyFill="1" applyBorder="1" applyAlignment="1">
      <alignment horizontal="center" vertical="center"/>
    </xf>
    <xf numFmtId="0" fontId="0" fillId="0" borderId="154" xfId="0" applyBorder="1"/>
    <xf numFmtId="166" fontId="33" fillId="0" borderId="57" xfId="2" applyNumberFormat="1" applyFont="1" applyFill="1" applyBorder="1" applyAlignment="1">
      <alignment horizontal="center" vertical="center"/>
    </xf>
    <xf numFmtId="3" fontId="27" fillId="0" borderId="57" xfId="0" applyNumberFormat="1" applyFont="1" applyBorder="1" applyAlignment="1">
      <alignment horizontal="center"/>
    </xf>
    <xf numFmtId="3" fontId="27" fillId="0" borderId="58" xfId="0" applyNumberFormat="1" applyFont="1" applyBorder="1"/>
    <xf numFmtId="3" fontId="27" fillId="0" borderId="60" xfId="0" applyNumberFormat="1" applyFont="1" applyBorder="1"/>
    <xf numFmtId="0" fontId="45" fillId="0" borderId="0" xfId="0" applyFont="1" applyAlignment="1">
      <alignment horizontal="center"/>
    </xf>
    <xf numFmtId="2" fontId="33" fillId="0" borderId="133" xfId="2" applyNumberFormat="1" applyFont="1" applyFill="1" applyBorder="1" applyAlignment="1">
      <alignment horizontal="center" vertical="center"/>
    </xf>
    <xf numFmtId="2" fontId="33" fillId="0" borderId="134" xfId="2" applyNumberFormat="1" applyFont="1" applyFill="1" applyBorder="1" applyAlignment="1">
      <alignment horizontal="center" vertical="center"/>
    </xf>
    <xf numFmtId="2" fontId="33" fillId="0" borderId="135" xfId="2" applyNumberFormat="1" applyFont="1" applyFill="1" applyBorder="1" applyAlignment="1">
      <alignment horizontal="center" vertical="center"/>
    </xf>
    <xf numFmtId="9" fontId="33" fillId="0" borderId="136" xfId="2" applyFont="1" applyFill="1" applyBorder="1" applyAlignment="1">
      <alignment horizontal="center" vertical="center"/>
    </xf>
    <xf numFmtId="9" fontId="33" fillId="0" borderId="137" xfId="2" applyFont="1" applyFill="1" applyBorder="1" applyAlignment="1">
      <alignment horizontal="center" vertical="center"/>
    </xf>
    <xf numFmtId="9" fontId="33" fillId="0" borderId="138" xfId="2" applyFont="1" applyFill="1" applyBorder="1" applyAlignment="1">
      <alignment horizontal="center" vertical="center"/>
    </xf>
    <xf numFmtId="9" fontId="33" fillId="16" borderId="133" xfId="2" applyFont="1" applyFill="1" applyBorder="1" applyAlignment="1">
      <alignment horizontal="center" vertical="center"/>
    </xf>
    <xf numFmtId="9" fontId="33" fillId="16" borderId="134" xfId="2" applyFont="1" applyFill="1" applyBorder="1" applyAlignment="1">
      <alignment horizontal="center" vertical="center"/>
    </xf>
    <xf numFmtId="9" fontId="33" fillId="16" borderId="135" xfId="2" applyFont="1" applyFill="1" applyBorder="1" applyAlignment="1">
      <alignment horizontal="center" vertical="center"/>
    </xf>
    <xf numFmtId="9" fontId="33" fillId="16" borderId="153" xfId="2" applyFont="1" applyFill="1" applyBorder="1" applyAlignment="1">
      <alignment horizontal="center" vertical="center"/>
    </xf>
    <xf numFmtId="9" fontId="33" fillId="16" borderId="156" xfId="2" applyFont="1" applyFill="1" applyBorder="1" applyAlignment="1">
      <alignment horizontal="center" vertical="center"/>
    </xf>
    <xf numFmtId="9" fontId="33" fillId="16" borderId="154" xfId="2" applyFont="1" applyFill="1" applyBorder="1" applyAlignment="1">
      <alignment horizontal="center" vertical="center"/>
    </xf>
    <xf numFmtId="9" fontId="33" fillId="16" borderId="136" xfId="2" applyFont="1" applyFill="1" applyBorder="1" applyAlignment="1">
      <alignment horizontal="center" vertical="center"/>
    </xf>
    <xf numFmtId="9" fontId="33" fillId="16" borderId="137" xfId="2" applyFont="1" applyFill="1" applyBorder="1" applyAlignment="1">
      <alignment horizontal="center" vertical="center"/>
    </xf>
    <xf numFmtId="9" fontId="33" fillId="16" borderId="138" xfId="2" applyFont="1" applyFill="1" applyBorder="1" applyAlignment="1">
      <alignment horizontal="center" vertical="center"/>
    </xf>
    <xf numFmtId="10" fontId="33" fillId="16" borderId="133" xfId="2" applyNumberFormat="1" applyFont="1" applyFill="1" applyBorder="1" applyAlignment="1">
      <alignment horizontal="center" vertical="center"/>
    </xf>
    <xf numFmtId="10" fontId="33" fillId="16" borderId="134" xfId="2" applyNumberFormat="1" applyFont="1" applyFill="1" applyBorder="1" applyAlignment="1">
      <alignment horizontal="center" vertical="center"/>
    </xf>
    <xf numFmtId="10" fontId="33" fillId="16" borderId="135" xfId="2" applyNumberFormat="1" applyFont="1" applyFill="1" applyBorder="1" applyAlignment="1">
      <alignment horizontal="center" vertical="center"/>
    </xf>
    <xf numFmtId="10" fontId="33" fillId="16" borderId="153" xfId="2" applyNumberFormat="1" applyFont="1" applyFill="1" applyBorder="1" applyAlignment="1">
      <alignment horizontal="center" vertical="center"/>
    </xf>
    <xf numFmtId="10" fontId="33" fillId="16" borderId="156" xfId="2" applyNumberFormat="1" applyFont="1" applyFill="1" applyBorder="1" applyAlignment="1">
      <alignment horizontal="center" vertical="center"/>
    </xf>
    <xf numFmtId="10" fontId="33" fillId="16" borderId="154" xfId="2" applyNumberFormat="1" applyFont="1" applyFill="1" applyBorder="1" applyAlignment="1">
      <alignment horizontal="center" vertical="center"/>
    </xf>
    <xf numFmtId="0" fontId="34" fillId="25" borderId="71" xfId="0" applyFont="1" applyFill="1" applyBorder="1" applyAlignment="1">
      <alignment horizontal="left" vertical="center" wrapText="1"/>
    </xf>
    <xf numFmtId="0" fontId="34" fillId="25" borderId="78" xfId="0" applyFont="1" applyFill="1" applyBorder="1" applyAlignment="1">
      <alignment horizontal="left" vertical="center" wrapText="1"/>
    </xf>
    <xf numFmtId="0" fontId="34" fillId="25" borderId="79" xfId="0" applyFont="1" applyFill="1" applyBorder="1" applyAlignment="1">
      <alignment horizontal="left" vertical="center" wrapText="1"/>
    </xf>
    <xf numFmtId="0" fontId="0" fillId="0" borderId="71" xfId="0" applyBorder="1" applyAlignment="1">
      <alignment horizontal="left" vertical="center" wrapText="1"/>
    </xf>
    <xf numFmtId="0" fontId="0" fillId="0" borderId="78" xfId="0" applyBorder="1" applyAlignment="1">
      <alignment horizontal="left" vertical="center" wrapText="1"/>
    </xf>
    <xf numFmtId="0" fontId="0" fillId="0" borderId="79" xfId="0" applyBorder="1" applyAlignment="1">
      <alignment horizontal="left" vertical="center" wrapText="1"/>
    </xf>
    <xf numFmtId="0" fontId="0" fillId="25" borderId="0" xfId="0" applyFill="1" applyAlignment="1">
      <alignment horizontal="center" wrapText="1"/>
    </xf>
    <xf numFmtId="0" fontId="0" fillId="0" borderId="71" xfId="0" applyBorder="1" applyAlignment="1">
      <alignment horizontal="center" vertical="center" wrapText="1"/>
    </xf>
    <xf numFmtId="0" fontId="0" fillId="0" borderId="78" xfId="0" applyBorder="1" applyAlignment="1">
      <alignment horizontal="center" vertical="center" wrapText="1"/>
    </xf>
    <xf numFmtId="0" fontId="0" fillId="0" borderId="79" xfId="0" applyBorder="1" applyAlignment="1">
      <alignment horizontal="center" vertical="center" wrapText="1"/>
    </xf>
    <xf numFmtId="0" fontId="0" fillId="0" borderId="71" xfId="0" applyBorder="1" applyAlignment="1">
      <alignment horizontal="left" vertical="center"/>
    </xf>
    <xf numFmtId="0" fontId="0" fillId="0" borderId="78" xfId="0" applyBorder="1" applyAlignment="1">
      <alignment horizontal="left" vertical="center"/>
    </xf>
    <xf numFmtId="0" fontId="0" fillId="0" borderId="79" xfId="0" applyBorder="1" applyAlignment="1">
      <alignment horizontal="left" vertical="center"/>
    </xf>
    <xf numFmtId="166" fontId="33" fillId="16" borderId="150" xfId="2" applyNumberFormat="1" applyFont="1" applyFill="1" applyBorder="1" applyAlignment="1">
      <alignment horizontal="center" vertical="center"/>
    </xf>
    <xf numFmtId="166" fontId="33" fillId="16" borderId="54" xfId="2" applyNumberFormat="1" applyFont="1" applyFill="1" applyBorder="1" applyAlignment="1">
      <alignment horizontal="center" vertical="center"/>
    </xf>
    <xf numFmtId="166" fontId="33" fillId="16" borderId="34" xfId="2" applyNumberFormat="1" applyFont="1" applyFill="1" applyBorder="1" applyAlignment="1">
      <alignment horizontal="center" vertical="center"/>
    </xf>
    <xf numFmtId="1" fontId="33" fillId="0" borderId="144" xfId="4" applyNumberFormat="1" applyFont="1" applyFill="1" applyBorder="1" applyAlignment="1">
      <alignment horizontal="center"/>
    </xf>
    <xf numFmtId="1" fontId="33" fillId="0" borderId="111" xfId="4" applyNumberFormat="1" applyFont="1" applyFill="1" applyBorder="1" applyAlignment="1">
      <alignment horizontal="center"/>
    </xf>
    <xf numFmtId="166" fontId="33" fillId="16" borderId="144" xfId="2" applyNumberFormat="1" applyFont="1" applyFill="1" applyBorder="1" applyAlignment="1">
      <alignment horizontal="center" vertical="center"/>
    </xf>
    <xf numFmtId="166" fontId="33" fillId="16" borderId="151" xfId="2" applyNumberFormat="1" applyFont="1" applyFill="1" applyBorder="1" applyAlignment="1">
      <alignment horizontal="center" vertical="center"/>
    </xf>
    <xf numFmtId="166" fontId="33" fillId="16" borderId="111" xfId="2" applyNumberFormat="1" applyFont="1" applyFill="1" applyBorder="1" applyAlignment="1">
      <alignment horizontal="center" vertical="center"/>
    </xf>
    <xf numFmtId="2" fontId="33" fillId="0" borderId="150" xfId="4" applyNumberFormat="1" applyFont="1" applyFill="1" applyBorder="1" applyAlignment="1">
      <alignment horizontal="center" vertical="center"/>
    </xf>
    <xf numFmtId="2" fontId="33" fillId="0" borderId="34" xfId="4" applyNumberFormat="1" applyFont="1" applyFill="1" applyBorder="1" applyAlignment="1">
      <alignment horizontal="center" vertical="center"/>
    </xf>
    <xf numFmtId="166" fontId="33" fillId="16" borderId="149" xfId="2" applyNumberFormat="1" applyFont="1" applyFill="1" applyBorder="1" applyAlignment="1">
      <alignment horizontal="center" vertical="center"/>
    </xf>
    <xf numFmtId="166" fontId="33" fillId="16" borderId="5" xfId="2" applyNumberFormat="1" applyFont="1" applyFill="1" applyBorder="1" applyAlignment="1">
      <alignment horizontal="center" vertical="center"/>
    </xf>
    <xf numFmtId="166" fontId="33" fillId="16" borderId="35" xfId="2" applyNumberFormat="1" applyFont="1" applyFill="1" applyBorder="1" applyAlignment="1">
      <alignment horizontal="center" vertical="center"/>
    </xf>
    <xf numFmtId="166" fontId="33" fillId="0" borderId="136" xfId="2" applyNumberFormat="1" applyFont="1" applyFill="1" applyBorder="1" applyAlignment="1">
      <alignment horizontal="center" vertical="center"/>
    </xf>
    <xf numFmtId="166" fontId="33" fillId="0" borderId="137" xfId="2" applyNumberFormat="1" applyFont="1" applyFill="1" applyBorder="1" applyAlignment="1">
      <alignment horizontal="center" vertical="center"/>
    </xf>
    <xf numFmtId="166" fontId="33" fillId="0" borderId="138" xfId="2" applyNumberFormat="1" applyFont="1" applyFill="1" applyBorder="1" applyAlignment="1">
      <alignment horizontal="center" vertical="center"/>
    </xf>
    <xf numFmtId="166" fontId="33" fillId="16" borderId="153" xfId="2" applyNumberFormat="1" applyFont="1" applyFill="1" applyBorder="1" applyAlignment="1">
      <alignment horizontal="center" vertical="center"/>
    </xf>
    <xf numFmtId="166" fontId="33" fillId="16" borderId="156" xfId="2" applyNumberFormat="1" applyFont="1" applyFill="1" applyBorder="1" applyAlignment="1">
      <alignment horizontal="center" vertical="center"/>
    </xf>
    <xf numFmtId="166" fontId="33" fillId="16" borderId="154" xfId="2" applyNumberFormat="1" applyFont="1" applyFill="1" applyBorder="1" applyAlignment="1">
      <alignment horizontal="center" vertical="center"/>
    </xf>
    <xf numFmtId="1" fontId="33" fillId="16" borderId="153" xfId="2" applyNumberFormat="1" applyFont="1" applyFill="1" applyBorder="1" applyAlignment="1">
      <alignment horizontal="center" vertical="center"/>
    </xf>
    <xf numFmtId="1" fontId="33" fillId="16" borderId="156" xfId="2" applyNumberFormat="1" applyFont="1" applyFill="1" applyBorder="1" applyAlignment="1">
      <alignment horizontal="center" vertical="center"/>
    </xf>
    <xf numFmtId="1" fontId="33" fillId="16" borderId="154" xfId="2" applyNumberFormat="1" applyFont="1" applyFill="1" applyBorder="1" applyAlignment="1">
      <alignment horizontal="center" vertical="center"/>
    </xf>
    <xf numFmtId="166" fontId="33" fillId="16" borderId="136" xfId="2" applyNumberFormat="1" applyFont="1" applyFill="1" applyBorder="1" applyAlignment="1">
      <alignment horizontal="center" vertical="center"/>
    </xf>
    <xf numFmtId="166" fontId="33" fillId="16" borderId="137" xfId="2" applyNumberFormat="1" applyFont="1" applyFill="1" applyBorder="1" applyAlignment="1">
      <alignment horizontal="center" vertical="center"/>
    </xf>
    <xf numFmtId="166" fontId="33" fillId="16" borderId="138" xfId="2" applyNumberFormat="1" applyFont="1" applyFill="1" applyBorder="1" applyAlignment="1">
      <alignment horizontal="center" vertical="center"/>
    </xf>
    <xf numFmtId="166" fontId="33" fillId="16" borderId="133" xfId="2" applyNumberFormat="1" applyFont="1" applyFill="1" applyBorder="1" applyAlignment="1">
      <alignment horizontal="center" vertical="center"/>
    </xf>
    <xf numFmtId="166" fontId="33" fillId="16" borderId="134" xfId="2" applyNumberFormat="1" applyFont="1" applyFill="1" applyBorder="1" applyAlignment="1">
      <alignment horizontal="center" vertical="center"/>
    </xf>
    <xf numFmtId="166" fontId="33" fillId="16" borderId="135" xfId="2" applyNumberFormat="1" applyFont="1" applyFill="1" applyBorder="1" applyAlignment="1">
      <alignment horizontal="center" vertical="center"/>
    </xf>
    <xf numFmtId="166" fontId="33" fillId="0" borderId="153" xfId="2" applyNumberFormat="1" applyFont="1" applyFill="1" applyBorder="1" applyAlignment="1">
      <alignment horizontal="center" vertical="center"/>
    </xf>
    <xf numFmtId="166" fontId="33" fillId="0" borderId="156" xfId="2" applyNumberFormat="1" applyFont="1" applyFill="1" applyBorder="1" applyAlignment="1">
      <alignment horizontal="center" vertical="center"/>
    </xf>
    <xf numFmtId="166" fontId="33" fillId="0" borderId="154" xfId="2" applyNumberFormat="1" applyFont="1" applyFill="1" applyBorder="1" applyAlignment="1">
      <alignment horizontal="center" vertical="center"/>
    </xf>
    <xf numFmtId="1" fontId="33" fillId="0" borderId="153" xfId="4" applyNumberFormat="1" applyFont="1" applyFill="1" applyBorder="1" applyAlignment="1">
      <alignment horizontal="center" vertical="center"/>
    </xf>
    <xf numFmtId="1" fontId="33" fillId="0" borderId="156" xfId="4" applyNumberFormat="1" applyFont="1" applyFill="1" applyBorder="1" applyAlignment="1">
      <alignment horizontal="center" vertical="center"/>
    </xf>
    <xf numFmtId="1" fontId="33" fillId="0" borderId="154" xfId="4" applyNumberFormat="1" applyFont="1" applyFill="1" applyBorder="1" applyAlignment="1">
      <alignment horizontal="center" vertical="center"/>
    </xf>
    <xf numFmtId="0" fontId="0" fillId="14" borderId="71" xfId="0" applyFill="1" applyBorder="1" applyAlignment="1">
      <alignment horizontal="center" wrapText="1"/>
    </xf>
    <xf numFmtId="0" fontId="0" fillId="14" borderId="78" xfId="0" applyFill="1" applyBorder="1" applyAlignment="1">
      <alignment horizontal="center" wrapText="1"/>
    </xf>
    <xf numFmtId="0" fontId="0" fillId="14" borderId="79" xfId="0" applyFill="1" applyBorder="1" applyAlignment="1">
      <alignment horizontal="center" wrapText="1"/>
    </xf>
    <xf numFmtId="0" fontId="26" fillId="21" borderId="58" xfId="0" applyFont="1" applyFill="1" applyBorder="1" applyAlignment="1">
      <alignment horizontal="center" vertical="center" wrapText="1"/>
    </xf>
    <xf numFmtId="0" fontId="26" fillId="21" borderId="59" xfId="0" applyFont="1" applyFill="1" applyBorder="1" applyAlignment="1">
      <alignment horizontal="center" vertical="center" wrapText="1"/>
    </xf>
    <xf numFmtId="0" fontId="26" fillId="21" borderId="60" xfId="0" applyFont="1" applyFill="1" applyBorder="1" applyAlignment="1">
      <alignment horizontal="center" vertical="center" wrapText="1"/>
    </xf>
    <xf numFmtId="0" fontId="0" fillId="0" borderId="71" xfId="0" applyBorder="1" applyAlignment="1">
      <alignment horizontal="left" vertical="top" wrapText="1"/>
    </xf>
    <xf numFmtId="0" fontId="0" fillId="0" borderId="78" xfId="0" applyBorder="1" applyAlignment="1">
      <alignment horizontal="left" vertical="top" wrapText="1"/>
    </xf>
    <xf numFmtId="0" fontId="0" fillId="3" borderId="6" xfId="0" applyFill="1" applyBorder="1" applyAlignment="1">
      <alignment horizontal="left" vertical="center" wrapText="1"/>
    </xf>
    <xf numFmtId="0" fontId="12" fillId="9" borderId="3" xfId="0" applyFont="1" applyFill="1" applyBorder="1" applyAlignment="1">
      <alignment vertical="center"/>
    </xf>
    <xf numFmtId="0" fontId="13" fillId="14" borderId="6" xfId="0" applyFont="1" applyFill="1" applyBorder="1" applyAlignment="1">
      <alignment horizontal="center" vertical="center" wrapText="1"/>
    </xf>
    <xf numFmtId="0" fontId="13" fillId="14" borderId="20" xfId="0" applyFont="1" applyFill="1" applyBorder="1" applyAlignment="1">
      <alignment horizontal="center" vertical="center" wrapText="1"/>
    </xf>
    <xf numFmtId="0" fontId="31" fillId="34" borderId="114" xfId="0" applyFont="1" applyFill="1" applyBorder="1" applyAlignment="1">
      <alignment horizontal="left" vertical="center" wrapText="1"/>
    </xf>
    <xf numFmtId="0" fontId="31" fillId="34" borderId="113" xfId="0" applyFont="1" applyFill="1" applyBorder="1" applyAlignment="1">
      <alignment horizontal="left" vertical="center" wrapText="1"/>
    </xf>
    <xf numFmtId="0" fontId="31" fillId="34" borderId="21" xfId="0" applyFont="1" applyFill="1" applyBorder="1" applyAlignment="1">
      <alignment horizontal="left" vertical="center" wrapText="1"/>
    </xf>
    <xf numFmtId="0" fontId="9" fillId="14" borderId="9" xfId="0" applyFont="1" applyFill="1" applyBorder="1" applyAlignment="1">
      <alignment horizontal="left" vertical="center"/>
    </xf>
    <xf numFmtId="0" fontId="9" fillId="14" borderId="10" xfId="0" applyFont="1" applyFill="1" applyBorder="1" applyAlignment="1">
      <alignment horizontal="left" vertical="center"/>
    </xf>
    <xf numFmtId="0" fontId="6" fillId="9" borderId="11"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0" fillId="3" borderId="20" xfId="0" applyFill="1" applyBorder="1" applyAlignment="1">
      <alignment horizontal="left" vertical="center" wrapText="1"/>
    </xf>
    <xf numFmtId="0" fontId="0" fillId="35" borderId="6" xfId="0" applyFill="1" applyBorder="1" applyAlignment="1">
      <alignment horizontal="left" vertical="center" wrapText="1"/>
    </xf>
    <xf numFmtId="0" fontId="0" fillId="35" borderId="20" xfId="0" applyFill="1" applyBorder="1" applyAlignment="1">
      <alignment horizontal="left" vertical="center"/>
    </xf>
    <xf numFmtId="0" fontId="0" fillId="35" borderId="6" xfId="0" applyFill="1" applyBorder="1" applyAlignment="1">
      <alignment horizontal="left" vertical="center"/>
    </xf>
    <xf numFmtId="0" fontId="22" fillId="3" borderId="6" xfId="0" applyFont="1" applyFill="1" applyBorder="1" applyAlignment="1">
      <alignment horizontal="left" vertical="center" wrapText="1"/>
    </xf>
    <xf numFmtId="0" fontId="21" fillId="14" borderId="6" xfId="0" applyFont="1" applyFill="1" applyBorder="1" applyAlignment="1">
      <alignment horizontal="center" vertical="center" wrapText="1"/>
    </xf>
    <xf numFmtId="0" fontId="21" fillId="14" borderId="20" xfId="0" applyFont="1" applyFill="1" applyBorder="1" applyAlignment="1">
      <alignment horizontal="center" vertical="center" wrapText="1"/>
    </xf>
    <xf numFmtId="0" fontId="22" fillId="3" borderId="20" xfId="0" applyFont="1" applyFill="1" applyBorder="1" applyAlignment="1">
      <alignment horizontal="left" vertical="center" wrapText="1"/>
    </xf>
    <xf numFmtId="0" fontId="8" fillId="3" borderId="6" xfId="1" applyFill="1" applyBorder="1" applyAlignment="1">
      <alignment horizontal="center" wrapText="1"/>
    </xf>
    <xf numFmtId="0" fontId="0" fillId="3" borderId="6" xfId="0" applyFill="1" applyBorder="1" applyAlignment="1">
      <alignment horizontal="center" wrapText="1"/>
    </xf>
    <xf numFmtId="0" fontId="0" fillId="3" borderId="6" xfId="0" applyFill="1" applyBorder="1" applyAlignment="1">
      <alignment horizontal="center"/>
    </xf>
    <xf numFmtId="0" fontId="0" fillId="3" borderId="112" xfId="0" applyFill="1" applyBorder="1" applyAlignment="1">
      <alignment horizontal="center" wrapText="1"/>
    </xf>
    <xf numFmtId="0" fontId="0" fillId="3" borderId="48" xfId="0" applyFill="1" applyBorder="1" applyAlignment="1">
      <alignment horizontal="center" wrapText="1"/>
    </xf>
    <xf numFmtId="0" fontId="0" fillId="3" borderId="20" xfId="0" applyFill="1" applyBorder="1" applyAlignment="1">
      <alignment horizontal="center" wrapText="1"/>
    </xf>
    <xf numFmtId="0" fontId="13" fillId="14" borderId="20" xfId="0" applyFont="1" applyFill="1" applyBorder="1" applyAlignment="1">
      <alignment horizontal="left" vertical="center" wrapText="1"/>
    </xf>
    <xf numFmtId="0" fontId="13" fillId="14" borderId="6" xfId="0" applyFont="1" applyFill="1" applyBorder="1" applyAlignment="1">
      <alignment horizontal="left" vertical="center" wrapText="1"/>
    </xf>
    <xf numFmtId="0" fontId="0" fillId="0" borderId="0" xfId="0" applyAlignment="1">
      <alignment wrapText="1"/>
    </xf>
    <xf numFmtId="0" fontId="8" fillId="0" borderId="0" xfId="1" applyFill="1" applyAlignment="1">
      <alignment wrapText="1"/>
    </xf>
    <xf numFmtId="0" fontId="12" fillId="9" borderId="3" xfId="0" applyFont="1" applyFill="1" applyBorder="1" applyAlignment="1">
      <alignment vertical="center" wrapText="1"/>
    </xf>
    <xf numFmtId="0" fontId="13" fillId="14" borderId="20" xfId="0" applyFont="1" applyFill="1" applyBorder="1" applyAlignment="1">
      <alignment vertical="center" wrapText="1"/>
    </xf>
    <xf numFmtId="0" fontId="13" fillId="14" borderId="6" xfId="0" applyFont="1" applyFill="1" applyBorder="1" applyAlignment="1">
      <alignment vertical="center" wrapText="1"/>
    </xf>
    <xf numFmtId="0" fontId="0" fillId="3" borderId="20" xfId="0" applyFill="1" applyBorder="1" applyAlignment="1">
      <alignment horizontal="center"/>
    </xf>
    <xf numFmtId="0" fontId="0" fillId="3" borderId="20" xfId="0" applyFill="1" applyBorder="1" applyAlignment="1">
      <alignment horizontal="left" vertical="center"/>
    </xf>
    <xf numFmtId="0" fontId="0" fillId="3" borderId="6" xfId="0" applyFill="1" applyBorder="1" applyAlignment="1">
      <alignment horizontal="left" vertical="center"/>
    </xf>
    <xf numFmtId="0" fontId="13" fillId="28" borderId="47" xfId="0" applyFont="1" applyFill="1" applyBorder="1" applyAlignment="1">
      <alignment horizontal="center" vertical="center" wrapText="1"/>
    </xf>
    <xf numFmtId="0" fontId="13" fillId="28" borderId="48" xfId="0" applyFont="1" applyFill="1" applyBorder="1" applyAlignment="1">
      <alignment horizontal="center" vertical="center" wrapText="1"/>
    </xf>
    <xf numFmtId="0" fontId="13" fillId="28" borderId="20" xfId="0" applyFont="1" applyFill="1" applyBorder="1" applyAlignment="1">
      <alignment horizontal="center" vertical="center" wrapText="1"/>
    </xf>
    <xf numFmtId="0" fontId="0" fillId="3" borderId="21" xfId="0" applyFill="1" applyBorder="1" applyAlignment="1">
      <alignment horizontal="left" vertical="center"/>
    </xf>
    <xf numFmtId="0" fontId="13" fillId="14" borderId="47" xfId="0" applyFont="1" applyFill="1" applyBorder="1" applyAlignment="1">
      <alignment horizontal="center" vertical="center" wrapText="1"/>
    </xf>
    <xf numFmtId="0" fontId="13" fillId="14" borderId="48" xfId="0" applyFont="1" applyFill="1" applyBorder="1" applyAlignment="1">
      <alignment horizontal="center" vertical="center" wrapText="1"/>
    </xf>
    <xf numFmtId="0" fontId="0" fillId="3" borderId="6" xfId="0" applyFill="1" applyBorder="1" applyAlignment="1">
      <alignment horizontal="center" vertical="center" wrapText="1"/>
    </xf>
    <xf numFmtId="0" fontId="0" fillId="3" borderId="20" xfId="0" applyFill="1" applyBorder="1" applyAlignment="1">
      <alignment horizontal="center" vertical="center" wrapText="1"/>
    </xf>
    <xf numFmtId="0" fontId="13" fillId="14" borderId="47" xfId="0" applyFont="1" applyFill="1" applyBorder="1" applyAlignment="1">
      <alignment horizontal="left" vertical="center" wrapText="1"/>
    </xf>
    <xf numFmtId="0" fontId="13" fillId="14" borderId="48" xfId="0" applyFont="1" applyFill="1" applyBorder="1" applyAlignment="1">
      <alignment horizontal="left" vertical="center" wrapText="1"/>
    </xf>
    <xf numFmtId="0" fontId="12" fillId="9" borderId="129" xfId="0" applyFont="1" applyFill="1" applyBorder="1" applyAlignment="1">
      <alignment vertical="center"/>
    </xf>
    <xf numFmtId="0" fontId="12" fillId="9" borderId="130" xfId="0" applyFont="1" applyFill="1" applyBorder="1" applyAlignment="1">
      <alignment vertical="center"/>
    </xf>
    <xf numFmtId="0" fontId="12" fillId="9" borderId="131" xfId="0" applyFont="1" applyFill="1" applyBorder="1" applyAlignment="1">
      <alignment vertical="center"/>
    </xf>
    <xf numFmtId="0" fontId="25" fillId="3" borderId="20" xfId="0" applyFont="1" applyFill="1" applyBorder="1" applyAlignment="1">
      <alignment horizontal="left" vertical="center" wrapText="1"/>
    </xf>
    <xf numFmtId="0" fontId="25" fillId="3" borderId="6" xfId="0" applyFont="1" applyFill="1" applyBorder="1" applyAlignment="1">
      <alignment horizontal="left" vertical="center" wrapText="1"/>
    </xf>
    <xf numFmtId="0" fontId="24" fillId="9" borderId="11" xfId="0" applyFont="1" applyFill="1" applyBorder="1" applyAlignment="1">
      <alignment horizontal="left" vertical="center" wrapText="1"/>
    </xf>
    <xf numFmtId="0" fontId="24" fillId="9" borderId="17" xfId="0" applyFont="1" applyFill="1" applyBorder="1" applyAlignment="1">
      <alignment horizontal="left" vertical="center" wrapText="1"/>
    </xf>
    <xf numFmtId="0" fontId="7" fillId="9" borderId="4" xfId="0" applyFont="1" applyFill="1" applyBorder="1" applyAlignment="1">
      <alignment horizontal="right" vertical="center"/>
    </xf>
    <xf numFmtId="0" fontId="7" fillId="12" borderId="4" xfId="0" applyFont="1" applyFill="1" applyBorder="1" applyAlignment="1">
      <alignment horizontal="right" vertical="center"/>
    </xf>
    <xf numFmtId="0" fontId="5" fillId="8" borderId="1"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6" borderId="0" xfId="0" applyFont="1" applyFill="1" applyAlignment="1">
      <alignment horizontal="center"/>
    </xf>
    <xf numFmtId="0" fontId="5" fillId="13" borderId="1" xfId="0" applyFont="1" applyFill="1" applyBorder="1" applyAlignment="1">
      <alignment horizontal="center" vertical="center" wrapText="1"/>
    </xf>
    <xf numFmtId="0" fontId="5" fillId="13" borderId="2" xfId="0" applyFont="1" applyFill="1" applyBorder="1" applyAlignment="1">
      <alignment horizontal="center" vertical="center" wrapText="1"/>
    </xf>
    <xf numFmtId="0" fontId="5" fillId="13" borderId="7" xfId="0" applyFont="1" applyFill="1" applyBorder="1" applyAlignment="1">
      <alignment horizontal="center" vertical="center" wrapText="1"/>
    </xf>
    <xf numFmtId="0" fontId="5" fillId="13" borderId="8" xfId="0" applyFont="1" applyFill="1" applyBorder="1" applyAlignment="1">
      <alignment horizontal="center" vertical="center" wrapText="1"/>
    </xf>
  </cellXfs>
  <cellStyles count="13">
    <cellStyle name="Comma" xfId="4" builtinId="3"/>
    <cellStyle name="Currency" xfId="3" builtinId="4"/>
    <cellStyle name="Date" xfId="11" xr:uid="{B4DC2FAC-A41E-4C55-B3DC-D3758BDCB345}"/>
    <cellStyle name="Heading 2 2" xfId="6" xr:uid="{1ADA2B27-FF78-41DB-9F3D-C37675B6C495}"/>
    <cellStyle name="Heading 3 2" xfId="7" xr:uid="{B924400D-8AF8-41C2-A3D5-2177CB76C965}"/>
    <cellStyle name="Hyperlink" xfId="1" builtinId="8"/>
    <cellStyle name="Hyperlink 2" xfId="12" xr:uid="{B58E1A07-3251-484F-BA04-66DA66F3B210}"/>
    <cellStyle name="Name" xfId="9" xr:uid="{67CEB1D3-667C-475A-8EAC-FC0415A3A871}"/>
    <cellStyle name="Normal" xfId="0" builtinId="0"/>
    <cellStyle name="Percent" xfId="2" builtinId="5"/>
    <cellStyle name="Project Start" xfId="8" xr:uid="{A2FB83D6-E896-4737-9B09-EF2C2D85C2B0}"/>
    <cellStyle name="Task" xfId="10" xr:uid="{C3DF80FA-046D-424C-B2C7-2CC995638758}"/>
    <cellStyle name="Title 2" xfId="5" xr:uid="{48F19F60-70A2-41EA-AD0E-A640CA26F52A}"/>
  </cellStyles>
  <dxfs count="667">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rgb="FF9C0006"/>
      </font>
      <fill>
        <patternFill>
          <bgColor rgb="FFFFC7CE"/>
        </patternFill>
      </fill>
    </dxf>
    <dxf>
      <font>
        <color rgb="FF9C0006"/>
      </font>
      <fill>
        <patternFill>
          <bgColor theme="8" tint="0.79998168889431442"/>
        </patternFill>
      </fill>
    </dxf>
    <dxf>
      <font>
        <color rgb="FF9C0006"/>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C000"/>
        </patternFill>
      </fill>
    </dxf>
    <dxf>
      <font>
        <color theme="0"/>
      </font>
      <fill>
        <patternFill>
          <bgColor rgb="FFFF0000"/>
        </patternFill>
      </fill>
    </dxf>
    <dxf>
      <font>
        <color theme="0"/>
      </font>
      <fill>
        <patternFill>
          <bgColor theme="8" tint="0.79998168889431442"/>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C000"/>
        </patternFill>
      </fill>
    </dxf>
    <dxf>
      <font>
        <color theme="0"/>
      </font>
      <fill>
        <patternFill>
          <bgColor theme="8" tint="0.79998168889431442"/>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CFF"/>
        </patternFill>
      </fill>
    </dxf>
    <dxf>
      <font>
        <color theme="0"/>
      </font>
      <fill>
        <patternFill>
          <bgColor rgb="FFFFCCFF"/>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CFF"/>
        </patternFill>
      </fill>
    </dxf>
    <dxf>
      <font>
        <color theme="0"/>
      </font>
      <fill>
        <patternFill>
          <bgColor rgb="FFFFCCFF"/>
        </patternFill>
      </fill>
    </dxf>
    <dxf>
      <font>
        <color theme="0"/>
      </font>
      <fill>
        <patternFill>
          <bgColor rgb="FFFFCCFF"/>
        </patternFill>
      </fill>
    </dxf>
    <dxf>
      <font>
        <color theme="0"/>
      </font>
      <fill>
        <patternFill>
          <bgColor rgb="FFFFCCFF"/>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rgb="FFFF0000"/>
        </patternFill>
      </fill>
    </dxf>
    <dxf>
      <font>
        <color theme="0"/>
      </font>
      <fill>
        <patternFill>
          <bgColor rgb="FF00B050"/>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theme="8" tint="0.79998168889431442"/>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8" tint="0.59996337778862885"/>
        </patternFill>
      </fill>
    </dxf>
    <dxf>
      <font>
        <color theme="0"/>
      </font>
      <fill>
        <patternFill>
          <bgColor theme="8" tint="0.59996337778862885"/>
        </patternFill>
      </fill>
    </dxf>
    <dxf>
      <fill>
        <patternFill>
          <bgColor rgb="FFFF0000"/>
        </patternFill>
      </fill>
    </dxf>
    <dxf>
      <fill>
        <patternFill>
          <bgColor rgb="FF00B050"/>
        </patternFill>
      </fill>
    </dxf>
    <dxf>
      <fill>
        <patternFill patternType="solid">
          <bgColor theme="8" tint="0.79998168889431442"/>
        </patternFill>
      </fill>
    </dxf>
    <dxf>
      <fill>
        <patternFill patternType="solid">
          <bgColor theme="8" tint="0.79998168889431442"/>
        </patternFill>
      </fill>
    </dxf>
    <dxf>
      <font>
        <color theme="0"/>
      </font>
      <fill>
        <patternFill patternType="none">
          <bgColor auto="1"/>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color auto="1"/>
      </font>
      <fill>
        <patternFill>
          <bgColor rgb="FFFF0000"/>
        </patternFill>
      </fill>
    </dxf>
    <dxf>
      <font>
        <color auto="1"/>
      </font>
      <fill>
        <patternFill>
          <bgColor rgb="FFFFC000"/>
        </patternFill>
      </fill>
    </dxf>
    <dxf>
      <font>
        <color auto="1"/>
      </font>
      <fill>
        <patternFill>
          <bgColor rgb="FF00B050"/>
        </patternFill>
      </fill>
    </dxf>
    <dxf>
      <font>
        <color auto="1"/>
      </font>
      <fill>
        <patternFill>
          <bgColor rgb="FF00B050"/>
        </patternFill>
      </fill>
    </dxf>
    <dxf>
      <font>
        <color auto="1"/>
      </font>
      <fill>
        <patternFill>
          <bgColor rgb="FFFF0000"/>
        </patternFill>
      </fill>
    </dxf>
    <dxf>
      <font>
        <color auto="1"/>
      </font>
      <fill>
        <patternFill>
          <bgColor theme="8" tint="0.79998168889431442"/>
        </patternFill>
      </fill>
    </dxf>
    <dxf>
      <font>
        <color auto="1"/>
      </font>
      <fill>
        <patternFill>
          <bgColor rgb="FFFFC000"/>
        </patternFill>
      </fill>
    </dxf>
    <dxf>
      <font>
        <color auto="1"/>
      </font>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ont>
        <color auto="1"/>
      </font>
      <fill>
        <patternFill>
          <bgColor rgb="FFFFC000"/>
        </patternFill>
      </fill>
    </dxf>
    <dxf>
      <font>
        <color auto="1"/>
      </font>
      <fill>
        <patternFill>
          <bgColor rgb="FF00B050"/>
        </patternFill>
      </fill>
    </dxf>
    <dxf>
      <font>
        <color auto="1"/>
      </font>
      <fill>
        <patternFill>
          <bgColor rgb="FFFF0000"/>
        </patternFill>
      </fill>
    </dxf>
    <dxf>
      <fill>
        <patternFill>
          <bgColor theme="8" tint="0.79998168889431442"/>
        </patternFill>
      </fill>
    </dxf>
    <dxf>
      <fill>
        <patternFill>
          <bgColor rgb="FFFFC000"/>
        </patternFill>
      </fill>
    </dxf>
    <dxf>
      <fill>
        <patternFill>
          <bgColor rgb="FF00B050"/>
        </patternFill>
      </fill>
    </dxf>
    <dxf>
      <fill>
        <patternFill>
          <bgColor rgb="FFFF0000"/>
        </patternFill>
      </fill>
    </dxf>
    <dxf>
      <font>
        <color auto="1"/>
      </font>
      <fill>
        <patternFill>
          <bgColor theme="8" tint="0.79998168889431442"/>
        </patternFill>
      </fill>
    </dxf>
    <dxf>
      <font>
        <color auto="1"/>
      </font>
      <fill>
        <patternFill>
          <bgColor theme="0" tint="-0.24994659260841701"/>
        </patternFill>
      </fill>
    </dxf>
    <dxf>
      <font>
        <color auto="1"/>
      </font>
      <fill>
        <patternFill>
          <bgColor rgb="FFFFC000"/>
        </patternFill>
      </fill>
    </dxf>
    <dxf>
      <font>
        <color auto="1"/>
      </font>
      <fill>
        <patternFill>
          <bgColor rgb="FFFF0000"/>
        </patternFill>
      </fill>
    </dxf>
    <dxf>
      <font>
        <color auto="1"/>
      </font>
      <fill>
        <patternFill>
          <bgColor theme="8" tint="0.79998168889431442"/>
        </patternFill>
      </fill>
    </dxf>
    <dxf>
      <font>
        <color auto="1"/>
      </font>
      <fill>
        <patternFill>
          <bgColor theme="8" tint="0.79998168889431442"/>
        </patternFill>
      </fill>
    </dxf>
    <dxf>
      <font>
        <color auto="1"/>
      </font>
      <fill>
        <patternFill>
          <bgColor rgb="FFFF0000"/>
        </patternFill>
      </fill>
    </dxf>
    <dxf>
      <font>
        <color auto="1"/>
      </font>
      <fill>
        <patternFill>
          <bgColor rgb="FFFFC000"/>
        </patternFill>
      </fill>
    </dxf>
    <dxf>
      <font>
        <color auto="1"/>
      </font>
      <fill>
        <patternFill>
          <bgColor rgb="FF00B050"/>
        </patternFill>
      </fill>
    </dxf>
    <dxf>
      <fill>
        <patternFill>
          <bgColor rgb="FF00B050"/>
        </patternFill>
      </fill>
    </dxf>
    <dxf>
      <fill>
        <patternFill>
          <bgColor rgb="FFFFCCFF"/>
        </patternFill>
      </fill>
    </dxf>
    <dxf>
      <fill>
        <patternFill>
          <bgColor rgb="FFFFCCFF"/>
        </patternFill>
      </fill>
    </dxf>
    <dxf>
      <fill>
        <patternFill>
          <bgColor rgb="FFFFCCFF"/>
        </patternFill>
      </fill>
    </dxf>
    <dxf>
      <font>
        <color theme="0"/>
      </font>
      <fill>
        <patternFill patternType="none">
          <bgColor auto="1"/>
        </patternFill>
      </fill>
    </dxf>
    <dxf>
      <fill>
        <patternFill>
          <bgColor rgb="FFFFCCFF"/>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theme="8" tint="0.79998168889431442"/>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8" tint="0.79998168889431442"/>
        </patternFill>
      </fill>
    </dxf>
    <dxf>
      <fill>
        <patternFill>
          <bgColor rgb="FFFFC000"/>
        </patternFill>
      </fill>
    </dxf>
    <dxf>
      <fill>
        <patternFill>
          <bgColor theme="8" tint="0.79998168889431442"/>
        </patternFill>
      </fill>
    </dxf>
    <dxf>
      <fill>
        <patternFill>
          <bgColor theme="8" tint="0.79998168889431442"/>
        </patternFill>
      </fill>
    </dxf>
    <dxf>
      <font>
        <color rgb="FF9C0006"/>
      </font>
      <fill>
        <patternFill>
          <bgColor theme="8" tint="0.79998168889431442"/>
        </patternFill>
      </fill>
    </dxf>
  </dxfs>
  <tableStyles count="0" defaultTableStyle="TableStyleMedium2" defaultPivotStyle="PivotStyleLight16"/>
  <colors>
    <mruColors>
      <color rgb="FFFFCCFF"/>
      <color rgb="FFFFFFCC"/>
      <color rgb="FFFFCC99"/>
      <color rgb="FFF9EB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asint-my.sharepoint.com/personal/gdavies_sasint_co_uk1/Documents/Documents/18.%20Finance%20Projects/Data%20Alignment/Data%20Alignment_Project%20Plan_v2.xlsx" TargetMode="External"/><Relationship Id="rId1" Type="http://schemas.openxmlformats.org/officeDocument/2006/relationships/externalLinkPath" Target="https://sasint-my.sharepoint.com/personal/gdavies_sasint_co_uk1/Documents/Documents/18.%20Finance%20Projects/Data%20Alignment/Data%20Alignment_Project%20Plan_v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K:\Finance\Projects\KPIs\Sales%20Force%20Reports%20Workings\Sales%20Force%20Reports%20WK28\Sales%20Force%20Reports%20Estimating%20Wk%2028.xlsx" TargetMode="External"/><Relationship Id="rId1" Type="http://schemas.openxmlformats.org/officeDocument/2006/relationships/externalLinkPath" Target="file:///\\sas\Bridgend\Finance\Projects\KPIs\Sales%20Force%20Reports%20Workings\Sales%20Force%20Reports%20WK28\Sales%20Force%20Reports%20Estimating%20Wk%2028.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gethin.davies\AppData\Local\Microsoft\Windows\INetCache\Content.Outlook\KQ415JSC\Department%20Template_Top%204%20KPIs_DRAFT_Product%20Eng%20%20Design.xlsx" TargetMode="External"/><Relationship Id="rId1" Type="http://schemas.openxmlformats.org/officeDocument/2006/relationships/externalLinkPath" Target="file:///C:\Users\gethin.davies\AppData\Local\Microsoft\Windows\INetCache\Content.Outlook\KQ415JSC\Department%20Template_Top%204%20KPIs_DRAFT_Product%20Eng%20%20Desig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igh Level"/>
      <sheetName val="High Level (Top 4)"/>
      <sheetName val="Scorecard"/>
      <sheetName val="Summary Template"/>
      <sheetName val="Dept Template"/>
      <sheetName val="Data"/>
      <sheetName val="Rees Nanney"/>
      <sheetName val="Paul Dolan"/>
      <sheetName val="KPI Tracker"/>
      <sheetName val="Weeks"/>
    </sheetNames>
    <sheetDataSet>
      <sheetData sheetId="0">
        <row r="2">
          <cell r="D2">
            <v>45536</v>
          </cell>
        </row>
        <row r="3">
          <cell r="D3">
            <v>1</v>
          </cell>
        </row>
      </sheetData>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sheetName val="Estimating KPIs"/>
      <sheetName val="Pivot Avg Quote Time "/>
      <sheetName val="Pivot of Estimate time"/>
      <sheetName val="Avg Quote Time"/>
      <sheetName val="Estimating on time"/>
      <sheetName val="SQM WK28"/>
      <sheetName val="SQM WK27"/>
      <sheetName val="SQM Wk 26"/>
      <sheetName val="SQM Wk 25"/>
      <sheetName val="SQM Wk 24"/>
      <sheetName val=" SQM Wk 23"/>
      <sheetName val="SQM Wk 22"/>
      <sheetName val="Wk no's"/>
    </sheetNames>
    <sheetDataSet>
      <sheetData sheetId="0"/>
      <sheetData sheetId="1"/>
      <sheetData sheetId="2"/>
      <sheetData sheetId="3"/>
      <sheetData sheetId="4"/>
      <sheetData sheetId="5"/>
      <sheetData sheetId="6"/>
      <sheetData sheetId="7"/>
      <sheetData sheetId="8"/>
      <sheetData sheetId="9"/>
      <sheetData sheetId="10">
        <row r="1">
          <cell r="O1">
            <v>82.874878048780502</v>
          </cell>
        </row>
      </sheetData>
      <sheetData sheetId="11">
        <row r="1">
          <cell r="N1">
            <v>87.727857142857147</v>
          </cell>
        </row>
      </sheetData>
      <sheetData sheetId="12">
        <row r="1">
          <cell r="N1">
            <v>75.655769230769224</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PI s"/>
      <sheetName val="Dept Template"/>
      <sheetName val="BE Prod. Eng"/>
      <sheetName val="MB Prod. Eng"/>
      <sheetName val="Product Design"/>
    </sheetNames>
    <sheetDataSet>
      <sheetData sheetId="0" refreshError="1"/>
      <sheetData sheetId="1" refreshError="1"/>
      <sheetData sheetId="2" refreshError="1">
        <row r="5">
          <cell r="L5">
            <v>80</v>
          </cell>
          <cell r="M5">
            <v>80</v>
          </cell>
          <cell r="N5">
            <v>80</v>
          </cell>
          <cell r="O5">
            <v>80</v>
          </cell>
          <cell r="P5">
            <v>80</v>
          </cell>
          <cell r="Q5">
            <v>80</v>
          </cell>
          <cell r="R5">
            <v>80</v>
          </cell>
          <cell r="S5">
            <v>80</v>
          </cell>
          <cell r="T5">
            <v>80</v>
          </cell>
          <cell r="U5">
            <v>80</v>
          </cell>
        </row>
        <row r="6">
          <cell r="L6">
            <v>38</v>
          </cell>
          <cell r="M6">
            <v>114</v>
          </cell>
          <cell r="N6">
            <v>71</v>
          </cell>
          <cell r="O6">
            <v>166</v>
          </cell>
          <cell r="P6">
            <v>102</v>
          </cell>
          <cell r="Q6">
            <v>75</v>
          </cell>
          <cell r="R6">
            <v>70</v>
          </cell>
          <cell r="S6">
            <v>89</v>
          </cell>
          <cell r="T6">
            <v>76</v>
          </cell>
          <cell r="U6">
            <v>50</v>
          </cell>
        </row>
        <row r="8">
          <cell r="L8">
            <v>5</v>
          </cell>
          <cell r="M8">
            <v>5</v>
          </cell>
          <cell r="N8">
            <v>5</v>
          </cell>
          <cell r="O8">
            <v>5</v>
          </cell>
          <cell r="P8">
            <v>5</v>
          </cell>
          <cell r="Q8">
            <v>5</v>
          </cell>
          <cell r="R8">
            <v>5</v>
          </cell>
          <cell r="S8">
            <v>5</v>
          </cell>
          <cell r="T8">
            <v>5</v>
          </cell>
          <cell r="U8">
            <v>5</v>
          </cell>
        </row>
        <row r="9">
          <cell r="L9">
            <v>6.4</v>
          </cell>
          <cell r="M9">
            <v>3</v>
          </cell>
          <cell r="N9">
            <v>9</v>
          </cell>
          <cell r="O9">
            <v>6.6</v>
          </cell>
          <cell r="P9">
            <v>6.4</v>
          </cell>
          <cell r="Q9">
            <v>2.8</v>
          </cell>
          <cell r="R9">
            <v>5</v>
          </cell>
          <cell r="S9">
            <v>5</v>
          </cell>
          <cell r="T9">
            <v>3.8</v>
          </cell>
          <cell r="U9">
            <v>2.6</v>
          </cell>
        </row>
        <row r="11">
          <cell r="L11">
            <v>10</v>
          </cell>
          <cell r="M11">
            <v>10</v>
          </cell>
          <cell r="N11">
            <v>10</v>
          </cell>
          <cell r="O11">
            <v>10</v>
          </cell>
          <cell r="P11">
            <v>10</v>
          </cell>
          <cell r="Q11">
            <v>10</v>
          </cell>
          <cell r="R11">
            <v>10</v>
          </cell>
          <cell r="S11">
            <v>10</v>
          </cell>
          <cell r="T11">
            <v>10</v>
          </cell>
          <cell r="U11">
            <v>10</v>
          </cell>
        </row>
      </sheetData>
      <sheetData sheetId="3" refreshError="1">
        <row r="5">
          <cell r="L5">
            <v>80</v>
          </cell>
          <cell r="M5">
            <v>80</v>
          </cell>
          <cell r="N5">
            <v>80</v>
          </cell>
          <cell r="O5">
            <v>80</v>
          </cell>
          <cell r="P5">
            <v>80</v>
          </cell>
          <cell r="Q5">
            <v>80</v>
          </cell>
          <cell r="R5">
            <v>80</v>
          </cell>
          <cell r="S5">
            <v>80</v>
          </cell>
          <cell r="T5">
            <v>80</v>
          </cell>
          <cell r="U5">
            <v>80</v>
          </cell>
        </row>
        <row r="6">
          <cell r="L6">
            <v>21</v>
          </cell>
          <cell r="M6">
            <v>118</v>
          </cell>
          <cell r="N6">
            <v>163</v>
          </cell>
          <cell r="O6">
            <v>145</v>
          </cell>
          <cell r="P6">
            <v>114</v>
          </cell>
          <cell r="Q6">
            <v>183</v>
          </cell>
          <cell r="R6">
            <v>125</v>
          </cell>
          <cell r="S6">
            <v>71</v>
          </cell>
          <cell r="T6">
            <v>118</v>
          </cell>
          <cell r="U6">
            <v>175</v>
          </cell>
        </row>
        <row r="8">
          <cell r="L8">
            <v>5</v>
          </cell>
          <cell r="M8">
            <v>5</v>
          </cell>
          <cell r="N8">
            <v>5</v>
          </cell>
          <cell r="O8">
            <v>5</v>
          </cell>
          <cell r="P8">
            <v>5</v>
          </cell>
          <cell r="Q8">
            <v>5</v>
          </cell>
          <cell r="R8">
            <v>5</v>
          </cell>
          <cell r="S8">
            <v>5</v>
          </cell>
          <cell r="T8">
            <v>5</v>
          </cell>
          <cell r="U8">
            <v>5</v>
          </cell>
        </row>
        <row r="9">
          <cell r="L9">
            <v>6</v>
          </cell>
          <cell r="M9">
            <v>8</v>
          </cell>
          <cell r="N9">
            <v>11</v>
          </cell>
          <cell r="O9">
            <v>6</v>
          </cell>
          <cell r="P9">
            <v>5</v>
          </cell>
          <cell r="Q9">
            <v>4</v>
          </cell>
          <cell r="R9">
            <v>4</v>
          </cell>
          <cell r="S9">
            <v>6</v>
          </cell>
          <cell r="T9">
            <v>5</v>
          </cell>
          <cell r="U9">
            <v>2</v>
          </cell>
        </row>
        <row r="11">
          <cell r="L11">
            <v>10</v>
          </cell>
          <cell r="M11">
            <v>10</v>
          </cell>
          <cell r="N11">
            <v>10</v>
          </cell>
          <cell r="O11">
            <v>10</v>
          </cell>
          <cell r="P11">
            <v>10</v>
          </cell>
          <cell r="Q11">
            <v>10</v>
          </cell>
          <cell r="R11">
            <v>10</v>
          </cell>
          <cell r="S11">
            <v>10</v>
          </cell>
          <cell r="T11">
            <v>10</v>
          </cell>
          <cell r="U11">
            <v>10</v>
          </cell>
        </row>
      </sheetData>
      <sheetData sheetId="4" refreshError="1">
        <row r="8">
          <cell r="L8">
            <v>150</v>
          </cell>
          <cell r="M8">
            <v>150</v>
          </cell>
          <cell r="N8">
            <v>150</v>
          </cell>
          <cell r="O8">
            <v>150</v>
          </cell>
          <cell r="P8">
            <v>150</v>
          </cell>
          <cell r="Q8">
            <v>150</v>
          </cell>
          <cell r="R8">
            <v>150</v>
          </cell>
          <cell r="S8">
            <v>150</v>
          </cell>
          <cell r="T8">
            <v>150</v>
          </cell>
          <cell r="U8">
            <v>150</v>
          </cell>
        </row>
        <row r="9">
          <cell r="L9">
            <v>65</v>
          </cell>
          <cell r="M9">
            <v>73</v>
          </cell>
          <cell r="N9">
            <v>231</v>
          </cell>
          <cell r="O9">
            <v>157</v>
          </cell>
          <cell r="P9">
            <v>118</v>
          </cell>
          <cell r="Q9">
            <v>159</v>
          </cell>
          <cell r="R9">
            <v>271</v>
          </cell>
          <cell r="S9">
            <v>80</v>
          </cell>
          <cell r="T9">
            <v>171</v>
          </cell>
          <cell r="U9">
            <v>156</v>
          </cell>
        </row>
      </sheetData>
    </sheetDataSet>
  </externalBook>
</externalLink>
</file>

<file path=xl/persons/person.xml><?xml version="1.0" encoding="utf-8"?>
<personList xmlns="http://schemas.microsoft.com/office/spreadsheetml/2018/threadedcomments" xmlns:x="http://schemas.openxmlformats.org/spreadsheetml/2006/main">
  <person displayName="Ahbida Khan" id="{5C7B4DFF-5821-4851-8968-B846ADCBE88C}" userId="S::AKhan@sasint.co.uk::102ef24c-3732-414d-924f-7beb25908b03" providerId="AD"/>
  <person displayName="Lisa Perrett" id="{EC034D16-2773-47DA-BD8F-1180DB1FF8C8}" userId="S::LPerrett@sasint.co.uk::7acfafdf-1b44-43e9-917f-75a7704cee7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52" dT="2025-03-21T09:46:25.38" personId="{EC034D16-2773-47DA-BD8F-1180DB1FF8C8}" id="{F38AC9FE-8E9E-40B2-AAF8-6FFFF531DF66}">
    <text>Is this a percentage - why is the target only 80% and how is 183% achieved?</text>
  </threadedComment>
  <threadedComment ref="K57" dT="2025-03-21T09:46:25.38" personId="{EC034D16-2773-47DA-BD8F-1180DB1FF8C8}" id="{C6414085-2EBA-42FB-B1FA-1A732E3989FE}">
    <text>Is this a percentage - why is the target only 80% and how is 183% achieved?</text>
  </threadedComment>
</ThreadedComments>
</file>

<file path=xl/threadedComments/threadedComment2.xml><?xml version="1.0" encoding="utf-8"?>
<ThreadedComments xmlns="http://schemas.microsoft.com/office/spreadsheetml/2018/threadedcomments" xmlns:x="http://schemas.openxmlformats.org/spreadsheetml/2006/main">
  <threadedComment ref="E38" dT="2025-03-21T09:46:25.38" personId="{EC034D16-2773-47DA-BD8F-1180DB1FF8C8}" id="{02814B0E-D833-4EA7-90B7-976F3743A645}">
    <text>Is this a percentage - why is the target only 80% and how is 183% achieved?</text>
  </threadedComment>
  <threadedComment ref="E45" dT="2025-03-21T09:46:25.38" personId="{EC034D16-2773-47DA-BD8F-1180DB1FF8C8}" id="{F590E41F-CEF8-4A4C-AAF5-C8D8881881F0}">
    <text>Is this a percentage - why is the target only 80% and how is 183% achieved?</text>
  </threadedComment>
  <threadedComment ref="AK45" dT="2025-03-21T09:46:25.38" personId="{EC034D16-2773-47DA-BD8F-1180DB1FF8C8}" id="{BD8F6173-041D-44E9-B8D3-EC5D61B05C7D}">
    <text>Is this a percentage - why is the target only 80% and how is 183% achieved?</text>
  </threadedComment>
  <threadedComment ref="CR45" dT="2025-03-21T09:46:25.38" personId="{EC034D16-2773-47DA-BD8F-1180DB1FF8C8}" id="{B58592B0-0F49-417B-A149-B37BB2B58724}">
    <text>Is this a percentage - why is the target only 80% and how is 183% achieved?</text>
  </threadedComment>
  <threadedComment ref="EZ45" dT="2025-03-21T09:46:25.38" personId="{EC034D16-2773-47DA-BD8F-1180DB1FF8C8}" id="{BBCE5694-8081-4F3A-9BAF-99141907D26B}">
    <text>Is this a percentage - why is the target only 80% and how is 183% achieved?</text>
  </threadedComment>
  <threadedComment ref="HG45" dT="2025-03-21T09:46:25.38" personId="{EC034D16-2773-47DA-BD8F-1180DB1FF8C8}" id="{62C9EAA7-FD27-4D1D-B806-D4FCDCA41AA7}">
    <text>Is this a percentage - why is the target only 80% and how is 183% achieved?</text>
  </threadedComment>
  <threadedComment ref="JO45" dT="2025-03-21T09:46:25.38" personId="{EC034D16-2773-47DA-BD8F-1180DB1FF8C8}" id="{0E7C9ACA-1854-4045-996B-9C7416B385E9}">
    <text>Is this a percentage - why is the target only 80% and how is 183% achieved?</text>
  </threadedComment>
  <threadedComment ref="LV45" dT="2025-03-21T09:46:25.38" personId="{EC034D16-2773-47DA-BD8F-1180DB1FF8C8}" id="{1189DD5F-9D24-48CE-8A50-AB9E3F7384D9}">
    <text>Is this a percentage - why is the target only 80% and how is 183% achieved?</text>
  </threadedComment>
</ThreadedComments>
</file>

<file path=xl/threadedComments/threadedComment3.xml><?xml version="1.0" encoding="utf-8"?>
<ThreadedComments xmlns="http://schemas.microsoft.com/office/spreadsheetml/2018/threadedcomments" xmlns:x="http://schemas.openxmlformats.org/spreadsheetml/2006/main">
  <threadedComment ref="D17" dT="2025-03-21T09:16:02.32" personId="{EC034D16-2773-47DA-BD8F-1180DB1FF8C8}" id="{6703C353-44E4-44D0-8656-6E43FCBCEA48}">
    <text>Says value but its just a count - redefine</text>
  </threadedComment>
  <threadedComment ref="X30" dT="2025-03-25T08:36:33.59" personId="{EC034D16-2773-47DA-BD8F-1180DB1FF8C8}" id="{52C40C52-CC4C-49FC-B724-F5C55421A43B}">
    <text>The FTE Days are 22.5 days on the Return submitted - reduced due to holiday absence</text>
  </threadedComment>
  <threadedComment ref="Y30" dT="2025-04-01T10:27:04.05" personId="{EC034D16-2773-47DA-BD8F-1180DB1FF8C8}" id="{1E4ABBF3-F974-4D16-8BED-B0013D36B195}">
    <text>Reduced due to sickness absence</text>
  </threadedComment>
</ThreadedComments>
</file>

<file path=xl/threadedComments/threadedComment4.xml><?xml version="1.0" encoding="utf-8"?>
<ThreadedComments xmlns="http://schemas.microsoft.com/office/spreadsheetml/2018/threadedcomments" xmlns:x="http://schemas.openxmlformats.org/spreadsheetml/2006/main">
  <threadedComment ref="AM18" dT="2025-07-07T12:23:42.23" personId="{EC034D16-2773-47DA-BD8F-1180DB1FF8C8}" id="{78366A00-D2DD-4422-87CE-61A92182F9C3}">
    <text xml:space="preserve">Staff on holidays
</text>
  </threadedComment>
</ThreadedComments>
</file>

<file path=xl/threadedComments/threadedComment5.xml><?xml version="1.0" encoding="utf-8"?>
<ThreadedComments xmlns="http://schemas.microsoft.com/office/spreadsheetml/2018/threadedcomments" xmlns:x="http://schemas.openxmlformats.org/spreadsheetml/2006/main">
  <threadedComment ref="AG18" dT="2025-05-23T14:42:54.17" personId="{EC034D16-2773-47DA-BD8F-1180DB1FF8C8}" id="{A1554D7A-FC1C-45F8-84CE-E8788C88E47C}">
    <text>Chris Goddard - Headset, CAD Laptop, CAD docking Station</text>
  </threadedComment>
  <threadedComment ref="AI18" dT="2025-06-09T07:37:51.51" personId="{EC034D16-2773-47DA-BD8F-1180DB1FF8C8}" id="{EB700A71-0CC4-4BB5-9905-D37D5728158B}">
    <text>Chris Goddard new monitors and monitor arm, and keyboard and mouse set - values NET</text>
  </threadedComment>
  <threadedComment ref="AJ18" dT="2025-06-16T10:20:43.05" personId="{EC034D16-2773-47DA-BD8F-1180DB1FF8C8}" id="{B0CEC05C-27AE-4C0E-AD0F-1746A1273557}">
    <text>Shannon Buck - Docking Station</text>
  </threadedComment>
</ThreadedComments>
</file>

<file path=xl/threadedComments/threadedComment6.xml><?xml version="1.0" encoding="utf-8"?>
<ThreadedComments xmlns="http://schemas.microsoft.com/office/spreadsheetml/2018/threadedcomments" xmlns:x="http://schemas.openxmlformats.org/spreadsheetml/2006/main">
  <threadedComment ref="R9" dT="2025-02-07T09:06:05.87" personId="{5C7B4DFF-5821-4851-8968-B846ADCBE88C}" id="{0EE8E3AB-1F51-401D-85CB-B60BA97EC419}">
    <text>Venue booked for sustainability event, NAW videos edited, NAW web page drafted, Photos for David Booth clients</text>
  </threadedComment>
  <threadedComment ref="S9" dT="2025-02-14T09:21:46.74" personId="{5C7B4DFF-5821-4851-8968-B846ADCBE88C}" id="{7A3FE2A1-509E-44FD-9986-9CA2E9E409F2}">
    <text xml:space="preserve">NAW Webpage published, NAW YouTube videos posted, Autoresponder email drafted (Account Engagement), two social posts </text>
  </threadedComment>
  <threadedComment ref="R12" dT="2025-02-07T09:06:37.41" personId="{5C7B4DFF-5821-4851-8968-B846ADCBE88C}" id="{CC50F871-E194-4A50-8183-F639750698E0}">
    <text xml:space="preserve">Social post delayed - DiaLux announcement wasn’t sent out </text>
  </threadedComment>
  <threadedComment ref="S12" dT="2025-02-14T09:22:33.79" personId="{5C7B4DFF-5821-4851-8968-B846ADCBE88C}" id="{36E4CF61-86EF-4076-BD40-1A1151FA2BBD}">
    <text xml:space="preserve">Waiting on approval of new NAW video before posting on social media </text>
  </threadedComment>
  <threadedComment ref="S15" dT="2025-02-14T09:23:30.27" personId="{5C7B4DFF-5821-4851-8968-B846ADCBE88C}" id="{113F4A0B-0B7F-4504-92CE-8180F2462370}">
    <text xml:space="preserve">Gender pay gap report on the website was linked to the modern slavery statement  </text>
  </threadedComment>
</ThreadedComments>
</file>

<file path=xl/threadedComments/threadedComment7.xml><?xml version="1.0" encoding="utf-8"?>
<ThreadedComments xmlns="http://schemas.microsoft.com/office/spreadsheetml/2018/threadedcomments" xmlns:x="http://schemas.openxmlformats.org/spreadsheetml/2006/main">
  <threadedComment ref="N10" dT="2025-04-01T09:15:47.79" personId="{EC034D16-2773-47DA-BD8F-1180DB1FF8C8}" id="{59758534-94C6-4B6C-9CAC-2A35B9DD3B3C}">
    <text>1st Week no report</text>
  </threadedComment>
  <threadedComment ref="S10" dT="2025-04-29T08:05:42.53" personId="{EC034D16-2773-47DA-BD8F-1180DB1FF8C8}" id="{7D84ED7E-2607-4A09-BC21-C9E578C9D4F0}">
    <text xml:space="preserve">1 week in arrears
</text>
  </threadedComment>
  <threadedComment ref="N11" dT="2025-04-01T09:15:47.79" personId="{EC034D16-2773-47DA-BD8F-1180DB1FF8C8}" id="{923AACFB-AF82-4E7F-95F0-BD089C1E3C7C}">
    <text>1st Week no report</text>
  </threadedComment>
  <threadedComment ref="N12" dT="2025-04-01T09:15:47.79" personId="{EC034D16-2773-47DA-BD8F-1180DB1FF8C8}" id="{32DFD3C5-165E-4030-A6E6-EF507D57C389}">
    <text>1st Week no report</text>
  </threadedComment>
  <threadedComment ref="N13" dT="2025-04-01T09:15:47.79" personId="{EC034D16-2773-47DA-BD8F-1180DB1FF8C8}" id="{2BAD7BCF-AF75-43CA-B6EC-1007FEB751DB}">
    <text>1st Week no report</text>
  </threadedComment>
  <threadedComment ref="O13" dT="2025-04-29T08:05:19.98" personId="{EC034D16-2773-47DA-BD8F-1180DB1FF8C8}" id="{B23BF5BF-4285-4E09-876A-F6888C831FE8}">
    <text>Some weeks have no data available</text>
  </threadedComment>
  <threadedComment ref="N14" dT="2025-04-01T09:15:47.79" personId="{EC034D16-2773-47DA-BD8F-1180DB1FF8C8}" id="{53F1FD37-51A2-4D8C-AAC5-3FFCE635D8D8}">
    <text>1st Week no report</text>
  </threadedComment>
  <threadedComment ref="O14" dT="2025-04-29T08:05:19.98" personId="{EC034D16-2773-47DA-BD8F-1180DB1FF8C8}" id="{7F446A2B-92CA-43DA-8C03-7884C05D7756}">
    <text>Some weeks have no data available</text>
  </threadedComment>
  <threadedComment ref="N23" dT="2025-04-01T09:15:47.79" personId="{EC034D16-2773-47DA-BD8F-1180DB1FF8C8}" id="{D885FF49-B74E-4442-A53B-D1DF8F238971}">
    <text>1st Week no report</text>
  </threadedComment>
  <threadedComment ref="N24" dT="2025-04-01T09:15:47.79" personId="{EC034D16-2773-47DA-BD8F-1180DB1FF8C8}" id="{B3FE4A8D-00A4-46FE-AF42-5450EF3C2F45}">
    <text>1st Week no report</text>
  </threadedComment>
  <threadedComment ref="N25" dT="2025-04-01T09:15:47.79" personId="{EC034D16-2773-47DA-BD8F-1180DB1FF8C8}" id="{0F83D6EE-2CEA-4AD8-88CD-D9683C89D1AE}">
    <text>1st Week no report</text>
  </threadedComment>
  <threadedComment ref="N26" dT="2025-04-01T09:15:47.79" personId="{EC034D16-2773-47DA-BD8F-1180DB1FF8C8}" id="{6D281B72-F07E-4F0A-BC2B-973A394A420B}">
    <text>1st Week no report</text>
  </threadedComment>
  <threadedComment ref="N27" dT="2025-04-01T09:15:47.79" personId="{EC034D16-2773-47DA-BD8F-1180DB1FF8C8}" id="{B2D106D8-CF4E-4D84-B072-B07F533BAA0E}">
    <text>1st Week no report</text>
  </threadedComment>
  <threadedComment ref="N30" dT="2025-04-01T09:15:47.79" personId="{EC034D16-2773-47DA-BD8F-1180DB1FF8C8}" id="{61C7DD1B-7D63-43C0-BEE3-4EB82493C7ED}">
    <text>1st Week no report</text>
  </threadedComment>
  <threadedComment ref="N31" dT="2025-04-01T09:15:47.79" personId="{EC034D16-2773-47DA-BD8F-1180DB1FF8C8}" id="{9B1CC2C5-7253-4221-A210-67C37CA7E4BF}">
    <text>1st Week no report</text>
  </threadedComment>
  <threadedComment ref="N32" dT="2025-04-01T09:15:47.79" personId="{EC034D16-2773-47DA-BD8F-1180DB1FF8C8}" id="{4A761621-C362-432B-88AA-F6426E00D442}">
    <text>1st Week no report</text>
  </threadedComment>
  <threadedComment ref="N33" dT="2025-04-01T09:15:47.79" personId="{EC034D16-2773-47DA-BD8F-1180DB1FF8C8}" id="{11F8F2F6-8D29-441F-9E5E-C316235FFC0C}">
    <text>1st Week no report</text>
  </threadedComment>
  <threadedComment ref="N36" dT="2025-04-01T09:15:47.79" personId="{EC034D16-2773-47DA-BD8F-1180DB1FF8C8}" id="{0F05A97B-C2C8-48DE-AC99-E7D82C1609E2}">
    <text>1st Week no report</text>
  </threadedComment>
  <threadedComment ref="N37" dT="2025-04-01T09:15:47.79" personId="{EC034D16-2773-47DA-BD8F-1180DB1FF8C8}" id="{31395974-E098-412A-AF3F-2833F62B4FBD}">
    <text>1st Week no report</text>
  </threadedComment>
  <threadedComment ref="N38" dT="2025-04-01T09:15:47.79" personId="{EC034D16-2773-47DA-BD8F-1180DB1FF8C8}" id="{D1200598-5A0A-4180-A127-DD4E5FD046A9}">
    <text>1st Week no report</text>
  </threadedComment>
  <threadedComment ref="N39" dT="2025-04-01T09:15:47.79" personId="{EC034D16-2773-47DA-BD8F-1180DB1FF8C8}" id="{3840D583-F395-4986-8423-3C7CE983E4F6}">
    <text>1st Week no report</text>
  </threadedComment>
  <threadedComment ref="N40" dT="2025-04-01T09:15:47.79" personId="{EC034D16-2773-47DA-BD8F-1180DB1FF8C8}" id="{43B1811D-CB21-425F-B4FB-9EA53C524B04}">
    <text>1st Week no report</text>
  </threadedComment>
  <threadedComment ref="E43" dT="2025-03-21T09:46:25.38" personId="{EC034D16-2773-47DA-BD8F-1180DB1FF8C8}" id="{05A4FB93-74FB-4950-BEB8-FE680D50D07E}">
    <text>Is this a percentage - why is the target only 80% and how is 183% achieved?</text>
  </threadedComment>
  <threadedComment ref="N43" dT="2025-04-01T09:15:47.79" personId="{EC034D16-2773-47DA-BD8F-1180DB1FF8C8}" id="{D25F0749-AF03-4DB8-BAA6-D67EF8710B70}">
    <text>1st Week no report</text>
  </threadedComment>
  <threadedComment ref="N44" dT="2025-04-01T09:15:47.79" personId="{EC034D16-2773-47DA-BD8F-1180DB1FF8C8}" id="{530DAB2F-9C1B-4242-AAFD-2FC55B1543AF}">
    <text>1st Week no report</text>
  </threadedComment>
  <threadedComment ref="N45" dT="2025-04-01T09:15:47.79" personId="{EC034D16-2773-47DA-BD8F-1180DB1FF8C8}" id="{4CEF3577-A670-4E7C-918A-6053A5E8B61A}">
    <text>1st Week no report</text>
  </threadedComment>
  <threadedComment ref="N47" dT="2025-04-01T09:15:47.79" personId="{EC034D16-2773-47DA-BD8F-1180DB1FF8C8}" id="{5A2EFCD8-6C86-4A15-8A92-7649AEDF9E1B}">
    <text>1st Week no report</text>
  </threadedComment>
  <threadedComment ref="E50" dT="2025-03-21T09:46:25.38" personId="{EC034D16-2773-47DA-BD8F-1180DB1FF8C8}" id="{B497959F-B6D7-437B-BF85-7F3F1AF793EE}">
    <text>Is this a percentage - why is the target only 80% and how is 183% achieved?</text>
  </threadedComment>
  <threadedComment ref="N50" dT="2025-04-01T09:15:47.79" personId="{EC034D16-2773-47DA-BD8F-1180DB1FF8C8}" id="{C1761E92-8283-4D84-B4F1-E1C67C5E66FC}">
    <text>1st Week no report</text>
  </threadedComment>
  <threadedComment ref="N51" dT="2025-04-01T09:15:47.79" personId="{EC034D16-2773-47DA-BD8F-1180DB1FF8C8}" id="{2809BB76-9732-4BF5-9D1B-295A2D1819BA}">
    <text>1st Week no report</text>
  </threadedComment>
  <threadedComment ref="N52" dT="2025-04-01T09:15:47.79" personId="{EC034D16-2773-47DA-BD8F-1180DB1FF8C8}" id="{18025451-D43D-4B98-B83D-DCD97289AF89}">
    <text>1st Week no report</text>
  </threadedComment>
  <threadedComment ref="N54" dT="2025-04-01T09:15:47.79" personId="{EC034D16-2773-47DA-BD8F-1180DB1FF8C8}" id="{0A2DC9A6-B2D4-4591-9414-96A0572E0D8F}">
    <text>1st Week no report</text>
  </threadedComment>
  <threadedComment ref="N57" dT="2025-04-01T09:15:47.79" personId="{EC034D16-2773-47DA-BD8F-1180DB1FF8C8}" id="{468FF545-F84E-4912-BF25-D35EF257DC0A}">
    <text>1st Week no report</text>
  </threadedComment>
  <threadedComment ref="N58" dT="2025-04-01T09:15:47.79" personId="{EC034D16-2773-47DA-BD8F-1180DB1FF8C8}" id="{0B688C32-4E0A-4F7E-9139-1A78E73A9975}">
    <text>1st Week no report</text>
  </threadedComment>
  <threadedComment ref="N59" dT="2025-04-01T09:15:47.79" personId="{EC034D16-2773-47DA-BD8F-1180DB1FF8C8}" id="{A18BF1A2-F2C5-468B-B397-00DBCCF82D15}">
    <text>1st Week no report</text>
  </threadedComment>
  <threadedComment ref="N60" dT="2025-04-01T09:15:47.79" personId="{EC034D16-2773-47DA-BD8F-1180DB1FF8C8}" id="{F31CBF55-086D-4FA9-A29E-ADFF39532CA1}">
    <text>1st Week no report</text>
  </threadedComment>
  <threadedComment ref="N63" dT="2025-04-01T09:15:47.79" personId="{EC034D16-2773-47DA-BD8F-1180DB1FF8C8}" id="{13219F23-0B7D-431A-977E-3872C44E7661}">
    <text>1st Week no report</text>
  </threadedComment>
  <threadedComment ref="N64" dT="2025-04-01T09:15:47.79" personId="{EC034D16-2773-47DA-BD8F-1180DB1FF8C8}" id="{6BFDC1D7-80A0-4BA7-B74B-739375FF4C8D}">
    <text>1st Week no report</text>
  </threadedComment>
  <threadedComment ref="N65" dT="2025-04-01T09:15:47.79" personId="{EC034D16-2773-47DA-BD8F-1180DB1FF8C8}" id="{5458E7C5-D740-40D4-ACFD-FA496DB0A047}">
    <text>1st Week no report</text>
  </threadedComment>
  <threadedComment ref="N66" dT="2025-04-01T09:15:47.79" personId="{EC034D16-2773-47DA-BD8F-1180DB1FF8C8}" id="{EAA4E826-125C-45B8-B45C-0761204235F1}">
    <text>1st Week no report</text>
  </threadedComment>
  <threadedComment ref="N96" dT="2025-04-01T09:15:47.79" personId="{EC034D16-2773-47DA-BD8F-1180DB1FF8C8}" id="{562664EC-81AE-4985-9AD9-27A23E7FF229}">
    <text>1st Week no report</text>
  </threadedComment>
  <threadedComment ref="N97" dT="2025-04-01T09:15:47.79" personId="{EC034D16-2773-47DA-BD8F-1180DB1FF8C8}" id="{DC81D33F-B3E8-4F5E-A6C7-02AFF9813545}">
    <text>1st Week no report</text>
  </threadedComment>
  <threadedComment ref="N98" dT="2025-04-01T09:15:47.79" personId="{EC034D16-2773-47DA-BD8F-1180DB1FF8C8}" id="{A175A7A5-2F35-4594-8AC0-D3D5EA6C6449}">
    <text>1st Week no report</text>
  </threadedComment>
  <threadedComment ref="N99" dT="2025-04-01T09:15:47.79" personId="{EC034D16-2773-47DA-BD8F-1180DB1FF8C8}" id="{9F2127B8-707B-421A-94B9-BF43708E9AFD}">
    <text>1st Week no report</text>
  </threadedComment>
  <threadedComment ref="N102" dT="2025-04-01T09:15:47.79" personId="{EC034D16-2773-47DA-BD8F-1180DB1FF8C8}" id="{4AE1E2ED-7101-4E4B-98B2-BB798ECF934A}">
    <text>1st Week no report</text>
  </threadedComment>
  <threadedComment ref="N103" dT="2025-04-01T09:15:47.79" personId="{EC034D16-2773-47DA-BD8F-1180DB1FF8C8}" id="{94E73DD0-8B37-426C-A68A-C5679A084F05}">
    <text>1st Week no report</text>
  </threadedComment>
  <threadedComment ref="N104" dT="2025-04-01T09:15:47.79" personId="{EC034D16-2773-47DA-BD8F-1180DB1FF8C8}" id="{49291039-C017-4DA4-B472-BA59C51CF8EA}">
    <text>1st Week no report</text>
  </threadedComment>
  <threadedComment ref="N105" dT="2025-04-01T09:15:47.79" personId="{EC034D16-2773-47DA-BD8F-1180DB1FF8C8}" id="{B90DEAFC-62E6-4B8D-AD9F-82DFA3E1BACE}">
    <text>1st Week no report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hyperlink" Target="https://sasinternational.lightning.force.com/lightning/r/Report/00OP3000005cl33MAA/view?queryScope=userFolders" TargetMode="External"/><Relationship Id="rId1" Type="http://schemas.openxmlformats.org/officeDocument/2006/relationships/hyperlink" Target="https://sasinternational.lightning.force.com/lightning/r/Report/00OP3000003GHJJMA4/view"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sasinternational.lightning.force.com/lightning/r/Dashboard/01ZP300000LvtuyMAB/view"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pp.powerbi.com/groups/db5641cb-990b-490c-b265-004fa6ab7ccc/reports/c5a5202a-b830-4950-81c2-e6c43d145b86/ReportSectione0549df5f3c91c6fdcd2?redirectedFromSignup=1&amp;experience=power-bi"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pp.powerbi.com/groups/db5641cb-990b-490c-b265-004fa6ab7ccc/reports/c5a5202a-b830-4950-81c2-e6c43d145b86/ReportSectione0549df5f3c91c6fdcd2?redirectedFromSignup=1&amp;experience=power-bi"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9A67D-BDA3-46F8-8082-3F4DB7F8F67A}">
  <sheetPr>
    <tabColor rgb="FFFFFF00"/>
  </sheetPr>
  <dimension ref="A1:AL138"/>
  <sheetViews>
    <sheetView showGridLines="0" zoomScale="60" zoomScaleNormal="60" workbookViewId="0">
      <pane xSplit="4" ySplit="9" topLeftCell="E10" activePane="bottomRight" state="frozen"/>
      <selection pane="topRight" activeCell="E1" sqref="E1"/>
      <selection pane="bottomLeft" activeCell="A10" sqref="A10"/>
      <selection pane="bottomRight" activeCell="W42" sqref="W42"/>
    </sheetView>
  </sheetViews>
  <sheetFormatPr defaultRowHeight="14.4" outlineLevelRow="1" outlineLevelCol="1" x14ac:dyDescent="0.3"/>
  <cols>
    <col min="1" max="1" width="25.109375" customWidth="1" outlineLevel="1"/>
    <col min="2" max="2" width="13.77734375" customWidth="1" outlineLevel="1"/>
    <col min="3" max="3" width="17.109375" customWidth="1" outlineLevel="1"/>
    <col min="4" max="4" width="4.88671875" customWidth="1"/>
    <col min="5" max="5" width="2" customWidth="1"/>
    <col min="6" max="6" width="15.77734375" customWidth="1"/>
    <col min="7" max="7" width="12.88671875" customWidth="1"/>
    <col min="8" max="8" width="4.6640625" style="292" customWidth="1"/>
    <col min="9" max="9" width="3.88671875" customWidth="1"/>
    <col min="10" max="10" width="13.88671875" customWidth="1"/>
    <col min="11" max="11" width="49.44140625" customWidth="1"/>
    <col min="12" max="12" width="14.33203125" customWidth="1"/>
    <col min="13" max="13" width="12.33203125" customWidth="1"/>
    <col min="14" max="15" width="1.21875" customWidth="1"/>
    <col min="16" max="16" width="4.77734375" customWidth="1" outlineLevel="1"/>
    <col min="17" max="17" width="10.6640625" customWidth="1" outlineLevel="1"/>
    <col min="18" max="18" width="4.88671875" customWidth="1" outlineLevel="1"/>
    <col min="19" max="19" width="10.6640625" customWidth="1" outlineLevel="1"/>
    <col min="20" max="20" width="4.33203125" customWidth="1" outlineLevel="1"/>
    <col min="21" max="21" width="10.6640625" customWidth="1" outlineLevel="1"/>
    <col min="22" max="22" width="4.44140625" customWidth="1" outlineLevel="1"/>
    <col min="23" max="23" width="12.6640625" customWidth="1" outlineLevel="1"/>
    <col min="24" max="24" width="7.6640625" customWidth="1" outlineLevel="1"/>
    <col min="25" max="25" width="10.6640625" customWidth="1" outlineLevel="1"/>
    <col min="26" max="26" width="39.21875" customWidth="1" outlineLevel="1"/>
    <col min="27" max="28" width="2.109375" customWidth="1"/>
    <col min="29" max="29" width="22.6640625" customWidth="1"/>
    <col min="30" max="30" width="4.5546875" customWidth="1"/>
    <col min="31" max="33" width="10.6640625" customWidth="1" outlineLevel="1"/>
    <col min="34" max="34" width="10.33203125" customWidth="1" outlineLevel="1"/>
    <col min="35" max="35" width="10.6640625" customWidth="1" outlineLevel="1"/>
  </cols>
  <sheetData>
    <row r="1" spans="1:38" ht="21.6" thickBot="1" x14ac:dyDescent="0.45">
      <c r="A1" s="691">
        <f>_xlfn.XLOOKUP('KPI Linked Table for Report'!C1,'Week No''s'!B3:B55,'Week No''s'!C3:C55)</f>
        <v>45947</v>
      </c>
      <c r="B1" t="s">
        <v>193</v>
      </c>
      <c r="C1" s="310">
        <v>42</v>
      </c>
      <c r="E1" s="186" t="s">
        <v>530</v>
      </c>
      <c r="P1" t="s">
        <v>7</v>
      </c>
      <c r="Q1" t="s">
        <v>7</v>
      </c>
      <c r="S1">
        <f>+X8</f>
        <v>42</v>
      </c>
      <c r="W1" s="506">
        <f>+X9</f>
        <v>45947</v>
      </c>
      <c r="X1" s="506"/>
      <c r="AC1" t="s">
        <v>559</v>
      </c>
      <c r="AE1" t="s">
        <v>7</v>
      </c>
      <c r="AF1">
        <f>+S1</f>
        <v>42</v>
      </c>
      <c r="AH1" s="506">
        <f>+AI9</f>
        <v>45947</v>
      </c>
    </row>
    <row r="2" spans="1:38" ht="18.600000000000001" thickBot="1" x14ac:dyDescent="0.4">
      <c r="A2" s="310" t="s">
        <v>383</v>
      </c>
      <c r="B2" t="s">
        <v>375</v>
      </c>
      <c r="C2" s="218">
        <f>_xlfn.XLOOKUP('KPI Linked Table for Report'!A2,'Week No''s'!E:E,'Week No''s'!F:F,0)</f>
        <v>9</v>
      </c>
      <c r="F2" s="507" t="s">
        <v>563</v>
      </c>
      <c r="G2" s="507"/>
    </row>
    <row r="3" spans="1:38" ht="18" x14ac:dyDescent="0.35">
      <c r="D3" t="s">
        <v>200</v>
      </c>
      <c r="F3" s="507" t="s">
        <v>531</v>
      </c>
      <c r="G3" s="507"/>
      <c r="P3">
        <f>+R3-1</f>
        <v>38</v>
      </c>
      <c r="R3">
        <f>+T3-1</f>
        <v>39</v>
      </c>
      <c r="T3">
        <f>+V3-1</f>
        <v>40</v>
      </c>
      <c r="V3">
        <f>+X3-1</f>
        <v>41</v>
      </c>
      <c r="X3" s="395">
        <f>+C1</f>
        <v>42</v>
      </c>
      <c r="AC3" s="395" t="s">
        <v>558</v>
      </c>
    </row>
    <row r="4" spans="1:38" ht="18" x14ac:dyDescent="0.35">
      <c r="D4" t="s">
        <v>382</v>
      </c>
      <c r="F4" s="507"/>
      <c r="G4" s="507"/>
      <c r="AE4" s="724" t="s">
        <v>689</v>
      </c>
      <c r="AF4" s="724"/>
      <c r="AG4" s="724"/>
      <c r="AH4" s="724"/>
      <c r="AI4" s="724"/>
    </row>
    <row r="5" spans="1:38" ht="18.600000000000001" thickBot="1" x14ac:dyDescent="0.4">
      <c r="F5" s="507" t="s">
        <v>532</v>
      </c>
      <c r="G5" s="507"/>
    </row>
    <row r="6" spans="1:38" ht="40.200000000000003" customHeight="1" thickBot="1" x14ac:dyDescent="0.35">
      <c r="B6" s="166"/>
      <c r="C6" s="113" t="s">
        <v>125</v>
      </c>
      <c r="F6" s="499" t="s">
        <v>478</v>
      </c>
      <c r="G6" s="545" t="s">
        <v>442</v>
      </c>
      <c r="H6" s="500" t="s">
        <v>523</v>
      </c>
      <c r="I6" s="501" t="s">
        <v>529</v>
      </c>
      <c r="J6" s="501" t="s">
        <v>38</v>
      </c>
      <c r="K6" s="501" t="s">
        <v>39</v>
      </c>
      <c r="L6" s="501" t="s">
        <v>140</v>
      </c>
      <c r="M6" s="502" t="s">
        <v>527</v>
      </c>
      <c r="P6" s="193" t="s">
        <v>508</v>
      </c>
      <c r="Q6" s="574"/>
      <c r="R6" s="574"/>
      <c r="S6" s="574"/>
      <c r="T6" s="574"/>
      <c r="U6" s="574"/>
      <c r="V6" s="574"/>
      <c r="W6" s="574"/>
      <c r="X6" s="574"/>
      <c r="Y6" s="575"/>
      <c r="AE6" s="220" t="s">
        <v>508</v>
      </c>
      <c r="AF6" s="220" t="s">
        <v>508</v>
      </c>
      <c r="AG6" s="220" t="s">
        <v>508</v>
      </c>
      <c r="AH6" s="220" t="s">
        <v>508</v>
      </c>
      <c r="AI6" s="220" t="s">
        <v>508</v>
      </c>
    </row>
    <row r="7" spans="1:38" ht="15" thickBot="1" x14ac:dyDescent="0.35">
      <c r="A7" s="870" t="s">
        <v>403</v>
      </c>
      <c r="B7" s="471"/>
      <c r="C7" s="473"/>
      <c r="F7" s="492" t="s">
        <v>524</v>
      </c>
      <c r="G7" s="475"/>
      <c r="H7" s="474" t="s">
        <v>401</v>
      </c>
      <c r="I7" s="475"/>
      <c r="J7" s="474"/>
      <c r="K7" s="474"/>
      <c r="L7" s="476"/>
      <c r="M7" s="476"/>
      <c r="P7" s="568">
        <f>_xlfn.XLOOKUP('KPI Linked Table for Report'!P8,'KPI Analysis'!$CU$7:$EU$7,'KPI Analysis'!$CU$8:$EU$8)</f>
        <v>8</v>
      </c>
      <c r="Q7" s="569"/>
      <c r="R7" s="568">
        <f>_xlfn.XLOOKUP('KPI Linked Table for Report'!R8,'KPI Analysis'!$CU$7:$EU$7,'KPI Analysis'!$CU$8:$EU$8)</f>
        <v>8</v>
      </c>
      <c r="S7" s="569"/>
      <c r="T7" s="568">
        <f>_xlfn.XLOOKUP('KPI Linked Table for Report'!T8,'KPI Analysis'!$CU$7:$EU$7,'KPI Analysis'!$CU$8:$EU$8)</f>
        <v>9</v>
      </c>
      <c r="U7" s="569"/>
      <c r="V7" s="568">
        <f>_xlfn.XLOOKUP('KPI Linked Table for Report'!V8,'KPI Analysis'!$CU$7:$EU$7,'KPI Analysis'!$CU$8:$EU$8)</f>
        <v>9</v>
      </c>
      <c r="W7" s="569"/>
      <c r="X7" s="568">
        <f>_xlfn.XLOOKUP('KPI Linked Table for Report'!X8,'KPI Analysis'!$CU$7:$EU$7,'KPI Analysis'!$CU$8:$EU$8)</f>
        <v>9</v>
      </c>
      <c r="Y7" s="569"/>
      <c r="AC7" t="s">
        <v>559</v>
      </c>
      <c r="AE7" s="491">
        <f>_xlfn.XLOOKUP('KPI Linked Table for Report'!AE8,'KPI Analysis'!$CU$7:$EU$7,'KPI Analysis'!$CU$8:$EU$8)</f>
        <v>8</v>
      </c>
      <c r="AF7" s="491">
        <f>_xlfn.XLOOKUP('KPI Linked Table for Report'!AF8,'KPI Analysis'!$CU$7:$EU$7,'KPI Analysis'!$CU$8:$EU$8)</f>
        <v>8</v>
      </c>
      <c r="AG7" s="491">
        <f>_xlfn.XLOOKUP('KPI Linked Table for Report'!AG8,'KPI Analysis'!$CU$7:$EU$7,'KPI Analysis'!$CU$8:$EU$8)</f>
        <v>9</v>
      </c>
      <c r="AH7" s="491">
        <f>_xlfn.XLOOKUP('KPI Linked Table for Report'!AH8,'KPI Analysis'!$CU$7:$EU$7,'KPI Analysis'!$CU$8:$EU$8)</f>
        <v>9</v>
      </c>
      <c r="AI7" s="491">
        <f>_xlfn.XLOOKUP('KPI Linked Table for Report'!AI8,'KPI Analysis'!$CU$7:$EU$7,'KPI Analysis'!$CU$8:$EU$8)</f>
        <v>9</v>
      </c>
    </row>
    <row r="8" spans="1:38" x14ac:dyDescent="0.3">
      <c r="A8" s="870"/>
      <c r="B8" s="480"/>
      <c r="C8" s="477"/>
      <c r="F8" s="493" t="s">
        <v>525</v>
      </c>
      <c r="G8" s="479"/>
      <c r="H8" s="478" t="s">
        <v>402</v>
      </c>
      <c r="I8" s="479"/>
      <c r="J8" s="478"/>
      <c r="K8" s="478"/>
      <c r="L8" s="480"/>
      <c r="M8" s="480" t="s">
        <v>2</v>
      </c>
      <c r="P8" s="570">
        <f>+P3</f>
        <v>38</v>
      </c>
      <c r="Q8" s="571"/>
      <c r="R8" s="570">
        <f>+R3</f>
        <v>39</v>
      </c>
      <c r="S8" s="571"/>
      <c r="T8" s="570">
        <f>+T3</f>
        <v>40</v>
      </c>
      <c r="U8" s="571"/>
      <c r="V8" s="570">
        <f>+V3</f>
        <v>41</v>
      </c>
      <c r="W8" s="571"/>
      <c r="X8" s="570">
        <f>+X3</f>
        <v>42</v>
      </c>
      <c r="Y8" s="571"/>
      <c r="AC8" t="s">
        <v>559</v>
      </c>
      <c r="AE8" s="472">
        <f>+AF8-1</f>
        <v>38</v>
      </c>
      <c r="AF8" s="472">
        <f>+AG8-1</f>
        <v>39</v>
      </c>
      <c r="AG8" s="472">
        <f>+AH8-1</f>
        <v>40</v>
      </c>
      <c r="AH8" s="472">
        <f>+AI8-1</f>
        <v>41</v>
      </c>
      <c r="AI8" s="472">
        <f>+AF1</f>
        <v>42</v>
      </c>
      <c r="AJ8" s="395"/>
      <c r="AK8" s="395"/>
    </row>
    <row r="9" spans="1:38" s="203" customFormat="1" ht="15" thickBot="1" x14ac:dyDescent="0.35">
      <c r="A9" s="870"/>
      <c r="B9" s="484"/>
      <c r="C9" s="481"/>
      <c r="D9"/>
      <c r="E9"/>
      <c r="F9" s="494" t="s">
        <v>522</v>
      </c>
      <c r="G9" s="483"/>
      <c r="H9" s="482" t="s">
        <v>521</v>
      </c>
      <c r="I9" s="483"/>
      <c r="J9" s="482"/>
      <c r="K9" s="482"/>
      <c r="L9" s="484"/>
      <c r="M9" s="484"/>
      <c r="N9"/>
      <c r="O9"/>
      <c r="P9" s="572">
        <f>_xlfn.XLOOKUP(P8,EHS!$M$6:$BM$6,EHS!$M$7:$BM$7)</f>
        <v>45919</v>
      </c>
      <c r="Q9" s="573"/>
      <c r="R9" s="572">
        <f>_xlfn.XLOOKUP(R8,EHS!$M$6:$BM$6,EHS!$M$7:$BM$7)</f>
        <v>45926</v>
      </c>
      <c r="S9" s="573"/>
      <c r="T9" s="572">
        <f>_xlfn.XLOOKUP(T8,EHS!$M$6:$BM$6,EHS!$M$7:$BM$7)</f>
        <v>45933</v>
      </c>
      <c r="U9" s="573"/>
      <c r="V9" s="572">
        <f>_xlfn.XLOOKUP(V8,EHS!$M$6:$BM$6,EHS!$M$7:$BM$7)</f>
        <v>45940</v>
      </c>
      <c r="W9" s="573"/>
      <c r="X9" s="572">
        <f>_xlfn.XLOOKUP(X8,EHS!$M$6:$BM$6,EHS!$M$7:$BM$7)</f>
        <v>45947</v>
      </c>
      <c r="Y9" s="573"/>
      <c r="Z9"/>
      <c r="AA9"/>
      <c r="AB9"/>
      <c r="AC9" t="s">
        <v>559</v>
      </c>
      <c r="AD9"/>
      <c r="AE9" s="505">
        <f>_xlfn.XLOOKUP(AE8,EHS!$M$6:$BM$6,EHS!$M$7:$BM$7)</f>
        <v>45919</v>
      </c>
      <c r="AF9" s="505">
        <f>_xlfn.XLOOKUP(AF8,EHS!$M$6:$BM$6,EHS!$M$7:$BM$7)</f>
        <v>45926</v>
      </c>
      <c r="AG9" s="505">
        <f>_xlfn.XLOOKUP(AG8,EHS!$M$6:$BM$6,EHS!$M$7:$BM$7)</f>
        <v>45933</v>
      </c>
      <c r="AH9" s="505">
        <f>_xlfn.XLOOKUP(AH8,EHS!$M$6:$BM$6,EHS!$M$7:$BM$7)</f>
        <v>45940</v>
      </c>
      <c r="AI9" s="505">
        <f>_xlfn.XLOOKUP(AI8,EHS!$M$6:$BM$6,EHS!$M$7:$BM$7)</f>
        <v>45947</v>
      </c>
      <c r="AJ9"/>
      <c r="AK9"/>
      <c r="AL9"/>
    </row>
    <row r="10" spans="1:38" ht="15" thickBot="1" x14ac:dyDescent="0.35">
      <c r="H10"/>
      <c r="Z10" t="s">
        <v>680</v>
      </c>
    </row>
    <row r="11" spans="1:38" x14ac:dyDescent="0.3">
      <c r="A11" t="str">
        <f>F11&amp;"-"&amp;C11</f>
        <v>EHS-KPI P1</v>
      </c>
      <c r="B11" s="168" t="str">
        <f>+'KPI Stats'!G10</f>
        <v>Above Zero</v>
      </c>
      <c r="C11" s="141" t="str">
        <f>+'KPI Stats'!C10</f>
        <v>KPI P1</v>
      </c>
      <c r="F11" s="864" t="str">
        <f>+'KPI Stats'!B9</f>
        <v>EHS</v>
      </c>
      <c r="G11" s="874" t="str">
        <f>+'KPI Stats'!C9</f>
        <v>Neil Laing</v>
      </c>
      <c r="H11" s="616" t="s">
        <v>526</v>
      </c>
      <c r="I11" s="466">
        <f>+'KPI Stats'!F9</f>
        <v>42</v>
      </c>
      <c r="J11" s="142" t="str">
        <f>+'KPI Stats'!D10</f>
        <v>Productivity</v>
      </c>
      <c r="K11" s="142" t="str">
        <f>+'KPI Stats'!E10</f>
        <v>Lost Working Days</v>
      </c>
      <c r="L11" s="143" t="str">
        <f>+'KPI Stats'!F10</f>
        <v>Lost Days</v>
      </c>
      <c r="M11" s="511" t="str">
        <f>INDEX('KPI Analysis'!$CO$7:$EU$123,MATCH($A11,'KPI Analysis'!$CO$7:$CO$123,FALSE),MATCH(M$8,'KPI Analysis'!$CO$7:$EU$7,FALSE))</f>
        <v>Act Result</v>
      </c>
      <c r="P11" s="560" t="str">
        <f>IF(
OR(
INDEX('KPI Analysis'!$AH$7:$CM$123,
MATCH($A11,'KPI Analysis'!$AH$7:$AH$123,FALSE),
MATCH(P$8,'KPI Analysis'!$AH$7:$CM$7,FALSE)
)="R",
INDEX('KPI Analysis'!$AH$7:$CM$123,
MATCH($A11,'KPI Analysis'!$AH$7:$AH$123,FALSE),
MATCH(P$8,'KPI Analysis'!$AH$7:$CM$7,FALSE)
)="G",
INDEX('KPI Analysis'!$AH$7:$CM$123,
MATCH($A11,'KPI Analysis'!$AH$7:$AH$123,FALSE),
MATCH(P$8,'KPI Analysis'!$AH$7:$CM$7,FALSE)
)="A"),
INDEX('KPI Analysis'!$AH$7:$CM$123,MATCH($A11,'KPI Analysis'!$AH$7:$AH$123,FALSE),MATCH(P$8,'KPI Analysis'!$AH$7:$CM$7,FALSE)),"")</f>
        <v>G</v>
      </c>
      <c r="Q11" s="566">
        <f>INDEX('KPI Analysis'!$EW$7:$HC$123,MATCH($A11,'KPI Analysis'!$EW$7:$EW$123,FALSE),MATCH(P$8,'KPI Analysis'!$EW$7:$HC$7,FALSE))</f>
        <v>0</v>
      </c>
      <c r="R11" s="560" t="str">
        <f>IF(
OR(
INDEX('KPI Analysis'!$AH$7:$CM$123,
MATCH($A11,'KPI Analysis'!$AH$7:$AH$123,FALSE),
MATCH(R$8,'KPI Analysis'!$AH$7:$CM$7,FALSE)
)="R",
INDEX('KPI Analysis'!$AH$7:$CM$123,
MATCH($A11,'KPI Analysis'!$AH$7:$AH$123,FALSE),
MATCH(R$8,'KPI Analysis'!$AH$7:$CM$7,FALSE)
)="G",
INDEX('KPI Analysis'!$AH$7:$CM$123,
MATCH($A11,'KPI Analysis'!$AH$7:$AH$123,FALSE),
MATCH(R$8,'KPI Analysis'!$AH$7:$CM$7,FALSE)
)="A"),
INDEX('KPI Analysis'!$AH$7:$CM$123,MATCH($A11,'KPI Analysis'!$AH$7:$AH$123,FALSE),MATCH(R$8,'KPI Analysis'!$AH$7:$CM$7,FALSE)),"")</f>
        <v>G</v>
      </c>
      <c r="S11" s="566">
        <f>INDEX('KPI Analysis'!$EW$7:$HC$123,MATCH($A11,'KPI Analysis'!$EW$7:$EW$123,FALSE),MATCH(R$8,'KPI Analysis'!$EW$7:$HC$7,FALSE))</f>
        <v>0</v>
      </c>
      <c r="T11" s="560" t="str">
        <f>IF(
OR(
INDEX('KPI Analysis'!$AH$7:$CM$123,
MATCH($A11,'KPI Analysis'!$AH$7:$AH$123,FALSE),
MATCH(T$8,'KPI Analysis'!$AH$7:$CM$7,FALSE)
)="R",
INDEX('KPI Analysis'!$AH$7:$CM$123,
MATCH($A11,'KPI Analysis'!$AH$7:$AH$123,FALSE),
MATCH(T$8,'KPI Analysis'!$AH$7:$CM$7,FALSE)
)="G",
INDEX('KPI Analysis'!$AH$7:$CM$123,
MATCH($A11,'KPI Analysis'!$AH$7:$AH$123,FALSE),
MATCH(T$8,'KPI Analysis'!$AH$7:$CM$7,FALSE)
)="A"),
INDEX('KPI Analysis'!$AH$7:$CM$123,MATCH($A11,'KPI Analysis'!$AH$7:$AH$123,FALSE),MATCH(T$8,'KPI Analysis'!$AH$7:$CM$7,FALSE)),"")</f>
        <v>G</v>
      </c>
      <c r="U11" s="566">
        <f>INDEX('KPI Analysis'!$EW$7:$HC$123,MATCH($A11,'KPI Analysis'!$EW$7:$EW$123,FALSE),MATCH(T$8,'KPI Analysis'!$EW$7:$HC$7,FALSE))</f>
        <v>0</v>
      </c>
      <c r="V11" s="560" t="str">
        <f>IF(
OR(
INDEX('KPI Analysis'!$AH$7:$CM$123,
MATCH($A11,'KPI Analysis'!$AH$7:$AH$123,FALSE),
MATCH(V$8,'KPI Analysis'!$AH$7:$CM$7,FALSE)
)="R",
INDEX('KPI Analysis'!$AH$7:$CM$123,
MATCH($A11,'KPI Analysis'!$AH$7:$AH$123,FALSE),
MATCH(V$8,'KPI Analysis'!$AH$7:$CM$7,FALSE)
)="G",
INDEX('KPI Analysis'!$AH$7:$CM$123,
MATCH($A11,'KPI Analysis'!$AH$7:$AH$123,FALSE),
MATCH(V$8,'KPI Analysis'!$AH$7:$CM$7,FALSE)
)="A"),
INDEX('KPI Analysis'!$AH$7:$CM$123,MATCH($A11,'KPI Analysis'!$AH$7:$AH$123,FALSE),MATCH(V$8,'KPI Analysis'!$AH$7:$CM$7,FALSE)),"")</f>
        <v>G</v>
      </c>
      <c r="W11" s="566">
        <f>INDEX('KPI Analysis'!$EW$7:$HC$123,MATCH($A11,'KPI Analysis'!$EW$7:$EW$123,FALSE),MATCH(V$8,'KPI Analysis'!$EW$7:$HC$7,FALSE))</f>
        <v>0</v>
      </c>
      <c r="X11" s="560" t="str">
        <f>IF(
OR(
INDEX('KPI Analysis'!$AH$7:$CM$123,
MATCH($A11,'KPI Analysis'!$AH$7:$AH$123,FALSE),
MATCH(X$8,'KPI Analysis'!$AH$7:$CM$7,FALSE)
)="R",
INDEX('KPI Analysis'!$AH$7:$CM$123,
MATCH($A11,'KPI Analysis'!$AH$7:$AH$123,FALSE),
MATCH(X$8,'KPI Analysis'!$AH$7:$CM$7,FALSE)
)="G",
INDEX('KPI Analysis'!$AH$7:$CM$123,
MATCH($A11,'KPI Analysis'!$AH$7:$AH$123,FALSE),
MATCH(X$8,'KPI Analysis'!$AH$7:$CM$7,FALSE)
)="A"),
INDEX('KPI Analysis'!$AH$7:$CM$123,MATCH($A11,'KPI Analysis'!$AH$7:$AH$123,FALSE),MATCH(X$8,'KPI Analysis'!$AH$7:$CM$7,FALSE)),"")</f>
        <v>G</v>
      </c>
      <c r="Y11" s="647">
        <f>IF(INDEX('KPI Analysis'!$CO$7:$EU$123,MATCH($A11,'KPI Analysis'!$CO$7:$CO$123,FALSE),MATCH(X$8,'KPI Analysis'!$CO$7:$EU$7,FALSE))="OD","OD",INDEX('KPI Analysis'!$EW$7:$HC$123,MATCH($A11,'KPI Analysis'!$EW$7:$EW$123,FALSE),MATCH(X$8,'KPI Analysis'!$EW$7:$HC$7,FALSE)))</f>
        <v>0</v>
      </c>
      <c r="Z11" s="141" t="s">
        <v>677</v>
      </c>
      <c r="AC11" s="648" t="s">
        <v>638</v>
      </c>
      <c r="AE11" s="534">
        <f>INDEX('KPI Analysis'!$CO$7:$EU$123,MATCH($A11,'KPI Analysis'!$CO$7:$CO$123,FALSE),MATCH(AE$8,'KPI Analysis'!$CO$7:$EU$7,FALSE))</f>
        <v>0</v>
      </c>
      <c r="AF11" s="534">
        <f>INDEX('KPI Analysis'!$CO$7:$EU$123,MATCH($A11,'KPI Analysis'!$CO$7:$CO$123,FALSE),MATCH(AF$8,'KPI Analysis'!$CO$7:$EU$7,FALSE))</f>
        <v>0</v>
      </c>
      <c r="AG11" s="534">
        <f>INDEX('KPI Analysis'!$CO$7:$EU$123,MATCH($A11,'KPI Analysis'!$CO$7:$CO$123,FALSE),MATCH(AG$8,'KPI Analysis'!$CO$7:$EU$7,FALSE))</f>
        <v>0</v>
      </c>
      <c r="AH11" s="534">
        <f>INDEX('KPI Analysis'!$CO$7:$EU$123,MATCH($A11,'KPI Analysis'!$CO$7:$CO$123,FALSE),MATCH(AH$8,'KPI Analysis'!$CO$7:$EU$7,FALSE))</f>
        <v>0</v>
      </c>
      <c r="AI11" s="535">
        <f>INDEX('KPI Analysis'!$CO$7:$EU$123,MATCH($A11,'KPI Analysis'!$CO$7:$CO$123,FALSE),MATCH(AI$8,'KPI Analysis'!$CO$7:$EU$7,FALSE))</f>
        <v>0</v>
      </c>
    </row>
    <row r="12" spans="1:38" x14ac:dyDescent="0.3">
      <c r="A12" t="str">
        <f>F11&amp;"-"&amp;C12</f>
        <v>EHS-KPI D1</v>
      </c>
      <c r="B12" s="169" t="str">
        <f>+'KPI Stats'!G11</f>
        <v>Under</v>
      </c>
      <c r="C12" s="148" t="str">
        <f>+'KPI Stats'!C11</f>
        <v>KPI D1</v>
      </c>
      <c r="F12" s="865"/>
      <c r="G12" s="875"/>
      <c r="H12" s="617" t="s">
        <v>526</v>
      </c>
      <c r="I12" s="465">
        <f>+'KPI Stats'!F9</f>
        <v>42</v>
      </c>
      <c r="J12" s="144" t="str">
        <f>+'KPI Stats'!D11</f>
        <v>Delivery</v>
      </c>
      <c r="K12" s="144" t="str">
        <f>+'KPI Stats'!E11</f>
        <v>Visual Inspection Count</v>
      </c>
      <c r="L12" s="145" t="str">
        <f>+'KPI Stats'!F11</f>
        <v>Count</v>
      </c>
      <c r="M12" s="137" t="s">
        <v>246</v>
      </c>
      <c r="P12" s="562" t="str">
        <f>IF(
OR(
INDEX('KPI Analysis'!$AH$7:$CM$123,
MATCH($A12,'KPI Analysis'!$AH$7:$AH$123,FALSE),
MATCH(P$8,'KPI Analysis'!$AH$7:$CM$7,FALSE)
)="R",
INDEX('KPI Analysis'!$AH$7:$CM$123,
MATCH($A12,'KPI Analysis'!$AH$7:$AH$123,FALSE),
MATCH(P$8,'KPI Analysis'!$AH$7:$CM$7,FALSE)
)="G",
INDEX('KPI Analysis'!$AH$7:$CM$123,
MATCH($A12,'KPI Analysis'!$AH$7:$AH$123,FALSE),
MATCH(P$8,'KPI Analysis'!$AH$7:$CM$7,FALSE)
)="A"),
INDEX('KPI Analysis'!$AH$7:$CM$123,MATCH($A12,'KPI Analysis'!$AH$7:$AH$123,FALSE),MATCH(P$8,'KPI Analysis'!$AH$7:$CM$7,FALSE)),"")</f>
        <v>G</v>
      </c>
      <c r="Q12" s="563">
        <f>INDEX('KPI Analysis'!$CO$7:$EU$123,MATCH($A12,'KPI Analysis'!$CO$7:$CO$123,FALSE),MATCH(P$8,'KPI Analysis'!$CO$7:$EU$7,FALSE))</f>
        <v>1.4428571428571428</v>
      </c>
      <c r="R12" s="562" t="str">
        <f>IF(
OR(
INDEX('KPI Analysis'!$AH$7:$CM$123,
MATCH($A12,'KPI Analysis'!$AH$7:$AH$123,FALSE),
MATCH(R$8,'KPI Analysis'!$AH$7:$CM$7,FALSE)
)="R",
INDEX('KPI Analysis'!$AH$7:$CM$123,
MATCH($A12,'KPI Analysis'!$AH$7:$AH$123,FALSE),
MATCH(R$8,'KPI Analysis'!$AH$7:$CM$7,FALSE)
)="G",
INDEX('KPI Analysis'!$AH$7:$CM$123,
MATCH($A12,'KPI Analysis'!$AH$7:$AH$123,FALSE),
MATCH(R$8,'KPI Analysis'!$AH$7:$CM$7,FALSE)
)="A"),
INDEX('KPI Analysis'!$AH$7:$CM$123,MATCH($A12,'KPI Analysis'!$AH$7:$AH$123,FALSE),MATCH(R$8,'KPI Analysis'!$AH$7:$CM$7,FALSE)),"")</f>
        <v>G</v>
      </c>
      <c r="S12" s="563">
        <f>INDEX('KPI Analysis'!$CO$7:$EU$123,MATCH($A12,'KPI Analysis'!$CO$7:$CO$123,FALSE),MATCH(R$8,'KPI Analysis'!$CO$7:$EU$7,FALSE))</f>
        <v>1.4142857142857144</v>
      </c>
      <c r="T12" s="562" t="str">
        <f>IF(
OR(
INDEX('KPI Analysis'!$AH$7:$CM$123,
MATCH($A12,'KPI Analysis'!$AH$7:$AH$123,FALSE),
MATCH(T$8,'KPI Analysis'!$AH$7:$CM$7,FALSE)
)="R",
INDEX('KPI Analysis'!$AH$7:$CM$123,
MATCH($A12,'KPI Analysis'!$AH$7:$AH$123,FALSE),
MATCH(T$8,'KPI Analysis'!$AH$7:$CM$7,FALSE)
)="G",
INDEX('KPI Analysis'!$AH$7:$CM$123,
MATCH($A12,'KPI Analysis'!$AH$7:$AH$123,FALSE),
MATCH(T$8,'KPI Analysis'!$AH$7:$CM$7,FALSE)
)="A"),
INDEX('KPI Analysis'!$AH$7:$CM$123,MATCH($A12,'KPI Analysis'!$AH$7:$AH$123,FALSE),MATCH(T$8,'KPI Analysis'!$AH$7:$CM$7,FALSE)),"")</f>
        <v>G</v>
      </c>
      <c r="U12" s="563">
        <f>INDEX('KPI Analysis'!$CO$7:$EU$123,MATCH($A12,'KPI Analysis'!$CO$7:$CO$123,FALSE),MATCH(T$8,'KPI Analysis'!$CO$7:$EU$7,FALSE))</f>
        <v>1.1200000000000001</v>
      </c>
      <c r="V12" s="562" t="str">
        <f>IF(
OR(
INDEX('KPI Analysis'!$AH$7:$CM$123,
MATCH($A12,'KPI Analysis'!$AH$7:$AH$123,FALSE),
MATCH(V$8,'KPI Analysis'!$AH$7:$CM$7,FALSE)
)="R",
INDEX('KPI Analysis'!$AH$7:$CM$123,
MATCH($A12,'KPI Analysis'!$AH$7:$AH$123,FALSE),
MATCH(V$8,'KPI Analysis'!$AH$7:$CM$7,FALSE)
)="G",
INDEX('KPI Analysis'!$AH$7:$CM$123,
MATCH($A12,'KPI Analysis'!$AH$7:$AH$123,FALSE),
MATCH(V$8,'KPI Analysis'!$AH$7:$CM$7,FALSE)
)="A"),
INDEX('KPI Analysis'!$AH$7:$CM$123,MATCH($A12,'KPI Analysis'!$AH$7:$AH$123,FALSE),MATCH(V$8,'KPI Analysis'!$AH$7:$CM$7,FALSE)),"")</f>
        <v>G</v>
      </c>
      <c r="W12" s="563">
        <f>INDEX('KPI Analysis'!$CO$7:$EU$123,MATCH($A12,'KPI Analysis'!$CO$7:$CO$123,FALSE),MATCH(V$8,'KPI Analysis'!$CO$7:$EU$7,FALSE))</f>
        <v>1.04</v>
      </c>
      <c r="X12" s="562" t="str">
        <f>IF(
OR(
INDEX('KPI Analysis'!$AH$7:$CM$123,
MATCH($A12,'KPI Analysis'!$AH$7:$AH$123,FALSE),
MATCH(X$8,'KPI Analysis'!$AH$7:$CM$7,FALSE)
)="R",
INDEX('KPI Analysis'!$AH$7:$CM$123,
MATCH($A12,'KPI Analysis'!$AH$7:$AH$123,FALSE),
MATCH(X$8,'KPI Analysis'!$AH$7:$CM$7,FALSE)
)="G",
INDEX('KPI Analysis'!$AH$7:$CM$123,
MATCH($A12,'KPI Analysis'!$AH$7:$AH$123,FALSE),
MATCH(X$8,'KPI Analysis'!$AH$7:$CM$7,FALSE)
)="A"),
INDEX('KPI Analysis'!$AH$7:$CM$123,MATCH($A12,'KPI Analysis'!$AH$7:$AH$123,FALSE),MATCH(X$8,'KPI Analysis'!$AH$7:$CM$7,FALSE)),"")</f>
        <v>G</v>
      </c>
      <c r="Y12" s="563">
        <f>INDEX('KPI Analysis'!$CO$7:$EU$123,MATCH($A12,'KPI Analysis'!$CO$7:$CO$123,FALSE),MATCH(X$8,'KPI Analysis'!$CO$7:$EU$7,FALSE))</f>
        <v>1.03</v>
      </c>
      <c r="Z12" s="592"/>
      <c r="AC12" s="648" t="s">
        <v>639</v>
      </c>
      <c r="AE12" s="323">
        <f>INDEX('KPI Analysis'!$CO$7:$EU$123,MATCH($A12,'KPI Analysis'!$CO$7:$CO$123,FALSE),MATCH(AE$8,'KPI Analysis'!$CO$7:$EU$7,FALSE))</f>
        <v>1.4428571428571428</v>
      </c>
      <c r="AF12" s="315">
        <f>INDEX('KPI Analysis'!$CO$7:$EU$123,MATCH($A12,'KPI Analysis'!$CO$7:$CO$123,FALSE),MATCH(AF$8,'KPI Analysis'!$CO$7:$EU$7,FALSE))</f>
        <v>1.4142857142857144</v>
      </c>
      <c r="AG12" s="315">
        <f>INDEX('KPI Analysis'!$CO$7:$EU$123,MATCH($A12,'KPI Analysis'!$CO$7:$CO$123,FALSE),MATCH(AG$8,'KPI Analysis'!$CO$7:$EU$7,FALSE))</f>
        <v>1.1200000000000001</v>
      </c>
      <c r="AH12" s="315">
        <f>INDEX('KPI Analysis'!$CO$7:$EU$123,MATCH($A12,'KPI Analysis'!$CO$7:$CO$123,FALSE),MATCH(AH$8,'KPI Analysis'!$CO$7:$EU$7,FALSE))</f>
        <v>1.04</v>
      </c>
      <c r="AI12" s="315">
        <f>INDEX('KPI Analysis'!$CO$7:$EU$123,MATCH($A12,'KPI Analysis'!$CO$7:$CO$123,FALSE),MATCH(AI$8,'KPI Analysis'!$CO$7:$EU$7,FALSE))</f>
        <v>1.03</v>
      </c>
    </row>
    <row r="13" spans="1:38" x14ac:dyDescent="0.3">
      <c r="A13" t="str">
        <f>F11&amp;"-"&amp;C13</f>
        <v>EHS-KPI Q1</v>
      </c>
      <c r="B13" s="169" t="str">
        <f>+'KPI Stats'!G12</f>
        <v>Under</v>
      </c>
      <c r="C13" s="148" t="str">
        <f>+'KPI Stats'!C12</f>
        <v>KPI Q1</v>
      </c>
      <c r="F13" s="865"/>
      <c r="G13" s="875"/>
      <c r="H13" s="618" t="s">
        <v>526</v>
      </c>
      <c r="I13" s="611">
        <f>+'KPI Stats'!F9</f>
        <v>42</v>
      </c>
      <c r="J13" s="612" t="str">
        <f>+'KPI Stats'!D12</f>
        <v>Quality</v>
      </c>
      <c r="K13" s="612" t="str">
        <f>+'KPI Stats'!E12</f>
        <v>Visual Inspection Pass Rate</v>
      </c>
      <c r="L13" s="613" t="str">
        <f>+'KPI Stats'!F12</f>
        <v>Percentage</v>
      </c>
      <c r="M13" s="614" t="s">
        <v>247</v>
      </c>
      <c r="N13" s="312"/>
      <c r="O13" s="312"/>
      <c r="P13" s="562" t="str">
        <f>IF(
OR(
INDEX('KPI Analysis'!$AH$7:$CM$123,
MATCH($A13,'KPI Analysis'!$AH$7:$AH$123,FALSE),
MATCH(P$8,'KPI Analysis'!$AH$7:$CM$7,FALSE)
)="R",
INDEX('KPI Analysis'!$AH$7:$CM$123,
MATCH($A13,'KPI Analysis'!$AH$7:$AH$123,FALSE),
MATCH(P$8,'KPI Analysis'!$AH$7:$CM$7,FALSE)
)="G",
INDEX('KPI Analysis'!$AH$7:$CM$123,
MATCH($A13,'KPI Analysis'!$AH$7:$AH$123,FALSE),
MATCH(P$8,'KPI Analysis'!$AH$7:$CM$7,FALSE)
)="A"),
INDEX('KPI Analysis'!$AH$7:$CM$123,MATCH($A13,'KPI Analysis'!$AH$7:$AH$123,FALSE),MATCH(P$8,'KPI Analysis'!$AH$7:$CM$7,FALSE)),"")</f>
        <v>A</v>
      </c>
      <c r="Q13" s="563">
        <f>INDEX('KPI Analysis'!$EW$7:$HC$123,MATCH($A13,'KPI Analysis'!$EW$7:$EW$123,FALSE),MATCH(P$8,'KPI Analysis'!$EW$7:$HC$7,FALSE))/100</f>
        <v>0.86</v>
      </c>
      <c r="R13" s="562" t="str">
        <f>IF(
OR(
INDEX('KPI Analysis'!$AH$7:$CM$123,
MATCH($A13,'KPI Analysis'!$AH$7:$AH$123,FALSE),
MATCH(R$8,'KPI Analysis'!$AH$7:$CM$7,FALSE)
)="R",
INDEX('KPI Analysis'!$AH$7:$CM$123,
MATCH($A13,'KPI Analysis'!$AH$7:$AH$123,FALSE),
MATCH(R$8,'KPI Analysis'!$AH$7:$CM$7,FALSE)
)="G",
INDEX('KPI Analysis'!$AH$7:$CM$123,
MATCH($A13,'KPI Analysis'!$AH$7:$AH$123,FALSE),
MATCH(R$8,'KPI Analysis'!$AH$7:$CM$7,FALSE)
)="A"),
INDEX('KPI Analysis'!$AH$7:$CM$123,MATCH($A13,'KPI Analysis'!$AH$7:$AH$123,FALSE),MATCH(R$8,'KPI Analysis'!$AH$7:$CM$7,FALSE)),"")</f>
        <v>A</v>
      </c>
      <c r="S13" s="563">
        <f>INDEX('KPI Analysis'!$EW$7:$HC$123,MATCH($A13,'KPI Analysis'!$EW$7:$EW$123,FALSE),MATCH(R$8,'KPI Analysis'!$EW$7:$HC$7,FALSE))/100</f>
        <v>0.86</v>
      </c>
      <c r="T13" s="562" t="str">
        <f>IF(
OR(
INDEX('KPI Analysis'!$AH$7:$CM$123,
MATCH($A13,'KPI Analysis'!$AH$7:$AH$123,FALSE),
MATCH(T$8,'KPI Analysis'!$AH$7:$CM$7,FALSE)
)="R",
INDEX('KPI Analysis'!$AH$7:$CM$123,
MATCH($A13,'KPI Analysis'!$AH$7:$AH$123,FALSE),
MATCH(T$8,'KPI Analysis'!$AH$7:$CM$7,FALSE)
)="G",
INDEX('KPI Analysis'!$AH$7:$CM$123,
MATCH($A13,'KPI Analysis'!$AH$7:$AH$123,FALSE),
MATCH(T$8,'KPI Analysis'!$AH$7:$CM$7,FALSE)
)="A"),
INDEX('KPI Analysis'!$AH$7:$CM$123,MATCH($A13,'KPI Analysis'!$AH$7:$AH$123,FALSE),MATCH(T$8,'KPI Analysis'!$AH$7:$CM$7,FALSE)),"")</f>
        <v>G</v>
      </c>
      <c r="U13" s="563">
        <f>INDEX('KPI Analysis'!$EW$7:$HC$123,MATCH($A13,'KPI Analysis'!$EW$7:$EW$123,FALSE),MATCH(T$8,'KPI Analysis'!$EW$7:$HC$7,FALSE))/100</f>
        <v>0.91</v>
      </c>
      <c r="V13" s="562" t="str">
        <f>IF(
OR(
INDEX('KPI Analysis'!$AH$7:$CM$123,
MATCH($A13,'KPI Analysis'!$AH$7:$AH$123,FALSE),
MATCH(V$8,'KPI Analysis'!$AH$7:$CM$7,FALSE)
)="R",
INDEX('KPI Analysis'!$AH$7:$CM$123,
MATCH($A13,'KPI Analysis'!$AH$7:$AH$123,FALSE),
MATCH(V$8,'KPI Analysis'!$AH$7:$CM$7,FALSE)
)="G",
INDEX('KPI Analysis'!$AH$7:$CM$123,
MATCH($A13,'KPI Analysis'!$AH$7:$AH$123,FALSE),
MATCH(V$8,'KPI Analysis'!$AH$7:$CM$7,FALSE)
)="A"),
INDEX('KPI Analysis'!$AH$7:$CM$123,MATCH($A13,'KPI Analysis'!$AH$7:$AH$123,FALSE),MATCH(V$8,'KPI Analysis'!$AH$7:$CM$7,FALSE)),"")</f>
        <v>G</v>
      </c>
      <c r="W13" s="563">
        <f>INDEX('KPI Analysis'!$EW$7:$HC$123,MATCH($A13,'KPI Analysis'!$EW$7:$EW$123,FALSE),MATCH(V$8,'KPI Analysis'!$EW$7:$HC$7,FALSE))/100</f>
        <v>0.9</v>
      </c>
      <c r="X13" s="562" t="str">
        <f>IF(
OR(
INDEX('KPI Analysis'!$AH$7:$CM$123,
MATCH($A13,'KPI Analysis'!$AH$7:$AH$123,FALSE),
MATCH(X$8,'KPI Analysis'!$AH$7:$CM$7,FALSE)
)="R",
INDEX('KPI Analysis'!$AH$7:$CM$123,
MATCH($A13,'KPI Analysis'!$AH$7:$AH$123,FALSE),
MATCH(X$8,'KPI Analysis'!$AH$7:$CM$7,FALSE)
)="G",
INDEX('KPI Analysis'!$AH$7:$CM$123,
MATCH($A13,'KPI Analysis'!$AH$7:$AH$123,FALSE),
MATCH(X$8,'KPI Analysis'!$AH$7:$CM$7,FALSE)
)="A"),
INDEX('KPI Analysis'!$AH$7:$CM$123,MATCH($A13,'KPI Analysis'!$AH$7:$AH$123,FALSE),MATCH(X$8,'KPI Analysis'!$AH$7:$CM$7,FALSE)),"")</f>
        <v>G</v>
      </c>
      <c r="Y13" s="563">
        <f>IF(INDEX('KPI Analysis'!$CO$7:$EU$123,MATCH($A13,'KPI Analysis'!$CO$7:$CO$123,FALSE),MATCH(X$8,'KPI Analysis'!$CO$7:$EU$7,FALSE))="OD","OD",INDEX('KPI Analysis'!$EW$7:$HC$123,MATCH($A13,'KPI Analysis'!$EW$7:$EW$123,FALSE),MATCH(X$8,'KPI Analysis'!$EW$7:$HC$7,FALSE))/100)</f>
        <v>0.92</v>
      </c>
      <c r="Z13" s="595" t="s">
        <v>676</v>
      </c>
      <c r="AC13" s="648" t="s">
        <v>638</v>
      </c>
      <c r="AE13" s="323">
        <f>INDEX('KPI Analysis'!$CO$7:$EU$123,MATCH($A13,'KPI Analysis'!$CO$7:$CO$123,FALSE),MATCH(AE$8,'KPI Analysis'!$CO$7:$EU$7,FALSE))</f>
        <v>0.9555555555555556</v>
      </c>
      <c r="AF13" s="315">
        <f>INDEX('KPI Analysis'!$CO$7:$EU$123,MATCH($A13,'KPI Analysis'!$CO$7:$CO$123,FALSE),MATCH(AF$8,'KPI Analysis'!$CO$7:$EU$7,FALSE))</f>
        <v>0.9555555555555556</v>
      </c>
      <c r="AG13" s="315">
        <f>INDEX('KPI Analysis'!$CO$7:$EU$123,MATCH($A13,'KPI Analysis'!$CO$7:$CO$123,FALSE),MATCH(AG$8,'KPI Analysis'!$CO$7:$EU$7,FALSE))</f>
        <v>1.0111111111111111</v>
      </c>
      <c r="AH13" s="315">
        <f>INDEX('KPI Analysis'!$CO$7:$EU$123,MATCH($A13,'KPI Analysis'!$CO$7:$CO$123,FALSE),MATCH(AH$8,'KPI Analysis'!$CO$7:$EU$7,FALSE))</f>
        <v>1</v>
      </c>
      <c r="AI13" s="315">
        <f>INDEX('KPI Analysis'!$CO$7:$EU$123,MATCH($A13,'KPI Analysis'!$CO$7:$CO$123,FALSE),MATCH(AI$8,'KPI Analysis'!$CO$7:$EU$7,FALSE))</f>
        <v>1.0222222222222221</v>
      </c>
    </row>
    <row r="14" spans="1:38" x14ac:dyDescent="0.3">
      <c r="A14" t="str">
        <f>F11&amp;"-"&amp;C14</f>
        <v>EHS-KPI C1</v>
      </c>
      <c r="B14" s="169" t="str">
        <f>+'KPI Stats'!G13</f>
        <v>Over</v>
      </c>
      <c r="C14" s="148" t="str">
        <f>+'KPI Stats'!C13</f>
        <v>KPI C1</v>
      </c>
      <c r="F14" s="865"/>
      <c r="G14" s="875"/>
      <c r="H14" s="295" t="s">
        <v>526</v>
      </c>
      <c r="I14" s="465">
        <f>+'KPI Stats'!F9</f>
        <v>42</v>
      </c>
      <c r="J14" s="144" t="str">
        <f>+'KPI Stats'!D13</f>
        <v>Cost</v>
      </c>
      <c r="K14" s="144" t="str">
        <f>+'KPI Stats'!E13</f>
        <v>Ratio of Gas / Elec emissions to prod Quantity</v>
      </c>
      <c r="L14" s="145" t="str">
        <f>+'KPI Stats'!F13</f>
        <v>Ratio</v>
      </c>
      <c r="M14" s="137" t="s">
        <v>246</v>
      </c>
      <c r="P14" s="751" t="str">
        <f>IF(
OR(
INDEX('KPI Analysis'!$AH$7:$CM$123,
MATCH($A14,'KPI Analysis'!$AH$7:$AH$123,FALSE),
MATCH(P$8,'KPI Analysis'!$AH$7:$CM$7,FALSE)
)="R",
INDEX('KPI Analysis'!$AH$7:$CM$123,
MATCH($A14,'KPI Analysis'!$AH$7:$AH$123,FALSE),
MATCH(P$8,'KPI Analysis'!$AH$7:$CM$7,FALSE)
)="G",
INDEX('KPI Analysis'!$AH$7:$CM$123,
MATCH($A14,'KPI Analysis'!$AH$7:$AH$123,FALSE),
MATCH(P$8,'KPI Analysis'!$AH$7:$CM$7,FALSE)
)="A"),
INDEX('KPI Analysis'!$AH$7:$CM$123,MATCH($A14,'KPI Analysis'!$AH$7:$AH$123,FALSE),MATCH(P$8,'KPI Analysis'!$AH$7:$CM$7,FALSE)),"")</f>
        <v>G</v>
      </c>
      <c r="Q14" s="749">
        <f>INDEX('KPI Analysis'!$CO$7:$EU$123,MATCH($A14,'KPI Analysis'!$CO$7:$CO$123,FALSE),MATCH(P$8,'KPI Analysis'!$CO$7:$EU$7,FALSE))</f>
        <v>1.3513513513513513</v>
      </c>
      <c r="R14" s="751" t="str">
        <f>IF(
OR(
INDEX('KPI Analysis'!$AH$7:$CM$123,
MATCH($A14,'KPI Analysis'!$AH$7:$AH$123,FALSE),
MATCH(R$8,'KPI Analysis'!$AH$7:$CM$7,FALSE)
)="R",
INDEX('KPI Analysis'!$AH$7:$CM$123,
MATCH($A14,'KPI Analysis'!$AH$7:$AH$123,FALSE),
MATCH(R$8,'KPI Analysis'!$AH$7:$CM$7,FALSE)
)="G",
INDEX('KPI Analysis'!$AH$7:$CM$123,
MATCH($A14,'KPI Analysis'!$AH$7:$AH$123,FALSE),
MATCH(R$8,'KPI Analysis'!$AH$7:$CM$7,FALSE)
)="A"),
INDEX('KPI Analysis'!$AH$7:$CM$123,MATCH($A14,'KPI Analysis'!$AH$7:$AH$123,FALSE),MATCH(R$8,'KPI Analysis'!$AH$7:$CM$7,FALSE)),"")</f>
        <v>G</v>
      </c>
      <c r="S14" s="749">
        <f>INDEX('KPI Analysis'!$CO$7:$EU$123,MATCH($A14,'KPI Analysis'!$CO$7:$CO$123,FALSE),MATCH(R$8,'KPI Analysis'!$CO$7:$EU$7,FALSE))</f>
        <v>1.0204081632653061</v>
      </c>
      <c r="T14" s="751" t="str">
        <f>IF(
OR(
INDEX('KPI Analysis'!$AH$7:$CM$123,
MATCH($A14,'KPI Analysis'!$AH$7:$AH$123,FALSE),
MATCH(T$8,'KPI Analysis'!$AH$7:$CM$7,FALSE)
)="R",
INDEX('KPI Analysis'!$AH$7:$CM$123,
MATCH($A14,'KPI Analysis'!$AH$7:$AH$123,FALSE),
MATCH(T$8,'KPI Analysis'!$AH$7:$CM$7,FALSE)
)="G",
INDEX('KPI Analysis'!$AH$7:$CM$123,
MATCH($A14,'KPI Analysis'!$AH$7:$AH$123,FALSE),
MATCH(T$8,'KPI Analysis'!$AH$7:$CM$7,FALSE)
)="A"),
INDEX('KPI Analysis'!$AH$7:$CM$123,MATCH($A14,'KPI Analysis'!$AH$7:$AH$123,FALSE),MATCH(T$8,'KPI Analysis'!$AH$7:$CM$7,FALSE)),"")</f>
        <v>G</v>
      </c>
      <c r="U14" s="749">
        <f>INDEX('KPI Analysis'!$CO$7:$EU$123,MATCH($A14,'KPI Analysis'!$CO$7:$CO$123,FALSE),MATCH(T$8,'KPI Analysis'!$CO$7:$EU$7,FALSE))</f>
        <v>1.2048192771084338</v>
      </c>
      <c r="V14" s="751" t="str">
        <f>IF(
OR(
INDEX('KPI Analysis'!$AH$7:$CM$123,
MATCH($A14,'KPI Analysis'!$AH$7:$AH$123,FALSE),
MATCH(V$8,'KPI Analysis'!$AH$7:$CM$7,FALSE)
)="R",
INDEX('KPI Analysis'!$AH$7:$CM$123,
MATCH($A14,'KPI Analysis'!$AH$7:$AH$123,FALSE),
MATCH(V$8,'KPI Analysis'!$AH$7:$CM$7,FALSE)
)="G",
INDEX('KPI Analysis'!$AH$7:$CM$123,
MATCH($A14,'KPI Analysis'!$AH$7:$AH$123,FALSE),
MATCH(V$8,'KPI Analysis'!$AH$7:$CM$7,FALSE)
)="A"),
INDEX('KPI Analysis'!$AH$7:$CM$123,MATCH($A14,'KPI Analysis'!$AH$7:$AH$123,FALSE),MATCH(V$8,'KPI Analysis'!$AH$7:$CM$7,FALSE)),"")</f>
        <v>G</v>
      </c>
      <c r="W14" s="749">
        <f>INDEX('KPI Analysis'!$CO$7:$EU$123,MATCH($A14,'KPI Analysis'!$CO$7:$CO$123,FALSE),MATCH(V$8,'KPI Analysis'!$CO$7:$EU$7,FALSE))</f>
        <v>1.0526315789473684</v>
      </c>
      <c r="X14" s="751" t="str">
        <f>IF(
OR(
INDEX('KPI Analysis'!$AH$7:$CM$123,
MATCH($A14,'KPI Analysis'!$AH$7:$AH$123,FALSE),
MATCH(X$8,'KPI Analysis'!$AH$7:$CM$7,FALSE)
)="R",
INDEX('KPI Analysis'!$AH$7:$CM$123,
MATCH($A14,'KPI Analysis'!$AH$7:$AH$123,FALSE),
MATCH(X$8,'KPI Analysis'!$AH$7:$CM$7,FALSE)
)="G",
INDEX('KPI Analysis'!$AH$7:$CM$123,
MATCH($A14,'KPI Analysis'!$AH$7:$AH$123,FALSE),
MATCH(X$8,'KPI Analysis'!$AH$7:$CM$7,FALSE)
)="A"),
INDEX('KPI Analysis'!$AH$7:$CM$123,MATCH($A14,'KPI Analysis'!$AH$7:$AH$123,FALSE),MATCH(X$8,'KPI Analysis'!$AH$7:$CM$7,FALSE)),"")</f>
        <v/>
      </c>
      <c r="Y14" s="749" t="str">
        <f>INDEX('KPI Analysis'!$CO$7:$EU$123,MATCH($A14,'KPI Analysis'!$CO$7:$CO$123,FALSE),MATCH(X$8,'KPI Analysis'!$CO$7:$EU$7,FALSE))</f>
        <v>OD</v>
      </c>
      <c r="Z14" s="592" t="s">
        <v>690</v>
      </c>
      <c r="AC14" s="648" t="s">
        <v>639</v>
      </c>
      <c r="AE14" s="323">
        <f>INDEX('KPI Analysis'!$CO$7:$EU$123,MATCH($A14,'KPI Analysis'!$CO$7:$CO$123,FALSE),MATCH(AE$8,'KPI Analysis'!$CO$7:$EU$7,FALSE))</f>
        <v>1.3513513513513513</v>
      </c>
      <c r="AF14" s="315">
        <f>INDEX('KPI Analysis'!$CO$7:$EU$123,MATCH($A14,'KPI Analysis'!$CO$7:$CO$123,FALSE),MATCH(AF$8,'KPI Analysis'!$CO$7:$EU$7,FALSE))</f>
        <v>1.0204081632653061</v>
      </c>
      <c r="AG14" s="315">
        <f>INDEX('KPI Analysis'!$CO$7:$EU$123,MATCH($A14,'KPI Analysis'!$CO$7:$CO$123,FALSE),MATCH(AG$8,'KPI Analysis'!$CO$7:$EU$7,FALSE))</f>
        <v>1.2048192771084338</v>
      </c>
      <c r="AH14" s="315">
        <f>INDEX('KPI Analysis'!$CO$7:$EU$123,MATCH($A14,'KPI Analysis'!$CO$7:$CO$123,FALSE),MATCH(AH$8,'KPI Analysis'!$CO$7:$EU$7,FALSE))</f>
        <v>1.0526315789473684</v>
      </c>
      <c r="AI14" s="315" t="str">
        <f>INDEX('KPI Analysis'!$CO$7:$EU$123,MATCH($A14,'KPI Analysis'!$CO$7:$CO$123,FALSE),MATCH(AI$8,'KPI Analysis'!$CO$7:$EU$7,FALSE))</f>
        <v>OD</v>
      </c>
    </row>
    <row r="15" spans="1:38" ht="15" thickBot="1" x14ac:dyDescent="0.35">
      <c r="A15" t="str">
        <f>F11&amp;"-"&amp;C15</f>
        <v>EHS-KPI C2</v>
      </c>
      <c r="B15" s="170" t="str">
        <f>+'KPI Stats'!G14</f>
        <v>Over</v>
      </c>
      <c r="C15" s="149" t="str">
        <f>+'KPI Stats'!C14</f>
        <v>KPI C2</v>
      </c>
      <c r="F15" s="866"/>
      <c r="G15" s="876"/>
      <c r="H15" s="296" t="s">
        <v>526</v>
      </c>
      <c r="I15" s="398">
        <f>+'KPI Stats'!F9</f>
        <v>42</v>
      </c>
      <c r="J15" s="146" t="str">
        <f>+'KPI Stats'!D14</f>
        <v>Cost</v>
      </c>
      <c r="K15" s="146" t="str">
        <f>+'KPI Stats'!E14</f>
        <v>Ratio of Gas / Elec emissions to prod Volume M2</v>
      </c>
      <c r="L15" s="147" t="str">
        <f>+'KPI Stats'!F14</f>
        <v>Ratio</v>
      </c>
      <c r="M15" s="140" t="s">
        <v>246</v>
      </c>
      <c r="P15" s="564" t="str">
        <f>IF(
OR(
INDEX('KPI Analysis'!$AH$7:$CM$123,
MATCH($A15,'KPI Analysis'!$AH$7:$AH$123,FALSE),
MATCH(P$8,'KPI Analysis'!$AH$7:$CM$7,FALSE)
)="R",
INDEX('KPI Analysis'!$AH$7:$CM$123,
MATCH($A15,'KPI Analysis'!$AH$7:$AH$123,FALSE),
MATCH(P$8,'KPI Analysis'!$AH$7:$CM$7,FALSE)
)="G",
INDEX('KPI Analysis'!$AH$7:$CM$123,
MATCH($A15,'KPI Analysis'!$AH$7:$AH$123,FALSE),
MATCH(P$8,'KPI Analysis'!$AH$7:$CM$7,FALSE)
)="A"),
INDEX('KPI Analysis'!$AH$7:$CM$123,MATCH($A15,'KPI Analysis'!$AH$7:$AH$123,FALSE),MATCH(P$8,'KPI Analysis'!$AH$7:$CM$7,FALSE)),"")</f>
        <v>G</v>
      </c>
      <c r="Q15" s="565">
        <f>INDEX('KPI Analysis'!$CO$7:$EU$123,MATCH($A15,'KPI Analysis'!$CO$7:$CO$123,FALSE),MATCH(P$8,'KPI Analysis'!$CO$7:$EU$7,FALSE))</f>
        <v>1.1224489795918366</v>
      </c>
      <c r="R15" s="564" t="str">
        <f>IF(
OR(
INDEX('KPI Analysis'!$AH$7:$CM$123,
MATCH($A15,'KPI Analysis'!$AH$7:$AH$123,FALSE),
MATCH(R$8,'KPI Analysis'!$AH$7:$CM$7,FALSE)
)="R",
INDEX('KPI Analysis'!$AH$7:$CM$123,
MATCH($A15,'KPI Analysis'!$AH$7:$AH$123,FALSE),
MATCH(R$8,'KPI Analysis'!$AH$7:$CM$7,FALSE)
)="G",
INDEX('KPI Analysis'!$AH$7:$CM$123,
MATCH($A15,'KPI Analysis'!$AH$7:$AH$123,FALSE),
MATCH(R$8,'KPI Analysis'!$AH$7:$CM$7,FALSE)
)="A"),
INDEX('KPI Analysis'!$AH$7:$CM$123,MATCH($A15,'KPI Analysis'!$AH$7:$AH$123,FALSE),MATCH(R$8,'KPI Analysis'!$AH$7:$CM$7,FALSE)),"")</f>
        <v>G</v>
      </c>
      <c r="S15" s="565">
        <f>INDEX('KPI Analysis'!$CO$7:$EU$123,MATCH($A15,'KPI Analysis'!$CO$7:$CO$123,FALSE),MATCH(R$8,'KPI Analysis'!$CO$7:$EU$7,FALSE))</f>
        <v>1.0338345864661653</v>
      </c>
      <c r="T15" s="564" t="str">
        <f>IF(
OR(
INDEX('KPI Analysis'!$AH$7:$CM$123,
MATCH($A15,'KPI Analysis'!$AH$7:$AH$123,FALSE),
MATCH(T$8,'KPI Analysis'!$AH$7:$CM$7,FALSE)
)="R",
INDEX('KPI Analysis'!$AH$7:$CM$123,
MATCH($A15,'KPI Analysis'!$AH$7:$AH$123,FALSE),
MATCH(T$8,'KPI Analysis'!$AH$7:$CM$7,FALSE)
)="G",
INDEX('KPI Analysis'!$AH$7:$CM$123,
MATCH($A15,'KPI Analysis'!$AH$7:$AH$123,FALSE),
MATCH(T$8,'KPI Analysis'!$AH$7:$CM$7,FALSE)
)="A"),
INDEX('KPI Analysis'!$AH$7:$CM$123,MATCH($A15,'KPI Analysis'!$AH$7:$AH$123,FALSE),MATCH(T$8,'KPI Analysis'!$AH$7:$CM$7,FALSE)),"")</f>
        <v>G</v>
      </c>
      <c r="U15" s="565">
        <f>INDEX('KPI Analysis'!$CO$7:$EU$123,MATCH($A15,'KPI Analysis'!$CO$7:$CO$123,FALSE),MATCH(T$8,'KPI Analysis'!$CO$7:$EU$7,FALSE))</f>
        <v>1.07421875</v>
      </c>
      <c r="V15" s="564" t="str">
        <f>IF(
OR(
INDEX('KPI Analysis'!$AH$7:$CM$123,
MATCH($A15,'KPI Analysis'!$AH$7:$AH$123,FALSE),
MATCH(V$8,'KPI Analysis'!$AH$7:$CM$7,FALSE)
)="R",
INDEX('KPI Analysis'!$AH$7:$CM$123,
MATCH($A15,'KPI Analysis'!$AH$7:$AH$123,FALSE),
MATCH(V$8,'KPI Analysis'!$AH$7:$CM$7,FALSE)
)="G",
INDEX('KPI Analysis'!$AH$7:$CM$123,
MATCH($A15,'KPI Analysis'!$AH$7:$AH$123,FALSE),
MATCH(V$8,'KPI Analysis'!$AH$7:$CM$7,FALSE)
)="A"),
INDEX('KPI Analysis'!$AH$7:$CM$123,MATCH($A15,'KPI Analysis'!$AH$7:$AH$123,FALSE),MATCH(V$8,'KPI Analysis'!$AH$7:$CM$7,FALSE)),"")</f>
        <v>G</v>
      </c>
      <c r="W15" s="565">
        <f>INDEX('KPI Analysis'!$CO$7:$EU$123,MATCH($A15,'KPI Analysis'!$CO$7:$CO$123,FALSE),MATCH(V$8,'KPI Analysis'!$CO$7:$EU$7,FALSE))</f>
        <v>1.0456273764258555</v>
      </c>
      <c r="X15" s="564" t="str">
        <f>IF(
OR(
INDEX('KPI Analysis'!$AH$7:$CM$123,
MATCH($A15,'KPI Analysis'!$AH$7:$AH$123,FALSE),
MATCH(X$8,'KPI Analysis'!$AH$7:$CM$7,FALSE)
)="R",
INDEX('KPI Analysis'!$AH$7:$CM$123,
MATCH($A15,'KPI Analysis'!$AH$7:$AH$123,FALSE),
MATCH(X$8,'KPI Analysis'!$AH$7:$CM$7,FALSE)
)="G",
INDEX('KPI Analysis'!$AH$7:$CM$123,
MATCH($A15,'KPI Analysis'!$AH$7:$AH$123,FALSE),
MATCH(X$8,'KPI Analysis'!$AH$7:$CM$7,FALSE)
)="A"),
INDEX('KPI Analysis'!$AH$7:$CM$123,MATCH($A15,'KPI Analysis'!$AH$7:$AH$123,FALSE),MATCH(X$8,'KPI Analysis'!$AH$7:$CM$7,FALSE)),"")</f>
        <v/>
      </c>
      <c r="Y15" s="565" t="str">
        <f>INDEX('KPI Analysis'!$CO$7:$EU$123,MATCH($A15,'KPI Analysis'!$CO$7:$CO$123,FALSE),MATCH(X$8,'KPI Analysis'!$CO$7:$EU$7,FALSE))</f>
        <v>OD</v>
      </c>
      <c r="Z15" s="593" t="s">
        <v>700</v>
      </c>
      <c r="AC15" s="648" t="s">
        <v>639</v>
      </c>
      <c r="AE15" s="755">
        <f>INDEX('KPI Analysis'!$CO$7:$EU$123,MATCH($A15,'KPI Analysis'!$CO$7:$CO$123,FALSE),MATCH(AE$8,'KPI Analysis'!$CO$7:$EU$7,FALSE))</f>
        <v>1.1224489795918366</v>
      </c>
      <c r="AF15" s="750">
        <f>INDEX('KPI Analysis'!$CO$7:$EU$123,MATCH($A15,'KPI Analysis'!$CO$7:$CO$123,FALSE),MATCH(AF$8,'KPI Analysis'!$CO$7:$EU$7,FALSE))</f>
        <v>1.0338345864661653</v>
      </c>
      <c r="AG15" s="750">
        <f>INDEX('KPI Analysis'!$CO$7:$EU$123,MATCH($A15,'KPI Analysis'!$CO$7:$CO$123,FALSE),MATCH(AG$8,'KPI Analysis'!$CO$7:$EU$7,FALSE))</f>
        <v>1.07421875</v>
      </c>
      <c r="AH15" s="750">
        <f>INDEX('KPI Analysis'!$CO$7:$EU$123,MATCH($A15,'KPI Analysis'!$CO$7:$CO$123,FALSE),MATCH(AH$8,'KPI Analysis'!$CO$7:$EU$7,FALSE))</f>
        <v>1.0456273764258555</v>
      </c>
      <c r="AI15" s="750" t="str">
        <f>INDEX('KPI Analysis'!$CO$7:$EU$123,MATCH($A15,'KPI Analysis'!$CO$7:$CO$123,FALSE),MATCH(AI$8,'KPI Analysis'!$CO$7:$EU$7,FALSE))</f>
        <v>OD</v>
      </c>
    </row>
    <row r="16" spans="1:38" x14ac:dyDescent="0.3">
      <c r="H16"/>
    </row>
    <row r="17" spans="1:35" ht="15" thickBot="1" x14ac:dyDescent="0.35">
      <c r="H17"/>
    </row>
    <row r="18" spans="1:35" x14ac:dyDescent="0.3">
      <c r="A18" t="str">
        <f t="shared" ref="A18:A119" si="0">F18&amp;"-"&amp;C18</f>
        <v>Estimating-KPI P1</v>
      </c>
      <c r="B18" s="168" t="str">
        <f>+'KPI Stats'!G17</f>
        <v>Under</v>
      </c>
      <c r="C18" s="141" t="str">
        <f>+'KPI Stats'!C17</f>
        <v>KPI P1</v>
      </c>
      <c r="F18" s="864" t="str">
        <f>+'KPI Stats'!$B$16</f>
        <v>Estimating</v>
      </c>
      <c r="G18" s="867" t="s">
        <v>645</v>
      </c>
      <c r="H18" s="616" t="s">
        <v>526</v>
      </c>
      <c r="I18" s="466">
        <f>+'KPI Stats'!$F$16</f>
        <v>42</v>
      </c>
      <c r="J18" s="142" t="str">
        <f>+'KPI Stats'!D17</f>
        <v>Productivity</v>
      </c>
      <c r="K18" s="142" t="str">
        <f>+'KPI Stats'!E17</f>
        <v>Quotes Issued</v>
      </c>
      <c r="L18" s="143" t="str">
        <f>+'KPI Stats'!F17</f>
        <v>Count</v>
      </c>
      <c r="M18" s="135" t="str">
        <f>INDEX('KPI Analysis'!$CO$7:$EU$123,MATCH($A18,'KPI Analysis'!$CO$7:$CO$123,FALSE),MATCH(M$8,'KPI Analysis'!$CO$7:$EU$7,FALSE))</f>
        <v>% of target</v>
      </c>
      <c r="P18" s="579" t="str">
        <f>IF(
OR(
INDEX('KPI Analysis'!$AH$7:$CM$123,
MATCH($A18,'KPI Analysis'!$AH$7:$AH$123,FALSE),
MATCH(P$8,'KPI Analysis'!$AH$7:$CM$7,FALSE)
)="R",
INDEX('KPI Analysis'!$AH$7:$CM$123,
MATCH($A18,'KPI Analysis'!$AH$7:$AH$123,FALSE),
MATCH(P$8,'KPI Analysis'!$AH$7:$CM$7,FALSE)
)="G",
INDEX('KPI Analysis'!$AH$7:$CM$123,
MATCH($A18,'KPI Analysis'!$AH$7:$AH$123,FALSE),
MATCH(P$8,'KPI Analysis'!$AH$7:$CM$7,FALSE)
)="A"),
INDEX('KPI Analysis'!$AH$7:$CM$123,MATCH($A18,'KPI Analysis'!$AH$7:$AH$123,FALSE),MATCH(P$8,'KPI Analysis'!$AH$7:$CM$7,FALSE)),"")</f>
        <v>R</v>
      </c>
      <c r="Q18" s="580">
        <f>INDEX('KPI Analysis'!$CO$7:$EU$123,MATCH($A18,'KPI Analysis'!$CO$7:$CO$123,FALSE),MATCH(P$8,'KPI Analysis'!$CO$7:$EU$7,FALSE))</f>
        <v>0.91269841269841268</v>
      </c>
      <c r="R18" s="579" t="str">
        <f>IF(
OR(
INDEX('KPI Analysis'!$AH$7:$CM$123,
MATCH($A18,'KPI Analysis'!$AH$7:$AH$123,FALSE),
MATCH(R$8,'KPI Analysis'!$AH$7:$CM$7,FALSE)
)="R",
INDEX('KPI Analysis'!$AH$7:$CM$123,
MATCH($A18,'KPI Analysis'!$AH$7:$AH$123,FALSE),
MATCH(R$8,'KPI Analysis'!$AH$7:$CM$7,FALSE)
)="G",
INDEX('KPI Analysis'!$AH$7:$CM$123,
MATCH($A18,'KPI Analysis'!$AH$7:$AH$123,FALSE),
MATCH(R$8,'KPI Analysis'!$AH$7:$CM$7,FALSE)
)="A"),
INDEX('KPI Analysis'!$AH$7:$CM$123,MATCH($A18,'KPI Analysis'!$AH$7:$AH$123,FALSE),MATCH(R$8,'KPI Analysis'!$AH$7:$CM$7,FALSE)),"")</f>
        <v>R</v>
      </c>
      <c r="S18" s="580">
        <f>INDEX('KPI Analysis'!$CO$7:$EU$123,MATCH($A18,'KPI Analysis'!$CO$7:$CO$123,FALSE),MATCH(R$8,'KPI Analysis'!$CO$7:$EU$7,FALSE))</f>
        <v>0.86507936507936511</v>
      </c>
      <c r="T18" s="579" t="str">
        <f>IF(
OR(
INDEX('KPI Analysis'!$AH$7:$CM$123,
MATCH($A18,'KPI Analysis'!$AH$7:$AH$123,FALSE),
MATCH(T$8,'KPI Analysis'!$AH$7:$CM$7,FALSE)
)="R",
INDEX('KPI Analysis'!$AH$7:$CM$123,
MATCH($A18,'KPI Analysis'!$AH$7:$AH$123,FALSE),
MATCH(T$8,'KPI Analysis'!$AH$7:$CM$7,FALSE)
)="G",
INDEX('KPI Analysis'!$AH$7:$CM$123,
MATCH($A18,'KPI Analysis'!$AH$7:$AH$123,FALSE),
MATCH(T$8,'KPI Analysis'!$AH$7:$CM$7,FALSE)
)="A"),
INDEX('KPI Analysis'!$AH$7:$CM$123,MATCH($A18,'KPI Analysis'!$AH$7:$AH$123,FALSE),MATCH(T$8,'KPI Analysis'!$AH$7:$CM$7,FALSE)),"")</f>
        <v>R</v>
      </c>
      <c r="U18" s="580">
        <f>INDEX('KPI Analysis'!$CO$7:$EU$123,MATCH($A18,'KPI Analysis'!$CO$7:$CO$123,FALSE),MATCH(T$8,'KPI Analysis'!$CO$7:$EU$7,FALSE))</f>
        <v>0.73809523809523814</v>
      </c>
      <c r="V18" s="579" t="str">
        <f>IF(
OR(
INDEX('KPI Analysis'!$AH$7:$CM$123,
MATCH($A18,'KPI Analysis'!$AH$7:$AH$123,FALSE),
MATCH(V$8,'KPI Analysis'!$AH$7:$CM$7,FALSE)
)="R",
INDEX('KPI Analysis'!$AH$7:$CM$123,
MATCH($A18,'KPI Analysis'!$AH$7:$AH$123,FALSE),
MATCH(V$8,'KPI Analysis'!$AH$7:$CM$7,FALSE)
)="G",
INDEX('KPI Analysis'!$AH$7:$CM$123,
MATCH($A18,'KPI Analysis'!$AH$7:$AH$123,FALSE),
MATCH(V$8,'KPI Analysis'!$AH$7:$CM$7,FALSE)
)="A"),
INDEX('KPI Analysis'!$AH$7:$CM$123,MATCH($A18,'KPI Analysis'!$AH$7:$AH$123,FALSE),MATCH(V$8,'KPI Analysis'!$AH$7:$CM$7,FALSE)),"")</f>
        <v>A</v>
      </c>
      <c r="W18" s="580">
        <f>INDEX('KPI Analysis'!$CO$7:$EU$123,MATCH($A18,'KPI Analysis'!$CO$7:$CO$123,FALSE),MATCH(V$8,'KPI Analysis'!$CO$7:$EU$7,FALSE))</f>
        <v>0.98412698412698407</v>
      </c>
      <c r="X18" s="579" t="str">
        <f>IF(
OR(
INDEX('KPI Analysis'!$AH$7:$CM$123,
MATCH($A18,'KPI Analysis'!$AH$7:$AH$123,FALSE),
MATCH(X$8,'KPI Analysis'!$AH$7:$CM$7,FALSE)
)="R",
INDEX('KPI Analysis'!$AH$7:$CM$123,
MATCH($A18,'KPI Analysis'!$AH$7:$AH$123,FALSE),
MATCH(X$8,'KPI Analysis'!$AH$7:$CM$7,FALSE)
)="G",
INDEX('KPI Analysis'!$AH$7:$CM$123,
MATCH($A18,'KPI Analysis'!$AH$7:$AH$123,FALSE),
MATCH(X$8,'KPI Analysis'!$AH$7:$CM$7,FALSE)
)="A"),
INDEX('KPI Analysis'!$AH$7:$CM$123,MATCH($A18,'KPI Analysis'!$AH$7:$AH$123,FALSE),MATCH(X$8,'KPI Analysis'!$AH$7:$CM$7,FALSE)),"")</f>
        <v>A</v>
      </c>
      <c r="Y18" s="580">
        <f>INDEX('KPI Analysis'!$CO$7:$EU$123,MATCH($A18,'KPI Analysis'!$CO$7:$CO$123,FALSE),MATCH(X$8,'KPI Analysis'!$CO$7:$EU$7,FALSE))</f>
        <v>0.97619047619047616</v>
      </c>
      <c r="Z18" s="141"/>
      <c r="AC18" s="648" t="s">
        <v>639</v>
      </c>
      <c r="AE18" s="327">
        <f>INDEX('KPI Analysis'!$CO$7:$EU$123,MATCH($A18,'KPI Analysis'!$CO$7:$CO$123,FALSE),MATCH(AE$8,'KPI Analysis'!$CO$7:$EU$7,FALSE))</f>
        <v>0.91269841269841268</v>
      </c>
      <c r="AF18" s="328">
        <f>INDEX('KPI Analysis'!$CO$7:$EU$123,MATCH($A18,'KPI Analysis'!$CO$7:$CO$123,FALSE),MATCH(AF$8,'KPI Analysis'!$CO$7:$EU$7,FALSE))</f>
        <v>0.86507936507936511</v>
      </c>
      <c r="AG18" s="328">
        <f>INDEX('KPI Analysis'!$CO$7:$EU$123,MATCH($A18,'KPI Analysis'!$CO$7:$CO$123,FALSE),MATCH(AG$8,'KPI Analysis'!$CO$7:$EU$7,FALSE))</f>
        <v>0.73809523809523814</v>
      </c>
      <c r="AH18" s="328">
        <f>INDEX('KPI Analysis'!$CO$7:$EU$123,MATCH($A18,'KPI Analysis'!$CO$7:$CO$123,FALSE),MATCH(AH$8,'KPI Analysis'!$CO$7:$EU$7,FALSE))</f>
        <v>0.98412698412698407</v>
      </c>
      <c r="AI18" s="328">
        <f>INDEX('KPI Analysis'!$CO$7:$EU$123,MATCH($A18,'KPI Analysis'!$CO$7:$CO$123,FALSE),MATCH(AI$8,'KPI Analysis'!$CO$7:$EU$7,FALSE))</f>
        <v>0.97619047619047616</v>
      </c>
    </row>
    <row r="19" spans="1:35" x14ac:dyDescent="0.3">
      <c r="A19" t="str">
        <f t="shared" si="0"/>
        <v>Estimating-KPI D1</v>
      </c>
      <c r="B19" s="169" t="str">
        <f>+'KPI Stats'!G18</f>
        <v>Under</v>
      </c>
      <c r="C19" s="148" t="str">
        <f>+'KPI Stats'!C18</f>
        <v>KPI D1</v>
      </c>
      <c r="F19" s="865" t="str">
        <f>+'KPI Stats'!$B$16</f>
        <v>Estimating</v>
      </c>
      <c r="G19" s="868" t="str">
        <f>+'KPI Stats'!$B$16</f>
        <v>Estimating</v>
      </c>
      <c r="H19" s="617" t="s">
        <v>526</v>
      </c>
      <c r="I19" s="465">
        <f>+'KPI Stats'!$F$16</f>
        <v>42</v>
      </c>
      <c r="J19" s="144" t="str">
        <f>+'KPI Stats'!D18</f>
        <v>Delivery</v>
      </c>
      <c r="K19" s="144" t="str">
        <f>+'KPI Stats'!E18</f>
        <v>Quotes issued on time</v>
      </c>
      <c r="L19" s="145" t="str">
        <f>+'KPI Stats'!F18</f>
        <v>Percentage</v>
      </c>
      <c r="M19" s="137" t="str">
        <f>INDEX('KPI Analysis'!$CO$7:$EU$123,MATCH($A19,'KPI Analysis'!$CO$7:$CO$123,FALSE),MATCH(M$8,'KPI Analysis'!$CO$7:$EU$7,FALSE))</f>
        <v>% of target</v>
      </c>
      <c r="P19" s="581" t="str">
        <f>IF(
OR(
INDEX('KPI Analysis'!$AH$7:$CM$123,
MATCH($A19,'KPI Analysis'!$AH$7:$AH$123,FALSE),
MATCH(P$8,'KPI Analysis'!$AH$7:$CM$7,FALSE)
)="R",
INDEX('KPI Analysis'!$AH$7:$CM$123,
MATCH($A19,'KPI Analysis'!$AH$7:$AH$123,FALSE),
MATCH(P$8,'KPI Analysis'!$AH$7:$CM$7,FALSE)
)="G",
INDEX('KPI Analysis'!$AH$7:$CM$123,
MATCH($A19,'KPI Analysis'!$AH$7:$AH$123,FALSE),
MATCH(P$8,'KPI Analysis'!$AH$7:$CM$7,FALSE)
)="A"),
INDEX('KPI Analysis'!$AH$7:$CM$123,MATCH($A19,'KPI Analysis'!$AH$7:$AH$123,FALSE),MATCH(P$8,'KPI Analysis'!$AH$7:$CM$7,FALSE)),"")</f>
        <v>R</v>
      </c>
      <c r="Q19" s="582">
        <f>INDEX('KPI Analysis'!$CO$7:$EU$123,MATCH($A19,'KPI Analysis'!$CO$7:$CO$123,FALSE),MATCH(P$8,'KPI Analysis'!$CO$7:$EU$7,FALSE))</f>
        <v>0.80818414322250642</v>
      </c>
      <c r="R19" s="581" t="str">
        <f>IF(
OR(
INDEX('KPI Analysis'!$AH$7:$CM$123,
MATCH($A19,'KPI Analysis'!$AH$7:$AH$123,FALSE),
MATCH(R$8,'KPI Analysis'!$AH$7:$CM$7,FALSE)
)="R",
INDEX('KPI Analysis'!$AH$7:$CM$123,
MATCH($A19,'KPI Analysis'!$AH$7:$AH$123,FALSE),
MATCH(R$8,'KPI Analysis'!$AH$7:$CM$7,FALSE)
)="G",
INDEX('KPI Analysis'!$AH$7:$CM$123,
MATCH($A19,'KPI Analysis'!$AH$7:$AH$123,FALSE),
MATCH(R$8,'KPI Analysis'!$AH$7:$CM$7,FALSE)
)="A"),
INDEX('KPI Analysis'!$AH$7:$CM$123,MATCH($A19,'KPI Analysis'!$AH$7:$AH$123,FALSE),MATCH(R$8,'KPI Analysis'!$AH$7:$CM$7,FALSE)),"")</f>
        <v>R</v>
      </c>
      <c r="S19" s="582">
        <f>INDEX('KPI Analysis'!$CO$7:$EU$123,MATCH($A19,'KPI Analysis'!$CO$7:$CO$123,FALSE),MATCH(R$8,'KPI Analysis'!$CO$7:$EU$7,FALSE))</f>
        <v>0.9174311926605504</v>
      </c>
      <c r="T19" s="581" t="str">
        <f>IF(
OR(
INDEX('KPI Analysis'!$AH$7:$CM$123,
MATCH($A19,'KPI Analysis'!$AH$7:$AH$123,FALSE),
MATCH(T$8,'KPI Analysis'!$AH$7:$CM$7,FALSE)
)="R",
INDEX('KPI Analysis'!$AH$7:$CM$123,
MATCH($A19,'KPI Analysis'!$AH$7:$AH$123,FALSE),
MATCH(T$8,'KPI Analysis'!$AH$7:$CM$7,FALSE)
)="G",
INDEX('KPI Analysis'!$AH$7:$CM$123,
MATCH($A19,'KPI Analysis'!$AH$7:$AH$123,FALSE),
MATCH(T$8,'KPI Analysis'!$AH$7:$CM$7,FALSE)
)="A"),
INDEX('KPI Analysis'!$AH$7:$CM$123,MATCH($A19,'KPI Analysis'!$AH$7:$AH$123,FALSE),MATCH(T$8,'KPI Analysis'!$AH$7:$CM$7,FALSE)),"")</f>
        <v>A</v>
      </c>
      <c r="U19" s="582">
        <f>INDEX('KPI Analysis'!$CO$7:$EU$123,MATCH($A19,'KPI Analysis'!$CO$7:$CO$123,FALSE),MATCH(T$8,'KPI Analysis'!$CO$7:$EU$7,FALSE))</f>
        <v>0.97406704617330808</v>
      </c>
      <c r="V19" s="581" t="str">
        <f>IF(
OR(
INDEX('KPI Analysis'!$AH$7:$CM$123,
MATCH($A19,'KPI Analysis'!$AH$7:$AH$123,FALSE),
MATCH(V$8,'KPI Analysis'!$AH$7:$CM$7,FALSE)
)="R",
INDEX('KPI Analysis'!$AH$7:$CM$123,
MATCH($A19,'KPI Analysis'!$AH$7:$AH$123,FALSE),
MATCH(V$8,'KPI Analysis'!$AH$7:$CM$7,FALSE)
)="G",
INDEX('KPI Analysis'!$AH$7:$CM$123,
MATCH($A19,'KPI Analysis'!$AH$7:$AH$123,FALSE),
MATCH(V$8,'KPI Analysis'!$AH$7:$CM$7,FALSE)
)="A"),
INDEX('KPI Analysis'!$AH$7:$CM$123,MATCH($A19,'KPI Analysis'!$AH$7:$AH$123,FALSE),MATCH(V$8,'KPI Analysis'!$AH$7:$CM$7,FALSE)),"")</f>
        <v>R</v>
      </c>
      <c r="W19" s="582">
        <f>INDEX('KPI Analysis'!$CO$7:$EU$123,MATCH($A19,'KPI Analysis'!$CO$7:$CO$123,FALSE),MATCH(V$8,'KPI Analysis'!$CO$7:$EU$7,FALSE))</f>
        <v>0.88235294117647056</v>
      </c>
      <c r="X19" s="581" t="str">
        <f>IF(
OR(
INDEX('KPI Analysis'!$AH$7:$CM$123,
MATCH($A19,'KPI Analysis'!$AH$7:$AH$123,FALSE),
MATCH(X$8,'KPI Analysis'!$AH$7:$CM$7,FALSE)
)="R",
INDEX('KPI Analysis'!$AH$7:$CM$123,
MATCH($A19,'KPI Analysis'!$AH$7:$AH$123,FALSE),
MATCH(X$8,'KPI Analysis'!$AH$7:$CM$7,FALSE)
)="G",
INDEX('KPI Analysis'!$AH$7:$CM$123,
MATCH($A19,'KPI Analysis'!$AH$7:$AH$123,FALSE),
MATCH(X$8,'KPI Analysis'!$AH$7:$CM$7,FALSE)
)="A"),
INDEX('KPI Analysis'!$AH$7:$CM$123,MATCH($A19,'KPI Analysis'!$AH$7:$AH$123,FALSE),MATCH(X$8,'KPI Analysis'!$AH$7:$CM$7,FALSE)),"")</f>
        <v>A</v>
      </c>
      <c r="Y19" s="582">
        <f>INDEX('KPI Analysis'!$CO$7:$EU$123,MATCH($A19,'KPI Analysis'!$CO$7:$CO$123,FALSE),MATCH(X$8,'KPI Analysis'!$CO$7:$EU$7,FALSE))</f>
        <v>0.96588235294117641</v>
      </c>
      <c r="Z19" s="148"/>
      <c r="AC19" s="648" t="s">
        <v>639</v>
      </c>
      <c r="AE19" s="323">
        <f>INDEX('KPI Analysis'!$CO$7:$EU$123,MATCH($A19,'KPI Analysis'!$CO$7:$CO$123,FALSE),MATCH(AE$8,'KPI Analysis'!$CO$7:$EU$7,FALSE))</f>
        <v>0.80818414322250642</v>
      </c>
      <c r="AF19" s="315">
        <f>INDEX('KPI Analysis'!$CO$7:$EU$123,MATCH($A19,'KPI Analysis'!$CO$7:$CO$123,FALSE),MATCH(AF$8,'KPI Analysis'!$CO$7:$EU$7,FALSE))</f>
        <v>0.9174311926605504</v>
      </c>
      <c r="AG19" s="315">
        <f>INDEX('KPI Analysis'!$CO$7:$EU$123,MATCH($A19,'KPI Analysis'!$CO$7:$CO$123,FALSE),MATCH(AG$8,'KPI Analysis'!$CO$7:$EU$7,FALSE))</f>
        <v>0.97406704617330808</v>
      </c>
      <c r="AH19" s="315">
        <f>INDEX('KPI Analysis'!$CO$7:$EU$123,MATCH($A19,'KPI Analysis'!$CO$7:$CO$123,FALSE),MATCH(AH$8,'KPI Analysis'!$CO$7:$EU$7,FALSE))</f>
        <v>0.88235294117647056</v>
      </c>
      <c r="AI19" s="315">
        <f>INDEX('KPI Analysis'!$CO$7:$EU$123,MATCH($A19,'KPI Analysis'!$CO$7:$CO$123,FALSE),MATCH(AI$8,'KPI Analysis'!$CO$7:$EU$7,FALSE))</f>
        <v>0.96588235294117641</v>
      </c>
    </row>
    <row r="20" spans="1:35" x14ac:dyDescent="0.3">
      <c r="A20" t="str">
        <f t="shared" si="0"/>
        <v>Estimating-KPI Q1</v>
      </c>
      <c r="B20" s="169" t="str">
        <f>+'KPI Stats'!G19</f>
        <v>Over</v>
      </c>
      <c r="C20" s="148" t="str">
        <f>+'KPI Stats'!C19</f>
        <v>KPI Q1</v>
      </c>
      <c r="F20" s="865" t="str">
        <f>+'KPI Stats'!$B$16</f>
        <v>Estimating</v>
      </c>
      <c r="G20" s="868" t="str">
        <f>+'KPI Stats'!$B$16</f>
        <v>Estimating</v>
      </c>
      <c r="H20" s="617" t="s">
        <v>526</v>
      </c>
      <c r="I20" s="465">
        <f>+'KPI Stats'!$F$16</f>
        <v>42</v>
      </c>
      <c r="J20" s="144" t="str">
        <f>+'KPI Stats'!D19</f>
        <v>Quality</v>
      </c>
      <c r="K20" s="144" t="str">
        <f>+'KPI Stats'!E19</f>
        <v>Hours on each Estimate</v>
      </c>
      <c r="L20" s="145" t="str">
        <f>+'KPI Stats'!F19</f>
        <v>Hours</v>
      </c>
      <c r="M20" s="137" t="str">
        <f>INDEX('KPI Analysis'!$CO$7:$EU$123,MATCH($A20,'KPI Analysis'!$CO$7:$CO$123,FALSE),MATCH(M$8,'KPI Analysis'!$CO$7:$EU$7,FALSE))</f>
        <v>% of target</v>
      </c>
      <c r="P20" s="581" t="str">
        <f>IF(
OR(
INDEX('KPI Analysis'!$AH$7:$CM$123,
MATCH($A20,'KPI Analysis'!$AH$7:$AH$123,FALSE),
MATCH(P$8,'KPI Analysis'!$AH$7:$CM$7,FALSE)
)="R",
INDEX('KPI Analysis'!$AH$7:$CM$123,
MATCH($A20,'KPI Analysis'!$AH$7:$AH$123,FALSE),
MATCH(P$8,'KPI Analysis'!$AH$7:$CM$7,FALSE)
)="G",
INDEX('KPI Analysis'!$AH$7:$CM$123,
MATCH($A20,'KPI Analysis'!$AH$7:$AH$123,FALSE),
MATCH(P$8,'KPI Analysis'!$AH$7:$CM$7,FALSE)
)="A"),
INDEX('KPI Analysis'!$AH$7:$CM$123,MATCH($A20,'KPI Analysis'!$AH$7:$AH$123,FALSE),MATCH(P$8,'KPI Analysis'!$AH$7:$CM$7,FALSE)),"")</f>
        <v>R</v>
      </c>
      <c r="Q20" s="582">
        <f>INDEX('KPI Analysis'!$CO$7:$EU$123,MATCH($A20,'KPI Analysis'!$CO$7:$CO$123,FALSE),MATCH(P$8,'KPI Analysis'!$CO$7:$EU$7,FALSE))</f>
        <v>0.52500000000000002</v>
      </c>
      <c r="R20" s="581" t="str">
        <f>IF(
OR(
INDEX('KPI Analysis'!$AH$7:$CM$123,
MATCH($A20,'KPI Analysis'!$AH$7:$AH$123,FALSE),
MATCH(R$8,'KPI Analysis'!$AH$7:$CM$7,FALSE)
)="R",
INDEX('KPI Analysis'!$AH$7:$CM$123,
MATCH($A20,'KPI Analysis'!$AH$7:$AH$123,FALSE),
MATCH(R$8,'KPI Analysis'!$AH$7:$CM$7,FALSE)
)="G",
INDEX('KPI Analysis'!$AH$7:$CM$123,
MATCH($A20,'KPI Analysis'!$AH$7:$AH$123,FALSE),
MATCH(R$8,'KPI Analysis'!$AH$7:$CM$7,FALSE)
)="A"),
INDEX('KPI Analysis'!$AH$7:$CM$123,MATCH($A20,'KPI Analysis'!$AH$7:$AH$123,FALSE),MATCH(R$8,'KPI Analysis'!$AH$7:$CM$7,FALSE)),"")</f>
        <v>R</v>
      </c>
      <c r="S20" s="582">
        <f>INDEX('KPI Analysis'!$CO$7:$EU$123,MATCH($A20,'KPI Analysis'!$CO$7:$CO$123,FALSE),MATCH(R$8,'KPI Analysis'!$CO$7:$EU$7,FALSE))</f>
        <v>0.94164193867457968</v>
      </c>
      <c r="T20" s="581" t="str">
        <f>IF(
OR(
INDEX('KPI Analysis'!$AH$7:$CM$123,
MATCH($A20,'KPI Analysis'!$AH$7:$AH$123,FALSE),
MATCH(T$8,'KPI Analysis'!$AH$7:$CM$7,FALSE)
)="R",
INDEX('KPI Analysis'!$AH$7:$CM$123,
MATCH($A20,'KPI Analysis'!$AH$7:$AH$123,FALSE),
MATCH(T$8,'KPI Analysis'!$AH$7:$CM$7,FALSE)
)="G",
INDEX('KPI Analysis'!$AH$7:$CM$123,
MATCH($A20,'KPI Analysis'!$AH$7:$AH$123,FALSE),
MATCH(T$8,'KPI Analysis'!$AH$7:$CM$7,FALSE)
)="A"),
INDEX('KPI Analysis'!$AH$7:$CM$123,MATCH($A20,'KPI Analysis'!$AH$7:$AH$123,FALSE),MATCH(T$8,'KPI Analysis'!$AH$7:$CM$7,FALSE)),"")</f>
        <v>R</v>
      </c>
      <c r="U20" s="582">
        <f>INDEX('KPI Analysis'!$CO$7:$EU$123,MATCH($A20,'KPI Analysis'!$CO$7:$CO$123,FALSE),MATCH(T$8,'KPI Analysis'!$CO$7:$EU$7,FALSE))</f>
        <v>0.82608695652173925</v>
      </c>
      <c r="V20" s="581" t="str">
        <f>IF(
OR(
INDEX('KPI Analysis'!$AH$7:$CM$123,
MATCH($A20,'KPI Analysis'!$AH$7:$AH$123,FALSE),
MATCH(V$8,'KPI Analysis'!$AH$7:$CM$7,FALSE)
)="R",
INDEX('KPI Analysis'!$AH$7:$CM$123,
MATCH($A20,'KPI Analysis'!$AH$7:$AH$123,FALSE),
MATCH(V$8,'KPI Analysis'!$AH$7:$CM$7,FALSE)
)="G",
INDEX('KPI Analysis'!$AH$7:$CM$123,
MATCH($A20,'KPI Analysis'!$AH$7:$AH$123,FALSE),
MATCH(V$8,'KPI Analysis'!$AH$7:$CM$7,FALSE)
)="A"),
INDEX('KPI Analysis'!$AH$7:$CM$123,MATCH($A20,'KPI Analysis'!$AH$7:$AH$123,FALSE),MATCH(V$8,'KPI Analysis'!$AH$7:$CM$7,FALSE)),"")</f>
        <v>R</v>
      </c>
      <c r="W20" s="582">
        <f>INDEX('KPI Analysis'!$CO$7:$EU$123,MATCH($A20,'KPI Analysis'!$CO$7:$CO$123,FALSE),MATCH(V$8,'KPI Analysis'!$CO$7:$EU$7,FALSE))</f>
        <v>0.58355847163257435</v>
      </c>
      <c r="X20" s="581" t="str">
        <f>IF(
OR(
INDEX('KPI Analysis'!$AH$7:$CM$123,
MATCH($A20,'KPI Analysis'!$AH$7:$AH$123,FALSE),
MATCH(X$8,'KPI Analysis'!$AH$7:$CM$7,FALSE)
)="R",
INDEX('KPI Analysis'!$AH$7:$CM$123,
MATCH($A20,'KPI Analysis'!$AH$7:$AH$123,FALSE),
MATCH(X$8,'KPI Analysis'!$AH$7:$CM$7,FALSE)
)="G",
INDEX('KPI Analysis'!$AH$7:$CM$123,
MATCH($A20,'KPI Analysis'!$AH$7:$AH$123,FALSE),
MATCH(X$8,'KPI Analysis'!$AH$7:$CM$7,FALSE)
)="A"),
INDEX('KPI Analysis'!$AH$7:$CM$123,MATCH($A20,'KPI Analysis'!$AH$7:$AH$123,FALSE),MATCH(X$8,'KPI Analysis'!$AH$7:$CM$7,FALSE)),"")</f>
        <v>G</v>
      </c>
      <c r="Y20" s="582">
        <f>INDEX('KPI Analysis'!$CO$7:$EU$123,MATCH($A20,'KPI Analysis'!$CO$7:$CO$123,FALSE),MATCH(X$8,'KPI Analysis'!$CO$7:$EU$7,FALSE))</f>
        <v>1.0687022900763359</v>
      </c>
      <c r="Z20" s="148"/>
      <c r="AC20" s="648" t="s">
        <v>639</v>
      </c>
      <c r="AE20" s="323">
        <f>INDEX('KPI Analysis'!$CO$7:$EU$123,MATCH($A20,'KPI Analysis'!$CO$7:$CO$123,FALSE),MATCH(AE$8,'KPI Analysis'!$CO$7:$EU$7,FALSE))</f>
        <v>0.52500000000000002</v>
      </c>
      <c r="AF20" s="315">
        <f>INDEX('KPI Analysis'!$CO$7:$EU$123,MATCH($A20,'KPI Analysis'!$CO$7:$CO$123,FALSE),MATCH(AF$8,'KPI Analysis'!$CO$7:$EU$7,FALSE))</f>
        <v>0.94164193867457968</v>
      </c>
      <c r="AG20" s="315">
        <f>INDEX('KPI Analysis'!$CO$7:$EU$123,MATCH($A20,'KPI Analysis'!$CO$7:$CO$123,FALSE),MATCH(AG$8,'KPI Analysis'!$CO$7:$EU$7,FALSE))</f>
        <v>0.82608695652173925</v>
      </c>
      <c r="AH20" s="315">
        <f>INDEX('KPI Analysis'!$CO$7:$EU$123,MATCH($A20,'KPI Analysis'!$CO$7:$CO$123,FALSE),MATCH(AH$8,'KPI Analysis'!$CO$7:$EU$7,FALSE))</f>
        <v>0.58355847163257435</v>
      </c>
      <c r="AI20" s="315">
        <f>INDEX('KPI Analysis'!$CO$7:$EU$123,MATCH($A20,'KPI Analysis'!$CO$7:$CO$123,FALSE),MATCH(AI$8,'KPI Analysis'!$CO$7:$EU$7,FALSE))</f>
        <v>1.0687022900763359</v>
      </c>
    </row>
    <row r="21" spans="1:35" ht="15" thickBot="1" x14ac:dyDescent="0.35">
      <c r="A21" t="str">
        <f t="shared" si="0"/>
        <v>Estimating-KPI C1</v>
      </c>
      <c r="B21" s="170" t="str">
        <f>+'KPI Stats'!G20</f>
        <v>Under</v>
      </c>
      <c r="C21" s="149" t="str">
        <f>+'KPI Stats'!C20</f>
        <v>KPI C1</v>
      </c>
      <c r="F21" s="866" t="str">
        <f>+'KPI Stats'!$B$16</f>
        <v>Estimating</v>
      </c>
      <c r="G21" s="869" t="str">
        <f>+'KPI Stats'!$B$16</f>
        <v>Estimating</v>
      </c>
      <c r="H21" s="296" t="s">
        <v>526</v>
      </c>
      <c r="I21" s="398">
        <f>+'KPI Stats'!$F$16</f>
        <v>42</v>
      </c>
      <c r="J21" s="146" t="str">
        <f>+'KPI Stats'!D20</f>
        <v>Cost</v>
      </c>
      <c r="K21" s="146" t="str">
        <f>+'KPI Stats'!E20</f>
        <v>Rate of Sales per sq Meter</v>
      </c>
      <c r="L21" s="147" t="str">
        <f>+'KPI Stats'!F20</f>
        <v>£</v>
      </c>
      <c r="M21" s="140" t="str">
        <f>INDEX('KPI Analysis'!$CO$7:$EU$123,MATCH($A21,'KPI Analysis'!$CO$7:$CO$123,FALSE),MATCH(M$8,'KPI Analysis'!$CO$7:$EU$7,FALSE))</f>
        <v>% of target</v>
      </c>
      <c r="P21" s="578" t="str">
        <f>IF(
OR(
INDEX('KPI Analysis'!$AH$7:$CM$123,
MATCH($A21,'KPI Analysis'!$AH$7:$AH$123,FALSE),
MATCH(P$8,'KPI Analysis'!$AH$7:$CM$7,FALSE)
)="R",
INDEX('KPI Analysis'!$AH$7:$CM$123,
MATCH($A21,'KPI Analysis'!$AH$7:$AH$123,FALSE),
MATCH(P$8,'KPI Analysis'!$AH$7:$CM$7,FALSE)
)="G",
INDEX('KPI Analysis'!$AH$7:$CM$123,
MATCH($A21,'KPI Analysis'!$AH$7:$AH$123,FALSE),
MATCH(P$8,'KPI Analysis'!$AH$7:$CM$7,FALSE)
)="A"),
INDEX('KPI Analysis'!$AH$7:$CM$123,MATCH($A21,'KPI Analysis'!$AH$7:$AH$123,FALSE),MATCH(P$8,'KPI Analysis'!$AH$7:$CM$7,FALSE)),"")</f>
        <v>G</v>
      </c>
      <c r="Q21" s="583">
        <f>INDEX('KPI Analysis'!$CO$7:$EU$123,MATCH($A21,'KPI Analysis'!$CO$7:$CO$123,FALSE),MATCH(P$8,'KPI Analysis'!$CO$7:$EU$7,FALSE))</f>
        <v>1.0661967479674794</v>
      </c>
      <c r="R21" s="578" t="str">
        <f>IF(
OR(
INDEX('KPI Analysis'!$AH$7:$CM$123,
MATCH($A21,'KPI Analysis'!$AH$7:$AH$123,FALSE),
MATCH(R$8,'KPI Analysis'!$AH$7:$CM$7,FALSE)
)="R",
INDEX('KPI Analysis'!$AH$7:$CM$123,
MATCH($A21,'KPI Analysis'!$AH$7:$AH$123,FALSE),
MATCH(R$8,'KPI Analysis'!$AH$7:$CM$7,FALSE)
)="G",
INDEX('KPI Analysis'!$AH$7:$CM$123,
MATCH($A21,'KPI Analysis'!$AH$7:$AH$123,FALSE),
MATCH(R$8,'KPI Analysis'!$AH$7:$CM$7,FALSE)
)="A"),
INDEX('KPI Analysis'!$AH$7:$CM$123,MATCH($A21,'KPI Analysis'!$AH$7:$AH$123,FALSE),MATCH(R$8,'KPI Analysis'!$AH$7:$CM$7,FALSE)),"")</f>
        <v>G</v>
      </c>
      <c r="S21" s="583">
        <f>INDEX('KPI Analysis'!$CO$7:$EU$123,MATCH($A21,'KPI Analysis'!$CO$7:$CO$123,FALSE),MATCH(R$8,'KPI Analysis'!$CO$7:$EU$7,FALSE))</f>
        <v>1.4345885057471262</v>
      </c>
      <c r="T21" s="578" t="str">
        <f>IF(
OR(
INDEX('KPI Analysis'!$AH$7:$CM$123,
MATCH($A21,'KPI Analysis'!$AH$7:$AH$123,FALSE),
MATCH(T$8,'KPI Analysis'!$AH$7:$CM$7,FALSE)
)="R",
INDEX('KPI Analysis'!$AH$7:$CM$123,
MATCH($A21,'KPI Analysis'!$AH$7:$AH$123,FALSE),
MATCH(T$8,'KPI Analysis'!$AH$7:$CM$7,FALSE)
)="G",
INDEX('KPI Analysis'!$AH$7:$CM$123,
MATCH($A21,'KPI Analysis'!$AH$7:$AH$123,FALSE),
MATCH(T$8,'KPI Analysis'!$AH$7:$CM$7,FALSE)
)="A"),
INDEX('KPI Analysis'!$AH$7:$CM$123,MATCH($A21,'KPI Analysis'!$AH$7:$AH$123,FALSE),MATCH(T$8,'KPI Analysis'!$AH$7:$CM$7,FALSE)),"")</f>
        <v>G</v>
      </c>
      <c r="U21" s="583">
        <f>INDEX('KPI Analysis'!$CO$7:$EU$123,MATCH($A21,'KPI Analysis'!$CO$7:$CO$123,FALSE),MATCH(T$8,'KPI Analysis'!$CO$7:$EU$7,FALSE))</f>
        <v>1.0694804597701149</v>
      </c>
      <c r="V21" s="578" t="str">
        <f>IF(
OR(
INDEX('KPI Analysis'!$AH$7:$CM$123,
MATCH($A21,'KPI Analysis'!$AH$7:$AH$123,FALSE),
MATCH(V$8,'KPI Analysis'!$AH$7:$CM$7,FALSE)
)="R",
INDEX('KPI Analysis'!$AH$7:$CM$123,
MATCH($A21,'KPI Analysis'!$AH$7:$AH$123,FALSE),
MATCH(V$8,'KPI Analysis'!$AH$7:$CM$7,FALSE)
)="G",
INDEX('KPI Analysis'!$AH$7:$CM$123,
MATCH($A21,'KPI Analysis'!$AH$7:$AH$123,FALSE),
MATCH(V$8,'KPI Analysis'!$AH$7:$CM$7,FALSE)
)="A"),
INDEX('KPI Analysis'!$AH$7:$CM$123,MATCH($A21,'KPI Analysis'!$AH$7:$AH$123,FALSE),MATCH(V$8,'KPI Analysis'!$AH$7:$CM$7,FALSE)),"")</f>
        <v>G</v>
      </c>
      <c r="W21" s="583">
        <f>INDEX('KPI Analysis'!$CO$7:$EU$123,MATCH($A21,'KPI Analysis'!$CO$7:$CO$123,FALSE),MATCH(V$8,'KPI Analysis'!$CO$7:$EU$7,FALSE))</f>
        <v>1.0598482758620693</v>
      </c>
      <c r="X21" s="578" t="str">
        <f>IF(
OR(
INDEX('KPI Analysis'!$AH$7:$CM$123,
MATCH($A21,'KPI Analysis'!$AH$7:$AH$123,FALSE),
MATCH(X$8,'KPI Analysis'!$AH$7:$CM$7,FALSE)
)="R",
INDEX('KPI Analysis'!$AH$7:$CM$123,
MATCH($A21,'KPI Analysis'!$AH$7:$AH$123,FALSE),
MATCH(X$8,'KPI Analysis'!$AH$7:$CM$7,FALSE)
)="G",
INDEX('KPI Analysis'!$AH$7:$CM$123,
MATCH($A21,'KPI Analysis'!$AH$7:$AH$123,FALSE),
MATCH(X$8,'KPI Analysis'!$AH$7:$CM$7,FALSE)
)="A"),
INDEX('KPI Analysis'!$AH$7:$CM$123,MATCH($A21,'KPI Analysis'!$AH$7:$AH$123,FALSE),MATCH(X$8,'KPI Analysis'!$AH$7:$CM$7,FALSE)),"")</f>
        <v>G</v>
      </c>
      <c r="Y21" s="583">
        <f>INDEX('KPI Analysis'!$CO$7:$EU$123,MATCH($A21,'KPI Analysis'!$CO$7:$CO$123,FALSE),MATCH(X$8,'KPI Analysis'!$CO$7:$EU$7,FALSE))</f>
        <v>1.0754666666666666</v>
      </c>
      <c r="Z21" s="149" t="s">
        <v>678</v>
      </c>
      <c r="AC21" s="648" t="s">
        <v>639</v>
      </c>
      <c r="AE21" s="324">
        <f>INDEX('KPI Analysis'!$CO$7:$EU$123,MATCH($A21,'KPI Analysis'!$CO$7:$CO$123,FALSE),MATCH(AE$8,'KPI Analysis'!$CO$7:$EU$7,FALSE))</f>
        <v>1.0661967479674794</v>
      </c>
      <c r="AF21" s="325">
        <f>INDEX('KPI Analysis'!$CO$7:$EU$123,MATCH($A21,'KPI Analysis'!$CO$7:$CO$123,FALSE),MATCH(AF$8,'KPI Analysis'!$CO$7:$EU$7,FALSE))</f>
        <v>1.4345885057471262</v>
      </c>
      <c r="AG21" s="325">
        <f>INDEX('KPI Analysis'!$CO$7:$EU$123,MATCH($A21,'KPI Analysis'!$CO$7:$CO$123,FALSE),MATCH(AG$8,'KPI Analysis'!$CO$7:$EU$7,FALSE))</f>
        <v>1.0694804597701149</v>
      </c>
      <c r="AH21" s="325">
        <f>INDEX('KPI Analysis'!$CO$7:$EU$123,MATCH($A21,'KPI Analysis'!$CO$7:$CO$123,FALSE),MATCH(AH$8,'KPI Analysis'!$CO$7:$EU$7,FALSE))</f>
        <v>1.0598482758620693</v>
      </c>
      <c r="AI21" s="325">
        <f>INDEX('KPI Analysis'!$CO$7:$EU$123,MATCH($A21,'KPI Analysis'!$CO$7:$CO$123,FALSE),MATCH(AI$8,'KPI Analysis'!$CO$7:$EU$7,FALSE))</f>
        <v>1.0754666666666666</v>
      </c>
    </row>
    <row r="22" spans="1:35" x14ac:dyDescent="0.3">
      <c r="H22"/>
      <c r="K22" s="604" t="s">
        <v>602</v>
      </c>
    </row>
    <row r="23" spans="1:35" ht="15" thickBot="1" x14ac:dyDescent="0.35">
      <c r="H23"/>
    </row>
    <row r="24" spans="1:35" x14ac:dyDescent="0.3">
      <c r="A24" t="str">
        <f t="shared" si="0"/>
        <v>SOP-KPI P1</v>
      </c>
      <c r="B24" s="168" t="str">
        <f>+'KPI Stats'!G23</f>
        <v>Under</v>
      </c>
      <c r="C24" s="141" t="str">
        <f>+'KPI Stats'!C23</f>
        <v>KPI P1</v>
      </c>
      <c r="F24" s="864" t="str">
        <f>+'KPI Stats'!B22</f>
        <v>SOP</v>
      </c>
      <c r="G24" s="867" t="str">
        <f>+'KPI Stats'!C22</f>
        <v>Sam Westwood</v>
      </c>
      <c r="H24" s="616" t="s">
        <v>526</v>
      </c>
      <c r="I24" s="466">
        <f>+'KPI Stats'!F22</f>
        <v>42</v>
      </c>
      <c r="J24" s="142" t="str">
        <f>+'KPI Stats'!D23</f>
        <v>Productivity</v>
      </c>
      <c r="K24" s="142" t="str">
        <f>+'KPI Stats'!E23</f>
        <v>Order Lines Released</v>
      </c>
      <c r="L24" s="143" t="str">
        <f>+'KPI Stats'!F23</f>
        <v>Count</v>
      </c>
      <c r="M24" s="141" t="str">
        <f>INDEX('KPI Analysis'!$CO$7:$EU$123,MATCH($A24,'KPI Analysis'!$CO$7:$CO$123,FALSE),MATCH(M$8,'KPI Analysis'!$CO$7:$EU$7,FALSE))</f>
        <v>% of target</v>
      </c>
      <c r="P24" s="560" t="str">
        <f>IF(
OR(
INDEX('KPI Analysis'!$AH$7:$CM$123,
MATCH($A24,'KPI Analysis'!$AH$7:$AH$123,FALSE),
MATCH(P$8,'KPI Analysis'!$AH$7:$CM$7,FALSE)
)="R",
INDEX('KPI Analysis'!$AH$7:$CM$123,
MATCH($A24,'KPI Analysis'!$AH$7:$AH$123,FALSE),
MATCH(P$8,'KPI Analysis'!$AH$7:$CM$7,FALSE)
)="G",
INDEX('KPI Analysis'!$AH$7:$CM$123,
MATCH($A24,'KPI Analysis'!$AH$7:$AH$123,FALSE),
MATCH(P$8,'KPI Analysis'!$AH$7:$CM$7,FALSE)
)="A"),
INDEX('KPI Analysis'!$AH$7:$CM$123,MATCH($A24,'KPI Analysis'!$AH$7:$AH$123,FALSE),MATCH(P$8,'KPI Analysis'!$AH$7:$CM$7,FALSE)),"")</f>
        <v>G</v>
      </c>
      <c r="Q24" s="561">
        <f>INDEX('KPI Analysis'!$CO$7:$EU$123,MATCH($A24,'KPI Analysis'!$CO$7:$CO$123,FALSE),MATCH(P$8,'KPI Analysis'!$CO$7:$EU$7,FALSE))</f>
        <v>1.2124864459087497</v>
      </c>
      <c r="R24" s="560" t="str">
        <f>IF(
OR(
INDEX('KPI Analysis'!$AH$7:$CM$123,
MATCH($A24,'KPI Analysis'!$AH$7:$AH$123,FALSE),
MATCH(R$8,'KPI Analysis'!$AH$7:$CM$7,FALSE)
)="R",
INDEX('KPI Analysis'!$AH$7:$CM$123,
MATCH($A24,'KPI Analysis'!$AH$7:$AH$123,FALSE),
MATCH(R$8,'KPI Analysis'!$AH$7:$CM$7,FALSE)
)="G",
INDEX('KPI Analysis'!$AH$7:$CM$123,
MATCH($A24,'KPI Analysis'!$AH$7:$AH$123,FALSE),
MATCH(R$8,'KPI Analysis'!$AH$7:$CM$7,FALSE)
)="A"),
INDEX('KPI Analysis'!$AH$7:$CM$123,MATCH($A24,'KPI Analysis'!$AH$7:$AH$123,FALSE),MATCH(R$8,'KPI Analysis'!$AH$7:$CM$7,FALSE)),"")</f>
        <v>G</v>
      </c>
      <c r="S24" s="561">
        <f>INDEX('KPI Analysis'!$CO$7:$EU$123,MATCH($A24,'KPI Analysis'!$CO$7:$CO$123,FALSE),MATCH(R$8,'KPI Analysis'!$CO$7:$EU$7,FALSE))</f>
        <v>1.377287903777304</v>
      </c>
      <c r="T24" s="560" t="str">
        <f>IF(
OR(
INDEX('KPI Analysis'!$AH$7:$CM$123,
MATCH($A24,'KPI Analysis'!$AH$7:$AH$123,FALSE),
MATCH(T$8,'KPI Analysis'!$AH$7:$CM$7,FALSE)
)="R",
INDEX('KPI Analysis'!$AH$7:$CM$123,
MATCH($A24,'KPI Analysis'!$AH$7:$AH$123,FALSE),
MATCH(T$8,'KPI Analysis'!$AH$7:$CM$7,FALSE)
)="G",
INDEX('KPI Analysis'!$AH$7:$CM$123,
MATCH($A24,'KPI Analysis'!$AH$7:$AH$123,FALSE),
MATCH(T$8,'KPI Analysis'!$AH$7:$CM$7,FALSE)
)="A"),
INDEX('KPI Analysis'!$AH$7:$CM$123,MATCH($A24,'KPI Analysis'!$AH$7:$AH$123,FALSE),MATCH(T$8,'KPI Analysis'!$AH$7:$CM$7,FALSE)),"")</f>
        <v>A</v>
      </c>
      <c r="U24" s="561">
        <f>INDEX('KPI Analysis'!$CO$7:$EU$123,MATCH($A24,'KPI Analysis'!$CO$7:$CO$123,FALSE),MATCH(T$8,'KPI Analysis'!$CO$7:$EU$7,FALSE))</f>
        <v>0.9837238073146215</v>
      </c>
      <c r="V24" s="560" t="str">
        <f>IF(
OR(
INDEX('KPI Analysis'!$AH$7:$CM$123,
MATCH($A24,'KPI Analysis'!$AH$7:$AH$123,FALSE),
MATCH(V$8,'KPI Analysis'!$AH$7:$CM$7,FALSE)
)="R",
INDEX('KPI Analysis'!$AH$7:$CM$123,
MATCH($A24,'KPI Analysis'!$AH$7:$AH$123,FALSE),
MATCH(V$8,'KPI Analysis'!$AH$7:$CM$7,FALSE)
)="G",
INDEX('KPI Analysis'!$AH$7:$CM$123,
MATCH($A24,'KPI Analysis'!$AH$7:$AH$123,FALSE),
MATCH(V$8,'KPI Analysis'!$AH$7:$CM$7,FALSE)
)="A"),
INDEX('KPI Analysis'!$AH$7:$CM$123,MATCH($A24,'KPI Analysis'!$AH$7:$AH$123,FALSE),MATCH(V$8,'KPI Analysis'!$AH$7:$CM$7,FALSE)),"")</f>
        <v>R</v>
      </c>
      <c r="W24" s="561">
        <f>INDEX('KPI Analysis'!$CO$7:$EU$123,MATCH($A24,'KPI Analysis'!$CO$7:$CO$123,FALSE),MATCH(V$8,'KPI Analysis'!$CO$7:$EU$7,FALSE))</f>
        <v>0.90159064415447676</v>
      </c>
      <c r="X24" s="560" t="str">
        <f>IF(
OR(
INDEX('KPI Analysis'!$AH$7:$CM$123,
MATCH($A24,'KPI Analysis'!$AH$7:$AH$123,FALSE),
MATCH(X$8,'KPI Analysis'!$AH$7:$CM$7,FALSE)
)="R",
INDEX('KPI Analysis'!$AH$7:$CM$123,
MATCH($A24,'KPI Analysis'!$AH$7:$AH$123,FALSE),
MATCH(X$8,'KPI Analysis'!$AH$7:$CM$7,FALSE)
)="G",
INDEX('KPI Analysis'!$AH$7:$CM$123,
MATCH($A24,'KPI Analysis'!$AH$7:$AH$123,FALSE),
MATCH(X$8,'KPI Analysis'!$AH$7:$CM$7,FALSE)
)="A"),
INDEX('KPI Analysis'!$AH$7:$CM$123,MATCH($A24,'KPI Analysis'!$AH$7:$AH$123,FALSE),MATCH(X$8,'KPI Analysis'!$AH$7:$CM$7,FALSE)),"")</f>
        <v>R</v>
      </c>
      <c r="Y24" s="561">
        <f>INDEX('KPI Analysis'!$CO$7:$EU$123,MATCH($A24,'KPI Analysis'!$CO$7:$CO$123,FALSE),MATCH(X$8,'KPI Analysis'!$CO$7:$EU$7,FALSE))</f>
        <v>0.8239113687222569</v>
      </c>
      <c r="Z24" s="141"/>
      <c r="AC24" s="648" t="s">
        <v>639</v>
      </c>
      <c r="AE24" s="327">
        <f>INDEX('KPI Analysis'!$CO$7:$EU$123,MATCH($A24,'KPI Analysis'!$CO$7:$CO$123,FALSE),MATCH(AE$8,'KPI Analysis'!$CO$7:$EU$7,FALSE))</f>
        <v>1.2124864459087497</v>
      </c>
      <c r="AF24" s="328">
        <f>INDEX('KPI Analysis'!$CO$7:$EU$123,MATCH($A24,'KPI Analysis'!$CO$7:$CO$123,FALSE),MATCH(AF$8,'KPI Analysis'!$CO$7:$EU$7,FALSE))</f>
        <v>1.377287903777304</v>
      </c>
      <c r="AG24" s="328">
        <f>INDEX('KPI Analysis'!$CO$7:$EU$123,MATCH($A24,'KPI Analysis'!$CO$7:$CO$123,FALSE),MATCH(AG$8,'KPI Analysis'!$CO$7:$EU$7,FALSE))</f>
        <v>0.9837238073146215</v>
      </c>
      <c r="AH24" s="328">
        <f>INDEX('KPI Analysis'!$CO$7:$EU$123,MATCH($A24,'KPI Analysis'!$CO$7:$CO$123,FALSE),MATCH(AH$8,'KPI Analysis'!$CO$7:$EU$7,FALSE))</f>
        <v>0.90159064415447676</v>
      </c>
      <c r="AI24" s="328">
        <f>INDEX('KPI Analysis'!$CO$7:$EU$123,MATCH($A24,'KPI Analysis'!$CO$7:$CO$123,FALSE),MATCH(AI$8,'KPI Analysis'!$CO$7:$EU$7,FALSE))</f>
        <v>0.8239113687222569</v>
      </c>
    </row>
    <row r="25" spans="1:35" x14ac:dyDescent="0.3">
      <c r="A25" t="str">
        <f t="shared" si="0"/>
        <v>SOP-KPI D1</v>
      </c>
      <c r="B25" s="169" t="str">
        <f>+'KPI Stats'!G24</f>
        <v>Under</v>
      </c>
      <c r="C25" s="148" t="str">
        <f>+'KPI Stats'!C24</f>
        <v>KPI D1</v>
      </c>
      <c r="F25" s="865" t="str">
        <f>+'KPI Stats'!B22</f>
        <v>SOP</v>
      </c>
      <c r="G25" s="868" t="str">
        <f>+'KPI Stats'!C22</f>
        <v>Sam Westwood</v>
      </c>
      <c r="H25" s="617" t="s">
        <v>526</v>
      </c>
      <c r="I25" s="465">
        <f>+'KPI Stats'!F22</f>
        <v>42</v>
      </c>
      <c r="J25" s="144" t="str">
        <f>+'KPI Stats'!D24</f>
        <v>Delivery</v>
      </c>
      <c r="K25" s="144" t="str">
        <f>+'KPI Stats'!E24</f>
        <v>Order Cleansing On Target / In Full (OTIF) days to complete</v>
      </c>
      <c r="L25" s="145" t="str">
        <f>+'KPI Stats'!F24</f>
        <v>Percentage</v>
      </c>
      <c r="M25" s="510" t="s">
        <v>247</v>
      </c>
      <c r="P25" s="607" t="str">
        <f>IF(
OR(
INDEX('KPI Analysis'!$AH$7:$CM$123,
MATCH($A25,'KPI Analysis'!$AH$7:$AH$123,FALSE),
MATCH(P$8,'KPI Analysis'!$AH$7:$CM$7,FALSE)
)="R",
INDEX('KPI Analysis'!$AH$7:$CM$123,
MATCH($A25,'KPI Analysis'!$AH$7:$AH$123,FALSE),
MATCH(P$8,'KPI Analysis'!$AH$7:$CM$7,FALSE)
)="G",
INDEX('KPI Analysis'!$AH$7:$CM$123,
MATCH($A25,'KPI Analysis'!$AH$7:$AH$123,FALSE),
MATCH(P$8,'KPI Analysis'!$AH$7:$CM$7,FALSE)
)="A"),
INDEX('KPI Analysis'!$AH$7:$CM$123,MATCH($A25,'KPI Analysis'!$AH$7:$AH$123,FALSE),MATCH(P$8,'KPI Analysis'!$AH$7:$CM$7,FALSE)),"")</f>
        <v>R</v>
      </c>
      <c r="Q25" s="563">
        <f>INDEX('KPI Analysis'!$EW$7:$HC$123,MATCH($A25,'KPI Analysis'!$EW$7:$EW$123,FALSE),MATCH(P$8,'KPI Analysis'!$EW$7:$HC$7,FALSE))</f>
        <v>0.38709677419354838</v>
      </c>
      <c r="R25" s="607" t="str">
        <f>IF(
OR(
INDEX('KPI Analysis'!$AH$7:$CM$123,
MATCH($A25,'KPI Analysis'!$AH$7:$AH$123,FALSE),
MATCH(R$8,'KPI Analysis'!$AH$7:$CM$7,FALSE)
)="R",
INDEX('KPI Analysis'!$AH$7:$CM$123,
MATCH($A25,'KPI Analysis'!$AH$7:$AH$123,FALSE),
MATCH(R$8,'KPI Analysis'!$AH$7:$CM$7,FALSE)
)="G",
INDEX('KPI Analysis'!$AH$7:$CM$123,
MATCH($A25,'KPI Analysis'!$AH$7:$AH$123,FALSE),
MATCH(R$8,'KPI Analysis'!$AH$7:$CM$7,FALSE)
)="A"),
INDEX('KPI Analysis'!$AH$7:$CM$123,MATCH($A25,'KPI Analysis'!$AH$7:$AH$123,FALSE),MATCH(R$8,'KPI Analysis'!$AH$7:$CM$7,FALSE)),"")</f>
        <v>R</v>
      </c>
      <c r="S25" s="563">
        <f>INDEX('KPI Analysis'!$EW$7:$HC$123,MATCH($A25,'KPI Analysis'!$EW$7:$EW$123,FALSE),MATCH(R$8,'KPI Analysis'!$EW$7:$HC$7,FALSE))</f>
        <v>0.57692307692307687</v>
      </c>
      <c r="T25" s="607" t="str">
        <f>IF(
OR(
INDEX('KPI Analysis'!$AH$7:$CM$123,
MATCH($A25,'KPI Analysis'!$AH$7:$AH$123,FALSE),
MATCH(T$8,'KPI Analysis'!$AH$7:$CM$7,FALSE)
)="R",
INDEX('KPI Analysis'!$AH$7:$CM$123,
MATCH($A25,'KPI Analysis'!$AH$7:$AH$123,FALSE),
MATCH(T$8,'KPI Analysis'!$AH$7:$CM$7,FALSE)
)="G",
INDEX('KPI Analysis'!$AH$7:$CM$123,
MATCH($A25,'KPI Analysis'!$AH$7:$AH$123,FALSE),
MATCH(T$8,'KPI Analysis'!$AH$7:$CM$7,FALSE)
)="A"),
INDEX('KPI Analysis'!$AH$7:$CM$123,MATCH($A25,'KPI Analysis'!$AH$7:$AH$123,FALSE),MATCH(T$8,'KPI Analysis'!$AH$7:$CM$7,FALSE)),"")</f>
        <v>G</v>
      </c>
      <c r="U25" s="563">
        <f>INDEX('KPI Analysis'!$EW$7:$HC$123,MATCH($A25,'KPI Analysis'!$EW$7:$EW$123,FALSE),MATCH(T$8,'KPI Analysis'!$EW$7:$HC$7,FALSE))</f>
        <v>1</v>
      </c>
      <c r="V25" s="607" t="str">
        <f>IF(
OR(
INDEX('KPI Analysis'!$AH$7:$CM$123,
MATCH($A25,'KPI Analysis'!$AH$7:$AH$123,FALSE),
MATCH(V$8,'KPI Analysis'!$AH$7:$CM$7,FALSE)
)="R",
INDEX('KPI Analysis'!$AH$7:$CM$123,
MATCH($A25,'KPI Analysis'!$AH$7:$AH$123,FALSE),
MATCH(V$8,'KPI Analysis'!$AH$7:$CM$7,FALSE)
)="G",
INDEX('KPI Analysis'!$AH$7:$CM$123,
MATCH($A25,'KPI Analysis'!$AH$7:$AH$123,FALSE),
MATCH(V$8,'KPI Analysis'!$AH$7:$CM$7,FALSE)
)="A"),
INDEX('KPI Analysis'!$AH$7:$CM$123,MATCH($A25,'KPI Analysis'!$AH$7:$AH$123,FALSE),MATCH(V$8,'KPI Analysis'!$AH$7:$CM$7,FALSE)),"")</f>
        <v>G</v>
      </c>
      <c r="W25" s="563">
        <f>INDEX('KPI Analysis'!$EW$7:$HC$123,MATCH($A25,'KPI Analysis'!$EW$7:$EW$123,FALSE),MATCH(V$8,'KPI Analysis'!$EW$7:$HC$7,FALSE))</f>
        <v>1</v>
      </c>
      <c r="X25" s="607" t="str">
        <f>IF(
OR(
INDEX('KPI Analysis'!$AH$7:$CM$123,
MATCH($A25,'KPI Analysis'!$AH$7:$AH$123,FALSE),
MATCH(X$8,'KPI Analysis'!$AH$7:$CM$7,FALSE)
)="R",
INDEX('KPI Analysis'!$AH$7:$CM$123,
MATCH($A25,'KPI Analysis'!$AH$7:$AH$123,FALSE),
MATCH(X$8,'KPI Analysis'!$AH$7:$CM$7,FALSE)
)="G",
INDEX('KPI Analysis'!$AH$7:$CM$123,
MATCH($A25,'KPI Analysis'!$AH$7:$AH$123,FALSE),
MATCH(X$8,'KPI Analysis'!$AH$7:$CM$7,FALSE)
)="A"),
INDEX('KPI Analysis'!$AH$7:$CM$123,MATCH($A25,'KPI Analysis'!$AH$7:$AH$123,FALSE),MATCH(X$8,'KPI Analysis'!$AH$7:$CM$7,FALSE)),"")</f>
        <v>G</v>
      </c>
      <c r="Y25" s="563">
        <f>IF(INDEX('KPI Analysis'!$CO$7:$EU$123,MATCH($A25,'KPI Analysis'!$CO$7:$CO$123,FALSE),MATCH(X$8,'KPI Analysis'!$CO$7:$EU$7,FALSE))="OD","OD",INDEX('KPI Analysis'!$EW$7:$HC$123,MATCH($A25,'KPI Analysis'!$EW$7:$EW$123,FALSE),MATCH(X$8,'KPI Analysis'!$EW$7:$HC$7,FALSE)))</f>
        <v>1</v>
      </c>
      <c r="Z25" s="148" t="s">
        <v>670</v>
      </c>
      <c r="AC25" s="648" t="s">
        <v>638</v>
      </c>
      <c r="AE25" s="323">
        <f>INDEX('KPI Analysis'!$CO$7:$EU$123,MATCH($A25,'KPI Analysis'!$CO$7:$CO$123,FALSE),MATCH(AE$8,'KPI Analysis'!$CO$7:$EU$7,FALSE))</f>
        <v>0.40747028862478779</v>
      </c>
      <c r="AF25" s="315">
        <f>INDEX('KPI Analysis'!$CO$7:$EU$123,MATCH($A25,'KPI Analysis'!$CO$7:$CO$123,FALSE),MATCH(AF$8,'KPI Analysis'!$CO$7:$EU$7,FALSE))</f>
        <v>0.60728744939271251</v>
      </c>
      <c r="AG25" s="315">
        <f>INDEX('KPI Analysis'!$CO$7:$EU$123,MATCH($A25,'KPI Analysis'!$CO$7:$CO$123,FALSE),MATCH(AG$8,'KPI Analysis'!$CO$7:$EU$7,FALSE))</f>
        <v>1.0526315789473684</v>
      </c>
      <c r="AH25" s="315">
        <f>INDEX('KPI Analysis'!$CO$7:$EU$123,MATCH($A25,'KPI Analysis'!$CO$7:$CO$123,FALSE),MATCH(AH$8,'KPI Analysis'!$CO$7:$EU$7,FALSE))</f>
        <v>1.0526315789473684</v>
      </c>
      <c r="AI25" s="315">
        <f>INDEX('KPI Analysis'!$CO$7:$EU$123,MATCH($A25,'KPI Analysis'!$CO$7:$CO$123,FALSE),MATCH(AI$8,'KPI Analysis'!$CO$7:$EU$7,FALSE))</f>
        <v>1.0526315789473684</v>
      </c>
    </row>
    <row r="26" spans="1:35" x14ac:dyDescent="0.3">
      <c r="A26" t="str">
        <f>F24&amp;"-"&amp;C26</f>
        <v>SOP-KPI D2</v>
      </c>
      <c r="B26" s="169" t="str">
        <f>+'KPI Stats'!G25</f>
        <v>Under</v>
      </c>
      <c r="C26" s="148" t="str">
        <f>+'KPI Stats'!C25</f>
        <v>KPI D2</v>
      </c>
      <c r="F26" s="865"/>
      <c r="G26" s="868"/>
      <c r="H26" s="617" t="s">
        <v>526</v>
      </c>
      <c r="I26" s="465">
        <f>+'KPI Stats'!F22</f>
        <v>42</v>
      </c>
      <c r="J26" s="144" t="str">
        <f>+'KPI Stats'!D25</f>
        <v>Delivery</v>
      </c>
      <c r="K26" s="144" t="str">
        <f>+'KPI Stats'!E25</f>
        <v>Order Sign off On Target / In Full (OTIF) days to complete</v>
      </c>
      <c r="L26" s="145" t="str">
        <f>+'KPI Stats'!F25</f>
        <v>Percentage</v>
      </c>
      <c r="M26" s="510" t="s">
        <v>247</v>
      </c>
      <c r="P26" s="607" t="str">
        <f>IF(
OR(
INDEX('KPI Analysis'!$AH$7:$CM$123,
MATCH($A26,'KPI Analysis'!$AH$7:$AH$123,FALSE),
MATCH(P$8,'KPI Analysis'!$AH$7:$CM$7,FALSE)
)="R",
INDEX('KPI Analysis'!$AH$7:$CM$123,
MATCH($A26,'KPI Analysis'!$AH$7:$AH$123,FALSE),
MATCH(P$8,'KPI Analysis'!$AH$7:$CM$7,FALSE)
)="G",
INDEX('KPI Analysis'!$AH$7:$CM$123,
MATCH($A26,'KPI Analysis'!$AH$7:$AH$123,FALSE),
MATCH(P$8,'KPI Analysis'!$AH$7:$CM$7,FALSE)
)="A"),
INDEX('KPI Analysis'!$AH$7:$CM$123,MATCH($A26,'KPI Analysis'!$AH$7:$AH$123,FALSE),MATCH(P$8,'KPI Analysis'!$AH$7:$CM$7,FALSE)),"")</f>
        <v>R</v>
      </c>
      <c r="Q26" s="563">
        <f>INDEX('KPI Analysis'!$EW$7:$HC$123,MATCH($A26,'KPI Analysis'!$EW$7:$EW$123,FALSE),MATCH(P$8,'KPI Analysis'!$EW$7:$HC$7,FALSE))</f>
        <v>0.80645161290322576</v>
      </c>
      <c r="R26" s="607" t="str">
        <f>IF(
OR(
INDEX('KPI Analysis'!$AH$7:$CM$123,
MATCH($A26,'KPI Analysis'!$AH$7:$AH$123,FALSE),
MATCH(R$8,'KPI Analysis'!$AH$7:$CM$7,FALSE)
)="R",
INDEX('KPI Analysis'!$AH$7:$CM$123,
MATCH($A26,'KPI Analysis'!$AH$7:$AH$123,FALSE),
MATCH(R$8,'KPI Analysis'!$AH$7:$CM$7,FALSE)
)="G",
INDEX('KPI Analysis'!$AH$7:$CM$123,
MATCH($A26,'KPI Analysis'!$AH$7:$AH$123,FALSE),
MATCH(R$8,'KPI Analysis'!$AH$7:$CM$7,FALSE)
)="A"),
INDEX('KPI Analysis'!$AH$7:$CM$123,MATCH($A26,'KPI Analysis'!$AH$7:$AH$123,FALSE),MATCH(R$8,'KPI Analysis'!$AH$7:$CM$7,FALSE)),"")</f>
        <v>R</v>
      </c>
      <c r="S26" s="563">
        <f>INDEX('KPI Analysis'!$EW$7:$HC$123,MATCH($A26,'KPI Analysis'!$EW$7:$EW$123,FALSE),MATCH(R$8,'KPI Analysis'!$EW$7:$HC$7,FALSE))</f>
        <v>0.75</v>
      </c>
      <c r="T26" s="607" t="str">
        <f>IF(
OR(
INDEX('KPI Analysis'!$AH$7:$CM$123,
MATCH($A26,'KPI Analysis'!$AH$7:$AH$123,FALSE),
MATCH(T$8,'KPI Analysis'!$AH$7:$CM$7,FALSE)
)="R",
INDEX('KPI Analysis'!$AH$7:$CM$123,
MATCH($A26,'KPI Analysis'!$AH$7:$AH$123,FALSE),
MATCH(T$8,'KPI Analysis'!$AH$7:$CM$7,FALSE)
)="G",
INDEX('KPI Analysis'!$AH$7:$CM$123,
MATCH($A26,'KPI Analysis'!$AH$7:$AH$123,FALSE),
MATCH(T$8,'KPI Analysis'!$AH$7:$CM$7,FALSE)
)="A"),
INDEX('KPI Analysis'!$AH$7:$CM$123,MATCH($A26,'KPI Analysis'!$AH$7:$AH$123,FALSE),MATCH(T$8,'KPI Analysis'!$AH$7:$CM$7,FALSE)),"")</f>
        <v>A</v>
      </c>
      <c r="U26" s="563">
        <f>INDEX('KPI Analysis'!$EW$7:$HC$123,MATCH($A26,'KPI Analysis'!$EW$7:$EW$123,FALSE),MATCH(T$8,'KPI Analysis'!$EW$7:$HC$7,FALSE))</f>
        <v>0.91666666666666663</v>
      </c>
      <c r="V26" s="607" t="str">
        <f>IF(
OR(
INDEX('KPI Analysis'!$AH$7:$CM$123,
MATCH($A26,'KPI Analysis'!$AH$7:$AH$123,FALSE),
MATCH(V$8,'KPI Analysis'!$AH$7:$CM$7,FALSE)
)="R",
INDEX('KPI Analysis'!$AH$7:$CM$123,
MATCH($A26,'KPI Analysis'!$AH$7:$AH$123,FALSE),
MATCH(V$8,'KPI Analysis'!$AH$7:$CM$7,FALSE)
)="G",
INDEX('KPI Analysis'!$AH$7:$CM$123,
MATCH($A26,'KPI Analysis'!$AH$7:$AH$123,FALSE),
MATCH(V$8,'KPI Analysis'!$AH$7:$CM$7,FALSE)
)="A"),
INDEX('KPI Analysis'!$AH$7:$CM$123,MATCH($A26,'KPI Analysis'!$AH$7:$AH$123,FALSE),MATCH(V$8,'KPI Analysis'!$AH$7:$CM$7,FALSE)),"")</f>
        <v>R</v>
      </c>
      <c r="W26" s="563">
        <f>INDEX('KPI Analysis'!$EW$7:$HC$123,MATCH($A26,'KPI Analysis'!$EW$7:$EW$123,FALSE),MATCH(V$8,'KPI Analysis'!$EW$7:$HC$7,FALSE))</f>
        <v>0.875</v>
      </c>
      <c r="X26" s="607" t="str">
        <f>IF(
OR(
INDEX('KPI Analysis'!$AH$7:$CM$123,
MATCH($A26,'KPI Analysis'!$AH$7:$AH$123,FALSE),
MATCH(X$8,'KPI Analysis'!$AH$7:$CM$7,FALSE)
)="R",
INDEX('KPI Analysis'!$AH$7:$CM$123,
MATCH($A26,'KPI Analysis'!$AH$7:$AH$123,FALSE),
MATCH(X$8,'KPI Analysis'!$AH$7:$CM$7,FALSE)
)="G",
INDEX('KPI Analysis'!$AH$7:$CM$123,
MATCH($A26,'KPI Analysis'!$AH$7:$AH$123,FALSE),
MATCH(X$8,'KPI Analysis'!$AH$7:$CM$7,FALSE)
)="A"),
INDEX('KPI Analysis'!$AH$7:$CM$123,MATCH($A26,'KPI Analysis'!$AH$7:$AH$123,FALSE),MATCH(X$8,'KPI Analysis'!$AH$7:$CM$7,FALSE)),"")</f>
        <v>G</v>
      </c>
      <c r="Y26" s="563">
        <f>IF(INDEX('KPI Analysis'!$CO$7:$EU$123,MATCH($A26,'KPI Analysis'!$CO$7:$CO$123,FALSE),MATCH(X$8,'KPI Analysis'!$CO$7:$EU$7,FALSE))="OD","OD",INDEX('KPI Analysis'!$EW$7:$HC$123,MATCH($A26,'KPI Analysis'!$EW$7:$EW$123,FALSE),MATCH(X$8,'KPI Analysis'!$EW$7:$HC$7,FALSE)))</f>
        <v>1</v>
      </c>
      <c r="Z26" s="148" t="s">
        <v>669</v>
      </c>
      <c r="AC26" s="648" t="s">
        <v>638</v>
      </c>
      <c r="AE26" s="323">
        <f>INDEX('KPI Analysis'!$CO$7:$EU$123,MATCH($A26,'KPI Analysis'!$CO$7:$CO$123,FALSE),MATCH(AE$8,'KPI Analysis'!$CO$7:$EU$7,FALSE))</f>
        <v>0.84889643463497455</v>
      </c>
      <c r="AF26" s="315">
        <f>INDEX('KPI Analysis'!$CO$7:$EU$123,MATCH($A26,'KPI Analysis'!$CO$7:$CO$123,FALSE),MATCH(AF$8,'KPI Analysis'!$CO$7:$EU$7,FALSE))</f>
        <v>0.78947368421052633</v>
      </c>
      <c r="AG26" s="315">
        <f>INDEX('KPI Analysis'!$CO$7:$EU$123,MATCH($A26,'KPI Analysis'!$CO$7:$CO$123,FALSE),MATCH(AG$8,'KPI Analysis'!$CO$7:$EU$7,FALSE))</f>
        <v>0.96491228070175439</v>
      </c>
      <c r="AH26" s="315">
        <f>INDEX('KPI Analysis'!$CO$7:$EU$123,MATCH($A26,'KPI Analysis'!$CO$7:$CO$123,FALSE),MATCH(AH$8,'KPI Analysis'!$CO$7:$EU$7,FALSE))</f>
        <v>0.92105263157894746</v>
      </c>
      <c r="AI26" s="315">
        <f>INDEX('KPI Analysis'!$CO$7:$EU$123,MATCH($A26,'KPI Analysis'!$CO$7:$CO$123,FALSE),MATCH(AI$8,'KPI Analysis'!$CO$7:$EU$7,FALSE))</f>
        <v>1.0526315789473684</v>
      </c>
    </row>
    <row r="27" spans="1:35" x14ac:dyDescent="0.3">
      <c r="A27" t="str">
        <f t="shared" si="0"/>
        <v>SOP-KPI Q1</v>
      </c>
      <c r="B27" s="169" t="str">
        <f>+'KPI Stats'!G26</f>
        <v>Above Zero</v>
      </c>
      <c r="C27" s="148" t="str">
        <f>+'KPI Stats'!C26</f>
        <v>KPI Q1</v>
      </c>
      <c r="F27" s="865" t="str">
        <f>+'KPI Stats'!B22</f>
        <v>SOP</v>
      </c>
      <c r="G27" s="868" t="str">
        <f>+'KPI Stats'!C22</f>
        <v>Sam Westwood</v>
      </c>
      <c r="H27" s="617" t="s">
        <v>526</v>
      </c>
      <c r="I27" s="465">
        <f>+'KPI Stats'!F22</f>
        <v>42</v>
      </c>
      <c r="J27" s="144" t="str">
        <f>+'KPI Stats'!D26</f>
        <v>Quality</v>
      </c>
      <c r="K27" s="144" t="str">
        <f>+'KPI Stats'!E26</f>
        <v>Customer Complaints</v>
      </c>
      <c r="L27" s="145" t="str">
        <f>+'KPI Stats'!F26</f>
        <v>Count</v>
      </c>
      <c r="M27" s="512" t="str">
        <f>INDEX('KPI Analysis'!$CO$7:$EU$123,MATCH($A27,'KPI Analysis'!$CO$7:$CO$123,FALSE),MATCH(M$8,'KPI Analysis'!$CO$7:$EU$7,FALSE))</f>
        <v>Act Result</v>
      </c>
      <c r="P27" s="562" t="str">
        <f>IF(
OR(
INDEX('KPI Analysis'!$AH$7:$CM$123,
MATCH($A27,'KPI Analysis'!$AH$7:$AH$123,FALSE),
MATCH(P$8,'KPI Analysis'!$AH$7:$CM$7,FALSE)
)="R",
INDEX('KPI Analysis'!$AH$7:$CM$123,
MATCH($A27,'KPI Analysis'!$AH$7:$AH$123,FALSE),
MATCH(P$8,'KPI Analysis'!$AH$7:$CM$7,FALSE)
)="G",
INDEX('KPI Analysis'!$AH$7:$CM$123,
MATCH($A27,'KPI Analysis'!$AH$7:$AH$123,FALSE),
MATCH(P$8,'KPI Analysis'!$AH$7:$CM$7,FALSE)
)="A"),
INDEX('KPI Analysis'!$AH$7:$CM$123,MATCH($A27,'KPI Analysis'!$AH$7:$AH$123,FALSE),MATCH(P$8,'KPI Analysis'!$AH$7:$CM$7,FALSE)),"")</f>
        <v>R</v>
      </c>
      <c r="Q27" s="567">
        <f>INDEX('KPI Analysis'!$EW$7:$HC$123,MATCH($A27,'KPI Analysis'!$EW$7:$EW$123,FALSE),MATCH(P$8,'KPI Analysis'!$EW$7:$HC$7,FALSE))</f>
        <v>1</v>
      </c>
      <c r="R27" s="562" t="str">
        <f>IF(
OR(
INDEX('KPI Analysis'!$AH$7:$CM$123,
MATCH($A27,'KPI Analysis'!$AH$7:$AH$123,FALSE),
MATCH(R$8,'KPI Analysis'!$AH$7:$CM$7,FALSE)
)="R",
INDEX('KPI Analysis'!$AH$7:$CM$123,
MATCH($A27,'KPI Analysis'!$AH$7:$AH$123,FALSE),
MATCH(R$8,'KPI Analysis'!$AH$7:$CM$7,FALSE)
)="G",
INDEX('KPI Analysis'!$AH$7:$CM$123,
MATCH($A27,'KPI Analysis'!$AH$7:$AH$123,FALSE),
MATCH(R$8,'KPI Analysis'!$AH$7:$CM$7,FALSE)
)="A"),
INDEX('KPI Analysis'!$AH$7:$CM$123,MATCH($A27,'KPI Analysis'!$AH$7:$AH$123,FALSE),MATCH(R$8,'KPI Analysis'!$AH$7:$CM$7,FALSE)),"")</f>
        <v>R</v>
      </c>
      <c r="S27" s="567">
        <f>INDEX('KPI Analysis'!$EW$7:$HC$123,MATCH($A27,'KPI Analysis'!$EW$7:$EW$123,FALSE),MATCH(R$8,'KPI Analysis'!$EW$7:$HC$7,FALSE))</f>
        <v>3</v>
      </c>
      <c r="T27" s="562" t="str">
        <f>IF(
OR(
INDEX('KPI Analysis'!$AH$7:$CM$123,
MATCH($A27,'KPI Analysis'!$AH$7:$AH$123,FALSE),
MATCH(T$8,'KPI Analysis'!$AH$7:$CM$7,FALSE)
)="R",
INDEX('KPI Analysis'!$AH$7:$CM$123,
MATCH($A27,'KPI Analysis'!$AH$7:$AH$123,FALSE),
MATCH(T$8,'KPI Analysis'!$AH$7:$CM$7,FALSE)
)="G",
INDEX('KPI Analysis'!$AH$7:$CM$123,
MATCH($A27,'KPI Analysis'!$AH$7:$AH$123,FALSE),
MATCH(T$8,'KPI Analysis'!$AH$7:$CM$7,FALSE)
)="A"),
INDEX('KPI Analysis'!$AH$7:$CM$123,MATCH($A27,'KPI Analysis'!$AH$7:$AH$123,FALSE),MATCH(T$8,'KPI Analysis'!$AH$7:$CM$7,FALSE)),"")</f>
        <v>R</v>
      </c>
      <c r="U27" s="567">
        <f>INDEX('KPI Analysis'!$EW$7:$HC$123,MATCH($A27,'KPI Analysis'!$EW$7:$EW$123,FALSE),MATCH(T$8,'KPI Analysis'!$EW$7:$HC$7,FALSE))</f>
        <v>2</v>
      </c>
      <c r="V27" s="562" t="str">
        <f>IF(
OR(
INDEX('KPI Analysis'!$AH$7:$CM$123,
MATCH($A27,'KPI Analysis'!$AH$7:$AH$123,FALSE),
MATCH(V$8,'KPI Analysis'!$AH$7:$CM$7,FALSE)
)="R",
INDEX('KPI Analysis'!$AH$7:$CM$123,
MATCH($A27,'KPI Analysis'!$AH$7:$AH$123,FALSE),
MATCH(V$8,'KPI Analysis'!$AH$7:$CM$7,FALSE)
)="G",
INDEX('KPI Analysis'!$AH$7:$CM$123,
MATCH($A27,'KPI Analysis'!$AH$7:$AH$123,FALSE),
MATCH(V$8,'KPI Analysis'!$AH$7:$CM$7,FALSE)
)="A"),
INDEX('KPI Analysis'!$AH$7:$CM$123,MATCH($A27,'KPI Analysis'!$AH$7:$AH$123,FALSE),MATCH(V$8,'KPI Analysis'!$AH$7:$CM$7,FALSE)),"")</f>
        <v>R</v>
      </c>
      <c r="W27" s="567">
        <f>INDEX('KPI Analysis'!$EW$7:$HC$123,MATCH($A27,'KPI Analysis'!$EW$7:$EW$123,FALSE),MATCH(V$8,'KPI Analysis'!$EW$7:$HC$7,FALSE))</f>
        <v>4</v>
      </c>
      <c r="X27" s="562" t="str">
        <f>IF(
OR(
INDEX('KPI Analysis'!$AH$7:$CM$123,
MATCH($A27,'KPI Analysis'!$AH$7:$AH$123,FALSE),
MATCH(X$8,'KPI Analysis'!$AH$7:$CM$7,FALSE)
)="R",
INDEX('KPI Analysis'!$AH$7:$CM$123,
MATCH($A27,'KPI Analysis'!$AH$7:$AH$123,FALSE),
MATCH(X$8,'KPI Analysis'!$AH$7:$CM$7,FALSE)
)="G",
INDEX('KPI Analysis'!$AH$7:$CM$123,
MATCH($A27,'KPI Analysis'!$AH$7:$AH$123,FALSE),
MATCH(X$8,'KPI Analysis'!$AH$7:$CM$7,FALSE)
)="A"),
INDEX('KPI Analysis'!$AH$7:$CM$123,MATCH($A27,'KPI Analysis'!$AH$7:$AH$123,FALSE),MATCH(X$8,'KPI Analysis'!$AH$7:$CM$7,FALSE)),"")</f>
        <v>G</v>
      </c>
      <c r="Y27" s="567">
        <f>IF(INDEX('KPI Analysis'!$CO$7:$EU$123,MATCH($A27,'KPI Analysis'!$CO$7:$CO$123,FALSE),MATCH(X$8,'KPI Analysis'!$CO$7:$EU$7,FALSE))="OD","OD",INDEX('KPI Analysis'!$EW$7:$HC$123,MATCH($A27,'KPI Analysis'!$EW$7:$EW$123,FALSE),MATCH(X$8,'KPI Analysis'!$EW$7:$HC$7,FALSE)))</f>
        <v>0</v>
      </c>
      <c r="Z27" s="552" t="s">
        <v>619</v>
      </c>
      <c r="AC27" s="648" t="s">
        <v>638</v>
      </c>
      <c r="AE27" s="546">
        <f>INDEX('KPI Analysis'!$CO$7:$EU$123,MATCH($A27,'KPI Analysis'!$CO$7:$CO$123,FALSE),MATCH(AE$8,'KPI Analysis'!$CO$7:$EU$7,FALSE))</f>
        <v>1</v>
      </c>
      <c r="AF27" s="547">
        <f>INDEX('KPI Analysis'!$CO$7:$EU$123,MATCH($A27,'KPI Analysis'!$CO$7:$CO$123,FALSE),MATCH(AF$8,'KPI Analysis'!$CO$7:$EU$7,FALSE))</f>
        <v>3</v>
      </c>
      <c r="AG27" s="547">
        <f>INDEX('KPI Analysis'!$CO$7:$EU$123,MATCH($A27,'KPI Analysis'!$CO$7:$CO$123,FALSE),MATCH(AG$8,'KPI Analysis'!$CO$7:$EU$7,FALSE))</f>
        <v>2</v>
      </c>
      <c r="AH27" s="547">
        <f>INDEX('KPI Analysis'!$CO$7:$EU$123,MATCH($A27,'KPI Analysis'!$CO$7:$CO$123,FALSE),MATCH(AH$8,'KPI Analysis'!$CO$7:$EU$7,FALSE))</f>
        <v>4</v>
      </c>
      <c r="AI27" s="547">
        <f>INDEX('KPI Analysis'!$CO$7:$EU$123,MATCH($A27,'KPI Analysis'!$CO$7:$CO$123,FALSE),MATCH(AI$8,'KPI Analysis'!$CO$7:$EU$7,FALSE))</f>
        <v>0</v>
      </c>
    </row>
    <row r="28" spans="1:35" s="467" customFormat="1" ht="15" thickBot="1" x14ac:dyDescent="0.35">
      <c r="A28" t="str">
        <f t="shared" si="0"/>
        <v>SOP-KPI C1</v>
      </c>
      <c r="B28" s="470" t="str">
        <f>+'KPI Stats'!G27</f>
        <v>Under</v>
      </c>
      <c r="C28" s="823" t="str">
        <f>+'KPI Stats'!C27</f>
        <v>KPI C1</v>
      </c>
      <c r="D28"/>
      <c r="E28"/>
      <c r="F28" s="866" t="str">
        <f>+'KPI Stats'!B22</f>
        <v>SOP</v>
      </c>
      <c r="G28" s="869" t="str">
        <f>+'KPI Stats'!C22</f>
        <v>Sam Westwood</v>
      </c>
      <c r="H28" s="619" t="s">
        <v>526</v>
      </c>
      <c r="I28" s="398">
        <f>+'KPI Stats'!F22</f>
        <v>42</v>
      </c>
      <c r="J28" s="468" t="str">
        <f>+'KPI Stats'!D27</f>
        <v>Cost</v>
      </c>
      <c r="K28" s="146" t="str">
        <f>+'KPI Stats'!E27</f>
        <v>Order Value completed per FTE head</v>
      </c>
      <c r="L28" s="469" t="str">
        <f>+'KPI Stats'!F27</f>
        <v>£'s</v>
      </c>
      <c r="M28" s="149" t="str">
        <f>INDEX('KPI Analysis'!$CO$7:$EU$123,MATCH($A28,'KPI Analysis'!$CO$7:$CO$123,FALSE),MATCH(M$8,'KPI Analysis'!$CO$7:$EU$7,FALSE))</f>
        <v>% of target</v>
      </c>
      <c r="N28"/>
      <c r="O28"/>
      <c r="P28" s="564" t="str">
        <f>IF(
OR(
INDEX('KPI Analysis'!$AH$7:$CM$123,
MATCH($A28,'KPI Analysis'!$AH$7:$AH$123,FALSE),
MATCH(P$8,'KPI Analysis'!$AH$7:$CM$7,FALSE)
)="R",
INDEX('KPI Analysis'!$AH$7:$CM$123,
MATCH($A28,'KPI Analysis'!$AH$7:$AH$123,FALSE),
MATCH(P$8,'KPI Analysis'!$AH$7:$CM$7,FALSE)
)="G",
INDEX('KPI Analysis'!$AH$7:$CM$123,
MATCH($A28,'KPI Analysis'!$AH$7:$AH$123,FALSE),
MATCH(P$8,'KPI Analysis'!$AH$7:$CM$7,FALSE)
)="A"),
INDEX('KPI Analysis'!$AH$7:$CM$123,MATCH($A28,'KPI Analysis'!$AH$7:$AH$123,FALSE),MATCH(P$8,'KPI Analysis'!$AH$7:$CM$7,FALSE)),"")</f>
        <v>G</v>
      </c>
      <c r="Q28" s="565">
        <f>INDEX('KPI Analysis'!$CO$7:$EU$123,MATCH($A28,'KPI Analysis'!$CO$7:$CO$123,FALSE),MATCH(P$8,'KPI Analysis'!$CO$7:$EU$7,FALSE))</f>
        <v>1.2945749979420049</v>
      </c>
      <c r="R28" s="564" t="str">
        <f>IF(
OR(
INDEX('KPI Analysis'!$AH$7:$CM$123,
MATCH($A28,'KPI Analysis'!$AH$7:$AH$123,FALSE),
MATCH(R$8,'KPI Analysis'!$AH$7:$CM$7,FALSE)
)="R",
INDEX('KPI Analysis'!$AH$7:$CM$123,
MATCH($A28,'KPI Analysis'!$AH$7:$AH$123,FALSE),
MATCH(R$8,'KPI Analysis'!$AH$7:$CM$7,FALSE)
)="G",
INDEX('KPI Analysis'!$AH$7:$CM$123,
MATCH($A28,'KPI Analysis'!$AH$7:$AH$123,FALSE),
MATCH(R$8,'KPI Analysis'!$AH$7:$CM$7,FALSE)
)="A"),
INDEX('KPI Analysis'!$AH$7:$CM$123,MATCH($A28,'KPI Analysis'!$AH$7:$AH$123,FALSE),MATCH(R$8,'KPI Analysis'!$AH$7:$CM$7,FALSE)),"")</f>
        <v>R</v>
      </c>
      <c r="S28" s="565">
        <f>INDEX('KPI Analysis'!$CO$7:$EU$123,MATCH($A28,'KPI Analysis'!$CO$7:$CO$123,FALSE),MATCH(R$8,'KPI Analysis'!$CO$7:$EU$7,FALSE))</f>
        <v>0.72838709985512684</v>
      </c>
      <c r="T28" s="564" t="str">
        <f>IF(
OR(
INDEX('KPI Analysis'!$AH$7:$CM$123,
MATCH($A28,'KPI Analysis'!$AH$7:$AH$123,FALSE),
MATCH(T$8,'KPI Analysis'!$AH$7:$CM$7,FALSE)
)="R",
INDEX('KPI Analysis'!$AH$7:$CM$123,
MATCH($A28,'KPI Analysis'!$AH$7:$AH$123,FALSE),
MATCH(T$8,'KPI Analysis'!$AH$7:$CM$7,FALSE)
)="G",
INDEX('KPI Analysis'!$AH$7:$CM$123,
MATCH($A28,'KPI Analysis'!$AH$7:$AH$123,FALSE),
MATCH(T$8,'KPI Analysis'!$AH$7:$CM$7,FALSE)
)="A"),
INDEX('KPI Analysis'!$AH$7:$CM$123,MATCH($A28,'KPI Analysis'!$AH$7:$AH$123,FALSE),MATCH(T$8,'KPI Analysis'!$AH$7:$CM$7,FALSE)),"")</f>
        <v>R</v>
      </c>
      <c r="U28" s="565">
        <f>INDEX('KPI Analysis'!$CO$7:$EU$123,MATCH($A28,'KPI Analysis'!$CO$7:$CO$123,FALSE),MATCH(T$8,'KPI Analysis'!$CO$7:$EU$7,FALSE))</f>
        <v>0.83726755487980808</v>
      </c>
      <c r="V28" s="564" t="str">
        <f>IF(
OR(
INDEX('KPI Analysis'!$AH$7:$CM$123,
MATCH($A28,'KPI Analysis'!$AH$7:$AH$123,FALSE),
MATCH(V$8,'KPI Analysis'!$AH$7:$CM$7,FALSE)
)="R",
INDEX('KPI Analysis'!$AH$7:$CM$123,
MATCH($A28,'KPI Analysis'!$AH$7:$AH$123,FALSE),
MATCH(V$8,'KPI Analysis'!$AH$7:$CM$7,FALSE)
)="G",
INDEX('KPI Analysis'!$AH$7:$CM$123,
MATCH($A28,'KPI Analysis'!$AH$7:$AH$123,FALSE),
MATCH(V$8,'KPI Analysis'!$AH$7:$CM$7,FALSE)
)="A"),
INDEX('KPI Analysis'!$AH$7:$CM$123,MATCH($A28,'KPI Analysis'!$AH$7:$AH$123,FALSE),MATCH(V$8,'KPI Analysis'!$AH$7:$CM$7,FALSE)),"")</f>
        <v>G</v>
      </c>
      <c r="W28" s="565">
        <f>INDEX('KPI Analysis'!$CO$7:$EU$123,MATCH($A28,'KPI Analysis'!$CO$7:$CO$123,FALSE),MATCH(V$8,'KPI Analysis'!$CO$7:$EU$7,FALSE))</f>
        <v>1.6848585001713088</v>
      </c>
      <c r="X28" s="564" t="str">
        <f>IF(
OR(
INDEX('KPI Analysis'!$AH$7:$CM$123,
MATCH($A28,'KPI Analysis'!$AH$7:$AH$123,FALSE),
MATCH(X$8,'KPI Analysis'!$AH$7:$CM$7,FALSE)
)="R",
INDEX('KPI Analysis'!$AH$7:$CM$123,
MATCH($A28,'KPI Analysis'!$AH$7:$AH$123,FALSE),
MATCH(X$8,'KPI Analysis'!$AH$7:$CM$7,FALSE)
)="G",
INDEX('KPI Analysis'!$AH$7:$CM$123,
MATCH($A28,'KPI Analysis'!$AH$7:$AH$123,FALSE),
MATCH(X$8,'KPI Analysis'!$AH$7:$CM$7,FALSE)
)="A"),
INDEX('KPI Analysis'!$AH$7:$CM$123,MATCH($A28,'KPI Analysis'!$AH$7:$AH$123,FALSE),MATCH(X$8,'KPI Analysis'!$AH$7:$CM$7,FALSE)),"")</f>
        <v>G</v>
      </c>
      <c r="Y28" s="565">
        <f>INDEX('KPI Analysis'!$CO$7:$EU$123,MATCH($A28,'KPI Analysis'!$CO$7:$CO$123,FALSE),MATCH(X$8,'KPI Analysis'!$CO$7:$EU$7,FALSE))</f>
        <v>1.3757557704907144</v>
      </c>
      <c r="Z28" s="149"/>
      <c r="AA28"/>
      <c r="AB28"/>
      <c r="AC28" s="648" t="s">
        <v>639</v>
      </c>
      <c r="AD28"/>
      <c r="AE28" s="490">
        <f>INDEX('KPI Analysis'!$CO$7:$EU$123,MATCH($A28,'KPI Analysis'!$CO$7:$CO$123,FALSE),MATCH(AE$8,'KPI Analysis'!$CO$7:$EU$7,FALSE))</f>
        <v>1.2945749979420049</v>
      </c>
      <c r="AF28" s="485">
        <f>INDEX('KPI Analysis'!$CO$7:$EU$123,MATCH($A28,'KPI Analysis'!$CO$7:$CO$123,FALSE),MATCH(AF$8,'KPI Analysis'!$CO$7:$EU$7,FALSE))</f>
        <v>0.72838709985512684</v>
      </c>
      <c r="AG28" s="485">
        <f>INDEX('KPI Analysis'!$CO$7:$EU$123,MATCH($A28,'KPI Analysis'!$CO$7:$CO$123,FALSE),MATCH(AG$8,'KPI Analysis'!$CO$7:$EU$7,FALSE))</f>
        <v>0.83726755487980808</v>
      </c>
      <c r="AH28" s="485">
        <f>INDEX('KPI Analysis'!$CO$7:$EU$123,MATCH($A28,'KPI Analysis'!$CO$7:$CO$123,FALSE),MATCH(AH$8,'KPI Analysis'!$CO$7:$EU$7,FALSE))</f>
        <v>1.6848585001713088</v>
      </c>
      <c r="AI28" s="485">
        <f>INDEX('KPI Analysis'!$CO$7:$EU$123,MATCH($A28,'KPI Analysis'!$CO$7:$CO$123,FALSE),MATCH(AI$8,'KPI Analysis'!$CO$7:$EU$7,FALSE))</f>
        <v>1.3757557704907144</v>
      </c>
    </row>
    <row r="29" spans="1:35" x14ac:dyDescent="0.3">
      <c r="H29"/>
    </row>
    <row r="30" spans="1:35" ht="15" thickBot="1" x14ac:dyDescent="0.35">
      <c r="H30"/>
    </row>
    <row r="31" spans="1:35" x14ac:dyDescent="0.3">
      <c r="A31" t="str">
        <f t="shared" si="0"/>
        <v>Design-KPI P1</v>
      </c>
      <c r="B31" s="168" t="str">
        <f>+'KPI Stats'!G30</f>
        <v>Under</v>
      </c>
      <c r="C31" s="141" t="str">
        <f>+'KPI Stats'!C30</f>
        <v>KPI P1</v>
      </c>
      <c r="F31" s="864" t="str">
        <f>+'KPI Stats'!$B$29</f>
        <v>Design</v>
      </c>
      <c r="G31" s="867" t="str">
        <f>+'KPI Stats'!$C$29</f>
        <v>Andrew Skitt</v>
      </c>
      <c r="H31" s="616" t="s">
        <v>526</v>
      </c>
      <c r="I31" s="466">
        <f>+'KPI Stats'!$F$29</f>
        <v>42</v>
      </c>
      <c r="J31" s="142" t="str">
        <f>+'KPI Stats'!D30</f>
        <v>Productivity</v>
      </c>
      <c r="K31" s="142" t="str">
        <f>+'KPI Stats'!E30</f>
        <v>Design requests closed</v>
      </c>
      <c r="L31" s="143" t="str">
        <f>+'KPI Stats'!F30</f>
        <v>Count</v>
      </c>
      <c r="M31" s="135" t="str">
        <f>INDEX('KPI Analysis'!$CO$7:$EU$123,MATCH($A31,'KPI Analysis'!$CO$7:$CO$123,FALSE),MATCH(M$8,'KPI Analysis'!$CO$7:$EU$7,FALSE))</f>
        <v>% of target</v>
      </c>
      <c r="P31" s="579" t="str">
        <f>IF(
OR(
INDEX('KPI Analysis'!$AH$7:$CM$123,
MATCH($A31,'KPI Analysis'!$AH$7:$AH$123,FALSE),
MATCH(P$8,'KPI Analysis'!$AH$7:$CM$7,FALSE)
)="R",
INDEX('KPI Analysis'!$AH$7:$CM$123,
MATCH($A31,'KPI Analysis'!$AH$7:$AH$123,FALSE),
MATCH(P$8,'KPI Analysis'!$AH$7:$CM$7,FALSE)
)="G",
INDEX('KPI Analysis'!$AH$7:$CM$123,
MATCH($A31,'KPI Analysis'!$AH$7:$AH$123,FALSE),
MATCH(P$8,'KPI Analysis'!$AH$7:$CM$7,FALSE)
)="A"),
INDEX('KPI Analysis'!$AH$7:$CM$123,MATCH($A31,'KPI Analysis'!$AH$7:$AH$123,FALSE),MATCH(P$8,'KPI Analysis'!$AH$7:$CM$7,FALSE)),"")</f>
        <v>R</v>
      </c>
      <c r="Q31" s="561">
        <f>INDEX('KPI Analysis'!$CO$7:$EU$123,MATCH($A31,'KPI Analysis'!$CO$7:$CO$123,FALSE),MATCH(P$8,'KPI Analysis'!$CO$7:$EU$7,FALSE))</f>
        <v>0.7142857142857143</v>
      </c>
      <c r="R31" s="579" t="str">
        <f>IF(
OR(
INDEX('KPI Analysis'!$AH$7:$CM$123,
MATCH($A31,'KPI Analysis'!$AH$7:$AH$123,FALSE),
MATCH(R$8,'KPI Analysis'!$AH$7:$CM$7,FALSE)
)="R",
INDEX('KPI Analysis'!$AH$7:$CM$123,
MATCH($A31,'KPI Analysis'!$AH$7:$AH$123,FALSE),
MATCH(R$8,'KPI Analysis'!$AH$7:$CM$7,FALSE)
)="G",
INDEX('KPI Analysis'!$AH$7:$CM$123,
MATCH($A31,'KPI Analysis'!$AH$7:$AH$123,FALSE),
MATCH(R$8,'KPI Analysis'!$AH$7:$CM$7,FALSE)
)="A"),
INDEX('KPI Analysis'!$AH$7:$CM$123,MATCH($A31,'KPI Analysis'!$AH$7:$AH$123,FALSE),MATCH(R$8,'KPI Analysis'!$AH$7:$CM$7,FALSE)),"")</f>
        <v>R</v>
      </c>
      <c r="S31" s="561">
        <f>INDEX('KPI Analysis'!$CO$7:$EU$123,MATCH($A31,'KPI Analysis'!$CO$7:$CO$123,FALSE),MATCH(R$8,'KPI Analysis'!$CO$7:$EU$7,FALSE))</f>
        <v>0.62857142857142856</v>
      </c>
      <c r="T31" s="579" t="str">
        <f>IF(
OR(
INDEX('KPI Analysis'!$AH$7:$CM$123,
MATCH($A31,'KPI Analysis'!$AH$7:$AH$123,FALSE),
MATCH(T$8,'KPI Analysis'!$AH$7:$CM$7,FALSE)
)="R",
INDEX('KPI Analysis'!$AH$7:$CM$123,
MATCH($A31,'KPI Analysis'!$AH$7:$AH$123,FALSE),
MATCH(T$8,'KPI Analysis'!$AH$7:$CM$7,FALSE)
)="G",
INDEX('KPI Analysis'!$AH$7:$CM$123,
MATCH($A31,'KPI Analysis'!$AH$7:$AH$123,FALSE),
MATCH(T$8,'KPI Analysis'!$AH$7:$CM$7,FALSE)
)="A"),
INDEX('KPI Analysis'!$AH$7:$CM$123,MATCH($A31,'KPI Analysis'!$AH$7:$AH$123,FALSE),MATCH(T$8,'KPI Analysis'!$AH$7:$CM$7,FALSE)),"")</f>
        <v>R</v>
      </c>
      <c r="U31" s="561">
        <f>INDEX('KPI Analysis'!$CO$7:$EU$123,MATCH($A31,'KPI Analysis'!$CO$7:$CO$123,FALSE),MATCH(T$8,'KPI Analysis'!$CO$7:$EU$7,FALSE))</f>
        <v>0.74285714285714288</v>
      </c>
      <c r="V31" s="579" t="str">
        <f>IF(
OR(
INDEX('KPI Analysis'!$AH$7:$CM$123,
MATCH($A31,'KPI Analysis'!$AH$7:$AH$123,FALSE),
MATCH(V$8,'KPI Analysis'!$AH$7:$CM$7,FALSE)
)="R",
INDEX('KPI Analysis'!$AH$7:$CM$123,
MATCH($A31,'KPI Analysis'!$AH$7:$AH$123,FALSE),
MATCH(V$8,'KPI Analysis'!$AH$7:$CM$7,FALSE)
)="G",
INDEX('KPI Analysis'!$AH$7:$CM$123,
MATCH($A31,'KPI Analysis'!$AH$7:$AH$123,FALSE),
MATCH(V$8,'KPI Analysis'!$AH$7:$CM$7,FALSE)
)="A"),
INDEX('KPI Analysis'!$AH$7:$CM$123,MATCH($A31,'KPI Analysis'!$AH$7:$AH$123,FALSE),MATCH(V$8,'KPI Analysis'!$AH$7:$CM$7,FALSE)),"")</f>
        <v>R</v>
      </c>
      <c r="W31" s="561">
        <f>INDEX('KPI Analysis'!$CO$7:$EU$123,MATCH($A31,'KPI Analysis'!$CO$7:$CO$123,FALSE),MATCH(V$8,'KPI Analysis'!$CO$7:$EU$7,FALSE))</f>
        <v>0.77142857142857146</v>
      </c>
      <c r="X31" s="579" t="str">
        <f>IF(
OR(
INDEX('KPI Analysis'!$AH$7:$CM$123,
MATCH($A31,'KPI Analysis'!$AH$7:$AH$123,FALSE),
MATCH(X$8,'KPI Analysis'!$AH$7:$CM$7,FALSE)
)="R",
INDEX('KPI Analysis'!$AH$7:$CM$123,
MATCH($A31,'KPI Analysis'!$AH$7:$AH$123,FALSE),
MATCH(X$8,'KPI Analysis'!$AH$7:$CM$7,FALSE)
)="G",
INDEX('KPI Analysis'!$AH$7:$CM$123,
MATCH($A31,'KPI Analysis'!$AH$7:$AH$123,FALSE),
MATCH(X$8,'KPI Analysis'!$AH$7:$CM$7,FALSE)
)="A"),
INDEX('KPI Analysis'!$AH$7:$CM$123,MATCH($A31,'KPI Analysis'!$AH$7:$AH$123,FALSE),MATCH(X$8,'KPI Analysis'!$AH$7:$CM$7,FALSE)),"")</f>
        <v>R</v>
      </c>
      <c r="Y31" s="561">
        <f>INDEX('KPI Analysis'!$CO$7:$EU$123,MATCH($A31,'KPI Analysis'!$CO$7:$CO$123,FALSE),MATCH(X$8,'KPI Analysis'!$CO$7:$EU$7,FALSE))</f>
        <v>0.68571428571428572</v>
      </c>
      <c r="Z31" s="141"/>
      <c r="AC31" s="648" t="s">
        <v>639</v>
      </c>
      <c r="AE31" s="327">
        <f>INDEX('KPI Analysis'!$CO$7:$EU$123,MATCH($A31,'KPI Analysis'!$CO$7:$CO$123,FALSE),MATCH(AE$8,'KPI Analysis'!$CO$7:$EU$7,FALSE))</f>
        <v>0.7142857142857143</v>
      </c>
      <c r="AF31" s="328">
        <f>INDEX('KPI Analysis'!$CO$7:$EU$123,MATCH($A31,'KPI Analysis'!$CO$7:$CO$123,FALSE),MATCH(AF$8,'KPI Analysis'!$CO$7:$EU$7,FALSE))</f>
        <v>0.62857142857142856</v>
      </c>
      <c r="AG31" s="328">
        <f>INDEX('KPI Analysis'!$CO$7:$EU$123,MATCH($A31,'KPI Analysis'!$CO$7:$CO$123,FALSE),MATCH(AG$8,'KPI Analysis'!$CO$7:$EU$7,FALSE))</f>
        <v>0.74285714285714288</v>
      </c>
      <c r="AH31" s="328">
        <f>INDEX('KPI Analysis'!$CO$7:$EU$123,MATCH($A31,'KPI Analysis'!$CO$7:$CO$123,FALSE),MATCH(AH$8,'KPI Analysis'!$CO$7:$EU$7,FALSE))</f>
        <v>0.77142857142857146</v>
      </c>
      <c r="AI31" s="328">
        <f>INDEX('KPI Analysis'!$CO$7:$EU$123,MATCH($A31,'KPI Analysis'!$CO$7:$CO$123,FALSE),MATCH(AI$8,'KPI Analysis'!$CO$7:$EU$7,FALSE))</f>
        <v>0.68571428571428572</v>
      </c>
    </row>
    <row r="32" spans="1:35" x14ac:dyDescent="0.3">
      <c r="A32" t="str">
        <f t="shared" si="0"/>
        <v>Design-KPI D1</v>
      </c>
      <c r="B32" s="169" t="str">
        <f>+'KPI Stats'!G31</f>
        <v>Under</v>
      </c>
      <c r="C32" s="148" t="str">
        <f>+'KPI Stats'!C31</f>
        <v>KPI D1</v>
      </c>
      <c r="F32" s="865" t="str">
        <f>+'KPI Stats'!$B$29</f>
        <v>Design</v>
      </c>
      <c r="G32" s="868" t="str">
        <f>+'KPI Stats'!$B$29</f>
        <v>Design</v>
      </c>
      <c r="H32" s="617" t="s">
        <v>526</v>
      </c>
      <c r="I32" s="465">
        <f>+'KPI Stats'!$F$29</f>
        <v>42</v>
      </c>
      <c r="J32" s="144" t="str">
        <f>+'KPI Stats'!D31</f>
        <v>Delivery</v>
      </c>
      <c r="K32" s="144" t="str">
        <f>+'KPI Stats'!E31</f>
        <v>Designs completed to internal days estimate</v>
      </c>
      <c r="L32" s="145" t="str">
        <f>+'KPI Stats'!F31</f>
        <v>Percentage</v>
      </c>
      <c r="M32" s="137" t="str">
        <f>INDEX('KPI Analysis'!$CO$7:$EU$123,MATCH($A32,'KPI Analysis'!$CO$7:$CO$123,FALSE),MATCH(M$8,'KPI Analysis'!$CO$7:$EU$7,FALSE))</f>
        <v>% of target</v>
      </c>
      <c r="P32" s="581" t="str">
        <f>IF(
OR(
INDEX('KPI Analysis'!$AH$7:$CM$123,
MATCH($A32,'KPI Analysis'!$AH$7:$AH$123,FALSE),
MATCH(P$8,'KPI Analysis'!$AH$7:$CM$7,FALSE)
)="R",
INDEX('KPI Analysis'!$AH$7:$CM$123,
MATCH($A32,'KPI Analysis'!$AH$7:$AH$123,FALSE),
MATCH(P$8,'KPI Analysis'!$AH$7:$CM$7,FALSE)
)="G",
INDEX('KPI Analysis'!$AH$7:$CM$123,
MATCH($A32,'KPI Analysis'!$AH$7:$AH$123,FALSE),
MATCH(P$8,'KPI Analysis'!$AH$7:$CM$7,FALSE)
)="A"),
INDEX('KPI Analysis'!$AH$7:$CM$123,MATCH($A32,'KPI Analysis'!$AH$7:$AH$123,FALSE),MATCH(P$8,'KPI Analysis'!$AH$7:$CM$7,FALSE)),"")</f>
        <v>R</v>
      </c>
      <c r="Q32" s="563">
        <f>INDEX('KPI Analysis'!$CO$7:$EU$123,MATCH($A32,'KPI Analysis'!$CO$7:$CO$123,FALSE),MATCH(P$8,'KPI Analysis'!$CO$7:$EU$7,FALSE))</f>
        <v>0.68</v>
      </c>
      <c r="R32" s="581" t="str">
        <f>IF(
OR(
INDEX('KPI Analysis'!$AH$7:$CM$123,
MATCH($A32,'KPI Analysis'!$AH$7:$AH$123,FALSE),
MATCH(R$8,'KPI Analysis'!$AH$7:$CM$7,FALSE)
)="R",
INDEX('KPI Analysis'!$AH$7:$CM$123,
MATCH($A32,'KPI Analysis'!$AH$7:$AH$123,FALSE),
MATCH(R$8,'KPI Analysis'!$AH$7:$CM$7,FALSE)
)="G",
INDEX('KPI Analysis'!$AH$7:$CM$123,
MATCH($A32,'KPI Analysis'!$AH$7:$AH$123,FALSE),
MATCH(R$8,'KPI Analysis'!$AH$7:$CM$7,FALSE)
)="A"),
INDEX('KPI Analysis'!$AH$7:$CM$123,MATCH($A32,'KPI Analysis'!$AH$7:$AH$123,FALSE),MATCH(R$8,'KPI Analysis'!$AH$7:$CM$7,FALSE)),"")</f>
        <v>R</v>
      </c>
      <c r="S32" s="563">
        <f>INDEX('KPI Analysis'!$CO$7:$EU$123,MATCH($A32,'KPI Analysis'!$CO$7:$CO$123,FALSE),MATCH(R$8,'KPI Analysis'!$CO$7:$EU$7,FALSE))</f>
        <v>0.77</v>
      </c>
      <c r="T32" s="581" t="str">
        <f>IF(
OR(
INDEX('KPI Analysis'!$AH$7:$CM$123,
MATCH($A32,'KPI Analysis'!$AH$7:$AH$123,FALSE),
MATCH(T$8,'KPI Analysis'!$AH$7:$CM$7,FALSE)
)="R",
INDEX('KPI Analysis'!$AH$7:$CM$123,
MATCH($A32,'KPI Analysis'!$AH$7:$AH$123,FALSE),
MATCH(T$8,'KPI Analysis'!$AH$7:$CM$7,FALSE)
)="G",
INDEX('KPI Analysis'!$AH$7:$CM$123,
MATCH($A32,'KPI Analysis'!$AH$7:$AH$123,FALSE),
MATCH(T$8,'KPI Analysis'!$AH$7:$CM$7,FALSE)
)="A"),
INDEX('KPI Analysis'!$AH$7:$CM$123,MATCH($A32,'KPI Analysis'!$AH$7:$AH$123,FALSE),MATCH(T$8,'KPI Analysis'!$AH$7:$CM$7,FALSE)),"")</f>
        <v>R</v>
      </c>
      <c r="U32" s="563">
        <f>INDEX('KPI Analysis'!$CO$7:$EU$123,MATCH($A32,'KPI Analysis'!$CO$7:$CO$123,FALSE),MATCH(T$8,'KPI Analysis'!$CO$7:$EU$7,FALSE))</f>
        <v>0.77</v>
      </c>
      <c r="V32" s="581" t="str">
        <f>IF(
OR(
INDEX('KPI Analysis'!$AH$7:$CM$123,
MATCH($A32,'KPI Analysis'!$AH$7:$AH$123,FALSE),
MATCH(V$8,'KPI Analysis'!$AH$7:$CM$7,FALSE)
)="R",
INDEX('KPI Analysis'!$AH$7:$CM$123,
MATCH($A32,'KPI Analysis'!$AH$7:$AH$123,FALSE),
MATCH(V$8,'KPI Analysis'!$AH$7:$CM$7,FALSE)
)="G",
INDEX('KPI Analysis'!$AH$7:$CM$123,
MATCH($A32,'KPI Analysis'!$AH$7:$AH$123,FALSE),
MATCH(V$8,'KPI Analysis'!$AH$7:$CM$7,FALSE)
)="A"),
INDEX('KPI Analysis'!$AH$7:$CM$123,MATCH($A32,'KPI Analysis'!$AH$7:$AH$123,FALSE),MATCH(V$8,'KPI Analysis'!$AH$7:$CM$7,FALSE)),"")</f>
        <v>R</v>
      </c>
      <c r="W32" s="563">
        <f>INDEX('KPI Analysis'!$CO$7:$EU$123,MATCH($A32,'KPI Analysis'!$CO$7:$CO$123,FALSE),MATCH(V$8,'KPI Analysis'!$CO$7:$EU$7,FALSE))</f>
        <v>0.81</v>
      </c>
      <c r="X32" s="581" t="str">
        <f>IF(
OR(
INDEX('KPI Analysis'!$AH$7:$CM$123,
MATCH($A32,'KPI Analysis'!$AH$7:$AH$123,FALSE),
MATCH(X$8,'KPI Analysis'!$AH$7:$CM$7,FALSE)
)="R",
INDEX('KPI Analysis'!$AH$7:$CM$123,
MATCH($A32,'KPI Analysis'!$AH$7:$AH$123,FALSE),
MATCH(X$8,'KPI Analysis'!$AH$7:$CM$7,FALSE)
)="G",
INDEX('KPI Analysis'!$AH$7:$CM$123,
MATCH($A32,'KPI Analysis'!$AH$7:$AH$123,FALSE),
MATCH(X$8,'KPI Analysis'!$AH$7:$CM$7,FALSE)
)="A"),
INDEX('KPI Analysis'!$AH$7:$CM$123,MATCH($A32,'KPI Analysis'!$AH$7:$AH$123,FALSE),MATCH(X$8,'KPI Analysis'!$AH$7:$CM$7,FALSE)),"")</f>
        <v>R</v>
      </c>
      <c r="Y32" s="563">
        <f>INDEX('KPI Analysis'!$CO$7:$EU$123,MATCH($A32,'KPI Analysis'!$CO$7:$CO$123,FALSE),MATCH(X$8,'KPI Analysis'!$CO$7:$EU$7,FALSE))</f>
        <v>0.76</v>
      </c>
      <c r="Z32" s="148"/>
      <c r="AC32" s="648" t="s">
        <v>639</v>
      </c>
      <c r="AE32" s="323">
        <f>INDEX('KPI Analysis'!$CO$7:$EU$123,MATCH($A32,'KPI Analysis'!$CO$7:$CO$123,FALSE),MATCH(AE$8,'KPI Analysis'!$CO$7:$EU$7,FALSE))</f>
        <v>0.68</v>
      </c>
      <c r="AF32" s="315">
        <f>INDEX('KPI Analysis'!$CO$7:$EU$123,MATCH($A32,'KPI Analysis'!$CO$7:$CO$123,FALSE),MATCH(AF$8,'KPI Analysis'!$CO$7:$EU$7,FALSE))</f>
        <v>0.77</v>
      </c>
      <c r="AG32" s="315">
        <f>INDEX('KPI Analysis'!$CO$7:$EU$123,MATCH($A32,'KPI Analysis'!$CO$7:$CO$123,FALSE),MATCH(AG$8,'KPI Analysis'!$CO$7:$EU$7,FALSE))</f>
        <v>0.77</v>
      </c>
      <c r="AH32" s="315">
        <f>INDEX('KPI Analysis'!$CO$7:$EU$123,MATCH($A32,'KPI Analysis'!$CO$7:$CO$123,FALSE),MATCH(AH$8,'KPI Analysis'!$CO$7:$EU$7,FALSE))</f>
        <v>0.81</v>
      </c>
      <c r="AI32" s="315">
        <f>INDEX('KPI Analysis'!$CO$7:$EU$123,MATCH($A32,'KPI Analysis'!$CO$7:$CO$123,FALSE),MATCH(AI$8,'KPI Analysis'!$CO$7:$EU$7,FALSE))</f>
        <v>0.76</v>
      </c>
    </row>
    <row r="33" spans="1:35" x14ac:dyDescent="0.3">
      <c r="A33" t="str">
        <f t="shared" si="0"/>
        <v>Design-KPI Q1</v>
      </c>
      <c r="B33" s="169" t="str">
        <f>+'KPI Stats'!G32</f>
        <v>Above Zero</v>
      </c>
      <c r="C33" s="148" t="str">
        <f>+'KPI Stats'!C32</f>
        <v>KPI Q1</v>
      </c>
      <c r="F33" s="865" t="str">
        <f>+'KPI Stats'!$B$29</f>
        <v>Design</v>
      </c>
      <c r="G33" s="868" t="str">
        <f>+'KPI Stats'!$B$29</f>
        <v>Design</v>
      </c>
      <c r="H33" s="617" t="s">
        <v>526</v>
      </c>
      <c r="I33" s="465">
        <f>+'KPI Stats'!$F$29</f>
        <v>42</v>
      </c>
      <c r="J33" s="144" t="str">
        <f>+'KPI Stats'!D32</f>
        <v>Quality</v>
      </c>
      <c r="K33" s="144" t="str">
        <f>+'KPI Stats'!E32</f>
        <v>Designs rejected (Internal)</v>
      </c>
      <c r="L33" s="145" t="str">
        <f>+'KPI Stats'!F32</f>
        <v>Count</v>
      </c>
      <c r="M33" s="510" t="str">
        <f>INDEX('KPI Analysis'!$CO$7:$EU$123,MATCH($A33,'KPI Analysis'!$CO$7:$CO$123,FALSE),MATCH(M$8,'KPI Analysis'!$CO$7:$EU$7,FALSE))</f>
        <v>Act Result</v>
      </c>
      <c r="P33" s="621" t="str">
        <f>IF(
OR(
INDEX('KPI Analysis'!$AH$7:$CM$123,
MATCH($A33,'KPI Analysis'!$AH$7:$AH$123,FALSE),
MATCH(P$8,'KPI Analysis'!$AH$7:$CM$7,FALSE)
)="R",
INDEX('KPI Analysis'!$AH$7:$CM$123,
MATCH($A33,'KPI Analysis'!$AH$7:$AH$123,FALSE),
MATCH(P$8,'KPI Analysis'!$AH$7:$CM$7,FALSE)
)="G",
INDEX('KPI Analysis'!$AH$7:$CM$123,
MATCH($A33,'KPI Analysis'!$AH$7:$AH$123,FALSE),
MATCH(P$8,'KPI Analysis'!$AH$7:$CM$7,FALSE)
)="A"),
INDEX('KPI Analysis'!$AH$7:$CM$123,MATCH($A33,'KPI Analysis'!$AH$7:$AH$123,FALSE),MATCH(P$8,'KPI Analysis'!$AH$7:$CM$7,FALSE)),"")</f>
        <v>R</v>
      </c>
      <c r="Q33" s="567">
        <f>INDEX('KPI Analysis'!$EW$7:$HC$123,MATCH($A33,'KPI Analysis'!$EW$7:$EW$123,FALSE),MATCH(P$8,'KPI Analysis'!$EW$7:$HC$7,FALSE))</f>
        <v>3</v>
      </c>
      <c r="R33" s="621" t="str">
        <f>IF(
OR(
INDEX('KPI Analysis'!$AH$7:$CM$123,
MATCH($A33,'KPI Analysis'!$AH$7:$AH$123,FALSE),
MATCH(R$8,'KPI Analysis'!$AH$7:$CM$7,FALSE)
)="R",
INDEX('KPI Analysis'!$AH$7:$CM$123,
MATCH($A33,'KPI Analysis'!$AH$7:$AH$123,FALSE),
MATCH(R$8,'KPI Analysis'!$AH$7:$CM$7,FALSE)
)="G",
INDEX('KPI Analysis'!$AH$7:$CM$123,
MATCH($A33,'KPI Analysis'!$AH$7:$AH$123,FALSE),
MATCH(R$8,'KPI Analysis'!$AH$7:$CM$7,FALSE)
)="A"),
INDEX('KPI Analysis'!$AH$7:$CM$123,MATCH($A33,'KPI Analysis'!$AH$7:$AH$123,FALSE),MATCH(R$8,'KPI Analysis'!$AH$7:$CM$7,FALSE)),"")</f>
        <v/>
      </c>
      <c r="S33" s="567" t="str">
        <f>INDEX('KPI Analysis'!$EW$7:$HC$123,MATCH($A33,'KPI Analysis'!$EW$7:$EW$123,FALSE),MATCH(R$8,'KPI Analysis'!$EW$7:$HC$7,FALSE))</f>
        <v>OD</v>
      </c>
      <c r="T33" s="621" t="str">
        <f>IF(
OR(
INDEX('KPI Analysis'!$AH$7:$CM$123,
MATCH($A33,'KPI Analysis'!$AH$7:$AH$123,FALSE),
MATCH(T$8,'KPI Analysis'!$AH$7:$CM$7,FALSE)
)="R",
INDEX('KPI Analysis'!$AH$7:$CM$123,
MATCH($A33,'KPI Analysis'!$AH$7:$AH$123,FALSE),
MATCH(T$8,'KPI Analysis'!$AH$7:$CM$7,FALSE)
)="G",
INDEX('KPI Analysis'!$AH$7:$CM$123,
MATCH($A33,'KPI Analysis'!$AH$7:$AH$123,FALSE),
MATCH(T$8,'KPI Analysis'!$AH$7:$CM$7,FALSE)
)="A"),
INDEX('KPI Analysis'!$AH$7:$CM$123,MATCH($A33,'KPI Analysis'!$AH$7:$AH$123,FALSE),MATCH(T$8,'KPI Analysis'!$AH$7:$CM$7,FALSE)),"")</f>
        <v/>
      </c>
      <c r="U33" s="567" t="str">
        <f>INDEX('KPI Analysis'!$EW$7:$HC$123,MATCH($A33,'KPI Analysis'!$EW$7:$EW$123,FALSE),MATCH(T$8,'KPI Analysis'!$EW$7:$HC$7,FALSE))</f>
        <v>OD</v>
      </c>
      <c r="V33" s="621" t="str">
        <f>IF(
OR(
INDEX('KPI Analysis'!$AH$7:$CM$123,
MATCH($A33,'KPI Analysis'!$AH$7:$AH$123,FALSE),
MATCH(V$8,'KPI Analysis'!$AH$7:$CM$7,FALSE)
)="R",
INDEX('KPI Analysis'!$AH$7:$CM$123,
MATCH($A33,'KPI Analysis'!$AH$7:$AH$123,FALSE),
MATCH(V$8,'KPI Analysis'!$AH$7:$CM$7,FALSE)
)="G",
INDEX('KPI Analysis'!$AH$7:$CM$123,
MATCH($A33,'KPI Analysis'!$AH$7:$AH$123,FALSE),
MATCH(V$8,'KPI Analysis'!$AH$7:$CM$7,FALSE)
)="A"),
INDEX('KPI Analysis'!$AH$7:$CM$123,MATCH($A33,'KPI Analysis'!$AH$7:$AH$123,FALSE),MATCH(V$8,'KPI Analysis'!$AH$7:$CM$7,FALSE)),"")</f>
        <v/>
      </c>
      <c r="W33" s="567" t="str">
        <f>INDEX('KPI Analysis'!$EW$7:$HC$123,MATCH($A33,'KPI Analysis'!$EW$7:$EW$123,FALSE),MATCH(V$8,'KPI Analysis'!$EW$7:$HC$7,FALSE))</f>
        <v>OD</v>
      </c>
      <c r="X33" s="621" t="str">
        <f>IF(
OR(
INDEX('KPI Analysis'!$AH$7:$CM$123,
MATCH($A33,'KPI Analysis'!$AH$7:$AH$123,FALSE),
MATCH(X$8,'KPI Analysis'!$AH$7:$CM$7,FALSE)
)="R",
INDEX('KPI Analysis'!$AH$7:$CM$123,
MATCH($A33,'KPI Analysis'!$AH$7:$AH$123,FALSE),
MATCH(X$8,'KPI Analysis'!$AH$7:$CM$7,FALSE)
)="G",
INDEX('KPI Analysis'!$AH$7:$CM$123,
MATCH($A33,'KPI Analysis'!$AH$7:$AH$123,FALSE),
MATCH(X$8,'KPI Analysis'!$AH$7:$CM$7,FALSE)
)="A"),
INDEX('KPI Analysis'!$AH$7:$CM$123,MATCH($A33,'KPI Analysis'!$AH$7:$AH$123,FALSE),MATCH(X$8,'KPI Analysis'!$AH$7:$CM$7,FALSE)),"")</f>
        <v/>
      </c>
      <c r="Y33" s="567" t="str">
        <f>IF(INDEX('KPI Analysis'!$CO$7:$EU$123,MATCH($A33,'KPI Analysis'!$CO$7:$CO$123,FALSE),MATCH(X$8,'KPI Analysis'!$CO$7:$EU$7,FALSE))="OD","OD",INDEX('KPI Analysis'!$EW$7:$HC$123,MATCH($A33,'KPI Analysis'!$EW$7:$EW$123,FALSE),MATCH(X$8,'KPI Analysis'!$EW$7:$HC$7,FALSE)))</f>
        <v>OD</v>
      </c>
      <c r="Z33" s="552" t="s">
        <v>619</v>
      </c>
      <c r="AC33" s="648" t="s">
        <v>638</v>
      </c>
      <c r="AE33" s="314">
        <f>INDEX('KPI Analysis'!$CO$7:$EU$123,MATCH($A33,'KPI Analysis'!$CO$7:$CO$123,FALSE),MATCH(AE$8,'KPI Analysis'!$CO$7:$EU$7,FALSE))</f>
        <v>3</v>
      </c>
      <c r="AF33" s="314" t="str">
        <f>INDEX('KPI Analysis'!$CO$7:$EU$123,MATCH($A33,'KPI Analysis'!$CO$7:$CO$123,FALSE),MATCH(AF$8,'KPI Analysis'!$CO$7:$EU$7,FALSE))</f>
        <v>OD</v>
      </c>
      <c r="AG33" s="314" t="str">
        <f>INDEX('KPI Analysis'!$CO$7:$EU$123,MATCH($A33,'KPI Analysis'!$CO$7:$CO$123,FALSE),MATCH(AG$8,'KPI Analysis'!$CO$7:$EU$7,FALSE))</f>
        <v>OD</v>
      </c>
      <c r="AH33" s="314" t="str">
        <f>INDEX('KPI Analysis'!$CO$7:$EU$123,MATCH($A33,'KPI Analysis'!$CO$7:$CO$123,FALSE),MATCH(AH$8,'KPI Analysis'!$CO$7:$EU$7,FALSE))</f>
        <v>OD</v>
      </c>
      <c r="AI33" s="547" t="str">
        <f>INDEX('KPI Analysis'!$CO$7:$EU$123,MATCH($A33,'KPI Analysis'!$CO$7:$CO$123,FALSE),MATCH(AI$8,'KPI Analysis'!$CO$7:$EU$7,FALSE))</f>
        <v>OD</v>
      </c>
    </row>
    <row r="34" spans="1:35" ht="15" thickBot="1" x14ac:dyDescent="0.35">
      <c r="A34" t="str">
        <f t="shared" si="0"/>
        <v>Design-KPI C1</v>
      </c>
      <c r="B34" s="170" t="str">
        <f>+'KPI Stats'!G33</f>
        <v>Under</v>
      </c>
      <c r="C34" s="149" t="str">
        <f>+'KPI Stats'!C33</f>
        <v>KPI C1</v>
      </c>
      <c r="F34" s="866" t="str">
        <f>+'KPI Stats'!$B$29</f>
        <v>Design</v>
      </c>
      <c r="G34" s="869" t="str">
        <f>+'KPI Stats'!$B$29</f>
        <v>Design</v>
      </c>
      <c r="H34" s="296" t="s">
        <v>526</v>
      </c>
      <c r="I34" s="398">
        <f>+'KPI Stats'!$F$29</f>
        <v>42</v>
      </c>
      <c r="J34" s="146" t="str">
        <f>+'KPI Stats'!D33</f>
        <v>Cost</v>
      </c>
      <c r="K34" s="146" t="str">
        <f>+'KPI Stats'!E33</f>
        <v>Opportunity Value Per design</v>
      </c>
      <c r="L34" s="147" t="str">
        <f>+'KPI Stats'!F33</f>
        <v>£'s</v>
      </c>
      <c r="M34" s="140" t="str">
        <f>INDEX('KPI Analysis'!$CO$7:$EU$123,MATCH($A34,'KPI Analysis'!$CO$7:$CO$123,FALSE),MATCH(M$8,'KPI Analysis'!$CO$7:$EU$7,FALSE))</f>
        <v>% of target</v>
      </c>
      <c r="P34" s="564" t="str">
        <f>IF(
OR(
INDEX('KPI Analysis'!$AH$7:$CM$123,
MATCH($A34,'KPI Analysis'!$AH$7:$AH$123,FALSE),
MATCH(P$8,'KPI Analysis'!$AH$7:$CM$7,FALSE)
)="R",
INDEX('KPI Analysis'!$AH$7:$CM$123,
MATCH($A34,'KPI Analysis'!$AH$7:$AH$123,FALSE),
MATCH(P$8,'KPI Analysis'!$AH$7:$CM$7,FALSE)
)="G",
INDEX('KPI Analysis'!$AH$7:$CM$123,
MATCH($A34,'KPI Analysis'!$AH$7:$AH$123,FALSE),
MATCH(P$8,'KPI Analysis'!$AH$7:$CM$7,FALSE)
)="A"),
INDEX('KPI Analysis'!$AH$7:$CM$123,MATCH($A34,'KPI Analysis'!$AH$7:$AH$123,FALSE),MATCH(P$8,'KPI Analysis'!$AH$7:$CM$7,FALSE)),"")</f>
        <v>R</v>
      </c>
      <c r="Q34" s="565">
        <f>INDEX('KPI Analysis'!$CO$7:$EU$123,MATCH($A34,'KPI Analysis'!$CO$7:$CO$123,FALSE),MATCH(P$8,'KPI Analysis'!$CO$7:$EU$7,FALSE))</f>
        <v>0.72671400206447245</v>
      </c>
      <c r="R34" s="564" t="str">
        <f>IF(
OR(
INDEX('KPI Analysis'!$AH$7:$CM$123,
MATCH($A34,'KPI Analysis'!$AH$7:$AH$123,FALSE),
MATCH(R$8,'KPI Analysis'!$AH$7:$CM$7,FALSE)
)="R",
INDEX('KPI Analysis'!$AH$7:$CM$123,
MATCH($A34,'KPI Analysis'!$AH$7:$AH$123,FALSE),
MATCH(R$8,'KPI Analysis'!$AH$7:$CM$7,FALSE)
)="G",
INDEX('KPI Analysis'!$AH$7:$CM$123,
MATCH($A34,'KPI Analysis'!$AH$7:$AH$123,FALSE),
MATCH(R$8,'KPI Analysis'!$AH$7:$CM$7,FALSE)
)="A"),
INDEX('KPI Analysis'!$AH$7:$CM$123,MATCH($A34,'KPI Analysis'!$AH$7:$AH$123,FALSE),MATCH(R$8,'KPI Analysis'!$AH$7:$CM$7,FALSE)),"")</f>
        <v>R</v>
      </c>
      <c r="S34" s="565">
        <f>INDEX('KPI Analysis'!$CO$7:$EU$123,MATCH($A34,'KPI Analysis'!$CO$7:$CO$123,FALSE),MATCH(R$8,'KPI Analysis'!$CO$7:$EU$7,FALSE))</f>
        <v>0.90017102061222065</v>
      </c>
      <c r="T34" s="564" t="str">
        <f>IF(
OR(
INDEX('KPI Analysis'!$AH$7:$CM$123,
MATCH($A34,'KPI Analysis'!$AH$7:$AH$123,FALSE),
MATCH(T$8,'KPI Analysis'!$AH$7:$CM$7,FALSE)
)="R",
INDEX('KPI Analysis'!$AH$7:$CM$123,
MATCH($A34,'KPI Analysis'!$AH$7:$AH$123,FALSE),
MATCH(T$8,'KPI Analysis'!$AH$7:$CM$7,FALSE)
)="G",
INDEX('KPI Analysis'!$AH$7:$CM$123,
MATCH($A34,'KPI Analysis'!$AH$7:$AH$123,FALSE),
MATCH(T$8,'KPI Analysis'!$AH$7:$CM$7,FALSE)
)="A"),
INDEX('KPI Analysis'!$AH$7:$CM$123,MATCH($A34,'KPI Analysis'!$AH$7:$AH$123,FALSE),MATCH(T$8,'KPI Analysis'!$AH$7:$CM$7,FALSE)),"")</f>
        <v>G</v>
      </c>
      <c r="U34" s="565">
        <f>INDEX('KPI Analysis'!$CO$7:$EU$123,MATCH($A34,'KPI Analysis'!$CO$7:$CO$123,FALSE),MATCH(T$8,'KPI Analysis'!$CO$7:$EU$7,FALSE))</f>
        <v>1.060391812865497</v>
      </c>
      <c r="V34" s="564" t="str">
        <f>IF(
OR(
INDEX('KPI Analysis'!$AH$7:$CM$123,
MATCH($A34,'KPI Analysis'!$AH$7:$AH$123,FALSE),
MATCH(V$8,'KPI Analysis'!$AH$7:$CM$7,FALSE)
)="R",
INDEX('KPI Analysis'!$AH$7:$CM$123,
MATCH($A34,'KPI Analysis'!$AH$7:$AH$123,FALSE),
MATCH(V$8,'KPI Analysis'!$AH$7:$CM$7,FALSE)
)="G",
INDEX('KPI Analysis'!$AH$7:$CM$123,
MATCH($A34,'KPI Analysis'!$AH$7:$AH$123,FALSE),
MATCH(V$8,'KPI Analysis'!$AH$7:$CM$7,FALSE)
)="A"),
INDEX('KPI Analysis'!$AH$7:$CM$123,MATCH($A34,'KPI Analysis'!$AH$7:$AH$123,FALSE),MATCH(V$8,'KPI Analysis'!$AH$7:$CM$7,FALSE)),"")</f>
        <v>G</v>
      </c>
      <c r="W34" s="565">
        <f>INDEX('KPI Analysis'!$CO$7:$EU$123,MATCH($A34,'KPI Analysis'!$CO$7:$CO$123,FALSE),MATCH(V$8,'KPI Analysis'!$CO$7:$EU$7,FALSE))</f>
        <v>1.236795321637427</v>
      </c>
      <c r="X34" s="564" t="str">
        <f>IF(
OR(
INDEX('KPI Analysis'!$AH$7:$CM$123,
MATCH($A34,'KPI Analysis'!$AH$7:$AH$123,FALSE),
MATCH(X$8,'KPI Analysis'!$AH$7:$CM$7,FALSE)
)="R",
INDEX('KPI Analysis'!$AH$7:$CM$123,
MATCH($A34,'KPI Analysis'!$AH$7:$AH$123,FALSE),
MATCH(X$8,'KPI Analysis'!$AH$7:$CM$7,FALSE)
)="G",
INDEX('KPI Analysis'!$AH$7:$CM$123,
MATCH($A34,'KPI Analysis'!$AH$7:$AH$123,FALSE),
MATCH(X$8,'KPI Analysis'!$AH$7:$CM$7,FALSE)
)="A"),
INDEX('KPI Analysis'!$AH$7:$CM$123,MATCH($A34,'KPI Analysis'!$AH$7:$AH$123,FALSE),MATCH(X$8,'KPI Analysis'!$AH$7:$CM$7,FALSE)),"")</f>
        <v>G</v>
      </c>
      <c r="Y34" s="565">
        <f>INDEX('KPI Analysis'!$CO$7:$EU$123,MATCH($A34,'KPI Analysis'!$CO$7:$CO$123,FALSE),MATCH(X$8,'KPI Analysis'!$CO$7:$EU$7,FALSE))</f>
        <v>1.6772339181286551</v>
      </c>
      <c r="Z34" s="149"/>
      <c r="AC34" s="648" t="s">
        <v>639</v>
      </c>
      <c r="AE34" s="584">
        <f>INDEX('KPI Analysis'!$CO$7:$EU$123,MATCH($A34,'KPI Analysis'!$CO$7:$CO$123,FALSE),MATCH(AE$8,'KPI Analysis'!$CO$7:$EU$7,FALSE))</f>
        <v>0.72671400206447245</v>
      </c>
      <c r="AF34" s="584">
        <f>INDEX('KPI Analysis'!$CO$7:$EU$123,MATCH($A34,'KPI Analysis'!$CO$7:$CO$123,FALSE),MATCH(AF$8,'KPI Analysis'!$CO$7:$EU$7,FALSE))</f>
        <v>0.90017102061222065</v>
      </c>
      <c r="AG34" s="584">
        <f>INDEX('KPI Analysis'!$CO$7:$EU$123,MATCH($A34,'KPI Analysis'!$CO$7:$CO$123,FALSE),MATCH(AG$8,'KPI Analysis'!$CO$7:$EU$7,FALSE))</f>
        <v>1.060391812865497</v>
      </c>
      <c r="AH34" s="584">
        <f>INDEX('KPI Analysis'!$CO$7:$EU$123,MATCH($A34,'KPI Analysis'!$CO$7:$CO$123,FALSE),MATCH(AH$8,'KPI Analysis'!$CO$7:$EU$7,FALSE))</f>
        <v>1.236795321637427</v>
      </c>
      <c r="AI34" s="623">
        <f>INDEX('KPI Analysis'!$CO$7:$EU$123,MATCH($A34,'KPI Analysis'!$CO$7:$CO$123,FALSE),MATCH(AI$8,'KPI Analysis'!$CO$7:$EU$7,FALSE))</f>
        <v>1.6772339181286551</v>
      </c>
    </row>
    <row r="35" spans="1:35" x14ac:dyDescent="0.3">
      <c r="H35"/>
    </row>
    <row r="36" spans="1:35" ht="24" thickBot="1" x14ac:dyDescent="0.5">
      <c r="H36"/>
      <c r="P36" s="604"/>
      <c r="Z36" s="842" t="s">
        <v>709</v>
      </c>
    </row>
    <row r="37" spans="1:35" ht="21.6" thickBot="1" x14ac:dyDescent="0.45">
      <c r="H37"/>
      <c r="K37" s="830" t="s">
        <v>707</v>
      </c>
      <c r="L37" s="831" t="s">
        <v>706</v>
      </c>
      <c r="M37" s="832"/>
      <c r="N37" s="186"/>
      <c r="O37" s="186"/>
      <c r="P37" s="840"/>
      <c r="Q37" s="841">
        <v>399</v>
      </c>
      <c r="R37" s="840"/>
      <c r="S37" s="841">
        <v>736</v>
      </c>
      <c r="T37" s="840"/>
      <c r="U37" s="841">
        <v>1050</v>
      </c>
      <c r="V37" s="840"/>
      <c r="W37" s="841">
        <v>1074</v>
      </c>
      <c r="X37" s="840"/>
      <c r="Y37" s="841">
        <v>1362.1880000000001</v>
      </c>
      <c r="Z37" s="839">
        <f>SUM(R37:Y37)</f>
        <v>4222.1880000000001</v>
      </c>
    </row>
    <row r="38" spans="1:35" ht="21.6" thickBot="1" x14ac:dyDescent="0.45">
      <c r="H38"/>
      <c r="K38" s="830" t="s">
        <v>708</v>
      </c>
      <c r="L38" s="831" t="s">
        <v>706</v>
      </c>
      <c r="M38" s="832"/>
      <c r="N38" s="186"/>
      <c r="O38" s="186"/>
      <c r="P38" s="840"/>
      <c r="Q38" s="841">
        <v>979</v>
      </c>
      <c r="R38" s="840"/>
      <c r="S38" s="841">
        <v>577</v>
      </c>
      <c r="T38" s="840"/>
      <c r="U38" s="841">
        <v>641</v>
      </c>
      <c r="V38" s="840"/>
      <c r="W38" s="841">
        <v>1360</v>
      </c>
      <c r="X38" s="840"/>
      <c r="Y38" s="841">
        <v>1018.62</v>
      </c>
      <c r="Z38" s="839">
        <f>SUM(R38:Y38)</f>
        <v>3596.62</v>
      </c>
    </row>
    <row r="39" spans="1:35" x14ac:dyDescent="0.3">
      <c r="H39"/>
      <c r="P39" s="604"/>
    </row>
    <row r="40" spans="1:35" ht="7.2" customHeight="1" x14ac:dyDescent="0.3">
      <c r="H40"/>
    </row>
    <row r="41" spans="1:35" ht="7.2" customHeight="1" thickBot="1" x14ac:dyDescent="0.35">
      <c r="H41"/>
    </row>
    <row r="42" spans="1:35" ht="40.200000000000003" customHeight="1" thickBot="1" x14ac:dyDescent="0.35">
      <c r="B42" s="166"/>
      <c r="C42" s="113" t="s">
        <v>125</v>
      </c>
      <c r="F42" s="495" t="str">
        <f t="shared" ref="F42:M42" si="1">+F$6</f>
        <v>Department</v>
      </c>
      <c r="G42" s="545" t="s">
        <v>442</v>
      </c>
      <c r="H42" s="496" t="str">
        <f t="shared" si="1"/>
        <v>Freq</v>
      </c>
      <c r="I42" s="497" t="str">
        <f t="shared" si="1"/>
        <v>Wk</v>
      </c>
      <c r="J42" s="497" t="str">
        <f t="shared" si="1"/>
        <v>Category</v>
      </c>
      <c r="K42" s="497" t="str">
        <f t="shared" si="1"/>
        <v>KPI</v>
      </c>
      <c r="L42" s="497" t="str">
        <f t="shared" si="1"/>
        <v>UOM</v>
      </c>
      <c r="M42" s="498" t="str">
        <f t="shared" si="1"/>
        <v>Shown</v>
      </c>
      <c r="P42" s="193" t="s">
        <v>508</v>
      </c>
      <c r="Q42" s="574"/>
      <c r="R42" s="574"/>
      <c r="S42" s="574"/>
      <c r="T42" s="574"/>
      <c r="U42" s="574"/>
      <c r="V42" s="574"/>
      <c r="W42" s="574"/>
      <c r="X42" s="574"/>
      <c r="Y42" s="575"/>
      <c r="AE42" s="220" t="str">
        <f>+AE$6</f>
        <v>Week KPI Calc</v>
      </c>
      <c r="AF42" s="220" t="str">
        <f>+AF$6</f>
        <v>Week KPI Calc</v>
      </c>
      <c r="AG42" s="220" t="str">
        <f>+AG$6</f>
        <v>Week KPI Calc</v>
      </c>
      <c r="AH42" s="220" t="str">
        <f>+AH$6</f>
        <v>Week KPI Calc</v>
      </c>
      <c r="AI42" s="220" t="str">
        <f>+AI$6</f>
        <v>Week KPI Calc</v>
      </c>
    </row>
    <row r="43" spans="1:35" ht="15" thickBot="1" x14ac:dyDescent="0.35">
      <c r="A43" s="870" t="s">
        <v>403</v>
      </c>
      <c r="B43" s="471"/>
      <c r="C43" s="473"/>
      <c r="F43" s="492" t="str">
        <f>+F$7</f>
        <v>Mth No</v>
      </c>
      <c r="G43" s="475"/>
      <c r="H43" s="474" t="str">
        <f>+H$7</f>
        <v>For Monthly KPIs</v>
      </c>
      <c r="I43" s="475"/>
      <c r="J43" s="474"/>
      <c r="K43" s="474"/>
      <c r="L43" s="476"/>
      <c r="M43" s="471"/>
      <c r="P43" s="568">
        <f>_xlfn.XLOOKUP('KPI Linked Table for Report'!P44,'KPI Analysis'!$CU$7:$EU$7,'KPI Analysis'!$CU$8:$EU$8)</f>
        <v>8</v>
      </c>
      <c r="Q43" s="569"/>
      <c r="R43" s="568">
        <f>_xlfn.XLOOKUP('KPI Linked Table for Report'!R44,'KPI Analysis'!$CU$7:$EU$7,'KPI Analysis'!$CU$8:$EU$8)</f>
        <v>8</v>
      </c>
      <c r="S43" s="569"/>
      <c r="T43" s="568">
        <f>_xlfn.XLOOKUP('KPI Linked Table for Report'!T44,'KPI Analysis'!$CU$7:$EU$7,'KPI Analysis'!$CU$8:$EU$8)</f>
        <v>9</v>
      </c>
      <c r="U43" s="569"/>
      <c r="V43" s="568">
        <f>_xlfn.XLOOKUP('KPI Linked Table for Report'!V44,'KPI Analysis'!$CU$7:$EU$7,'KPI Analysis'!$CU$8:$EU$8)</f>
        <v>9</v>
      </c>
      <c r="W43" s="569"/>
      <c r="X43" s="568">
        <f>_xlfn.XLOOKUP('KPI Linked Table for Report'!X44,'KPI Analysis'!$CU$7:$EU$7,'KPI Analysis'!$CU$8:$EU$8)</f>
        <v>9</v>
      </c>
      <c r="Y43" s="569"/>
      <c r="AE43" s="491">
        <f>+AE$7</f>
        <v>8</v>
      </c>
      <c r="AF43" s="491">
        <f>+AF$7</f>
        <v>8</v>
      </c>
      <c r="AG43" s="491">
        <f>+AG$7</f>
        <v>9</v>
      </c>
      <c r="AH43" s="491">
        <f>+AH$7</f>
        <v>9</v>
      </c>
      <c r="AI43" s="491">
        <f>+AI$7</f>
        <v>9</v>
      </c>
    </row>
    <row r="44" spans="1:35" x14ac:dyDescent="0.3">
      <c r="A44" s="870"/>
      <c r="B44" s="480"/>
      <c r="C44" s="477"/>
      <c r="F44" s="493" t="str">
        <f>+F$8</f>
        <v>Wk No</v>
      </c>
      <c r="G44" s="479"/>
      <c r="H44" s="478" t="str">
        <f>+H$8</f>
        <v>For Weekly KPI's</v>
      </c>
      <c r="I44" s="479"/>
      <c r="J44" s="478"/>
      <c r="K44" s="478"/>
      <c r="L44" s="480"/>
      <c r="M44" s="480"/>
      <c r="P44" s="570">
        <f>+P$8</f>
        <v>38</v>
      </c>
      <c r="Q44" s="571"/>
      <c r="R44" s="570">
        <f>+R$8</f>
        <v>39</v>
      </c>
      <c r="S44" s="571"/>
      <c r="T44" s="570">
        <f>+T$8</f>
        <v>40</v>
      </c>
      <c r="U44" s="571"/>
      <c r="V44" s="570">
        <f>+V$8</f>
        <v>41</v>
      </c>
      <c r="W44" s="571"/>
      <c r="X44" s="570">
        <f>+X$8</f>
        <v>42</v>
      </c>
      <c r="Y44" s="571"/>
      <c r="AE44" s="472">
        <f>+AE$8</f>
        <v>38</v>
      </c>
      <c r="AF44" s="472">
        <f>+AF$8</f>
        <v>39</v>
      </c>
      <c r="AG44" s="472">
        <f>+AG$8</f>
        <v>40</v>
      </c>
      <c r="AH44" s="472">
        <f>+AH$8</f>
        <v>41</v>
      </c>
      <c r="AI44" s="472">
        <f>+AI$8</f>
        <v>42</v>
      </c>
    </row>
    <row r="45" spans="1:35" s="203" customFormat="1" ht="15" thickBot="1" x14ac:dyDescent="0.35">
      <c r="A45" s="870"/>
      <c r="B45" s="484"/>
      <c r="C45" s="481"/>
      <c r="D45"/>
      <c r="E45"/>
      <c r="F45" s="494" t="str">
        <f>+F$9</f>
        <v>Date</v>
      </c>
      <c r="G45" s="483"/>
      <c r="H45" s="482" t="str">
        <f>+H$9</f>
        <v>Week Ending (Fri)</v>
      </c>
      <c r="I45" s="483"/>
      <c r="J45" s="482"/>
      <c r="K45" s="482"/>
      <c r="L45" s="484"/>
      <c r="M45" s="484"/>
      <c r="N45"/>
      <c r="O45"/>
      <c r="P45" s="572">
        <f>_xlfn.XLOOKUP(P44,EHS!$M$6:$BM$6,EHS!$M$7:$BM$7)</f>
        <v>45919</v>
      </c>
      <c r="Q45" s="573"/>
      <c r="R45" s="572">
        <f>_xlfn.XLOOKUP(R44,EHS!$M$6:$BM$6,EHS!$M$7:$BM$7)</f>
        <v>45926</v>
      </c>
      <c r="S45" s="573"/>
      <c r="T45" s="572">
        <f>_xlfn.XLOOKUP(T44,EHS!$M$6:$BM$6,EHS!$M$7:$BM$7)</f>
        <v>45933</v>
      </c>
      <c r="U45" s="573"/>
      <c r="V45" s="572">
        <f>_xlfn.XLOOKUP(V44,EHS!$M$6:$BM$6,EHS!$M$7:$BM$7)</f>
        <v>45940</v>
      </c>
      <c r="W45" s="573"/>
      <c r="X45" s="572">
        <f>_xlfn.XLOOKUP(X44,EHS!$M$6:$BM$6,EHS!$M$7:$BM$7)</f>
        <v>45947</v>
      </c>
      <c r="Y45" s="573"/>
      <c r="Z45"/>
      <c r="AE45" s="505">
        <f>+AE$9</f>
        <v>45919</v>
      </c>
      <c r="AF45" s="505">
        <f>+AF$9</f>
        <v>45926</v>
      </c>
      <c r="AG45" s="505">
        <f>+AG$9</f>
        <v>45933</v>
      </c>
      <c r="AH45" s="505">
        <f>+AH$9</f>
        <v>45940</v>
      </c>
      <c r="AI45" s="505">
        <f>+AI$9</f>
        <v>45947</v>
      </c>
    </row>
    <row r="46" spans="1:35" ht="15" thickBot="1" x14ac:dyDescent="0.35">
      <c r="H46"/>
      <c r="AA46" s="203"/>
      <c r="AB46" s="203"/>
    </row>
    <row r="47" spans="1:35" x14ac:dyDescent="0.3">
      <c r="A47" t="str">
        <f t="shared" si="0"/>
        <v>Product Design-KPI P1</v>
      </c>
      <c r="B47" s="168" t="str">
        <f>+'KPI Stats'!G36</f>
        <v>Under</v>
      </c>
      <c r="C47" s="141" t="str">
        <f>+'KPI Stats'!C36</f>
        <v>KPI P1</v>
      </c>
      <c r="F47" s="864" t="str">
        <f>+'KPI Stats'!$B$35</f>
        <v>Product Design</v>
      </c>
      <c r="G47" s="871" t="str">
        <f>+'KPI Stats'!$C$35</f>
        <v>Paul Dolan</v>
      </c>
      <c r="H47" s="616" t="s">
        <v>526</v>
      </c>
      <c r="I47" s="466">
        <f>+'KPI Stats'!$F$35</f>
        <v>42</v>
      </c>
      <c r="J47" s="142" t="str">
        <f>+'KPI Stats'!D36</f>
        <v>Productivity</v>
      </c>
      <c r="K47" s="142" t="str">
        <f>+'KPI Stats'!E36</f>
        <v>Drawings Completed - Order Lines</v>
      </c>
      <c r="L47" s="143" t="str">
        <f>+'KPI Stats'!F36</f>
        <v>Count</v>
      </c>
      <c r="M47" s="511" t="s">
        <v>247</v>
      </c>
      <c r="P47" s="579" t="str">
        <f>IF(INDEX('KPI Analysis'!$AH$7:$CM$123,MATCH($A47,'KPI Analysis'!$AH$7:$AH$123,FALSE),MATCH(P$8,'KPI Analysis'!$AH$7:$CM$7,FALSE))="OD","",INDEX('KPI Analysis'!$AH$7:$CM$123,MATCH($A47,'KPI Analysis'!$AH$7:$AH$123,FALSE),MATCH(P$8,'KPI Analysis'!$AH$7:$CM$7,FALSE)))</f>
        <v>R</v>
      </c>
      <c r="Q47" s="631">
        <f>IF(INDEX('KPI Analysis'!$CO$7:$EU$123,MATCH($A47,'KPI Analysis'!$CO$7:$CO$123,FALSE),MATCH(P$8,'KPI Analysis'!$CO$7:$EU$7,FALSE))="OD","OD",INDEX('KPI Analysis'!$EW$7:$HC$123,MATCH($A47,'KPI Analysis'!$EW$7:$EW$123,FALSE),MATCH(P$8,'KPI Analysis'!$EW$7:$HC$7,FALSE)))</f>
        <v>279</v>
      </c>
      <c r="R47" s="579" t="str">
        <f>IF(INDEX('KPI Analysis'!$AH$7:$CM$123,MATCH($A47,'KPI Analysis'!$AH$7:$AH$123,FALSE),MATCH(R$8,'KPI Analysis'!$AH$7:$CM$7,FALSE))="OD","",INDEX('KPI Analysis'!$AH$7:$CM$123,MATCH($A47,'KPI Analysis'!$AH$7:$AH$123,FALSE),MATCH(R$8,'KPI Analysis'!$AH$7:$CM$7,FALSE)))</f>
        <v>R</v>
      </c>
      <c r="S47" s="631">
        <f>IF(INDEX('KPI Analysis'!$CO$7:$EU$123,MATCH($A47,'KPI Analysis'!$CO$7:$CO$123,FALSE),MATCH(R$8,'KPI Analysis'!$CO$7:$EU$7,FALSE))="OD","OD",INDEX('KPI Analysis'!$EW$7:$HC$123,MATCH($A47,'KPI Analysis'!$EW$7:$EW$123,FALSE),MATCH(R$8,'KPI Analysis'!$EW$7:$HC$7,FALSE)))</f>
        <v>326</v>
      </c>
      <c r="T47" s="579" t="str">
        <f>IF(INDEX('KPI Analysis'!$AH$7:$CM$123,MATCH($A47,'KPI Analysis'!$AH$7:$AH$123,FALSE),MATCH(T$8,'KPI Analysis'!$AH$7:$CM$7,FALSE))="OD","",INDEX('KPI Analysis'!$AH$7:$CM$123,MATCH($A47,'KPI Analysis'!$AH$7:$AH$123,FALSE),MATCH(T$8,'KPI Analysis'!$AH$7:$CM$7,FALSE)))</f>
        <v>R</v>
      </c>
      <c r="U47" s="631">
        <f>IF(INDEX('KPI Analysis'!$CO$7:$EU$123,MATCH($A47,'KPI Analysis'!$CO$7:$CO$123,FALSE),MATCH(T$8,'KPI Analysis'!$CO$7:$EU$7,FALSE))="OD","OD",INDEX('KPI Analysis'!$EW$7:$HC$123,MATCH($A47,'KPI Analysis'!$EW$7:$EW$123,FALSE),MATCH(T$8,'KPI Analysis'!$EW$7:$HC$7,FALSE)))</f>
        <v>271</v>
      </c>
      <c r="V47" s="579" t="str">
        <f>IF(INDEX('KPI Analysis'!$AH$7:$CM$123,MATCH($A47,'KPI Analysis'!$AH$7:$AH$123,FALSE),MATCH(V$8,'KPI Analysis'!$AH$7:$CM$7,FALSE))="OD","",INDEX('KPI Analysis'!$AH$7:$CM$123,MATCH($A47,'KPI Analysis'!$AH$7:$AH$123,FALSE),MATCH(V$8,'KPI Analysis'!$AH$7:$CM$7,FALSE)))</f>
        <v>G</v>
      </c>
      <c r="W47" s="631">
        <f>IF(INDEX('KPI Analysis'!$CO$7:$EU$123,MATCH($A47,'KPI Analysis'!$CO$7:$CO$123,FALSE),MATCH(V$8,'KPI Analysis'!$CO$7:$EU$7,FALSE))="OD","OD",INDEX('KPI Analysis'!$EW$7:$HC$123,MATCH($A47,'KPI Analysis'!$EW$7:$EW$123,FALSE),MATCH(V$8,'KPI Analysis'!$EW$7:$HC$7,FALSE)))</f>
        <v>427</v>
      </c>
      <c r="X47" s="579" t="str">
        <f>IF(INDEX('KPI Analysis'!$AH$7:$CM$123,MATCH($A47,'KPI Analysis'!$AH$7:$AH$123,FALSE),MATCH(X$8,'KPI Analysis'!$AH$7:$CM$7,FALSE))="OD","",INDEX('KPI Analysis'!$AH$7:$CM$123,MATCH($A47,'KPI Analysis'!$AH$7:$AH$123,FALSE),MATCH(X$8,'KPI Analysis'!$AH$7:$CM$7,FALSE)))</f>
        <v/>
      </c>
      <c r="Y47" s="631" t="str">
        <f>IF(INDEX('KPI Analysis'!$CO$7:$EU$123,MATCH($A47,'KPI Analysis'!$CO$7:$CO$123,FALSE),MATCH(X$8,'KPI Analysis'!$CO$7:$EU$7,FALSE))="OD","OD",INDEX('KPI Analysis'!$EW$7:$HC$123,MATCH($A47,'KPI Analysis'!$EW$7:$EW$123,FALSE),MATCH(X$8,'KPI Analysis'!$EW$7:$HC$7,FALSE)))</f>
        <v>OD</v>
      </c>
      <c r="Z47" s="141" t="s">
        <v>628</v>
      </c>
      <c r="AA47" s="203"/>
      <c r="AC47" s="648" t="s">
        <v>638</v>
      </c>
      <c r="AE47" s="327">
        <f>INDEX('KPI Analysis'!$CO$7:$EU$123,MATCH($A47,'KPI Analysis'!$CO$7:$CO$123,FALSE),MATCH(AE$8,'KPI Analysis'!$CO$7:$EU$7,FALSE))</f>
        <v>0.79714285714285715</v>
      </c>
      <c r="AF47" s="328">
        <f>INDEX('KPI Analysis'!$CO$7:$EU$123,MATCH($A47,'KPI Analysis'!$CO$7:$CO$123,FALSE),MATCH(AF$8,'KPI Analysis'!$CO$7:$EU$7,FALSE))</f>
        <v>0.93142857142857138</v>
      </c>
      <c r="AG47" s="328">
        <f>INDEX('KPI Analysis'!$CO$7:$EU$123,MATCH($A47,'KPI Analysis'!$CO$7:$CO$123,FALSE),MATCH(AG$8,'KPI Analysis'!$CO$7:$EU$7,FALSE))</f>
        <v>0.77428571428571424</v>
      </c>
      <c r="AH47" s="328">
        <f>INDEX('KPI Analysis'!$CO$7:$EU$123,MATCH($A47,'KPI Analysis'!$CO$7:$CO$123,FALSE),MATCH(AH$8,'KPI Analysis'!$CO$7:$EU$7,FALSE))</f>
        <v>1.22</v>
      </c>
      <c r="AI47" s="328" t="str">
        <f>INDEX('KPI Analysis'!$CO$7:$EU$123,MATCH($A47,'KPI Analysis'!$CO$7:$CO$123,FALSE),MATCH(AI$8,'KPI Analysis'!$CO$7:$EU$7,FALSE))</f>
        <v>OD</v>
      </c>
    </row>
    <row r="48" spans="1:35" x14ac:dyDescent="0.3">
      <c r="A48" t="str">
        <f>F47&amp;"-"&amp;C48</f>
        <v>Product Design-KPI D1</v>
      </c>
      <c r="B48" s="169" t="str">
        <f>+'KPI Stats'!G37</f>
        <v>Under</v>
      </c>
      <c r="C48" s="148" t="str">
        <f>+'KPI Stats'!C37</f>
        <v>KPI D1</v>
      </c>
      <c r="F48" s="865"/>
      <c r="G48" s="872"/>
      <c r="H48" s="617" t="s">
        <v>526</v>
      </c>
      <c r="I48" s="465">
        <f>+'KPI Stats'!$F$35</f>
        <v>42</v>
      </c>
      <c r="J48" s="144" t="str">
        <f>+'KPI Stats'!D37</f>
        <v>Delivery</v>
      </c>
      <c r="K48" s="144" t="str">
        <f>+'KPI Stats'!E37</f>
        <v>Delivery against Target as a percentage</v>
      </c>
      <c r="L48" s="145" t="str">
        <f>+'KPI Stats'!F37</f>
        <v>Percentage</v>
      </c>
      <c r="M48" s="510" t="s">
        <v>247</v>
      </c>
      <c r="P48" s="581" t="str">
        <f>IF(INDEX('KPI Analysis'!$AH$7:$CM$123,MATCH($A48,'KPI Analysis'!$AH$7:$AH$123,FALSE),MATCH(P$8,'KPI Analysis'!$AH$7:$CM$7,FALSE))="OD","",INDEX('KPI Analysis'!$AH$7:$CM$123,MATCH($A48,'KPI Analysis'!$AH$7:$AH$123,FALSE),MATCH(P$8,'KPI Analysis'!$AH$7:$CM$7,FALSE)))</f>
        <v>G</v>
      </c>
      <c r="Q48" s="632">
        <f>IF(INDEX('KPI Analysis'!$CO$7:$EU$123,MATCH($A48,'KPI Analysis'!$CO$7:$CO$123,FALSE),MATCH(P$8,'KPI Analysis'!$CO$7:$EU$7,FALSE))="OD","OD",IFERROR(INDEX('KPI Analysis'!$EW$7:$HC$123,MATCH($A48,'KPI Analysis'!$EW$7:$EW$123,FALSE),MATCH(P$8,'KPI Analysis'!$EW$7:$HC$7,FALSE))/100,"OD"))</f>
        <v>0.94</v>
      </c>
      <c r="R48" s="581" t="str">
        <f>IF(INDEX('KPI Analysis'!$AH$7:$CM$123,MATCH($A48,'KPI Analysis'!$AH$7:$AH$123,FALSE),MATCH(R$8,'KPI Analysis'!$AH$7:$CM$7,FALSE))="OD","",INDEX('KPI Analysis'!$AH$7:$CM$123,MATCH($A48,'KPI Analysis'!$AH$7:$AH$123,FALSE),MATCH(R$8,'KPI Analysis'!$AH$7:$CM$7,FALSE)))</f>
        <v>G</v>
      </c>
      <c r="S48" s="632">
        <f>IF(INDEX('KPI Analysis'!$CO$7:$EU$123,MATCH($A48,'KPI Analysis'!$CO$7:$CO$123,FALSE),MATCH(R$8,'KPI Analysis'!$CO$7:$EU$7,FALSE))="OD","OD",IFERROR(INDEX('KPI Analysis'!$EW$7:$HC$123,MATCH($A48,'KPI Analysis'!$EW$7:$EW$123,FALSE),MATCH(R$8,'KPI Analysis'!$EW$7:$HC$7,FALSE))/100,"OD"))</f>
        <v>1</v>
      </c>
      <c r="T48" s="581" t="str">
        <f>IF(INDEX('KPI Analysis'!$AH$7:$CM$123,MATCH($A48,'KPI Analysis'!$AH$7:$AH$123,FALSE),MATCH(T$8,'KPI Analysis'!$AH$7:$CM$7,FALSE))="OD","",INDEX('KPI Analysis'!$AH$7:$CM$123,MATCH($A48,'KPI Analysis'!$AH$7:$AH$123,FALSE),MATCH(T$8,'KPI Analysis'!$AH$7:$CM$7,FALSE)))</f>
        <v>G</v>
      </c>
      <c r="U48" s="632">
        <f>IF(INDEX('KPI Analysis'!$CO$7:$EU$123,MATCH($A48,'KPI Analysis'!$CO$7:$CO$123,FALSE),MATCH(T$8,'KPI Analysis'!$CO$7:$EU$7,FALSE))="OD","OD",IFERROR(INDEX('KPI Analysis'!$EW$7:$HC$123,MATCH($A48,'KPI Analysis'!$EW$7:$EW$123,FALSE),MATCH(T$8,'KPI Analysis'!$EW$7:$HC$7,FALSE))/100,"OD"))</f>
        <v>0.91299999999999992</v>
      </c>
      <c r="V48" s="581" t="str">
        <f>IF(INDEX('KPI Analysis'!$AH$7:$CM$123,MATCH($A48,'KPI Analysis'!$AH$7:$AH$123,FALSE),MATCH(V$8,'KPI Analysis'!$AH$7:$CM$7,FALSE))="OD","",INDEX('KPI Analysis'!$AH$7:$CM$123,MATCH($A48,'KPI Analysis'!$AH$7:$AH$123,FALSE),MATCH(V$8,'KPI Analysis'!$AH$7:$CM$7,FALSE)))</f>
        <v>R</v>
      </c>
      <c r="W48" s="632">
        <f>IF(INDEX('KPI Analysis'!$CO$7:$EU$123,MATCH($A48,'KPI Analysis'!$CO$7:$CO$123,FALSE),MATCH(V$8,'KPI Analysis'!$CO$7:$EU$7,FALSE))="OD","OD",IFERROR(INDEX('KPI Analysis'!$EW$7:$HC$123,MATCH($A48,'KPI Analysis'!$EW$7:$EW$123,FALSE),MATCH(V$8,'KPI Analysis'!$EW$7:$HC$7,FALSE))/100,"OD"))</f>
        <v>0.85199999999999998</v>
      </c>
      <c r="X48" s="581" t="str">
        <f>IF(INDEX('KPI Analysis'!$AH$7:$CM$123,MATCH($A48,'KPI Analysis'!$AH$7:$AH$123,FALSE),MATCH(X$8,'KPI Analysis'!$AH$7:$CM$7,FALSE))="OD","",INDEX('KPI Analysis'!$AH$7:$CM$123,MATCH($A48,'KPI Analysis'!$AH$7:$AH$123,FALSE),MATCH(X$8,'KPI Analysis'!$AH$7:$CM$7,FALSE)))</f>
        <v/>
      </c>
      <c r="Y48" s="632" t="str">
        <f>IF(INDEX('KPI Analysis'!$CO$7:$EU$123,MATCH($A48,'KPI Analysis'!$CO$7:$CO$123,FALSE),MATCH(X$8,'KPI Analysis'!$CO$7:$EU$7,FALSE))="OD","OD",IFERROR(INDEX('KPI Analysis'!$EW$7:$HC$123,MATCH($A48,'KPI Analysis'!$EW$7:$EW$123,FALSE),MATCH(X$8,'KPI Analysis'!$EW$7:$HC$7,FALSE))/100,"OD"))</f>
        <v>OD</v>
      </c>
      <c r="Z48" s="148" t="s">
        <v>613</v>
      </c>
      <c r="AA48" s="203"/>
      <c r="AC48" s="648" t="s">
        <v>638</v>
      </c>
      <c r="AE48" s="323">
        <f>INDEX('KPI Analysis'!$CO$7:$EU$123,MATCH($A48,'KPI Analysis'!$CO$7:$CO$123,FALSE),MATCH(AE$8,'KPI Analysis'!$CO$7:$EU$7,FALSE))</f>
        <v>1.0444444444444445</v>
      </c>
      <c r="AF48" s="315">
        <f>INDEX('KPI Analysis'!$CO$7:$EU$123,MATCH($A48,'KPI Analysis'!$CO$7:$CO$123,FALSE),MATCH(AF$8,'KPI Analysis'!$CO$7:$EU$7,FALSE))</f>
        <v>1.1111111111111112</v>
      </c>
      <c r="AG48" s="315">
        <f>INDEX('KPI Analysis'!$CO$7:$EU$123,MATCH($A48,'KPI Analysis'!$CO$7:$CO$123,FALSE),MATCH(AG$8,'KPI Analysis'!$CO$7:$EU$7,FALSE))</f>
        <v>1.0144444444444445</v>
      </c>
      <c r="AH48" s="315">
        <f>INDEX('KPI Analysis'!$CO$7:$EU$123,MATCH($A48,'KPI Analysis'!$CO$7:$CO$123,FALSE),MATCH(AH$8,'KPI Analysis'!$CO$7:$EU$7,FALSE))</f>
        <v>0.94666666666666666</v>
      </c>
      <c r="AI48" s="315" t="str">
        <f>INDEX('KPI Analysis'!$CO$7:$EU$123,MATCH($A48,'KPI Analysis'!$CO$7:$CO$123,FALSE),MATCH(AI$8,'KPI Analysis'!$CO$7:$EU$7,FALSE))</f>
        <v>OD</v>
      </c>
    </row>
    <row r="49" spans="1:35" x14ac:dyDescent="0.3">
      <c r="A49" t="str">
        <f>F47&amp;"-"&amp;C49</f>
        <v>Product Design-KPI D2</v>
      </c>
      <c r="B49" s="169" t="str">
        <f>+'KPI Stats'!G38</f>
        <v>Over</v>
      </c>
      <c r="C49" s="148" t="str">
        <f>+'KPI Stats'!C38</f>
        <v>KPI D2</v>
      </c>
      <c r="F49" s="865"/>
      <c r="G49" s="872"/>
      <c r="H49" s="617" t="s">
        <v>526</v>
      </c>
      <c r="I49" s="465">
        <f>+'KPI Stats'!$F$35</f>
        <v>42</v>
      </c>
      <c r="J49" s="144" t="str">
        <f>+'KPI Stats'!D38</f>
        <v>Delivery</v>
      </c>
      <c r="K49" s="144" t="str">
        <f>+'KPI Stats'!E38</f>
        <v>Lead Time Days to Full Task Completion</v>
      </c>
      <c r="L49" s="145" t="str">
        <f>+'KPI Stats'!F38</f>
        <v>Days</v>
      </c>
      <c r="M49" s="510" t="s">
        <v>247</v>
      </c>
      <c r="P49" s="581" t="str">
        <f>IF(INDEX('KPI Analysis'!$AH$7:$CM$123,MATCH($A49,'KPI Analysis'!$AH$7:$AH$123,FALSE),MATCH(P$8,'KPI Analysis'!$AH$7:$CM$7,FALSE))="OD","",INDEX('KPI Analysis'!$AH$7:$CM$123,MATCH($A49,'KPI Analysis'!$AH$7:$AH$123,FALSE),MATCH(P$8,'KPI Analysis'!$AH$7:$CM$7,FALSE)))</f>
        <v>G</v>
      </c>
      <c r="Q49" s="633">
        <f>IF(INDEX('KPI Analysis'!$CO$7:$EU$123,MATCH($A49,'KPI Analysis'!$CO$7:$CO$123,FALSE),MATCH(P$8,'KPI Analysis'!$CO$7:$EU$7,FALSE))="OD","OD",INDEX('KPI Analysis'!$EW$7:$HC$123,MATCH($A49,'KPI Analysis'!$EW$7:$EW$123,FALSE),MATCH(P$8,'KPI Analysis'!$EW$7:$HC$7,FALSE)))</f>
        <v>6.5</v>
      </c>
      <c r="R49" s="581" t="str">
        <f>IF(INDEX('KPI Analysis'!$AH$7:$CM$123,MATCH($A49,'KPI Analysis'!$AH$7:$AH$123,FALSE),MATCH(R$8,'KPI Analysis'!$AH$7:$CM$7,FALSE))="OD","",INDEX('KPI Analysis'!$AH$7:$CM$123,MATCH($A49,'KPI Analysis'!$AH$7:$AH$123,FALSE),MATCH(R$8,'KPI Analysis'!$AH$7:$CM$7,FALSE)))</f>
        <v>G</v>
      </c>
      <c r="S49" s="633">
        <f>IF(INDEX('KPI Analysis'!$CO$7:$EU$123,MATCH($A49,'KPI Analysis'!$CO$7:$CO$123,FALSE),MATCH(R$8,'KPI Analysis'!$CO$7:$EU$7,FALSE))="OD","OD",INDEX('KPI Analysis'!$EW$7:$HC$123,MATCH($A49,'KPI Analysis'!$EW$7:$EW$123,FALSE),MATCH(R$8,'KPI Analysis'!$EW$7:$HC$7,FALSE)))</f>
        <v>2.6</v>
      </c>
      <c r="T49" s="581" t="str">
        <f>IF(INDEX('KPI Analysis'!$AH$7:$CM$123,MATCH($A49,'KPI Analysis'!$AH$7:$AH$123,FALSE),MATCH(T$8,'KPI Analysis'!$AH$7:$CM$7,FALSE))="OD","",INDEX('KPI Analysis'!$AH$7:$CM$123,MATCH($A49,'KPI Analysis'!$AH$7:$AH$123,FALSE),MATCH(T$8,'KPI Analysis'!$AH$7:$CM$7,FALSE)))</f>
        <v>G</v>
      </c>
      <c r="U49" s="633">
        <f>IF(INDEX('KPI Analysis'!$CO$7:$EU$123,MATCH($A49,'KPI Analysis'!$CO$7:$CO$123,FALSE),MATCH(T$8,'KPI Analysis'!$CO$7:$EU$7,FALSE))="OD","OD",INDEX('KPI Analysis'!$EW$7:$HC$123,MATCH($A49,'KPI Analysis'!$EW$7:$EW$123,FALSE),MATCH(T$8,'KPI Analysis'!$EW$7:$HC$7,FALSE)))</f>
        <v>7</v>
      </c>
      <c r="V49" s="581" t="str">
        <f>IF(INDEX('KPI Analysis'!$AH$7:$CM$123,MATCH($A49,'KPI Analysis'!$AH$7:$AH$123,FALSE),MATCH(V$8,'KPI Analysis'!$AH$7:$CM$7,FALSE))="OD","",INDEX('KPI Analysis'!$AH$7:$CM$123,MATCH($A49,'KPI Analysis'!$AH$7:$AH$123,FALSE),MATCH(V$8,'KPI Analysis'!$AH$7:$CM$7,FALSE)))</f>
        <v>R</v>
      </c>
      <c r="W49" s="633">
        <f>IF(INDEX('KPI Analysis'!$CO$7:$EU$123,MATCH($A49,'KPI Analysis'!$CO$7:$CO$123,FALSE),MATCH(V$8,'KPI Analysis'!$CO$7:$EU$7,FALSE))="OD","OD",INDEX('KPI Analysis'!$EW$7:$HC$123,MATCH($A49,'KPI Analysis'!$EW$7:$EW$123,FALSE),MATCH(V$8,'KPI Analysis'!$EW$7:$HC$7,FALSE)))</f>
        <v>9.8000000000000007</v>
      </c>
      <c r="X49" s="581" t="str">
        <f>IF(INDEX('KPI Analysis'!$AH$7:$CM$123,MATCH($A49,'KPI Analysis'!$AH$7:$AH$123,FALSE),MATCH(X$8,'KPI Analysis'!$AH$7:$CM$7,FALSE))="OD","",INDEX('KPI Analysis'!$AH$7:$CM$123,MATCH($A49,'KPI Analysis'!$AH$7:$AH$123,FALSE),MATCH(X$8,'KPI Analysis'!$AH$7:$CM$7,FALSE)))</f>
        <v/>
      </c>
      <c r="Y49" s="633" t="str">
        <f>IF(INDEX('KPI Analysis'!$CO$7:$EU$123,MATCH($A49,'KPI Analysis'!$CO$7:$CO$123,FALSE),MATCH(X$8,'KPI Analysis'!$CO$7:$EU$7,FALSE))="OD","OD",INDEX('KPI Analysis'!$EW$7:$HC$123,MATCH($A49,'KPI Analysis'!$EW$7:$EW$123,FALSE),MATCH(X$8,'KPI Analysis'!$EW$7:$HC$7,FALSE)))</f>
        <v>OD</v>
      </c>
      <c r="Z49" s="148" t="s">
        <v>598</v>
      </c>
      <c r="AA49" s="203"/>
      <c r="AC49" s="648" t="s">
        <v>638</v>
      </c>
      <c r="AE49" s="323">
        <f>INDEX('KPI Analysis'!$CO$7:$EU$123,MATCH($A49,'KPI Analysis'!$CO$7:$CO$123,FALSE),MATCH(AE$8,'KPI Analysis'!$CO$7:$EU$7,FALSE))</f>
        <v>1.0769230769230769</v>
      </c>
      <c r="AF49" s="315">
        <f>INDEX('KPI Analysis'!$CO$7:$EU$123,MATCH($A49,'KPI Analysis'!$CO$7:$CO$123,FALSE),MATCH(AF$8,'KPI Analysis'!$CO$7:$EU$7,FALSE))</f>
        <v>2.6923076923076921</v>
      </c>
      <c r="AG49" s="315">
        <f>INDEX('KPI Analysis'!$CO$7:$EU$123,MATCH($A49,'KPI Analysis'!$CO$7:$CO$123,FALSE),MATCH(AG$8,'KPI Analysis'!$CO$7:$EU$7,FALSE))</f>
        <v>1</v>
      </c>
      <c r="AH49" s="315">
        <f>INDEX('KPI Analysis'!$CO$7:$EU$123,MATCH($A49,'KPI Analysis'!$CO$7:$CO$123,FALSE),MATCH(AH$8,'KPI Analysis'!$CO$7:$EU$7,FALSE))</f>
        <v>0.71428571428571419</v>
      </c>
      <c r="AI49" s="315" t="str">
        <f>INDEX('KPI Analysis'!$CO$7:$EU$123,MATCH($A49,'KPI Analysis'!$CO$7:$CO$123,FALSE),MATCH(AI$8,'KPI Analysis'!$CO$7:$EU$7,FALSE))</f>
        <v>OD</v>
      </c>
    </row>
    <row r="50" spans="1:35" x14ac:dyDescent="0.3">
      <c r="A50" t="str">
        <f>F47&amp;"-"&amp;C50</f>
        <v>Product Design-KPI Q1</v>
      </c>
      <c r="B50" s="169" t="str">
        <f>+'KPI Stats'!G39</f>
        <v>Over</v>
      </c>
      <c r="C50" s="148" t="str">
        <f>+'KPI Stats'!C39</f>
        <v>KPI Q1</v>
      </c>
      <c r="F50" s="865"/>
      <c r="G50" s="872"/>
      <c r="H50" s="617" t="s">
        <v>526</v>
      </c>
      <c r="I50" s="465">
        <f>+'KPI Stats'!$F$35</f>
        <v>42</v>
      </c>
      <c r="J50" s="144" t="str">
        <f>+'KPI Stats'!D39</f>
        <v>Quality</v>
      </c>
      <c r="K50" s="144" t="str">
        <f>+'KPI Stats'!E39</f>
        <v>No of complaints</v>
      </c>
      <c r="L50" s="145" t="str">
        <f>+'KPI Stats'!F39</f>
        <v>Count</v>
      </c>
      <c r="M50" s="510" t="s">
        <v>247</v>
      </c>
      <c r="P50" s="581" t="str">
        <f>IF(INDEX('KPI Analysis'!$AH$7:$CM$123,MATCH($A50,'KPI Analysis'!$AH$7:$AH$123,FALSE),MATCH(P$8,'KPI Analysis'!$AH$7:$CM$7,FALSE))="OD","",INDEX('KPI Analysis'!$AH$7:$CM$123,MATCH($A50,'KPI Analysis'!$AH$7:$AH$123,FALSE),MATCH(P$8,'KPI Analysis'!$AH$7:$CM$7,FALSE)))</f>
        <v>G</v>
      </c>
      <c r="Q50" s="567">
        <f>IF(INDEX('KPI Analysis'!$CO$7:$EU$123,MATCH($A50,'KPI Analysis'!$CO$7:$CO$123,FALSE),MATCH(P$8,'KPI Analysis'!$CO$7:$EU$7,FALSE))="OD","OD",INDEX('KPI Analysis'!$EW$7:$HC$123,MATCH($A50,'KPI Analysis'!$EW$7:$EW$123,FALSE),MATCH(P$8,'KPI Analysis'!$EW$7:$HC$7,FALSE)))</f>
        <v>0</v>
      </c>
      <c r="R50" s="581" t="str">
        <f>IF(INDEX('KPI Analysis'!$AH$7:$CM$123,MATCH($A50,'KPI Analysis'!$AH$7:$AH$123,FALSE),MATCH(R$8,'KPI Analysis'!$AH$7:$CM$7,FALSE))="OD","",INDEX('KPI Analysis'!$AH$7:$CM$123,MATCH($A50,'KPI Analysis'!$AH$7:$AH$123,FALSE),MATCH(R$8,'KPI Analysis'!$AH$7:$CM$7,FALSE)))</f>
        <v>G</v>
      </c>
      <c r="S50" s="567">
        <f>IF(INDEX('KPI Analysis'!$CO$7:$EU$123,MATCH($A50,'KPI Analysis'!$CO$7:$CO$123,FALSE),MATCH(R$8,'KPI Analysis'!$CO$7:$EU$7,FALSE))="OD","OD",INDEX('KPI Analysis'!$EW$7:$HC$123,MATCH($A50,'KPI Analysis'!$EW$7:$EW$123,FALSE),MATCH(R$8,'KPI Analysis'!$EW$7:$HC$7,FALSE)))</f>
        <v>0</v>
      </c>
      <c r="T50" s="581" t="str">
        <f>IF(INDEX('KPI Analysis'!$AH$7:$CM$123,MATCH($A50,'KPI Analysis'!$AH$7:$AH$123,FALSE),MATCH(T$8,'KPI Analysis'!$AH$7:$CM$7,FALSE))="OD","",INDEX('KPI Analysis'!$AH$7:$CM$123,MATCH($A50,'KPI Analysis'!$AH$7:$AH$123,FALSE),MATCH(T$8,'KPI Analysis'!$AH$7:$CM$7,FALSE)))</f>
        <v>R</v>
      </c>
      <c r="U50" s="567">
        <f>IF(INDEX('KPI Analysis'!$CO$7:$EU$123,MATCH($A50,'KPI Analysis'!$CO$7:$CO$123,FALSE),MATCH(T$8,'KPI Analysis'!$CO$7:$EU$7,FALSE))="OD","OD",INDEX('KPI Analysis'!$EW$7:$HC$123,MATCH($A50,'KPI Analysis'!$EW$7:$EW$123,FALSE),MATCH(T$8,'KPI Analysis'!$EW$7:$HC$7,FALSE)))</f>
        <v>2</v>
      </c>
      <c r="V50" s="581" t="str">
        <f>IF(INDEX('KPI Analysis'!$AH$7:$CM$123,MATCH($A50,'KPI Analysis'!$AH$7:$AH$123,FALSE),MATCH(V$8,'KPI Analysis'!$AH$7:$CM$7,FALSE))="OD","",INDEX('KPI Analysis'!$AH$7:$CM$123,MATCH($A50,'KPI Analysis'!$AH$7:$AH$123,FALSE),MATCH(V$8,'KPI Analysis'!$AH$7:$CM$7,FALSE)))</f>
        <v>G</v>
      </c>
      <c r="W50" s="567">
        <f>IF(INDEX('KPI Analysis'!$CO$7:$EU$123,MATCH($A50,'KPI Analysis'!$CO$7:$CO$123,FALSE),MATCH(V$8,'KPI Analysis'!$CO$7:$EU$7,FALSE))="OD","OD",INDEX('KPI Analysis'!$EW$7:$HC$123,MATCH($A50,'KPI Analysis'!$EW$7:$EW$123,FALSE),MATCH(V$8,'KPI Analysis'!$EW$7:$HC$7,FALSE)))</f>
        <v>0</v>
      </c>
      <c r="X50" s="581" t="str">
        <f>IF(INDEX('KPI Analysis'!$AH$7:$CM$123,MATCH($A50,'KPI Analysis'!$AH$7:$AH$123,FALSE),MATCH(X$8,'KPI Analysis'!$AH$7:$CM$7,FALSE))="OD","",INDEX('KPI Analysis'!$AH$7:$CM$123,MATCH($A50,'KPI Analysis'!$AH$7:$AH$123,FALSE),MATCH(X$8,'KPI Analysis'!$AH$7:$CM$7,FALSE)))</f>
        <v/>
      </c>
      <c r="Y50" s="567" t="str">
        <f>IF(INDEX('KPI Analysis'!$CO$7:$EU$123,MATCH($A50,'KPI Analysis'!$CO$7:$CO$123,FALSE),MATCH(X$8,'KPI Analysis'!$CO$7:$EU$7,FALSE))="OD","OD",INDEX('KPI Analysis'!$EW$7:$HC$123,MATCH($A50,'KPI Analysis'!$EW$7:$EW$123,FALSE),MATCH(X$8,'KPI Analysis'!$EW$7:$HC$7,FALSE)))</f>
        <v>OD</v>
      </c>
      <c r="Z50" s="148" t="s">
        <v>614</v>
      </c>
      <c r="AA50" s="203"/>
      <c r="AC50" s="648" t="s">
        <v>638</v>
      </c>
      <c r="AE50" s="323" t="str">
        <f>INDEX('KPI Analysis'!$CO$7:$EU$123,MATCH($A50,'KPI Analysis'!$CO$7:$CO$123,FALSE),MATCH(AE$8,'KPI Analysis'!$CO$7:$EU$7,FALSE))</f>
        <v>100%</v>
      </c>
      <c r="AF50" s="315" t="str">
        <f>INDEX('KPI Analysis'!$CO$7:$EU$123,MATCH($A50,'KPI Analysis'!$CO$7:$CO$123,FALSE),MATCH(AF$8,'KPI Analysis'!$CO$7:$EU$7,FALSE))</f>
        <v>100%</v>
      </c>
      <c r="AG50" s="315">
        <f>INDEX('KPI Analysis'!$CO$7:$EU$123,MATCH($A50,'KPI Analysis'!$CO$7:$CO$123,FALSE),MATCH(AG$8,'KPI Analysis'!$CO$7:$EU$7,FALSE))</f>
        <v>0.5</v>
      </c>
      <c r="AH50" s="315" t="str">
        <f>INDEX('KPI Analysis'!$CO$7:$EU$123,MATCH($A50,'KPI Analysis'!$CO$7:$CO$123,FALSE),MATCH(AH$8,'KPI Analysis'!$CO$7:$EU$7,FALSE))</f>
        <v>100%</v>
      </c>
      <c r="AI50" s="315" t="str">
        <f>INDEX('KPI Analysis'!$CO$7:$EU$123,MATCH($A50,'KPI Analysis'!$CO$7:$CO$123,FALSE),MATCH(AI$8,'KPI Analysis'!$CO$7:$EU$7,FALSE))</f>
        <v>OD</v>
      </c>
    </row>
    <row r="51" spans="1:35" ht="15" thickBot="1" x14ac:dyDescent="0.35">
      <c r="A51" t="str">
        <f>F47&amp;"-"&amp;C51</f>
        <v>Product Design-KPI C1</v>
      </c>
      <c r="B51" s="170" t="str">
        <f>+'KPI Stats'!G40</f>
        <v>Undefined</v>
      </c>
      <c r="C51" s="149" t="str">
        <f>+'KPI Stats'!C40</f>
        <v>KPI C1</v>
      </c>
      <c r="F51" s="866"/>
      <c r="G51" s="873"/>
      <c r="H51" s="296" t="s">
        <v>526</v>
      </c>
      <c r="I51" s="398">
        <f>+'KPI Stats'!$F$35</f>
        <v>42</v>
      </c>
      <c r="J51" s="146" t="str">
        <f>+'KPI Stats'!D40</f>
        <v>Cost</v>
      </c>
      <c r="K51" s="146" t="str">
        <f>+'KPI Stats'!E40</f>
        <v>Needs defining</v>
      </c>
      <c r="L51" s="147" t="str">
        <f>+'KPI Stats'!F40</f>
        <v>Undefined</v>
      </c>
      <c r="M51" s="521" t="str">
        <f>INDEX('KPI Analysis'!$CO$7:$EU$123,MATCH($A51,'KPI Analysis'!$CO$7:$CO$123,FALSE),MATCH(M$8,'KPI Analysis'!$CO$7:$EU$7,FALSE))</f>
        <v>Undefined</v>
      </c>
      <c r="P51" s="581" t="str">
        <f>IF(
OR(
INDEX('KPI Analysis'!$AH$7:$CM$123,
MATCH($A51,'KPI Analysis'!$AH$7:$AH$123,FALSE),
MATCH(P$8,'KPI Analysis'!$AH$7:$CM$7,FALSE)
)="R",
INDEX('KPI Analysis'!$AH$7:$CM$123,
MATCH($A51,'KPI Analysis'!$AH$7:$AH$123,FALSE),
MATCH(P$8,'KPI Analysis'!$AH$7:$CM$7,FALSE)
)="G",
INDEX('KPI Analysis'!$AH$7:$CM$123,
MATCH($A51,'KPI Analysis'!$AH$7:$AH$123,FALSE),
MATCH(P$8,'KPI Analysis'!$AH$7:$CM$7,FALSE)
)="A"),
INDEX('KPI Analysis'!$AH$7:$CM$123,MATCH($A51,'KPI Analysis'!$AH$7:$AH$123,FALSE),MATCH(P$8,'KPI Analysis'!$AH$7:$CM$7,FALSE)),"")</f>
        <v/>
      </c>
      <c r="Q51" s="632" t="str">
        <f>INDEX('KPI Analysis'!$EW$7:$HC$123,MATCH($A51,'KPI Analysis'!$EW$7:$EW$123,FALSE),MATCH(P$8,'KPI Analysis'!$EW$7:$HC$7,FALSE))</f>
        <v>undefined</v>
      </c>
      <c r="R51" s="581" t="str">
        <f>IF(
OR(
INDEX('KPI Analysis'!$AH$7:$CM$123,
MATCH($A51,'KPI Analysis'!$AH$7:$AH$123,FALSE),
MATCH(R$8,'KPI Analysis'!$AH$7:$CM$7,FALSE)
)="R",
INDEX('KPI Analysis'!$AH$7:$CM$123,
MATCH($A51,'KPI Analysis'!$AH$7:$AH$123,FALSE),
MATCH(R$8,'KPI Analysis'!$AH$7:$CM$7,FALSE)
)="G",
INDEX('KPI Analysis'!$AH$7:$CM$123,
MATCH($A51,'KPI Analysis'!$AH$7:$AH$123,FALSE),
MATCH(R$8,'KPI Analysis'!$AH$7:$CM$7,FALSE)
)="A"),
INDEX('KPI Analysis'!$AH$7:$CM$123,MATCH($A51,'KPI Analysis'!$AH$7:$AH$123,FALSE),MATCH(R$8,'KPI Analysis'!$AH$7:$CM$7,FALSE)),"")</f>
        <v/>
      </c>
      <c r="S51" s="632" t="str">
        <f>INDEX('KPI Analysis'!$EW$7:$HC$123,MATCH($A51,'KPI Analysis'!$EW$7:$EW$123,FALSE),MATCH(R$8,'KPI Analysis'!$EW$7:$HC$7,FALSE))</f>
        <v>undefined</v>
      </c>
      <c r="T51" s="581" t="str">
        <f>IF(
OR(
INDEX('KPI Analysis'!$AH$7:$CM$123,
MATCH($A51,'KPI Analysis'!$AH$7:$AH$123,FALSE),
MATCH(T$8,'KPI Analysis'!$AH$7:$CM$7,FALSE)
)="R",
INDEX('KPI Analysis'!$AH$7:$CM$123,
MATCH($A51,'KPI Analysis'!$AH$7:$AH$123,FALSE),
MATCH(T$8,'KPI Analysis'!$AH$7:$CM$7,FALSE)
)="G",
INDEX('KPI Analysis'!$AH$7:$CM$123,
MATCH($A51,'KPI Analysis'!$AH$7:$AH$123,FALSE),
MATCH(T$8,'KPI Analysis'!$AH$7:$CM$7,FALSE)
)="A"),
INDEX('KPI Analysis'!$AH$7:$CM$123,MATCH($A51,'KPI Analysis'!$AH$7:$AH$123,FALSE),MATCH(T$8,'KPI Analysis'!$AH$7:$CM$7,FALSE)),"")</f>
        <v/>
      </c>
      <c r="U51" s="632" t="str">
        <f>INDEX('KPI Analysis'!$EW$7:$HC$123,MATCH($A51,'KPI Analysis'!$EW$7:$EW$123,FALSE),MATCH(T$8,'KPI Analysis'!$EW$7:$HC$7,FALSE))</f>
        <v>undefined</v>
      </c>
      <c r="V51" s="581" t="str">
        <f>IF(
OR(
INDEX('KPI Analysis'!$AH$7:$CM$123,
MATCH($A51,'KPI Analysis'!$AH$7:$AH$123,FALSE),
MATCH(V$8,'KPI Analysis'!$AH$7:$CM$7,FALSE)
)="R",
INDEX('KPI Analysis'!$AH$7:$CM$123,
MATCH($A51,'KPI Analysis'!$AH$7:$AH$123,FALSE),
MATCH(V$8,'KPI Analysis'!$AH$7:$CM$7,FALSE)
)="G",
INDEX('KPI Analysis'!$AH$7:$CM$123,
MATCH($A51,'KPI Analysis'!$AH$7:$AH$123,FALSE),
MATCH(V$8,'KPI Analysis'!$AH$7:$CM$7,FALSE)
)="A"),
INDEX('KPI Analysis'!$AH$7:$CM$123,MATCH($A51,'KPI Analysis'!$AH$7:$AH$123,FALSE),MATCH(V$8,'KPI Analysis'!$AH$7:$CM$7,FALSE)),"")</f>
        <v/>
      </c>
      <c r="W51" s="632" t="str">
        <f>INDEX('KPI Analysis'!$EW$7:$HC$123,MATCH($A51,'KPI Analysis'!$EW$7:$EW$123,FALSE),MATCH(V$8,'KPI Analysis'!$EW$7:$HC$7,FALSE))</f>
        <v>undefined</v>
      </c>
      <c r="X51" s="581" t="str">
        <f>IF(
OR(
INDEX('KPI Analysis'!$AH$7:$CM$123,
MATCH($A51,'KPI Analysis'!$AH$7:$AH$123,FALSE),
MATCH(X$8,'KPI Analysis'!$AH$7:$CM$7,FALSE)
)="R",
INDEX('KPI Analysis'!$AH$7:$CM$123,
MATCH($A51,'KPI Analysis'!$AH$7:$AH$123,FALSE),
MATCH(X$8,'KPI Analysis'!$AH$7:$CM$7,FALSE)
)="G",
INDEX('KPI Analysis'!$AH$7:$CM$123,
MATCH($A51,'KPI Analysis'!$AH$7:$AH$123,FALSE),
MATCH(X$8,'KPI Analysis'!$AH$7:$CM$7,FALSE)
)="A"),
INDEX('KPI Analysis'!$AH$7:$CM$123,MATCH($A51,'KPI Analysis'!$AH$7:$AH$123,FALSE),MATCH(X$8,'KPI Analysis'!$AH$7:$CM$7,FALSE)),"")</f>
        <v/>
      </c>
      <c r="Y51" s="632" t="str">
        <f>INDEX('KPI Analysis'!$EW$7:$HC$123,MATCH($A51,'KPI Analysis'!$EW$7:$EW$123,FALSE),MATCH(X$8,'KPI Analysis'!$EW$7:$HC$7,FALSE))</f>
        <v>undefined</v>
      </c>
      <c r="Z51" s="149" t="s">
        <v>538</v>
      </c>
      <c r="AA51" s="203"/>
      <c r="AC51" s="648" t="s">
        <v>638</v>
      </c>
      <c r="AE51" s="324" t="str">
        <f>INDEX('KPI Analysis'!$CO$7:$EU$123,MATCH($A51,'KPI Analysis'!$CO$7:$CO$123,FALSE),MATCH(AE$8,'KPI Analysis'!$CO$7:$EU$7,FALSE))</f>
        <v>Undefined</v>
      </c>
      <c r="AF51" s="325" t="str">
        <f>INDEX('KPI Analysis'!$CO$7:$EU$123,MATCH($A51,'KPI Analysis'!$CO$7:$CO$123,FALSE),MATCH(AF$8,'KPI Analysis'!$CO$7:$EU$7,FALSE))</f>
        <v>Undefined</v>
      </c>
      <c r="AG51" s="325" t="str">
        <f>INDEX('KPI Analysis'!$CO$7:$EU$123,MATCH($A51,'KPI Analysis'!$CO$7:$CO$123,FALSE),MATCH(AG$8,'KPI Analysis'!$CO$7:$EU$7,FALSE))</f>
        <v>Undefined</v>
      </c>
      <c r="AH51" s="325" t="str">
        <f>INDEX('KPI Analysis'!$CO$7:$EU$123,MATCH($A51,'KPI Analysis'!$CO$7:$CO$123,FALSE),MATCH(AH$8,'KPI Analysis'!$CO$7:$EU$7,FALSE))</f>
        <v>Undefined</v>
      </c>
      <c r="AI51" s="325" t="str">
        <f>INDEX('KPI Analysis'!$CO$7:$EU$123,MATCH($A51,'KPI Analysis'!$CO$7:$CO$123,FALSE),MATCH(AI$8,'KPI Analysis'!$CO$7:$EU$7,FALSE))</f>
        <v>Undefined</v>
      </c>
    </row>
    <row r="52" spans="1:35" x14ac:dyDescent="0.3">
      <c r="A52" t="str">
        <f t="shared" si="0"/>
        <v>Product Eng - MB-KPI P1</v>
      </c>
      <c r="B52" s="168" t="str">
        <f>+'KPI Stats'!G43</f>
        <v>Under</v>
      </c>
      <c r="C52" s="141" t="str">
        <f>+'KPI Stats'!C43</f>
        <v>KPI P1</v>
      </c>
      <c r="F52" s="864" t="str">
        <f>+'KPI Stats'!$B$42</f>
        <v>Product Eng - MB</v>
      </c>
      <c r="G52" s="871" t="str">
        <f>+'KPI Stats'!$C$42</f>
        <v>Paul Dolan</v>
      </c>
      <c r="H52" s="616" t="s">
        <v>526</v>
      </c>
      <c r="I52" s="466">
        <f>+'KPI Stats'!$F$42</f>
        <v>42</v>
      </c>
      <c r="J52" s="142" t="str">
        <f>+'KPI Stats'!D43</f>
        <v>Productivity</v>
      </c>
      <c r="K52" s="142" t="str">
        <f>+'KPI Stats'!E43</f>
        <v>Output lines as a percentage of capacity</v>
      </c>
      <c r="L52" s="143" t="str">
        <f>+'KPI Stats'!F43</f>
        <v>Percentage</v>
      </c>
      <c r="M52" s="511" t="s">
        <v>247</v>
      </c>
      <c r="P52" s="581" t="str">
        <f>IF(INDEX('KPI Analysis'!$AH$7:$CM$123,MATCH($A52,'KPI Analysis'!$AH$7:$AH$123,FALSE),MATCH(P$8,'KPI Analysis'!$AH$7:$CM$7,FALSE))="OD","",INDEX('KPI Analysis'!$AH$7:$CM$123,MATCH($A52,'KPI Analysis'!$AH$7:$AH$123,FALSE),MATCH(P$8,'KPI Analysis'!$AH$7:$CM$7,FALSE)))</f>
        <v>G</v>
      </c>
      <c r="Q52" s="563">
        <f>IF(INDEX('KPI Analysis'!$CO$7:$EU$123,MATCH($A52,'KPI Analysis'!$CO$7:$CO$123,FALSE),MATCH(P$8,'KPI Analysis'!$CO$7:$EU$7,FALSE))="OD","OD",IFERROR(INDEX('KPI Analysis'!$EW$7:$HC$123,MATCH($A52,'KPI Analysis'!$EW$7:$EW$123,FALSE),MATCH(P$8,'KPI Analysis'!$EW$7:$HC$7,FALSE))/100,"OD"))</f>
        <v>1.05</v>
      </c>
      <c r="R52" s="581" t="str">
        <f>IF(INDEX('KPI Analysis'!$AH$7:$CM$123,MATCH($A52,'KPI Analysis'!$AH$7:$AH$123,FALSE),MATCH(R$8,'KPI Analysis'!$AH$7:$CM$7,FALSE))="OD","",INDEX('KPI Analysis'!$AH$7:$CM$123,MATCH($A52,'KPI Analysis'!$AH$7:$AH$123,FALSE),MATCH(R$8,'KPI Analysis'!$AH$7:$CM$7,FALSE)))</f>
        <v>A</v>
      </c>
      <c r="S52" s="563">
        <f>IF(INDEX('KPI Analysis'!$CO$7:$EU$123,MATCH($A52,'KPI Analysis'!$CO$7:$CO$123,FALSE),MATCH(R$8,'KPI Analysis'!$CO$7:$EU$7,FALSE))="OD","OD",IFERROR(INDEX('KPI Analysis'!$EW$7:$HC$123,MATCH($A52,'KPI Analysis'!$EW$7:$EW$123,FALSE),MATCH(R$8,'KPI Analysis'!$EW$7:$HC$7,FALSE))/100,"OD"))</f>
        <v>0.77</v>
      </c>
      <c r="T52" s="581" t="str">
        <f>IF(INDEX('KPI Analysis'!$AH$7:$CM$123,MATCH($A52,'KPI Analysis'!$AH$7:$AH$123,FALSE),MATCH(T$8,'KPI Analysis'!$AH$7:$CM$7,FALSE))="OD","",INDEX('KPI Analysis'!$AH$7:$CM$123,MATCH($A52,'KPI Analysis'!$AH$7:$AH$123,FALSE),MATCH(T$8,'KPI Analysis'!$AH$7:$CM$7,FALSE)))</f>
        <v>G</v>
      </c>
      <c r="U52" s="563">
        <f>IF(INDEX('KPI Analysis'!$CO$7:$EU$123,MATCH($A52,'KPI Analysis'!$CO$7:$CO$123,FALSE),MATCH(T$8,'KPI Analysis'!$CO$7:$EU$7,FALSE))="OD","OD",IFERROR(INDEX('KPI Analysis'!$EW$7:$HC$123,MATCH($A52,'KPI Analysis'!$EW$7:$EW$123,FALSE),MATCH(T$8,'KPI Analysis'!$EW$7:$HC$7,FALSE))/100,"OD"))</f>
        <v>2.31</v>
      </c>
      <c r="V52" s="581" t="str">
        <f>IF(INDEX('KPI Analysis'!$AH$7:$CM$123,MATCH($A52,'KPI Analysis'!$AH$7:$AH$123,FALSE),MATCH(V$8,'KPI Analysis'!$AH$7:$CM$7,FALSE))="OD","",INDEX('KPI Analysis'!$AH$7:$CM$123,MATCH($A52,'KPI Analysis'!$AH$7:$AH$123,FALSE),MATCH(V$8,'KPI Analysis'!$AH$7:$CM$7,FALSE)))</f>
        <v>G</v>
      </c>
      <c r="W52" s="563">
        <f>IF(INDEX('KPI Analysis'!$CO$7:$EU$123,MATCH($A52,'KPI Analysis'!$CO$7:$CO$123,FALSE),MATCH(V$8,'KPI Analysis'!$CO$7:$EU$7,FALSE))="OD","OD",IFERROR(INDEX('KPI Analysis'!$EW$7:$HC$123,MATCH($A52,'KPI Analysis'!$EW$7:$EW$123,FALSE),MATCH(V$8,'KPI Analysis'!$EW$7:$HC$7,FALSE))/100,"OD"))</f>
        <v>3.19</v>
      </c>
      <c r="X52" s="581" t="str">
        <f>IF(INDEX('KPI Analysis'!$AH$7:$CM$123,MATCH($A52,'KPI Analysis'!$AH$7:$AH$123,FALSE),MATCH(X$8,'KPI Analysis'!$AH$7:$CM$7,FALSE))="OD","",INDEX('KPI Analysis'!$AH$7:$CM$123,MATCH($A52,'KPI Analysis'!$AH$7:$AH$123,FALSE),MATCH(X$8,'KPI Analysis'!$AH$7:$CM$7,FALSE)))</f>
        <v/>
      </c>
      <c r="Y52" s="563" t="str">
        <f>IF(INDEX('KPI Analysis'!$CO$7:$EU$123,MATCH($A52,'KPI Analysis'!$CO$7:$CO$123,FALSE),MATCH(X$8,'KPI Analysis'!$CO$7:$EU$7,FALSE))="OD","OD",IFERROR(INDEX('KPI Analysis'!$EW$7:$HC$123,MATCH($A52,'KPI Analysis'!$EW$7:$EW$123,FALSE),MATCH(X$8,'KPI Analysis'!$EW$7:$HC$7,FALSE))/100,"OD"))</f>
        <v>OD</v>
      </c>
      <c r="Z52" s="141" t="s">
        <v>629</v>
      </c>
      <c r="AA52" s="203"/>
      <c r="AC52" s="648" t="s">
        <v>638</v>
      </c>
      <c r="AE52" s="327">
        <f>INDEX('KPI Analysis'!$CO$7:$EU$123,MATCH($A52,'KPI Analysis'!$CO$7:$CO$123,FALSE),MATCH(AE$8,'KPI Analysis'!$CO$7:$EU$7,FALSE))</f>
        <v>1.3125</v>
      </c>
      <c r="AF52" s="328">
        <f>INDEX('KPI Analysis'!$CO$7:$EU$123,MATCH($A52,'KPI Analysis'!$CO$7:$CO$123,FALSE),MATCH(AF$8,'KPI Analysis'!$CO$7:$EU$7,FALSE))</f>
        <v>0.96250000000000002</v>
      </c>
      <c r="AG52" s="328">
        <f>INDEX('KPI Analysis'!$CO$7:$EU$123,MATCH($A52,'KPI Analysis'!$CO$7:$CO$123,FALSE),MATCH(AG$8,'KPI Analysis'!$CO$7:$EU$7,FALSE))</f>
        <v>2.8875000000000002</v>
      </c>
      <c r="AH52" s="328">
        <f>INDEX('KPI Analysis'!$CO$7:$EU$123,MATCH($A52,'KPI Analysis'!$CO$7:$CO$123,FALSE),MATCH(AH$8,'KPI Analysis'!$CO$7:$EU$7,FALSE))</f>
        <v>3.9874999999999998</v>
      </c>
      <c r="AI52" s="328" t="str">
        <f>INDEX('KPI Analysis'!$CO$7:$EU$123,MATCH($A52,'KPI Analysis'!$CO$7:$CO$123,FALSE),MATCH(AI$8,'KPI Analysis'!$CO$7:$EU$7,FALSE))</f>
        <v>OD</v>
      </c>
    </row>
    <row r="53" spans="1:35" x14ac:dyDescent="0.3">
      <c r="A53" t="str">
        <f t="shared" si="0"/>
        <v>Product Eng - MB-KPI D1</v>
      </c>
      <c r="B53" s="169" t="str">
        <f>+'KPI Stats'!G44</f>
        <v>Under</v>
      </c>
      <c r="C53" s="148" t="str">
        <f>+'KPI Stats'!C44</f>
        <v>KPI D1</v>
      </c>
      <c r="F53" s="865" t="str">
        <f>+'KPI Stats'!$B$42</f>
        <v>Product Eng - MB</v>
      </c>
      <c r="G53" s="872" t="str">
        <f>+'KPI Stats'!$B$42</f>
        <v>Product Eng - MB</v>
      </c>
      <c r="H53" s="617" t="s">
        <v>526</v>
      </c>
      <c r="I53" s="465">
        <f>+'KPI Stats'!$F$42</f>
        <v>42</v>
      </c>
      <c r="J53" s="144" t="str">
        <f>+'KPI Stats'!D44</f>
        <v>Delivery</v>
      </c>
      <c r="K53" s="144" t="str">
        <f>+'KPI Stats'!E44</f>
        <v>BOM Lead time</v>
      </c>
      <c r="L53" s="145" t="str">
        <f>+'KPI Stats'!F44</f>
        <v>Days</v>
      </c>
      <c r="M53" s="510" t="s">
        <v>247</v>
      </c>
      <c r="P53" s="581" t="str">
        <f>IF(INDEX('KPI Analysis'!$AH$7:$CM$123,MATCH($A53,'KPI Analysis'!$AH$7:$AH$123,FALSE),MATCH(P$8,'KPI Analysis'!$AH$7:$CM$7,FALSE))="OD","",INDEX('KPI Analysis'!$AH$7:$CM$123,MATCH($A53,'KPI Analysis'!$AH$7:$AH$123,FALSE),MATCH(P$8,'KPI Analysis'!$AH$7:$CM$7,FALSE)))</f>
        <v>G</v>
      </c>
      <c r="Q53" s="567">
        <f>IF(INDEX('KPI Analysis'!$CO$7:$EU$123,MATCH($A53,'KPI Analysis'!$CO$7:$CO$123,FALSE),MATCH(P$8,'KPI Analysis'!$CO$7:$EU$7,FALSE))="OD","OD",INDEX('KPI Analysis'!$EW$7:$HC$123,MATCH($A53,'KPI Analysis'!$EW$7:$EW$123,FALSE),MATCH(P$8,'KPI Analysis'!$EW$7:$HC$7,FALSE)))</f>
        <v>3</v>
      </c>
      <c r="R53" s="581" t="str">
        <f>IF(INDEX('KPI Analysis'!$AH$7:$CM$123,MATCH($A53,'KPI Analysis'!$AH$7:$AH$123,FALSE),MATCH(R$8,'KPI Analysis'!$AH$7:$CM$7,FALSE))="OD","",INDEX('KPI Analysis'!$AH$7:$CM$123,MATCH($A53,'KPI Analysis'!$AH$7:$AH$123,FALSE),MATCH(R$8,'KPI Analysis'!$AH$7:$CM$7,FALSE)))</f>
        <v>G</v>
      </c>
      <c r="S53" s="567">
        <f>IF(INDEX('KPI Analysis'!$CO$7:$EU$123,MATCH($A53,'KPI Analysis'!$CO$7:$CO$123,FALSE),MATCH(R$8,'KPI Analysis'!$CO$7:$EU$7,FALSE))="OD","OD",INDEX('KPI Analysis'!$EW$7:$HC$123,MATCH($A53,'KPI Analysis'!$EW$7:$EW$123,FALSE),MATCH(R$8,'KPI Analysis'!$EW$7:$HC$7,FALSE)))</f>
        <v>3</v>
      </c>
      <c r="T53" s="581" t="str">
        <f>IF(INDEX('KPI Analysis'!$AH$7:$CM$123,MATCH($A53,'KPI Analysis'!$AH$7:$AH$123,FALSE),MATCH(T$8,'KPI Analysis'!$AH$7:$CM$7,FALSE))="OD","",INDEX('KPI Analysis'!$AH$7:$CM$123,MATCH($A53,'KPI Analysis'!$AH$7:$AH$123,FALSE),MATCH(T$8,'KPI Analysis'!$AH$7:$CM$7,FALSE)))</f>
        <v>G</v>
      </c>
      <c r="U53" s="567">
        <f>IF(INDEX('KPI Analysis'!$CO$7:$EU$123,MATCH($A53,'KPI Analysis'!$CO$7:$CO$123,FALSE),MATCH(T$8,'KPI Analysis'!$CO$7:$EU$7,FALSE))="OD","OD",INDEX('KPI Analysis'!$EW$7:$HC$123,MATCH($A53,'KPI Analysis'!$EW$7:$EW$123,FALSE),MATCH(T$8,'KPI Analysis'!$EW$7:$HC$7,FALSE)))</f>
        <v>2</v>
      </c>
      <c r="V53" s="581" t="str">
        <f>IF(INDEX('KPI Analysis'!$AH$7:$CM$123,MATCH($A53,'KPI Analysis'!$AH$7:$AH$123,FALSE),MATCH(V$8,'KPI Analysis'!$AH$7:$CM$7,FALSE))="OD","",INDEX('KPI Analysis'!$AH$7:$CM$123,MATCH($A53,'KPI Analysis'!$AH$7:$AH$123,FALSE),MATCH(V$8,'KPI Analysis'!$AH$7:$CM$7,FALSE)))</f>
        <v>G</v>
      </c>
      <c r="W53" s="567">
        <f>IF(INDEX('KPI Analysis'!$CO$7:$EU$123,MATCH($A53,'KPI Analysis'!$CO$7:$CO$123,FALSE),MATCH(V$8,'KPI Analysis'!$CO$7:$EU$7,FALSE))="OD","OD",INDEX('KPI Analysis'!$EW$7:$HC$123,MATCH($A53,'KPI Analysis'!$EW$7:$EW$123,FALSE),MATCH(V$8,'KPI Analysis'!$EW$7:$HC$7,FALSE)))</f>
        <v>3</v>
      </c>
      <c r="X53" s="581" t="str">
        <f>IF(INDEX('KPI Analysis'!$AH$7:$CM$123,MATCH($A53,'KPI Analysis'!$AH$7:$AH$123,FALSE),MATCH(X$8,'KPI Analysis'!$AH$7:$CM$7,FALSE))="OD","",INDEX('KPI Analysis'!$AH$7:$CM$123,MATCH($A53,'KPI Analysis'!$AH$7:$AH$123,FALSE),MATCH(X$8,'KPI Analysis'!$AH$7:$CM$7,FALSE)))</f>
        <v/>
      </c>
      <c r="Y53" s="567" t="str">
        <f>IF(INDEX('KPI Analysis'!$CO$7:$EU$123,MATCH($A53,'KPI Analysis'!$CO$7:$CO$123,FALSE),MATCH(X$8,'KPI Analysis'!$CO$7:$EU$7,FALSE))="OD","OD",INDEX('KPI Analysis'!$EW$7:$HC$123,MATCH($A53,'KPI Analysis'!$EW$7:$EW$123,FALSE),MATCH(X$8,'KPI Analysis'!$EW$7:$HC$7,FALSE)))</f>
        <v>OD</v>
      </c>
      <c r="Z53" s="148" t="s">
        <v>615</v>
      </c>
      <c r="AA53" s="203"/>
      <c r="AC53" s="648" t="s">
        <v>638</v>
      </c>
      <c r="AE53" s="323">
        <f>INDEX('KPI Analysis'!$CO$7:$EU$123,MATCH($A53,'KPI Analysis'!$CO$7:$CO$123,FALSE),MATCH(AE$8,'KPI Analysis'!$CO$7:$EU$7,FALSE))</f>
        <v>1.6666666666666667</v>
      </c>
      <c r="AF53" s="315">
        <f>INDEX('KPI Analysis'!$CO$7:$EU$123,MATCH($A53,'KPI Analysis'!$CO$7:$CO$123,FALSE),MATCH(AF$8,'KPI Analysis'!$CO$7:$EU$7,FALSE))</f>
        <v>1.6666666666666667</v>
      </c>
      <c r="AG53" s="315">
        <f>INDEX('KPI Analysis'!$CO$7:$EU$123,MATCH($A53,'KPI Analysis'!$CO$7:$CO$123,FALSE),MATCH(AG$8,'KPI Analysis'!$CO$7:$EU$7,FALSE))</f>
        <v>2.5</v>
      </c>
      <c r="AH53" s="315">
        <f>INDEX('KPI Analysis'!$CO$7:$EU$123,MATCH($A53,'KPI Analysis'!$CO$7:$CO$123,FALSE),MATCH(AH$8,'KPI Analysis'!$CO$7:$EU$7,FALSE))</f>
        <v>1.6666666666666667</v>
      </c>
      <c r="AI53" s="315" t="str">
        <f>INDEX('KPI Analysis'!$CO$7:$EU$123,MATCH($A53,'KPI Analysis'!$CO$7:$CO$123,FALSE),MATCH(AI$8,'KPI Analysis'!$CO$7:$EU$7,FALSE))</f>
        <v>OD</v>
      </c>
    </row>
    <row r="54" spans="1:35" x14ac:dyDescent="0.3">
      <c r="A54" t="str">
        <f t="shared" si="0"/>
        <v>Product Eng - MB-KPI D2</v>
      </c>
      <c r="B54" s="169" t="str">
        <f>+'KPI Stats'!G45</f>
        <v>Over</v>
      </c>
      <c r="C54" s="148" t="str">
        <f>+'KPI Stats'!C45</f>
        <v>KPI D2</v>
      </c>
      <c r="F54" s="865" t="str">
        <f>+'KPI Stats'!$B$42</f>
        <v>Product Eng - MB</v>
      </c>
      <c r="G54" s="872" t="str">
        <f>+'KPI Stats'!$B$42</f>
        <v>Product Eng - MB</v>
      </c>
      <c r="H54" s="617" t="s">
        <v>526</v>
      </c>
      <c r="I54" s="465">
        <f>+'KPI Stats'!$F$42</f>
        <v>42</v>
      </c>
      <c r="J54" s="144" t="str">
        <f>+'KPI Stats'!D45</f>
        <v>Delivery</v>
      </c>
      <c r="K54" s="144" t="str">
        <f>+'KPI Stats'!E45</f>
        <v>Lead Time for full order conversion</v>
      </c>
      <c r="L54" s="145" t="str">
        <f>+'KPI Stats'!F45</f>
        <v>Days</v>
      </c>
      <c r="M54" s="510" t="s">
        <v>247</v>
      </c>
      <c r="P54" s="581" t="str">
        <f>IF(INDEX('KPI Analysis'!$AH$7:$CM$123,MATCH($A54,'KPI Analysis'!$AH$7:$AH$123,FALSE),MATCH(P$8,'KPI Analysis'!$AH$7:$CM$7,FALSE))="OD","",INDEX('KPI Analysis'!$AH$7:$CM$123,MATCH($A54,'KPI Analysis'!$AH$7:$AH$123,FALSE),MATCH(P$8,'KPI Analysis'!$AH$7:$CM$7,FALSE)))</f>
        <v>G</v>
      </c>
      <c r="Q54" s="567">
        <f>IF(INDEX('KPI Analysis'!$CO$7:$EU$123,MATCH($A54,'KPI Analysis'!$CO$7:$CO$123,FALSE),MATCH(P$8,'KPI Analysis'!$CO$7:$EU$7,FALSE))="OD","OD",INDEX('KPI Analysis'!$EW$7:$HC$123,MATCH($A54,'KPI Analysis'!$EW$7:$EW$123,FALSE),MATCH(P$8,'KPI Analysis'!$EW$7:$HC$7,FALSE)))</f>
        <v>6</v>
      </c>
      <c r="R54" s="581" t="str">
        <f>IF(INDEX('KPI Analysis'!$AH$7:$CM$123,MATCH($A54,'KPI Analysis'!$AH$7:$AH$123,FALSE),MATCH(R$8,'KPI Analysis'!$AH$7:$CM$7,FALSE))="OD","",INDEX('KPI Analysis'!$AH$7:$CM$123,MATCH($A54,'KPI Analysis'!$AH$7:$AH$123,FALSE),MATCH(R$8,'KPI Analysis'!$AH$7:$CM$7,FALSE)))</f>
        <v>R</v>
      </c>
      <c r="S54" s="567">
        <f>IF(INDEX('KPI Analysis'!$CO$7:$EU$123,MATCH($A54,'KPI Analysis'!$CO$7:$CO$123,FALSE),MATCH(R$8,'KPI Analysis'!$CO$7:$EU$7,FALSE))="OD","OD",INDEX('KPI Analysis'!$EW$7:$HC$123,MATCH($A54,'KPI Analysis'!$EW$7:$EW$123,FALSE),MATCH(R$8,'KPI Analysis'!$EW$7:$HC$7,FALSE)))</f>
        <v>14</v>
      </c>
      <c r="T54" s="581" t="str">
        <f>IF(INDEX('KPI Analysis'!$AH$7:$CM$123,MATCH($A54,'KPI Analysis'!$AH$7:$AH$123,FALSE),MATCH(T$8,'KPI Analysis'!$AH$7:$CM$7,FALSE))="OD","",INDEX('KPI Analysis'!$AH$7:$CM$123,MATCH($A54,'KPI Analysis'!$AH$7:$AH$123,FALSE),MATCH(T$8,'KPI Analysis'!$AH$7:$CM$7,FALSE)))</f>
        <v>R</v>
      </c>
      <c r="U54" s="567">
        <f>IF(INDEX('KPI Analysis'!$CO$7:$EU$123,MATCH($A54,'KPI Analysis'!$CO$7:$CO$123,FALSE),MATCH(T$8,'KPI Analysis'!$CO$7:$EU$7,FALSE))="OD","OD",INDEX('KPI Analysis'!$EW$7:$HC$123,MATCH($A54,'KPI Analysis'!$EW$7:$EW$123,FALSE),MATCH(T$8,'KPI Analysis'!$EW$7:$HC$7,FALSE)))</f>
        <v>26</v>
      </c>
      <c r="V54" s="581" t="str">
        <f>IF(INDEX('KPI Analysis'!$AH$7:$CM$123,MATCH($A54,'KPI Analysis'!$AH$7:$AH$123,FALSE),MATCH(V$8,'KPI Analysis'!$AH$7:$CM$7,FALSE))="OD","",INDEX('KPI Analysis'!$AH$7:$CM$123,MATCH($A54,'KPI Analysis'!$AH$7:$AH$123,FALSE),MATCH(V$8,'KPI Analysis'!$AH$7:$CM$7,FALSE)))</f>
        <v>R</v>
      </c>
      <c r="W54" s="567">
        <f>IF(INDEX('KPI Analysis'!$CO$7:$EU$123,MATCH($A54,'KPI Analysis'!$CO$7:$CO$123,FALSE),MATCH(V$8,'KPI Analysis'!$CO$7:$EU$7,FALSE))="OD","OD",INDEX('KPI Analysis'!$EW$7:$HC$123,MATCH($A54,'KPI Analysis'!$EW$7:$EW$123,FALSE),MATCH(V$8,'KPI Analysis'!$EW$7:$HC$7,FALSE)))</f>
        <v>12</v>
      </c>
      <c r="X54" s="581" t="str">
        <f>IF(INDEX('KPI Analysis'!$AH$7:$CM$123,MATCH($A54,'KPI Analysis'!$AH$7:$AH$123,FALSE),MATCH(X$8,'KPI Analysis'!$AH$7:$CM$7,FALSE))="OD","",INDEX('KPI Analysis'!$AH$7:$CM$123,MATCH($A54,'KPI Analysis'!$AH$7:$AH$123,FALSE),MATCH(X$8,'KPI Analysis'!$AH$7:$CM$7,FALSE)))</f>
        <v/>
      </c>
      <c r="Y54" s="567" t="str">
        <f>IF(INDEX('KPI Analysis'!$CO$7:$EU$123,MATCH($A54,'KPI Analysis'!$CO$7:$CO$123,FALSE),MATCH(X$8,'KPI Analysis'!$CO$7:$EU$7,FALSE))="OD","OD",INDEX('KPI Analysis'!$EW$7:$HC$123,MATCH($A54,'KPI Analysis'!$EW$7:$EW$123,FALSE),MATCH(X$8,'KPI Analysis'!$EW$7:$HC$7,FALSE)))</f>
        <v>OD</v>
      </c>
      <c r="Z54" s="148" t="s">
        <v>616</v>
      </c>
      <c r="AA54" s="203"/>
      <c r="AC54" s="648" t="s">
        <v>638</v>
      </c>
      <c r="AE54" s="323">
        <f>INDEX('KPI Analysis'!$CO$7:$EU$123,MATCH($A54,'KPI Analysis'!$CO$7:$CO$123,FALSE),MATCH(AE$8,'KPI Analysis'!$CO$7:$EU$7,FALSE))</f>
        <v>1.6666666666666667</v>
      </c>
      <c r="AF54" s="315">
        <f>INDEX('KPI Analysis'!$CO$7:$EU$123,MATCH($A54,'KPI Analysis'!$CO$7:$CO$123,FALSE),MATCH(AF$8,'KPI Analysis'!$CO$7:$EU$7,FALSE))</f>
        <v>0.7142857142857143</v>
      </c>
      <c r="AG54" s="315">
        <f>INDEX('KPI Analysis'!$CO$7:$EU$123,MATCH($A54,'KPI Analysis'!$CO$7:$CO$123,FALSE),MATCH(AG$8,'KPI Analysis'!$CO$7:$EU$7,FALSE))</f>
        <v>0.38461538461538464</v>
      </c>
      <c r="AH54" s="315">
        <f>INDEX('KPI Analysis'!$CO$7:$EU$123,MATCH($A54,'KPI Analysis'!$CO$7:$CO$123,FALSE),MATCH(AH$8,'KPI Analysis'!$CO$7:$EU$7,FALSE))</f>
        <v>0.83333333333333337</v>
      </c>
      <c r="AI54" s="315" t="str">
        <f>INDEX('KPI Analysis'!$CO$7:$EU$123,MATCH($A54,'KPI Analysis'!$CO$7:$CO$123,FALSE),MATCH(AI$8,'KPI Analysis'!$CO$7:$EU$7,FALSE))</f>
        <v>OD</v>
      </c>
    </row>
    <row r="55" spans="1:35" ht="14.4" customHeight="1" x14ac:dyDescent="0.3">
      <c r="A55" t="str">
        <f t="shared" si="0"/>
        <v>Product Eng - MB-KPI Q1</v>
      </c>
      <c r="B55" s="169" t="str">
        <f>+'KPI Stats'!G46</f>
        <v>Over</v>
      </c>
      <c r="C55" s="148" t="str">
        <f>+'KPI Stats'!C46</f>
        <v>KPI Q1</v>
      </c>
      <c r="F55" s="865" t="str">
        <f>+'KPI Stats'!$B$42</f>
        <v>Product Eng - MB</v>
      </c>
      <c r="G55" s="872" t="str">
        <f>+'KPI Stats'!$B$42</f>
        <v>Product Eng - MB</v>
      </c>
      <c r="H55" s="617" t="s">
        <v>526</v>
      </c>
      <c r="I55" s="465">
        <f>+'KPI Stats'!$F$42</f>
        <v>42</v>
      </c>
      <c r="J55" s="144" t="str">
        <f>+'KPI Stats'!D46</f>
        <v>Quality</v>
      </c>
      <c r="K55" s="144" t="str">
        <f>+'KPI Stats'!E46</f>
        <v>Quality Defects / Items Output as a percentage</v>
      </c>
      <c r="L55" s="145" t="str">
        <f>+'KPI Stats'!F46</f>
        <v>Percentage</v>
      </c>
      <c r="M55" s="510" t="s">
        <v>247</v>
      </c>
      <c r="P55" s="581" t="str">
        <f>IF(INDEX('KPI Analysis'!$AH$7:$CM$123,MATCH($A55,'KPI Analysis'!$AH$7:$AH$123,FALSE),MATCH(P$8,'KPI Analysis'!$AH$7:$CM$7,FALSE))="OD","",INDEX('KPI Analysis'!$AH$7:$CM$123,MATCH($A55,'KPI Analysis'!$AH$7:$AH$123,FALSE),MATCH(P$8,'KPI Analysis'!$AH$7:$CM$7,FALSE)))</f>
        <v>G</v>
      </c>
      <c r="Q55" s="632">
        <f>IF(INDEX('KPI Analysis'!$CO$7:$EU$123,MATCH($A55,'KPI Analysis'!$CO$7:$CO$123,FALSE),MATCH(P$8,'KPI Analysis'!$CO$7:$EU$7,FALSE))="OD","OD",IFERROR(INDEX('KPI Analysis'!$EW$7:$HC$123,MATCH($A55,'KPI Analysis'!$EW$7:$EW$123,FALSE),MATCH(P$8,'KPI Analysis'!$EW$7:$HC$7,FALSE))/100,"OD"))</f>
        <v>8.0000000000000002E-3</v>
      </c>
      <c r="R55" s="581" t="str">
        <f>IF(INDEX('KPI Analysis'!$AH$7:$CM$123,MATCH($A55,'KPI Analysis'!$AH$7:$AH$123,FALSE),MATCH(R$8,'KPI Analysis'!$AH$7:$CM$7,FALSE))="OD","",INDEX('KPI Analysis'!$AH$7:$CM$123,MATCH($A55,'KPI Analysis'!$AH$7:$AH$123,FALSE),MATCH(R$8,'KPI Analysis'!$AH$7:$CM$7,FALSE)))</f>
        <v>G</v>
      </c>
      <c r="S55" s="632">
        <f>IF(INDEX('KPI Analysis'!$CO$7:$EU$123,MATCH($A55,'KPI Analysis'!$CO$7:$CO$123,FALSE),MATCH(R$8,'KPI Analysis'!$CO$7:$EU$7,FALSE))="OD","OD",IFERROR(INDEX('KPI Analysis'!$EW$7:$HC$123,MATCH($A55,'KPI Analysis'!$EW$7:$EW$123,FALSE),MATCH(R$8,'KPI Analysis'!$EW$7:$HC$7,FALSE))/100,"OD"))</f>
        <v>0</v>
      </c>
      <c r="T55" s="581" t="str">
        <f>IF(INDEX('KPI Analysis'!$AH$7:$CM$123,MATCH($A55,'KPI Analysis'!$AH$7:$AH$123,FALSE),MATCH(T$8,'KPI Analysis'!$AH$7:$CM$7,FALSE))="OD","",INDEX('KPI Analysis'!$AH$7:$CM$123,MATCH($A55,'KPI Analysis'!$AH$7:$AH$123,FALSE),MATCH(T$8,'KPI Analysis'!$AH$7:$CM$7,FALSE)))</f>
        <v>G</v>
      </c>
      <c r="U55" s="632">
        <f>IF(INDEX('KPI Analysis'!$CO$7:$EU$123,MATCH($A55,'KPI Analysis'!$CO$7:$CO$123,FALSE),MATCH(T$8,'KPI Analysis'!$CO$7:$EU$7,FALSE))="OD","OD",IFERROR(INDEX('KPI Analysis'!$EW$7:$HC$123,MATCH($A55,'KPI Analysis'!$EW$7:$EW$123,FALSE),MATCH(T$8,'KPI Analysis'!$EW$7:$HC$7,FALSE))/100,"OD"))</f>
        <v>0</v>
      </c>
      <c r="V55" s="581" t="str">
        <f>IF(INDEX('KPI Analysis'!$AH$7:$CM$123,MATCH($A55,'KPI Analysis'!$AH$7:$AH$123,FALSE),MATCH(V$8,'KPI Analysis'!$AH$7:$CM$7,FALSE))="OD","",INDEX('KPI Analysis'!$AH$7:$CM$123,MATCH($A55,'KPI Analysis'!$AH$7:$AH$123,FALSE),MATCH(V$8,'KPI Analysis'!$AH$7:$CM$7,FALSE)))</f>
        <v>G</v>
      </c>
      <c r="W55" s="632">
        <f>IF(INDEX('KPI Analysis'!$CO$7:$EU$123,MATCH($A55,'KPI Analysis'!$CO$7:$CO$123,FALSE),MATCH(V$8,'KPI Analysis'!$CO$7:$EU$7,FALSE))="OD","OD",IFERROR(INDEX('KPI Analysis'!$EW$7:$HC$123,MATCH($A55,'KPI Analysis'!$EW$7:$EW$123,FALSE),MATCH(V$8,'KPI Analysis'!$EW$7:$HC$7,FALSE))/100,"OD"))</f>
        <v>2E-3</v>
      </c>
      <c r="X55" s="581" t="str">
        <f>IF(INDEX('KPI Analysis'!$AH$7:$CM$123,MATCH($A55,'KPI Analysis'!$AH$7:$AH$123,FALSE),MATCH(X$8,'KPI Analysis'!$AH$7:$CM$7,FALSE))="OD","",INDEX('KPI Analysis'!$AH$7:$CM$123,MATCH($A55,'KPI Analysis'!$AH$7:$AH$123,FALSE),MATCH(X$8,'KPI Analysis'!$AH$7:$CM$7,FALSE)))</f>
        <v/>
      </c>
      <c r="Y55" s="632" t="str">
        <f>IF(INDEX('KPI Analysis'!$CO$7:$EU$123,MATCH($A55,'KPI Analysis'!$CO$7:$CO$123,FALSE),MATCH(X$8,'KPI Analysis'!$CO$7:$EU$7,FALSE))="OD","OD",IFERROR(INDEX('KPI Analysis'!$EW$7:$HC$123,MATCH($A55,'KPI Analysis'!$EW$7:$EW$123,FALSE),MATCH(X$8,'KPI Analysis'!$EW$7:$HC$7,FALSE))/100,"OD"))</f>
        <v>OD</v>
      </c>
      <c r="Z55" s="148" t="s">
        <v>617</v>
      </c>
      <c r="AA55" s="203"/>
      <c r="AC55" s="648" t="s">
        <v>638</v>
      </c>
      <c r="AE55" s="323">
        <f>INDEX('KPI Analysis'!$CO$7:$EU$123,MATCH($A55,'KPI Analysis'!$CO$7:$CO$123,FALSE),MATCH(AE$8,'KPI Analysis'!$CO$7:$EU$7,FALSE))</f>
        <v>3.125</v>
      </c>
      <c r="AF55" s="315">
        <f>INDEX('KPI Analysis'!$CO$7:$EU$123,MATCH($A55,'KPI Analysis'!$CO$7:$CO$123,FALSE),MATCH(AF$8,'KPI Analysis'!$CO$7:$EU$7,FALSE))</f>
        <v>1</v>
      </c>
      <c r="AG55" s="315">
        <f>INDEX('KPI Analysis'!$CO$7:$EU$123,MATCH($A55,'KPI Analysis'!$CO$7:$CO$123,FALSE),MATCH(AG$8,'KPI Analysis'!$CO$7:$EU$7,FALSE))</f>
        <v>1</v>
      </c>
      <c r="AH55" s="315">
        <f>INDEX('KPI Analysis'!$CO$7:$EU$123,MATCH($A55,'KPI Analysis'!$CO$7:$CO$123,FALSE),MATCH(AH$8,'KPI Analysis'!$CO$7:$EU$7,FALSE))</f>
        <v>12.5</v>
      </c>
      <c r="AI55" s="315" t="str">
        <f>INDEX('KPI Analysis'!$CO$7:$EU$123,MATCH($A55,'KPI Analysis'!$CO$7:$CO$123,FALSE),MATCH(AI$8,'KPI Analysis'!$CO$7:$EU$7,FALSE))</f>
        <v>OD</v>
      </c>
    </row>
    <row r="56" spans="1:35" ht="15" customHeight="1" thickBot="1" x14ac:dyDescent="0.35">
      <c r="A56" t="str">
        <f t="shared" si="0"/>
        <v>Product Eng - MB-KPI C1</v>
      </c>
      <c r="B56" s="170" t="str">
        <f>+'KPI Stats'!G47</f>
        <v>Over</v>
      </c>
      <c r="C56" s="149" t="str">
        <f>+'KPI Stats'!C47</f>
        <v>KPI C1</v>
      </c>
      <c r="F56" s="866" t="str">
        <f>+'KPI Stats'!$B$42</f>
        <v>Product Eng - MB</v>
      </c>
      <c r="G56" s="873" t="str">
        <f>+'KPI Stats'!$B$42</f>
        <v>Product Eng - MB</v>
      </c>
      <c r="H56" s="296" t="s">
        <v>526</v>
      </c>
      <c r="I56" s="398">
        <f>+'KPI Stats'!$F$42</f>
        <v>42</v>
      </c>
      <c r="J56" s="146" t="str">
        <f>+'KPI Stats'!D47</f>
        <v>Cost</v>
      </c>
      <c r="K56" s="146" t="str">
        <f>+'KPI Stats'!E47</f>
        <v>Cost Transfer Value per Day</v>
      </c>
      <c r="L56" s="147" t="str">
        <f>+'KPI Stats'!F47</f>
        <v>£s</v>
      </c>
      <c r="M56" s="585" t="s">
        <v>247</v>
      </c>
      <c r="P56" s="744" t="str">
        <f>IF(INDEX('KPI Analysis'!$AH$7:$CM$123,MATCH($A56,'KPI Analysis'!$AH$7:$AH$123,FALSE),MATCH(P$8,'KPI Analysis'!$AH$7:$CM$7,FALSE))="OD","",INDEX('KPI Analysis'!$AH$7:$CM$123,MATCH($A56,'KPI Analysis'!$AH$7:$AH$123,FALSE),MATCH(P$8,'KPI Analysis'!$AH$7:$CM$7,FALSE)))</f>
        <v>G</v>
      </c>
      <c r="Q56" s="745">
        <f>IF(INDEX('KPI Analysis'!$CO$7:$EU$123,MATCH($A56,'KPI Analysis'!$CO$7:$CO$123,FALSE),MATCH(P$8,'KPI Analysis'!$CO$7:$EU$7,FALSE))="OD","OD",INDEX('KPI Analysis'!$EW$7:$HC$123,MATCH($A56,'KPI Analysis'!$EW$7:$EW$123,FALSE),MATCH(P$8,'KPI Analysis'!$EW$7:$HC$7,FALSE)))</f>
        <v>1.2</v>
      </c>
      <c r="R56" s="744" t="str">
        <f>IF(INDEX('KPI Analysis'!$AH$7:$CM$123,MATCH($A56,'KPI Analysis'!$AH$7:$AH$123,FALSE),MATCH(R$8,'KPI Analysis'!$AH$7:$CM$7,FALSE))="OD","",INDEX('KPI Analysis'!$AH$7:$CM$123,MATCH($A56,'KPI Analysis'!$AH$7:$AH$123,FALSE),MATCH(R$8,'KPI Analysis'!$AH$7:$CM$7,FALSE)))</f>
        <v>G</v>
      </c>
      <c r="S56" s="745">
        <f>IF(INDEX('KPI Analysis'!$CO$7:$EU$123,MATCH($A56,'KPI Analysis'!$CO$7:$CO$123,FALSE),MATCH(R$8,'KPI Analysis'!$CO$7:$EU$7,FALSE))="OD","OD",INDEX('KPI Analysis'!$EW$7:$HC$123,MATCH($A56,'KPI Analysis'!$EW$7:$EW$123,FALSE),MATCH(R$8,'KPI Analysis'!$EW$7:$HC$7,FALSE)))</f>
        <v>37</v>
      </c>
      <c r="T56" s="744" t="str">
        <f>IF(INDEX('KPI Analysis'!$AH$7:$CM$123,MATCH($A56,'KPI Analysis'!$AH$7:$AH$123,FALSE),MATCH(T$8,'KPI Analysis'!$AH$7:$CM$7,FALSE))="OD","",INDEX('KPI Analysis'!$AH$7:$CM$123,MATCH($A56,'KPI Analysis'!$AH$7:$AH$123,FALSE),MATCH(T$8,'KPI Analysis'!$AH$7:$CM$7,FALSE)))</f>
        <v>R</v>
      </c>
      <c r="U56" s="745">
        <f>IF(INDEX('KPI Analysis'!$CO$7:$EU$123,MATCH($A56,'KPI Analysis'!$CO$7:$CO$123,FALSE),MATCH(T$8,'KPI Analysis'!$CO$7:$EU$7,FALSE))="OD","OD",INDEX('KPI Analysis'!$EW$7:$HC$123,MATCH($A56,'KPI Analysis'!$EW$7:$EW$123,FALSE),MATCH(T$8,'KPI Analysis'!$EW$7:$HC$7,FALSE)))</f>
        <v>49</v>
      </c>
      <c r="V56" s="744" t="str">
        <f>IF(INDEX('KPI Analysis'!$AH$7:$CM$123,MATCH($A56,'KPI Analysis'!$AH$7:$AH$123,FALSE),MATCH(V$8,'KPI Analysis'!$AH$7:$CM$7,FALSE))="OD","",INDEX('KPI Analysis'!$AH$7:$CM$123,MATCH($A56,'KPI Analysis'!$AH$7:$AH$123,FALSE),MATCH(V$8,'KPI Analysis'!$AH$7:$CM$7,FALSE)))</f>
        <v>G</v>
      </c>
      <c r="W56" s="745">
        <f>IF(INDEX('KPI Analysis'!$CO$7:$EU$123,MATCH($A56,'KPI Analysis'!$CO$7:$CO$123,FALSE),MATCH(V$8,'KPI Analysis'!$CO$7:$EU$7,FALSE))="OD","OD",INDEX('KPI Analysis'!$EW$7:$HC$123,MATCH($A56,'KPI Analysis'!$EW$7:$EW$123,FALSE),MATCH(V$8,'KPI Analysis'!$EW$7:$HC$7,FALSE)))</f>
        <v>10</v>
      </c>
      <c r="X56" s="744" t="str">
        <f>IF(INDEX('KPI Analysis'!$AH$7:$CM$123,MATCH($A56,'KPI Analysis'!$AH$7:$AH$123,FALSE),MATCH(X$8,'KPI Analysis'!$AH$7:$CM$7,FALSE))="OD","",INDEX('KPI Analysis'!$AH$7:$CM$123,MATCH($A56,'KPI Analysis'!$AH$7:$AH$123,FALSE),MATCH(X$8,'KPI Analysis'!$AH$7:$CM$7,FALSE)))</f>
        <v/>
      </c>
      <c r="Y56" s="745" t="str">
        <f>IF(INDEX('KPI Analysis'!$CO$7:$EU$123,MATCH($A56,'KPI Analysis'!$CO$7:$CO$123,FALSE),MATCH(X$8,'KPI Analysis'!$CO$7:$EU$7,FALSE))="OD","OD",INDEX('KPI Analysis'!$EW$7:$HC$123,MATCH($A56,'KPI Analysis'!$EW$7:$EW$123,FALSE),MATCH(X$8,'KPI Analysis'!$EW$7:$HC$7,FALSE)))</f>
        <v>OD</v>
      </c>
      <c r="Z56" s="149" t="s">
        <v>596</v>
      </c>
      <c r="AA56" s="203"/>
      <c r="AC56" s="648" t="s">
        <v>638</v>
      </c>
      <c r="AE56" s="324">
        <f>INDEX('KPI Analysis'!$CO$7:$EU$123,MATCH($A56,'KPI Analysis'!$CO$7:$CO$123,FALSE),MATCH(AE$8,'KPI Analysis'!$CO$7:$EU$7,FALSE))</f>
        <v>0.03</v>
      </c>
      <c r="AF56" s="325">
        <f>INDEX('KPI Analysis'!$CO$7:$EU$123,MATCH($A56,'KPI Analysis'!$CO$7:$CO$123,FALSE),MATCH(AF$8,'KPI Analysis'!$CO$7:$EU$7,FALSE))</f>
        <v>0.92500000000000004</v>
      </c>
      <c r="AG56" s="325">
        <f>INDEX('KPI Analysis'!$CO$7:$EU$123,MATCH($A56,'KPI Analysis'!$CO$7:$CO$123,FALSE),MATCH(AG$8,'KPI Analysis'!$CO$7:$EU$7,FALSE))</f>
        <v>1.2250000000000001</v>
      </c>
      <c r="AH56" s="325">
        <f>INDEX('KPI Analysis'!$CO$7:$EU$123,MATCH($A56,'KPI Analysis'!$CO$7:$CO$123,FALSE),MATCH(AH$8,'KPI Analysis'!$CO$7:$EU$7,FALSE))</f>
        <v>0.25</v>
      </c>
      <c r="AI56" s="325" t="str">
        <f>INDEX('KPI Analysis'!$CO$7:$EU$123,MATCH($A56,'KPI Analysis'!$CO$7:$CO$123,FALSE),MATCH(AI$8,'KPI Analysis'!$CO$7:$EU$7,FALSE))</f>
        <v>OD</v>
      </c>
    </row>
    <row r="57" spans="1:35" x14ac:dyDescent="0.3">
      <c r="A57" t="str">
        <f t="shared" si="0"/>
        <v>Product Eng - BE-KPI P1</v>
      </c>
      <c r="B57" s="168" t="s">
        <v>186</v>
      </c>
      <c r="C57" s="141" t="str">
        <f>+'KPI Stats'!C50</f>
        <v>KPI P1</v>
      </c>
      <c r="F57" s="864" t="str">
        <f>+'KPI Stats'!$B$49</f>
        <v>Product Eng - BE</v>
      </c>
      <c r="G57" s="871" t="str">
        <f>+'KPI Stats'!$C$49</f>
        <v>Paul Dolan</v>
      </c>
      <c r="H57" s="616" t="s">
        <v>526</v>
      </c>
      <c r="I57" s="466">
        <f>+'KPI Stats'!$F$49</f>
        <v>42</v>
      </c>
      <c r="J57" s="142" t="str">
        <f>+'KPI Stats'!D50</f>
        <v>Productivity</v>
      </c>
      <c r="K57" s="142" t="str">
        <f>+'KPI Stats'!E50</f>
        <v>Output lines as a percentage of capacity</v>
      </c>
      <c r="L57" s="143" t="str">
        <f>+'KPI Stats'!F50</f>
        <v>Percentage</v>
      </c>
      <c r="M57" s="511" t="s">
        <v>247</v>
      </c>
      <c r="P57" s="579" t="str">
        <f>IF(INDEX('KPI Analysis'!$AH$7:$CM$123,MATCH($A57,'KPI Analysis'!$AH$7:$AH$123,FALSE),MATCH(P$8,'KPI Analysis'!$AH$7:$CM$7,FALSE))="OD","",INDEX('KPI Analysis'!$AH$7:$CM$123,MATCH($A57,'KPI Analysis'!$AH$7:$AH$123,FALSE),MATCH(P$8,'KPI Analysis'!$AH$7:$CM$7,FALSE)))</f>
        <v>R</v>
      </c>
      <c r="Q57" s="635">
        <f>IF(INDEX('KPI Analysis'!$CO$7:$EU$123,MATCH($A57,'KPI Analysis'!$CO$7:$CO$123,FALSE),MATCH(P$8,'KPI Analysis'!$CO$7:$EU$7,FALSE))="OD","OD",IFERROR(INDEX('KPI Analysis'!$EW$7:$HC$123,MATCH($A57,'KPI Analysis'!$EW$7:$EW$123,FALSE),MATCH(P$8,'KPI Analysis'!$EW$7:$HC$7,FALSE))/100,"OD"))</f>
        <v>0.6</v>
      </c>
      <c r="R57" s="579" t="str">
        <f>IF(INDEX('KPI Analysis'!$AH$7:$CM$123,MATCH($A57,'KPI Analysis'!$AH$7:$AH$123,FALSE),MATCH(R$8,'KPI Analysis'!$AH$7:$CM$7,FALSE))="OD","",INDEX('KPI Analysis'!$AH$7:$CM$123,MATCH($A57,'KPI Analysis'!$AH$7:$AH$123,FALSE),MATCH(R$8,'KPI Analysis'!$AH$7:$CM$7,FALSE)))</f>
        <v>R</v>
      </c>
      <c r="S57" s="635">
        <f>IF(INDEX('KPI Analysis'!$CO$7:$EU$123,MATCH($A57,'KPI Analysis'!$CO$7:$CO$123,FALSE),MATCH(R$8,'KPI Analysis'!$CO$7:$EU$7,FALSE))="OD","OD",IFERROR(INDEX('KPI Analysis'!$EW$7:$HC$123,MATCH($A57,'KPI Analysis'!$EW$7:$EW$123,FALSE),MATCH(R$8,'KPI Analysis'!$EW$7:$HC$7,FALSE))/100,"OD"))</f>
        <v>0.71</v>
      </c>
      <c r="T57" s="579" t="str">
        <f>IF(INDEX('KPI Analysis'!$AH$7:$CM$123,MATCH($A57,'KPI Analysis'!$AH$7:$AH$123,FALSE),MATCH(T$8,'KPI Analysis'!$AH$7:$CM$7,FALSE))="OD","",INDEX('KPI Analysis'!$AH$7:$CM$123,MATCH($A57,'KPI Analysis'!$AH$7:$AH$123,FALSE),MATCH(T$8,'KPI Analysis'!$AH$7:$CM$7,FALSE)))</f>
        <v>G</v>
      </c>
      <c r="U57" s="635">
        <f>IF(INDEX('KPI Analysis'!$CO$7:$EU$123,MATCH($A57,'KPI Analysis'!$CO$7:$CO$123,FALSE),MATCH(T$8,'KPI Analysis'!$CO$7:$EU$7,FALSE))="OD","OD",IFERROR(INDEX('KPI Analysis'!$EW$7:$HC$123,MATCH($A57,'KPI Analysis'!$EW$7:$EW$123,FALSE),MATCH(T$8,'KPI Analysis'!$EW$7:$HC$7,FALSE))/100,"OD"))</f>
        <v>1.22</v>
      </c>
      <c r="V57" s="579" t="str">
        <f>IF(INDEX('KPI Analysis'!$AH$7:$CM$123,MATCH($A57,'KPI Analysis'!$AH$7:$AH$123,FALSE),MATCH(V$8,'KPI Analysis'!$AH$7:$CM$7,FALSE))="OD","",INDEX('KPI Analysis'!$AH$7:$CM$123,MATCH($A57,'KPI Analysis'!$AH$7:$AH$123,FALSE),MATCH(V$8,'KPI Analysis'!$AH$7:$CM$7,FALSE)))</f>
        <v>G</v>
      </c>
      <c r="W57" s="635">
        <f>IF(INDEX('KPI Analysis'!$CO$7:$EU$123,MATCH($A57,'KPI Analysis'!$CO$7:$CO$123,FALSE),MATCH(V$8,'KPI Analysis'!$CO$7:$EU$7,FALSE))="OD","OD",IFERROR(INDEX('KPI Analysis'!$EW$7:$HC$123,MATCH($A57,'KPI Analysis'!$EW$7:$EW$123,FALSE),MATCH(V$8,'KPI Analysis'!$EW$7:$HC$7,FALSE))/100,"OD"))</f>
        <v>1.1399999999999999</v>
      </c>
      <c r="X57" s="579" t="str">
        <f>IF(INDEX('KPI Analysis'!$AH$7:$CM$123,MATCH($A57,'KPI Analysis'!$AH$7:$AH$123,FALSE),MATCH(X$8,'KPI Analysis'!$AH$7:$CM$7,FALSE))="OD","",INDEX('KPI Analysis'!$AH$7:$CM$123,MATCH($A57,'KPI Analysis'!$AH$7:$AH$123,FALSE),MATCH(X$8,'KPI Analysis'!$AH$7:$CM$7,FALSE)))</f>
        <v/>
      </c>
      <c r="Y57" s="635" t="str">
        <f>IF(INDEX('KPI Analysis'!$CO$7:$EU$123,MATCH($A57,'KPI Analysis'!$CO$7:$CO$123,FALSE),MATCH(X$8,'KPI Analysis'!$CO$7:$EU$7,FALSE))="OD","OD",IFERROR(INDEX('KPI Analysis'!$EW$7:$HC$123,MATCH($A57,'KPI Analysis'!$EW$7:$EW$123,FALSE),MATCH(X$8,'KPI Analysis'!$EW$7:$HC$7,FALSE))/100,"OD"))</f>
        <v>OD</v>
      </c>
      <c r="Z57" s="351" t="s">
        <v>695</v>
      </c>
      <c r="AA57" s="203"/>
      <c r="AC57" s="648" t="s">
        <v>638</v>
      </c>
      <c r="AE57" s="327">
        <f>INDEX('KPI Analysis'!$CO$7:$EU$123,MATCH($A57,'KPI Analysis'!$CO$7:$CO$123,FALSE),MATCH(AE$8,'KPI Analysis'!$CO$7:$EU$7,FALSE))</f>
        <v>0.75</v>
      </c>
      <c r="AF57" s="328">
        <f>INDEX('KPI Analysis'!$CO$7:$EU$123,MATCH($A57,'KPI Analysis'!$CO$7:$CO$123,FALSE),MATCH(AF$8,'KPI Analysis'!$CO$7:$EU$7,FALSE))</f>
        <v>0.88749999999999996</v>
      </c>
      <c r="AG57" s="328">
        <f>INDEX('KPI Analysis'!$CO$7:$EU$123,MATCH($A57,'KPI Analysis'!$CO$7:$CO$123,FALSE),MATCH(AG$8,'KPI Analysis'!$CO$7:$EU$7,FALSE))</f>
        <v>1.5249999999999999</v>
      </c>
      <c r="AH57" s="328">
        <f>INDEX('KPI Analysis'!$CO$7:$EU$123,MATCH($A57,'KPI Analysis'!$CO$7:$CO$123,FALSE),MATCH(AH$8,'KPI Analysis'!$CO$7:$EU$7,FALSE))</f>
        <v>1.425</v>
      </c>
      <c r="AI57" s="328" t="str">
        <f>INDEX('KPI Analysis'!$CO$7:$EU$123,MATCH($A57,'KPI Analysis'!$CO$7:$CO$123,FALSE),MATCH(AI$8,'KPI Analysis'!$CO$7:$EU$7,FALSE))</f>
        <v>OD</v>
      </c>
    </row>
    <row r="58" spans="1:35" ht="15" customHeight="1" x14ac:dyDescent="0.3">
      <c r="A58" t="str">
        <f t="shared" si="0"/>
        <v>Product Eng - BE-KPI D1</v>
      </c>
      <c r="B58" s="169" t="str">
        <f>+'KPI Stats'!G51</f>
        <v>Over</v>
      </c>
      <c r="C58" s="148" t="str">
        <f>+'KPI Stats'!C51</f>
        <v>KPI D1</v>
      </c>
      <c r="F58" s="865" t="str">
        <f>+'KPI Stats'!$B$49</f>
        <v>Product Eng - BE</v>
      </c>
      <c r="G58" s="872" t="str">
        <f>+'KPI Stats'!$B$49</f>
        <v>Product Eng - BE</v>
      </c>
      <c r="H58" s="617" t="s">
        <v>526</v>
      </c>
      <c r="I58" s="465">
        <f>+'KPI Stats'!$F$49</f>
        <v>42</v>
      </c>
      <c r="J58" s="144" t="str">
        <f>+'KPI Stats'!D51</f>
        <v>Delivery</v>
      </c>
      <c r="K58" s="144" t="str">
        <f>+'KPI Stats'!E51</f>
        <v>BOM Lead time</v>
      </c>
      <c r="L58" s="145" t="str">
        <f>+'KPI Stats'!F51</f>
        <v>Days</v>
      </c>
      <c r="M58" s="510" t="s">
        <v>247</v>
      </c>
      <c r="P58" s="581" t="str">
        <f>IF(INDEX('KPI Analysis'!$AH$7:$CM$123,MATCH($A58,'KPI Analysis'!$AH$7:$AH$123,FALSE),MATCH(P$8,'KPI Analysis'!$AH$7:$CM$7,FALSE))="OD","",INDEX('KPI Analysis'!$AH$7:$CM$123,MATCH($A58,'KPI Analysis'!$AH$7:$AH$123,FALSE),MATCH(P$8,'KPI Analysis'!$AH$7:$CM$7,FALSE)))</f>
        <v>R</v>
      </c>
      <c r="Q58" s="567">
        <f>IF(INDEX('KPI Analysis'!$CO$7:$EU$123,MATCH($A58,'KPI Analysis'!$CO$7:$CO$123,FALSE),MATCH(P$8,'KPI Analysis'!$CO$7:$EU$7,FALSE))="OD","OD",INDEX('KPI Analysis'!$EW$7:$HC$123,MATCH($A58,'KPI Analysis'!$EW$7:$EW$123,FALSE),MATCH(P$8,'KPI Analysis'!$EW$7:$HC$7,FALSE)))</f>
        <v>6</v>
      </c>
      <c r="R58" s="581" t="str">
        <f>IF(INDEX('KPI Analysis'!$AH$7:$CM$123,MATCH($A58,'KPI Analysis'!$AH$7:$AH$123,FALSE),MATCH(R$8,'KPI Analysis'!$AH$7:$CM$7,FALSE))="OD","",INDEX('KPI Analysis'!$AH$7:$CM$123,MATCH($A58,'KPI Analysis'!$AH$7:$AH$123,FALSE),MATCH(R$8,'KPI Analysis'!$AH$7:$CM$7,FALSE)))</f>
        <v>G</v>
      </c>
      <c r="S58" s="567">
        <f>IF(INDEX('KPI Analysis'!$CO$7:$EU$123,MATCH($A58,'KPI Analysis'!$CO$7:$CO$123,FALSE),MATCH(R$8,'KPI Analysis'!$CO$7:$EU$7,FALSE))="OD","OD",INDEX('KPI Analysis'!$EW$7:$HC$123,MATCH($A58,'KPI Analysis'!$EW$7:$EW$123,FALSE),MATCH(R$8,'KPI Analysis'!$EW$7:$HC$7,FALSE)))</f>
        <v>4</v>
      </c>
      <c r="T58" s="581" t="str">
        <f>IF(INDEX('KPI Analysis'!$AH$7:$CM$123,MATCH($A58,'KPI Analysis'!$AH$7:$AH$123,FALSE),MATCH(T$8,'KPI Analysis'!$AH$7:$CM$7,FALSE))="OD","",INDEX('KPI Analysis'!$AH$7:$CM$123,MATCH($A58,'KPI Analysis'!$AH$7:$AH$123,FALSE),MATCH(T$8,'KPI Analysis'!$AH$7:$CM$7,FALSE)))</f>
        <v>R</v>
      </c>
      <c r="U58" s="567">
        <f>IF(INDEX('KPI Analysis'!$CO$7:$EU$123,MATCH($A58,'KPI Analysis'!$CO$7:$CO$123,FALSE),MATCH(T$8,'KPI Analysis'!$CO$7:$EU$7,FALSE))="OD","OD",INDEX('KPI Analysis'!$EW$7:$HC$123,MATCH($A58,'KPI Analysis'!$EW$7:$EW$123,FALSE),MATCH(T$8,'KPI Analysis'!$EW$7:$HC$7,FALSE)))</f>
        <v>6</v>
      </c>
      <c r="V58" s="581" t="str">
        <f>IF(INDEX('KPI Analysis'!$AH$7:$CM$123,MATCH($A58,'KPI Analysis'!$AH$7:$AH$123,FALSE),MATCH(V$8,'KPI Analysis'!$AH$7:$CM$7,FALSE))="OD","",INDEX('KPI Analysis'!$AH$7:$CM$123,MATCH($A58,'KPI Analysis'!$AH$7:$AH$123,FALSE),MATCH(V$8,'KPI Analysis'!$AH$7:$CM$7,FALSE)))</f>
        <v>G</v>
      </c>
      <c r="W58" s="567">
        <f>IF(INDEX('KPI Analysis'!$CO$7:$EU$123,MATCH($A58,'KPI Analysis'!$CO$7:$CO$123,FALSE),MATCH(V$8,'KPI Analysis'!$CO$7:$EU$7,FALSE))="OD","OD",INDEX('KPI Analysis'!$EW$7:$HC$123,MATCH($A58,'KPI Analysis'!$EW$7:$EW$123,FALSE),MATCH(V$8,'KPI Analysis'!$EW$7:$HC$7,FALSE)))</f>
        <v>3</v>
      </c>
      <c r="X58" s="581" t="str">
        <f>IF(INDEX('KPI Analysis'!$AH$7:$CM$123,MATCH($A58,'KPI Analysis'!$AH$7:$AH$123,FALSE),MATCH(X$8,'KPI Analysis'!$AH$7:$CM$7,FALSE))="OD","",INDEX('KPI Analysis'!$AH$7:$CM$123,MATCH($A58,'KPI Analysis'!$AH$7:$AH$123,FALSE),MATCH(X$8,'KPI Analysis'!$AH$7:$CM$7,FALSE)))</f>
        <v/>
      </c>
      <c r="Y58" s="567" t="str">
        <f>IF(INDEX('KPI Analysis'!$CO$7:$EU$123,MATCH($A58,'KPI Analysis'!$CO$7:$CO$123,FALSE),MATCH(X$8,'KPI Analysis'!$CO$7:$EU$7,FALSE))="OD","OD",INDEX('KPI Analysis'!$EW$7:$HC$123,MATCH($A58,'KPI Analysis'!$EW$7:$EW$123,FALSE),MATCH(X$8,'KPI Analysis'!$EW$7:$HC$7,FALSE)))</f>
        <v>OD</v>
      </c>
      <c r="Z58" s="148" t="s">
        <v>615</v>
      </c>
      <c r="AA58" s="203"/>
      <c r="AC58" s="648" t="s">
        <v>638</v>
      </c>
      <c r="AE58" s="323">
        <f>INDEX('KPI Analysis'!$CO$7:$EU$123,MATCH($A58,'KPI Analysis'!$CO$7:$CO$123,FALSE),MATCH(AE$8,'KPI Analysis'!$CO$7:$EU$7,FALSE))</f>
        <v>0.83333333333333337</v>
      </c>
      <c r="AF58" s="315">
        <f>INDEX('KPI Analysis'!$CO$7:$EU$123,MATCH($A58,'KPI Analysis'!$CO$7:$CO$123,FALSE),MATCH(AF$8,'KPI Analysis'!$CO$7:$EU$7,FALSE))</f>
        <v>1.25</v>
      </c>
      <c r="AG58" s="315">
        <f>INDEX('KPI Analysis'!$CO$7:$EU$123,MATCH($A58,'KPI Analysis'!$CO$7:$CO$123,FALSE),MATCH(AG$8,'KPI Analysis'!$CO$7:$EU$7,FALSE))</f>
        <v>0.83333333333333337</v>
      </c>
      <c r="AH58" s="315">
        <f>INDEX('KPI Analysis'!$CO$7:$EU$123,MATCH($A58,'KPI Analysis'!$CO$7:$CO$123,FALSE),MATCH(AH$8,'KPI Analysis'!$CO$7:$EU$7,FALSE))</f>
        <v>1.6666666666666667</v>
      </c>
      <c r="AI58" s="315" t="str">
        <f>INDEX('KPI Analysis'!$CO$7:$EU$123,MATCH($A58,'KPI Analysis'!$CO$7:$CO$123,FALSE),MATCH(AI$8,'KPI Analysis'!$CO$7:$EU$7,FALSE))</f>
        <v>OD</v>
      </c>
    </row>
    <row r="59" spans="1:35" x14ac:dyDescent="0.3">
      <c r="A59" t="str">
        <f t="shared" si="0"/>
        <v>Product Eng - BE-KPI D2</v>
      </c>
      <c r="B59" s="169" t="str">
        <f>+'KPI Stats'!G52</f>
        <v>Over</v>
      </c>
      <c r="C59" s="148" t="str">
        <f>+'KPI Stats'!C52</f>
        <v>KPI D2</v>
      </c>
      <c r="F59" s="865" t="str">
        <f>+'KPI Stats'!$B$49</f>
        <v>Product Eng - BE</v>
      </c>
      <c r="G59" s="872" t="str">
        <f>+'KPI Stats'!$B$49</f>
        <v>Product Eng - BE</v>
      </c>
      <c r="H59" s="617" t="s">
        <v>526</v>
      </c>
      <c r="I59" s="465">
        <f>+'KPI Stats'!$F$49</f>
        <v>42</v>
      </c>
      <c r="J59" s="144" t="str">
        <f>+'KPI Stats'!D52</f>
        <v>Delivery</v>
      </c>
      <c r="K59" s="144" t="str">
        <f>+'KPI Stats'!E52</f>
        <v>Lead Time for full order conversion</v>
      </c>
      <c r="L59" s="145" t="str">
        <f>+'KPI Stats'!F52</f>
        <v>Days</v>
      </c>
      <c r="M59" s="510" t="s">
        <v>247</v>
      </c>
      <c r="P59" s="581" t="str">
        <f>IF(INDEX('KPI Analysis'!$AH$7:$CM$123,MATCH($A59,'KPI Analysis'!$AH$7:$AH$123,FALSE),MATCH(P$8,'KPI Analysis'!$AH$7:$CM$7,FALSE))="OD","",INDEX('KPI Analysis'!$AH$7:$CM$123,MATCH($A59,'KPI Analysis'!$AH$7:$AH$123,FALSE),MATCH(P$8,'KPI Analysis'!$AH$7:$CM$7,FALSE)))</f>
        <v>R</v>
      </c>
      <c r="Q59" s="567">
        <f>IF(INDEX('KPI Analysis'!$CO$7:$EU$123,MATCH($A59,'KPI Analysis'!$CO$7:$CO$123,FALSE),MATCH(P$8,'KPI Analysis'!$CO$7:$EU$7,FALSE))="OD","OD",INDEX('KPI Analysis'!$EW$7:$HC$123,MATCH($A59,'KPI Analysis'!$EW$7:$EW$123,FALSE),MATCH(P$8,'KPI Analysis'!$EW$7:$HC$7,FALSE)))</f>
        <v>21</v>
      </c>
      <c r="R59" s="581" t="str">
        <f>IF(INDEX('KPI Analysis'!$AH$7:$CM$123,MATCH($A59,'KPI Analysis'!$AH$7:$AH$123,FALSE),MATCH(R$8,'KPI Analysis'!$AH$7:$CM$7,FALSE))="OD","",INDEX('KPI Analysis'!$AH$7:$CM$123,MATCH($A59,'KPI Analysis'!$AH$7:$AH$123,FALSE),MATCH(R$8,'KPI Analysis'!$AH$7:$CM$7,FALSE)))</f>
        <v>R</v>
      </c>
      <c r="S59" s="567">
        <f>IF(INDEX('KPI Analysis'!$CO$7:$EU$123,MATCH($A59,'KPI Analysis'!$CO$7:$CO$123,FALSE),MATCH(R$8,'KPI Analysis'!$CO$7:$EU$7,FALSE))="OD","OD",INDEX('KPI Analysis'!$EW$7:$HC$123,MATCH($A59,'KPI Analysis'!$EW$7:$EW$123,FALSE),MATCH(R$8,'KPI Analysis'!$EW$7:$HC$7,FALSE)))</f>
        <v>23</v>
      </c>
      <c r="T59" s="581" t="str">
        <f>IF(INDEX('KPI Analysis'!$AH$7:$CM$123,MATCH($A59,'KPI Analysis'!$AH$7:$AH$123,FALSE),MATCH(T$8,'KPI Analysis'!$AH$7:$CM$7,FALSE))="OD","",INDEX('KPI Analysis'!$AH$7:$CM$123,MATCH($A59,'KPI Analysis'!$AH$7:$AH$123,FALSE),MATCH(T$8,'KPI Analysis'!$AH$7:$CM$7,FALSE)))</f>
        <v>R</v>
      </c>
      <c r="U59" s="567">
        <f>IF(INDEX('KPI Analysis'!$CO$7:$EU$123,MATCH($A59,'KPI Analysis'!$CO$7:$CO$123,FALSE),MATCH(T$8,'KPI Analysis'!$CO$7:$EU$7,FALSE))="OD","OD",INDEX('KPI Analysis'!$EW$7:$HC$123,MATCH($A59,'KPI Analysis'!$EW$7:$EW$123,FALSE),MATCH(T$8,'KPI Analysis'!$EW$7:$HC$7,FALSE)))</f>
        <v>25</v>
      </c>
      <c r="V59" s="581" t="str">
        <f>IF(INDEX('KPI Analysis'!$AH$7:$CM$123,MATCH($A59,'KPI Analysis'!$AH$7:$AH$123,FALSE),MATCH(V$8,'KPI Analysis'!$AH$7:$CM$7,FALSE))="OD","",INDEX('KPI Analysis'!$AH$7:$CM$123,MATCH($A59,'KPI Analysis'!$AH$7:$AH$123,FALSE),MATCH(V$8,'KPI Analysis'!$AH$7:$CM$7,FALSE)))</f>
        <v>R</v>
      </c>
      <c r="W59" s="567">
        <f>IF(INDEX('KPI Analysis'!$CO$7:$EU$123,MATCH($A59,'KPI Analysis'!$CO$7:$CO$123,FALSE),MATCH(V$8,'KPI Analysis'!$CO$7:$EU$7,FALSE))="OD","OD",INDEX('KPI Analysis'!$EW$7:$HC$123,MATCH($A59,'KPI Analysis'!$EW$7:$EW$123,FALSE),MATCH(V$8,'KPI Analysis'!$EW$7:$HC$7,FALSE)))</f>
        <v>19</v>
      </c>
      <c r="X59" s="581" t="str">
        <f>IF(INDEX('KPI Analysis'!$AH$7:$CM$123,MATCH($A59,'KPI Analysis'!$AH$7:$AH$123,FALSE),MATCH(X$8,'KPI Analysis'!$AH$7:$CM$7,FALSE))="OD","",INDEX('KPI Analysis'!$AH$7:$CM$123,MATCH($A59,'KPI Analysis'!$AH$7:$AH$123,FALSE),MATCH(X$8,'KPI Analysis'!$AH$7:$CM$7,FALSE)))</f>
        <v/>
      </c>
      <c r="Y59" s="567" t="str">
        <f>IF(INDEX('KPI Analysis'!$CO$7:$EU$123,MATCH($A59,'KPI Analysis'!$CO$7:$CO$123,FALSE),MATCH(X$8,'KPI Analysis'!$CO$7:$EU$7,FALSE))="OD","OD",INDEX('KPI Analysis'!$EW$7:$HC$123,MATCH($A59,'KPI Analysis'!$EW$7:$EW$123,FALSE),MATCH(X$8,'KPI Analysis'!$EW$7:$HC$7,FALSE)))</f>
        <v>OD</v>
      </c>
      <c r="Z59" s="148" t="s">
        <v>616</v>
      </c>
      <c r="AA59" s="203"/>
      <c r="AC59" s="648" t="s">
        <v>638</v>
      </c>
      <c r="AE59" s="323">
        <f>INDEX('KPI Analysis'!$CO$7:$EU$123,MATCH($A59,'KPI Analysis'!$CO$7:$CO$123,FALSE),MATCH(AE$8,'KPI Analysis'!$CO$7:$EU$7,FALSE))</f>
        <v>0.47619047619047616</v>
      </c>
      <c r="AF59" s="315">
        <f>INDEX('KPI Analysis'!$CO$7:$EU$123,MATCH($A59,'KPI Analysis'!$CO$7:$CO$123,FALSE),MATCH(AF$8,'KPI Analysis'!$CO$7:$EU$7,FALSE))</f>
        <v>0.43478260869565216</v>
      </c>
      <c r="AG59" s="315">
        <f>INDEX('KPI Analysis'!$CO$7:$EU$123,MATCH($A59,'KPI Analysis'!$CO$7:$CO$123,FALSE),MATCH(AG$8,'KPI Analysis'!$CO$7:$EU$7,FALSE))</f>
        <v>0.4</v>
      </c>
      <c r="AH59" s="315">
        <f>INDEX('KPI Analysis'!$CO$7:$EU$123,MATCH($A59,'KPI Analysis'!$CO$7:$CO$123,FALSE),MATCH(AH$8,'KPI Analysis'!$CO$7:$EU$7,FALSE))</f>
        <v>0.52631578947368418</v>
      </c>
      <c r="AI59" s="315" t="str">
        <f>INDEX('KPI Analysis'!$CO$7:$EU$123,MATCH($A59,'KPI Analysis'!$CO$7:$CO$123,FALSE),MATCH(AI$8,'KPI Analysis'!$CO$7:$EU$7,FALSE))</f>
        <v>OD</v>
      </c>
    </row>
    <row r="60" spans="1:35" x14ac:dyDescent="0.3">
      <c r="A60" t="str">
        <f t="shared" si="0"/>
        <v>Product Eng - BE-KPI Q1</v>
      </c>
      <c r="B60" s="169" t="str">
        <f>+'KPI Stats'!G53</f>
        <v>Over</v>
      </c>
      <c r="C60" s="148" t="str">
        <f>+'KPI Stats'!C53</f>
        <v>KPI Q1</v>
      </c>
      <c r="F60" s="865" t="str">
        <f>+'KPI Stats'!$B$49</f>
        <v>Product Eng - BE</v>
      </c>
      <c r="G60" s="872" t="str">
        <f>+'KPI Stats'!$B$49</f>
        <v>Product Eng - BE</v>
      </c>
      <c r="H60" s="617" t="s">
        <v>526</v>
      </c>
      <c r="I60" s="465">
        <f>+'KPI Stats'!$F$49</f>
        <v>42</v>
      </c>
      <c r="J60" s="144" t="str">
        <f>+'KPI Stats'!D53</f>
        <v>Quality</v>
      </c>
      <c r="K60" s="144" t="str">
        <f>+'KPI Stats'!E53</f>
        <v>Quality Defects / Items Output as a percentage</v>
      </c>
      <c r="L60" s="145" t="str">
        <f>+'KPI Stats'!F53</f>
        <v>Percentage</v>
      </c>
      <c r="M60" s="510" t="s">
        <v>247</v>
      </c>
      <c r="P60" s="581" t="str">
        <f>IF(INDEX('KPI Analysis'!$AH$7:$CM$123,MATCH($A60,'KPI Analysis'!$AH$7:$AH$123,FALSE),MATCH(P$8,'KPI Analysis'!$AH$7:$CM$7,FALSE))="OD","",INDEX('KPI Analysis'!$AH$7:$CM$123,MATCH($A60,'KPI Analysis'!$AH$7:$AH$123,FALSE),MATCH(P$8,'KPI Analysis'!$AH$7:$CM$7,FALSE)))</f>
        <v>R</v>
      </c>
      <c r="Q60" s="632">
        <f>IF(INDEX('KPI Analysis'!$CO$7:$EU$123,MATCH($A60,'KPI Analysis'!$CO$7:$CO$123,FALSE),MATCH(P$8,'KPI Analysis'!$CO$7:$EU$7,FALSE))="OD","OD",IFERROR(INDEX('KPI Analysis'!$EW$7:$HC$123,MATCH($A60,'KPI Analysis'!$EW$7:$EW$123,FALSE),MATCH(P$8,'KPI Analysis'!$EW$7:$HC$7,FALSE))/100,"OD"))</f>
        <v>0.15</v>
      </c>
      <c r="R60" s="581" t="str">
        <f>IF(INDEX('KPI Analysis'!$AH$7:$CM$123,MATCH($A60,'KPI Analysis'!$AH$7:$AH$123,FALSE),MATCH(R$8,'KPI Analysis'!$AH$7:$CM$7,FALSE))="OD","",INDEX('KPI Analysis'!$AH$7:$CM$123,MATCH($A60,'KPI Analysis'!$AH$7:$AH$123,FALSE),MATCH(R$8,'KPI Analysis'!$AH$7:$CM$7,FALSE)))</f>
        <v>R</v>
      </c>
      <c r="S60" s="632">
        <f>IF(INDEX('KPI Analysis'!$CO$7:$EU$123,MATCH($A60,'KPI Analysis'!$CO$7:$CO$123,FALSE),MATCH(R$8,'KPI Analysis'!$CO$7:$EU$7,FALSE))="OD","OD",IFERROR(INDEX('KPI Analysis'!$EW$7:$HC$123,MATCH($A60,'KPI Analysis'!$EW$7:$EW$123,FALSE),MATCH(R$8,'KPI Analysis'!$EW$7:$HC$7,FALSE))/100,"OD"))</f>
        <v>8.6999999999999994E-2</v>
      </c>
      <c r="T60" s="581" t="str">
        <f>IF(INDEX('KPI Analysis'!$AH$7:$CM$123,MATCH($A60,'KPI Analysis'!$AH$7:$AH$123,FALSE),MATCH(T$8,'KPI Analysis'!$AH$7:$CM$7,FALSE))="OD","",INDEX('KPI Analysis'!$AH$7:$CM$123,MATCH($A60,'KPI Analysis'!$AH$7:$AH$123,FALSE),MATCH(T$8,'KPI Analysis'!$AH$7:$CM$7,FALSE)))</f>
        <v>R</v>
      </c>
      <c r="U60" s="632">
        <f>IF(INDEX('KPI Analysis'!$CO$7:$EU$123,MATCH($A60,'KPI Analysis'!$CO$7:$CO$123,FALSE),MATCH(T$8,'KPI Analysis'!$CO$7:$EU$7,FALSE))="OD","OD",IFERROR(INDEX('KPI Analysis'!$EW$7:$HC$123,MATCH($A60,'KPI Analysis'!$EW$7:$EW$123,FALSE),MATCH(T$8,'KPI Analysis'!$EW$7:$HC$7,FALSE))/100,"OD"))</f>
        <v>0.1</v>
      </c>
      <c r="V60" s="581" t="str">
        <f>IF(INDEX('KPI Analysis'!$AH$7:$CM$123,MATCH($A60,'KPI Analysis'!$AH$7:$AH$123,FALSE),MATCH(V$8,'KPI Analysis'!$AH$7:$CM$7,FALSE))="OD","",INDEX('KPI Analysis'!$AH$7:$CM$123,MATCH($A60,'KPI Analysis'!$AH$7:$AH$123,FALSE),MATCH(V$8,'KPI Analysis'!$AH$7:$CM$7,FALSE)))</f>
        <v>R</v>
      </c>
      <c r="W60" s="632">
        <f>IF(INDEX('KPI Analysis'!$CO$7:$EU$123,MATCH($A60,'KPI Analysis'!$CO$7:$CO$123,FALSE),MATCH(V$8,'KPI Analysis'!$CO$7:$EU$7,FALSE))="OD","OD",IFERROR(INDEX('KPI Analysis'!$EW$7:$HC$123,MATCH($A60,'KPI Analysis'!$EW$7:$EW$123,FALSE),MATCH(V$8,'KPI Analysis'!$EW$7:$HC$7,FALSE))/100,"OD"))</f>
        <v>7.2000000000000008E-2</v>
      </c>
      <c r="X60" s="581" t="str">
        <f>IF(INDEX('KPI Analysis'!$AH$7:$CM$123,MATCH($A60,'KPI Analysis'!$AH$7:$AH$123,FALSE),MATCH(X$8,'KPI Analysis'!$AH$7:$CM$7,FALSE))="OD","",INDEX('KPI Analysis'!$AH$7:$CM$123,MATCH($A60,'KPI Analysis'!$AH$7:$AH$123,FALSE),MATCH(X$8,'KPI Analysis'!$AH$7:$CM$7,FALSE)))</f>
        <v/>
      </c>
      <c r="Y60" s="632" t="str">
        <f>IF(INDEX('KPI Analysis'!$CO$7:$EU$123,MATCH($A60,'KPI Analysis'!$CO$7:$CO$123,FALSE),MATCH(X$8,'KPI Analysis'!$CO$7:$EU$7,FALSE))="OD","OD",IFERROR(INDEX('KPI Analysis'!$EW$7:$HC$123,MATCH($A60,'KPI Analysis'!$EW$7:$EW$123,FALSE),MATCH(X$8,'KPI Analysis'!$EW$7:$HC$7,FALSE))/100,"OD"))</f>
        <v>OD</v>
      </c>
      <c r="Z60" s="148" t="s">
        <v>617</v>
      </c>
      <c r="AA60" s="203"/>
      <c r="AC60" s="648" t="s">
        <v>638</v>
      </c>
      <c r="AE60" s="323">
        <f>INDEX('KPI Analysis'!$CO$7:$EU$123,MATCH($A60,'KPI Analysis'!$CO$7:$CO$123,FALSE),MATCH(AE$8,'KPI Analysis'!$CO$7:$EU$7,FALSE))</f>
        <v>0.16666666666666666</v>
      </c>
      <c r="AF60" s="315">
        <f>INDEX('KPI Analysis'!$CO$7:$EU$123,MATCH($A60,'KPI Analysis'!$CO$7:$CO$123,FALSE),MATCH(AF$8,'KPI Analysis'!$CO$7:$EU$7,FALSE))</f>
        <v>0.2873563218390805</v>
      </c>
      <c r="AG60" s="315">
        <f>INDEX('KPI Analysis'!$CO$7:$EU$123,MATCH($A60,'KPI Analysis'!$CO$7:$CO$123,FALSE),MATCH(AG$8,'KPI Analysis'!$CO$7:$EU$7,FALSE))</f>
        <v>0.25</v>
      </c>
      <c r="AH60" s="315">
        <f>INDEX('KPI Analysis'!$CO$7:$EU$123,MATCH($A60,'KPI Analysis'!$CO$7:$CO$123,FALSE),MATCH(AH$8,'KPI Analysis'!$CO$7:$EU$7,FALSE))</f>
        <v>0.34722222222222221</v>
      </c>
      <c r="AI60" s="315" t="str">
        <f>INDEX('KPI Analysis'!$CO$7:$EU$123,MATCH($A60,'KPI Analysis'!$CO$7:$CO$123,FALSE),MATCH(AI$8,'KPI Analysis'!$CO$7:$EU$7,FALSE))</f>
        <v>OD</v>
      </c>
    </row>
    <row r="61" spans="1:35" ht="15" thickBot="1" x14ac:dyDescent="0.35">
      <c r="A61" t="str">
        <f t="shared" si="0"/>
        <v>Product Eng - BE-KPI C1</v>
      </c>
      <c r="B61" s="170" t="str">
        <f>+'KPI Stats'!G54</f>
        <v>Over</v>
      </c>
      <c r="C61" s="149" t="str">
        <f>+'KPI Stats'!C54</f>
        <v>KPI C1</v>
      </c>
      <c r="F61" s="866" t="str">
        <f>+'KPI Stats'!$B$49</f>
        <v>Product Eng - BE</v>
      </c>
      <c r="G61" s="873" t="str">
        <f>+'KPI Stats'!$B$49</f>
        <v>Product Eng - BE</v>
      </c>
      <c r="H61" s="296" t="s">
        <v>526</v>
      </c>
      <c r="I61" s="398">
        <f>+'KPI Stats'!$F$49</f>
        <v>42</v>
      </c>
      <c r="J61" s="146" t="str">
        <f>+'KPI Stats'!D54</f>
        <v>Cost</v>
      </c>
      <c r="K61" s="146" t="str">
        <f>+'KPI Stats'!E54</f>
        <v>Cost Transfer Value per Day</v>
      </c>
      <c r="L61" s="147" t="str">
        <f>+'KPI Stats'!F54</f>
        <v>£'s</v>
      </c>
      <c r="M61" s="585" t="s">
        <v>247</v>
      </c>
      <c r="P61" s="578" t="str">
        <f>IF(INDEX('KPI Analysis'!$AH$7:$CM$123,MATCH($A61,'KPI Analysis'!$AH$7:$AH$123,FALSE),MATCH(P$8,'KPI Analysis'!$AH$7:$CM$7,FALSE))="OD","",INDEX('KPI Analysis'!$AH$7:$CM$123,MATCH($A61,'KPI Analysis'!$AH$7:$AH$123,FALSE),MATCH(P$8,'KPI Analysis'!$AH$7:$CM$7,FALSE)))</f>
        <v>G</v>
      </c>
      <c r="Q61" s="634">
        <f>IF(INDEX('KPI Analysis'!$CO$7:$EU$123,MATCH($A61,'KPI Analysis'!$CO$7:$CO$123,FALSE),MATCH(P$8,'KPI Analysis'!$CO$7:$EU$7,FALSE))="OD","OD",INDEX('KPI Analysis'!$EW$7:$HC$123,MATCH($A61,'KPI Analysis'!$EW$7:$EW$123,FALSE),MATCH(P$8,'KPI Analysis'!$EW$7:$HC$7,FALSE)))</f>
        <v>62</v>
      </c>
      <c r="R61" s="578" t="str">
        <f>IF(INDEX('KPI Analysis'!$AH$7:$CM$123,MATCH($A61,'KPI Analysis'!$AH$7:$AH$123,FALSE),MATCH(R$8,'KPI Analysis'!$AH$7:$CM$7,FALSE))="OD","",INDEX('KPI Analysis'!$AH$7:$CM$123,MATCH($A61,'KPI Analysis'!$AH$7:$AH$123,FALSE),MATCH(R$8,'KPI Analysis'!$AH$7:$CM$7,FALSE)))</f>
        <v>G</v>
      </c>
      <c r="S61" s="634">
        <f>IF(INDEX('KPI Analysis'!$CO$7:$EU$123,MATCH($A61,'KPI Analysis'!$CO$7:$CO$123,FALSE),MATCH(R$8,'KPI Analysis'!$CO$7:$EU$7,FALSE))="OD","OD",INDEX('KPI Analysis'!$EW$7:$HC$123,MATCH($A61,'KPI Analysis'!$EW$7:$EW$123,FALSE),MATCH(R$8,'KPI Analysis'!$EW$7:$HC$7,FALSE)))</f>
        <v>61</v>
      </c>
      <c r="T61" s="578" t="str">
        <f>IF(INDEX('KPI Analysis'!$AH$7:$CM$123,MATCH($A61,'KPI Analysis'!$AH$7:$AH$123,FALSE),MATCH(T$8,'KPI Analysis'!$AH$7:$CM$7,FALSE))="OD","",INDEX('KPI Analysis'!$AH$7:$CM$123,MATCH($A61,'KPI Analysis'!$AH$7:$AH$123,FALSE),MATCH(T$8,'KPI Analysis'!$AH$7:$CM$7,FALSE)))</f>
        <v>G</v>
      </c>
      <c r="U61" s="634">
        <f>IF(INDEX('KPI Analysis'!$CO$7:$EU$123,MATCH($A61,'KPI Analysis'!$CO$7:$CO$123,FALSE),MATCH(T$8,'KPI Analysis'!$CO$7:$EU$7,FALSE))="OD","OD",INDEX('KPI Analysis'!$EW$7:$HC$123,MATCH($A61,'KPI Analysis'!$EW$7:$EW$123,FALSE),MATCH(T$8,'KPI Analysis'!$EW$7:$HC$7,FALSE)))</f>
        <v>74</v>
      </c>
      <c r="V61" s="578" t="str">
        <f>IF(INDEX('KPI Analysis'!$AH$7:$CM$123,MATCH($A61,'KPI Analysis'!$AH$7:$AH$123,FALSE),MATCH(V$8,'KPI Analysis'!$AH$7:$CM$7,FALSE))="OD","",INDEX('KPI Analysis'!$AH$7:$CM$123,MATCH($A61,'KPI Analysis'!$AH$7:$AH$123,FALSE),MATCH(V$8,'KPI Analysis'!$AH$7:$CM$7,FALSE)))</f>
        <v>G</v>
      </c>
      <c r="W61" s="634">
        <f>IF(INDEX('KPI Analysis'!$CO$7:$EU$123,MATCH($A61,'KPI Analysis'!$CO$7:$CO$123,FALSE),MATCH(V$8,'KPI Analysis'!$CO$7:$EU$7,FALSE))="OD","OD",INDEX('KPI Analysis'!$EW$7:$HC$123,MATCH($A61,'KPI Analysis'!$EW$7:$EW$123,FALSE),MATCH(V$8,'KPI Analysis'!$EW$7:$HC$7,FALSE)))</f>
        <v>66</v>
      </c>
      <c r="X61" s="578" t="str">
        <f>IF(INDEX('KPI Analysis'!$AH$7:$CM$123,MATCH($A61,'KPI Analysis'!$AH$7:$AH$123,FALSE),MATCH(X$8,'KPI Analysis'!$AH$7:$CM$7,FALSE))="OD","",INDEX('KPI Analysis'!$AH$7:$CM$123,MATCH($A61,'KPI Analysis'!$AH$7:$AH$123,FALSE),MATCH(X$8,'KPI Analysis'!$AH$7:$CM$7,FALSE)))</f>
        <v/>
      </c>
      <c r="Y61" s="634" t="str">
        <f>IF(INDEX('KPI Analysis'!$CO$7:$EU$123,MATCH($A61,'KPI Analysis'!$CO$7:$CO$123,FALSE),MATCH(X$8,'KPI Analysis'!$CO$7:$EU$7,FALSE))="OD","OD",INDEX('KPI Analysis'!$EW$7:$HC$123,MATCH($A61,'KPI Analysis'!$EW$7:$EW$123,FALSE),MATCH(X$8,'KPI Analysis'!$EW$7:$HC$7,FALSE)))</f>
        <v>OD</v>
      </c>
      <c r="Z61" s="149" t="s">
        <v>597</v>
      </c>
      <c r="AA61" s="203"/>
      <c r="AC61" s="648" t="s">
        <v>638</v>
      </c>
      <c r="AE61" s="324">
        <f>INDEX('KPI Analysis'!$CO$7:$EU$123,MATCH($A61,'KPI Analysis'!$CO$7:$CO$123,FALSE),MATCH(AE$8,'KPI Analysis'!$CO$7:$EU$7,FALSE))</f>
        <v>1.7741935483870968</v>
      </c>
      <c r="AF61" s="325">
        <f>INDEX('KPI Analysis'!$CO$7:$EU$123,MATCH($A61,'KPI Analysis'!$CO$7:$CO$123,FALSE),MATCH(AF$8,'KPI Analysis'!$CO$7:$EU$7,FALSE))</f>
        <v>1.8032786885245902</v>
      </c>
      <c r="AG61" s="325">
        <f>INDEX('KPI Analysis'!$CO$7:$EU$123,MATCH($A61,'KPI Analysis'!$CO$7:$CO$123,FALSE),MATCH(AG$8,'KPI Analysis'!$CO$7:$EU$7,FALSE))</f>
        <v>1.4864864864864864</v>
      </c>
      <c r="AH61" s="325">
        <f>INDEX('KPI Analysis'!$CO$7:$EU$123,MATCH($A61,'KPI Analysis'!$CO$7:$CO$123,FALSE),MATCH(AH$8,'KPI Analysis'!$CO$7:$EU$7,FALSE))</f>
        <v>1.6666666666666667</v>
      </c>
      <c r="AI61" s="325" t="str">
        <f>INDEX('KPI Analysis'!$CO$7:$EU$123,MATCH($A61,'KPI Analysis'!$CO$7:$CO$123,FALSE),MATCH(AI$8,'KPI Analysis'!$CO$7:$EU$7,FALSE))</f>
        <v>OD</v>
      </c>
    </row>
    <row r="62" spans="1:35" x14ac:dyDescent="0.3">
      <c r="H62"/>
      <c r="AA62" s="203"/>
    </row>
    <row r="63" spans="1:35" ht="15" thickBot="1" x14ac:dyDescent="0.35">
      <c r="H63"/>
      <c r="AA63" s="203"/>
      <c r="AB63" s="203"/>
    </row>
    <row r="64" spans="1:35" x14ac:dyDescent="0.3">
      <c r="A64" t="str">
        <f t="shared" si="0"/>
        <v>Bridgend Manuf-KPI P1</v>
      </c>
      <c r="B64" s="168" t="str">
        <f>+'KPI Stats'!G57</f>
        <v>Under</v>
      </c>
      <c r="C64" s="141" t="str">
        <f>+'KPI Stats'!C57</f>
        <v>KPI P1</v>
      </c>
      <c r="F64" s="864" t="str">
        <f>+'KPI Stats'!$B$56</f>
        <v>Bridgend Manuf</v>
      </c>
      <c r="G64" s="867" t="s">
        <v>643</v>
      </c>
      <c r="H64" s="616" t="s">
        <v>526</v>
      </c>
      <c r="I64" s="466">
        <f>+'KPI Stats'!$F$56</f>
        <v>42</v>
      </c>
      <c r="J64" s="142" t="str">
        <f>+'KPI Stats'!D57</f>
        <v>Productivity</v>
      </c>
      <c r="K64" s="142" t="str">
        <f>+'KPI Stats'!E57</f>
        <v>Production Value</v>
      </c>
      <c r="L64" s="143" t="str">
        <f>+'KPI Stats'!F57</f>
        <v>£'s</v>
      </c>
      <c r="M64" s="135" t="str">
        <f>INDEX('KPI Analysis'!$CO$7:$EU$123,MATCH($A64,'KPI Analysis'!$CO$7:$CO$123,FALSE),MATCH(M$8,'KPI Analysis'!$CO$7:$EU$7,FALSE))</f>
        <v>% of target</v>
      </c>
      <c r="P64" s="579" t="str">
        <f>IF(
OR(
INDEX('KPI Analysis'!$AH$7:$CM$123,
MATCH($A64,'KPI Analysis'!$AH$7:$AH$123,FALSE),
MATCH(P$8,'KPI Analysis'!$AH$7:$CM$7,FALSE)
)="R",
INDEX('KPI Analysis'!$AH$7:$CM$123,
MATCH($A64,'KPI Analysis'!$AH$7:$AH$123,FALSE),
MATCH(P$8,'KPI Analysis'!$AH$7:$CM$7,FALSE)
)="G",
INDEX('KPI Analysis'!$AH$7:$CM$123,
MATCH($A64,'KPI Analysis'!$AH$7:$AH$123,FALSE),
MATCH(P$8,'KPI Analysis'!$AH$7:$CM$7,FALSE)
)="A"),
INDEX('KPI Analysis'!$AH$7:$CM$123,MATCH($A64,'KPI Analysis'!$AH$7:$AH$123,FALSE),MATCH(P$8,'KPI Analysis'!$AH$7:$CM$7,FALSE)),"")</f>
        <v>R</v>
      </c>
      <c r="Q64" s="635">
        <f>INDEX('KPI Analysis'!$CO$7:$EU$123,MATCH($A64,'KPI Analysis'!$CO$7:$CO$123,FALSE),MATCH(P$8,'KPI Analysis'!$CO$7:$EU$7,FALSE))</f>
        <v>0.80089499809087439</v>
      </c>
      <c r="R64" s="579" t="str">
        <f>IF(
OR(
INDEX('KPI Analysis'!$AH$7:$CM$123,
MATCH($A64,'KPI Analysis'!$AH$7:$AH$123,FALSE),
MATCH(R$8,'KPI Analysis'!$AH$7:$CM$7,FALSE)
)="R",
INDEX('KPI Analysis'!$AH$7:$CM$123,
MATCH($A64,'KPI Analysis'!$AH$7:$AH$123,FALSE),
MATCH(R$8,'KPI Analysis'!$AH$7:$CM$7,FALSE)
)="G",
INDEX('KPI Analysis'!$AH$7:$CM$123,
MATCH($A64,'KPI Analysis'!$AH$7:$AH$123,FALSE),
MATCH(R$8,'KPI Analysis'!$AH$7:$CM$7,FALSE)
)="A"),
INDEX('KPI Analysis'!$AH$7:$CM$123,MATCH($A64,'KPI Analysis'!$AH$7:$AH$123,FALSE),MATCH(R$8,'KPI Analysis'!$AH$7:$CM$7,FALSE)),"")</f>
        <v>G</v>
      </c>
      <c r="S64" s="635">
        <f>INDEX('KPI Analysis'!$CO$7:$EU$123,MATCH($A64,'KPI Analysis'!$CO$7:$CO$123,FALSE),MATCH(R$8,'KPI Analysis'!$CO$7:$EU$7,FALSE))</f>
        <v>1.2078915616647576</v>
      </c>
      <c r="T64" s="579" t="str">
        <f>IF(
OR(
INDEX('KPI Analysis'!$AH$7:$CM$123,
MATCH($A64,'KPI Analysis'!$AH$7:$AH$123,FALSE),
MATCH(T$8,'KPI Analysis'!$AH$7:$CM$7,FALSE)
)="R",
INDEX('KPI Analysis'!$AH$7:$CM$123,
MATCH($A64,'KPI Analysis'!$AH$7:$AH$123,FALSE),
MATCH(T$8,'KPI Analysis'!$AH$7:$CM$7,FALSE)
)="G",
INDEX('KPI Analysis'!$AH$7:$CM$123,
MATCH($A64,'KPI Analysis'!$AH$7:$AH$123,FALSE),
MATCH(T$8,'KPI Analysis'!$AH$7:$CM$7,FALSE)
)="A"),
INDEX('KPI Analysis'!$AH$7:$CM$123,MATCH($A64,'KPI Analysis'!$AH$7:$AH$123,FALSE),MATCH(T$8,'KPI Analysis'!$AH$7:$CM$7,FALSE)),"")</f>
        <v/>
      </c>
      <c r="U64" s="635" t="str">
        <f>INDEX('KPI Analysis'!$CO$7:$EU$123,MATCH($A64,'KPI Analysis'!$CO$7:$CO$123,FALSE),MATCH(T$8,'KPI Analysis'!$CO$7:$EU$7,FALSE))</f>
        <v>OD</v>
      </c>
      <c r="V64" s="579" t="str">
        <f>IF(
OR(
INDEX('KPI Analysis'!$AH$7:$CM$123,
MATCH($A64,'KPI Analysis'!$AH$7:$AH$123,FALSE),
MATCH(V$8,'KPI Analysis'!$AH$7:$CM$7,FALSE)
)="R",
INDEX('KPI Analysis'!$AH$7:$CM$123,
MATCH($A64,'KPI Analysis'!$AH$7:$AH$123,FALSE),
MATCH(V$8,'KPI Analysis'!$AH$7:$CM$7,FALSE)
)="G",
INDEX('KPI Analysis'!$AH$7:$CM$123,
MATCH($A64,'KPI Analysis'!$AH$7:$AH$123,FALSE),
MATCH(V$8,'KPI Analysis'!$AH$7:$CM$7,FALSE)
)="A"),
INDEX('KPI Analysis'!$AH$7:$CM$123,MATCH($A64,'KPI Analysis'!$AH$7:$AH$123,FALSE),MATCH(V$8,'KPI Analysis'!$AH$7:$CM$7,FALSE)),"")</f>
        <v/>
      </c>
      <c r="W64" s="635" t="str">
        <f>INDEX('KPI Analysis'!$CO$7:$EU$123,MATCH($A64,'KPI Analysis'!$CO$7:$CO$123,FALSE),MATCH(V$8,'KPI Analysis'!$CO$7:$EU$7,FALSE))</f>
        <v>OD</v>
      </c>
      <c r="X64" s="579" t="str">
        <f>IF(
OR(
INDEX('KPI Analysis'!$AH$7:$CM$123,
MATCH($A64,'KPI Analysis'!$AH$7:$AH$123,FALSE),
MATCH(X$8,'KPI Analysis'!$AH$7:$CM$7,FALSE)
)="R",
INDEX('KPI Analysis'!$AH$7:$CM$123,
MATCH($A64,'KPI Analysis'!$AH$7:$AH$123,FALSE),
MATCH(X$8,'KPI Analysis'!$AH$7:$CM$7,FALSE)
)="G",
INDEX('KPI Analysis'!$AH$7:$CM$123,
MATCH($A64,'KPI Analysis'!$AH$7:$AH$123,FALSE),
MATCH(X$8,'KPI Analysis'!$AH$7:$CM$7,FALSE)
)="A"),
INDEX('KPI Analysis'!$AH$7:$CM$123,MATCH($A64,'KPI Analysis'!$AH$7:$AH$123,FALSE),MATCH(X$8,'KPI Analysis'!$AH$7:$CM$7,FALSE)),"")</f>
        <v/>
      </c>
      <c r="Y64" s="635" t="str">
        <f>INDEX('KPI Analysis'!$CO$7:$EU$123,MATCH($A64,'KPI Analysis'!$CO$7:$CO$123,FALSE),MATCH(X$8,'KPI Analysis'!$CO$7:$EU$7,FALSE))</f>
        <v>OD</v>
      </c>
      <c r="Z64" s="141"/>
      <c r="AA64" s="203"/>
      <c r="AB64" s="203"/>
      <c r="AC64" s="648" t="s">
        <v>639</v>
      </c>
      <c r="AE64" s="327">
        <f>INDEX('KPI Analysis'!$CO$7:$EU$123,MATCH($A64,'KPI Analysis'!$CO$7:$CO$123,FALSE),MATCH(AE$8,'KPI Analysis'!$CO$7:$EU$7,FALSE))</f>
        <v>0.80089499809087439</v>
      </c>
      <c r="AF64" s="328">
        <f>INDEX('KPI Analysis'!$CO$7:$EU$123,MATCH($A64,'KPI Analysis'!$CO$7:$CO$123,FALSE),MATCH(AF$8,'KPI Analysis'!$CO$7:$EU$7,FALSE))</f>
        <v>1.2078915616647576</v>
      </c>
      <c r="AG64" s="328" t="str">
        <f>INDEX('KPI Analysis'!$CO$7:$EU$123,MATCH($A64,'KPI Analysis'!$CO$7:$CO$123,FALSE),MATCH(AG$8,'KPI Analysis'!$CO$7:$EU$7,FALSE))</f>
        <v>OD</v>
      </c>
      <c r="AH64" s="328" t="str">
        <f>INDEX('KPI Analysis'!$CO$7:$EU$123,MATCH($A64,'KPI Analysis'!$CO$7:$CO$123,FALSE),MATCH(AH$8,'KPI Analysis'!$CO$7:$EU$7,FALSE))</f>
        <v>OD</v>
      </c>
      <c r="AI64" s="328" t="str">
        <f>INDEX('KPI Analysis'!$CO$7:$EU$123,MATCH($A64,'KPI Analysis'!$CO$7:$CO$123,FALSE),MATCH(AI$8,'KPI Analysis'!$CO$7:$EU$7,FALSE))</f>
        <v>OD</v>
      </c>
    </row>
    <row r="65" spans="1:35" x14ac:dyDescent="0.3">
      <c r="A65" t="str">
        <f t="shared" si="0"/>
        <v>Bridgend Manuf-KPI D1</v>
      </c>
      <c r="B65" s="169" t="str">
        <f>+'KPI Stats'!G58</f>
        <v>Under</v>
      </c>
      <c r="C65" s="148" t="str">
        <f>+'KPI Stats'!C58</f>
        <v>KPI D1</v>
      </c>
      <c r="F65" s="865" t="str">
        <f>+'KPI Stats'!$B$56</f>
        <v>Bridgend Manuf</v>
      </c>
      <c r="G65" s="868" t="str">
        <f>+'KPI Stats'!$B$56</f>
        <v>Bridgend Manuf</v>
      </c>
      <c r="H65" s="617" t="s">
        <v>526</v>
      </c>
      <c r="I65" s="465">
        <f>+'KPI Stats'!$F$56</f>
        <v>42</v>
      </c>
      <c r="J65" s="144" t="str">
        <f>+'KPI Stats'!D58</f>
        <v>Delivery</v>
      </c>
      <c r="K65" s="144" t="str">
        <f>+'KPI Stats'!E58</f>
        <v>Percentage of OTIF that achieved delivery date</v>
      </c>
      <c r="L65" s="145" t="str">
        <f>+'KPI Stats'!F58</f>
        <v>Percentage</v>
      </c>
      <c r="M65" s="510" t="s">
        <v>247</v>
      </c>
      <c r="P65" s="581" t="str">
        <f>IF(
OR(
INDEX('KPI Analysis'!$AH$7:$CM$123,
MATCH($A65,'KPI Analysis'!$AH$7:$AH$123,FALSE),
MATCH(P$8,'KPI Analysis'!$AH$7:$CM$7,FALSE)
)="R",
INDEX('KPI Analysis'!$AH$7:$CM$123,
MATCH($A65,'KPI Analysis'!$AH$7:$AH$123,FALSE),
MATCH(P$8,'KPI Analysis'!$AH$7:$CM$7,FALSE)
)="G",
INDEX('KPI Analysis'!$AH$7:$CM$123,
MATCH($A65,'KPI Analysis'!$AH$7:$AH$123,FALSE),
MATCH(P$8,'KPI Analysis'!$AH$7:$CM$7,FALSE)
)="A"),
INDEX('KPI Analysis'!$AH$7:$CM$123,MATCH($A65,'KPI Analysis'!$AH$7:$AH$123,FALSE),MATCH(P$8,'KPI Analysis'!$AH$7:$CM$7,FALSE)),"")</f>
        <v>A</v>
      </c>
      <c r="Q65" s="632">
        <f>IF(INDEX('KPI Analysis'!$CO$7:$EU$123,MATCH($A65,'KPI Analysis'!$CO$7:$CO$123,FALSE),MATCH(P$8,'KPI Analysis'!$CO$7:$EU$7,FALSE))="OD","OD",INDEX('KPI Analysis'!$EW$7:$HC$123,MATCH($A65,'KPI Analysis'!$EW$7:$EW$123,FALSE),MATCH(P$8,'KPI Analysis'!$EW$7:$HC$7,FALSE)))</f>
        <v>0.94</v>
      </c>
      <c r="R65" s="581" t="str">
        <f>IF(
OR(
INDEX('KPI Analysis'!$AH$7:$CM$123,
MATCH($A65,'KPI Analysis'!$AH$7:$AH$123,FALSE),
MATCH(R$8,'KPI Analysis'!$AH$7:$CM$7,FALSE)
)="R",
INDEX('KPI Analysis'!$AH$7:$CM$123,
MATCH($A65,'KPI Analysis'!$AH$7:$AH$123,FALSE),
MATCH(R$8,'KPI Analysis'!$AH$7:$CM$7,FALSE)
)="G",
INDEX('KPI Analysis'!$AH$7:$CM$123,
MATCH($A65,'KPI Analysis'!$AH$7:$AH$123,FALSE),
MATCH(R$8,'KPI Analysis'!$AH$7:$CM$7,FALSE)
)="A"),
INDEX('KPI Analysis'!$AH$7:$CM$123,MATCH($A65,'KPI Analysis'!$AH$7:$AH$123,FALSE),MATCH(R$8,'KPI Analysis'!$AH$7:$CM$7,FALSE)),"")</f>
        <v>G</v>
      </c>
      <c r="S65" s="632">
        <f>IF(INDEX('KPI Analysis'!$CO$7:$EU$123,MATCH($A65,'KPI Analysis'!$CO$7:$CO$123,FALSE),MATCH(R$8,'KPI Analysis'!$CO$7:$EU$7,FALSE))="OD","OD",INDEX('KPI Analysis'!$EW$7:$HC$123,MATCH($A65,'KPI Analysis'!$EW$7:$EW$123,FALSE),MATCH(R$8,'KPI Analysis'!$EW$7:$HC$7,FALSE)))</f>
        <v>0.96</v>
      </c>
      <c r="T65" s="581" t="str">
        <f>IF(
OR(
INDEX('KPI Analysis'!$AH$7:$CM$123,
MATCH($A65,'KPI Analysis'!$AH$7:$AH$123,FALSE),
MATCH(T$8,'KPI Analysis'!$AH$7:$CM$7,FALSE)
)="R",
INDEX('KPI Analysis'!$AH$7:$CM$123,
MATCH($A65,'KPI Analysis'!$AH$7:$AH$123,FALSE),
MATCH(T$8,'KPI Analysis'!$AH$7:$CM$7,FALSE)
)="G",
INDEX('KPI Analysis'!$AH$7:$CM$123,
MATCH($A65,'KPI Analysis'!$AH$7:$AH$123,FALSE),
MATCH(T$8,'KPI Analysis'!$AH$7:$CM$7,FALSE)
)="A"),
INDEX('KPI Analysis'!$AH$7:$CM$123,MATCH($A65,'KPI Analysis'!$AH$7:$AH$123,FALSE),MATCH(T$8,'KPI Analysis'!$AH$7:$CM$7,FALSE)),"")</f>
        <v/>
      </c>
      <c r="U65" s="632" t="str">
        <f>IF(INDEX('KPI Analysis'!$CO$7:$EU$123,MATCH($A65,'KPI Analysis'!$CO$7:$CO$123,FALSE),MATCH(T$8,'KPI Analysis'!$CO$7:$EU$7,FALSE))="OD","OD",INDEX('KPI Analysis'!$EW$7:$HC$123,MATCH($A65,'KPI Analysis'!$EW$7:$EW$123,FALSE),MATCH(T$8,'KPI Analysis'!$EW$7:$HC$7,FALSE)))</f>
        <v>OD</v>
      </c>
      <c r="V65" s="581" t="str">
        <f>IF(
OR(
INDEX('KPI Analysis'!$AH$7:$CM$123,
MATCH($A65,'KPI Analysis'!$AH$7:$AH$123,FALSE),
MATCH(V$8,'KPI Analysis'!$AH$7:$CM$7,FALSE)
)="R",
INDEX('KPI Analysis'!$AH$7:$CM$123,
MATCH($A65,'KPI Analysis'!$AH$7:$AH$123,FALSE),
MATCH(V$8,'KPI Analysis'!$AH$7:$CM$7,FALSE)
)="G",
INDEX('KPI Analysis'!$AH$7:$CM$123,
MATCH($A65,'KPI Analysis'!$AH$7:$AH$123,FALSE),
MATCH(V$8,'KPI Analysis'!$AH$7:$CM$7,FALSE)
)="A"),
INDEX('KPI Analysis'!$AH$7:$CM$123,MATCH($A65,'KPI Analysis'!$AH$7:$AH$123,FALSE),MATCH(V$8,'KPI Analysis'!$AH$7:$CM$7,FALSE)),"")</f>
        <v/>
      </c>
      <c r="W65" s="632" t="str">
        <f>IF(INDEX('KPI Analysis'!$CO$7:$EU$123,MATCH($A65,'KPI Analysis'!$CO$7:$CO$123,FALSE),MATCH(V$8,'KPI Analysis'!$CO$7:$EU$7,FALSE))="OD","OD",INDEX('KPI Analysis'!$EW$7:$HC$123,MATCH($A65,'KPI Analysis'!$EW$7:$EW$123,FALSE),MATCH(V$8,'KPI Analysis'!$EW$7:$HC$7,FALSE)))</f>
        <v>OD</v>
      </c>
      <c r="X65" s="581" t="str">
        <f>IF(
OR(
INDEX('KPI Analysis'!$AH$7:$CM$123,
MATCH($A65,'KPI Analysis'!$AH$7:$AH$123,FALSE),
MATCH(X$8,'KPI Analysis'!$AH$7:$CM$7,FALSE)
)="R",
INDEX('KPI Analysis'!$AH$7:$CM$123,
MATCH($A65,'KPI Analysis'!$AH$7:$AH$123,FALSE),
MATCH(X$8,'KPI Analysis'!$AH$7:$CM$7,FALSE)
)="G",
INDEX('KPI Analysis'!$AH$7:$CM$123,
MATCH($A65,'KPI Analysis'!$AH$7:$AH$123,FALSE),
MATCH(X$8,'KPI Analysis'!$AH$7:$CM$7,FALSE)
)="A"),
INDEX('KPI Analysis'!$AH$7:$CM$123,MATCH($A65,'KPI Analysis'!$AH$7:$AH$123,FALSE),MATCH(X$8,'KPI Analysis'!$AH$7:$CM$7,FALSE)),"")</f>
        <v/>
      </c>
      <c r="Y65" s="632" t="str">
        <f>IF(INDEX('KPI Analysis'!$CO$7:$EU$123,MATCH($A65,'KPI Analysis'!$CO$7:$CO$123,FALSE),MATCH(X$8,'KPI Analysis'!$CO$7:$EU$7,FALSE))="OD","OD",INDEX('KPI Analysis'!$EW$7:$HC$123,MATCH($A65,'KPI Analysis'!$EW$7:$EW$123,FALSE),MATCH(X$8,'KPI Analysis'!$EW$7:$HC$7,FALSE)))</f>
        <v>OD</v>
      </c>
      <c r="Z65" s="148" t="s">
        <v>612</v>
      </c>
      <c r="AA65" s="203"/>
      <c r="AB65" s="203"/>
      <c r="AC65" s="648" t="s">
        <v>638</v>
      </c>
      <c r="AE65" s="323">
        <f>INDEX('KPI Analysis'!$CO$7:$EU$123,MATCH($A65,'KPI Analysis'!$CO$7:$CO$123,FALSE),MATCH(AE$8,'KPI Analysis'!$CO$7:$EU$7,FALSE))</f>
        <v>0.98947368421052628</v>
      </c>
      <c r="AF65" s="315">
        <f>INDEX('KPI Analysis'!$CO$7:$EU$123,MATCH($A65,'KPI Analysis'!$CO$7:$CO$123,FALSE),MATCH(AF$8,'KPI Analysis'!$CO$7:$EU$7,FALSE))</f>
        <v>1.0105263157894737</v>
      </c>
      <c r="AG65" s="315" t="str">
        <f>INDEX('KPI Analysis'!$CO$7:$EU$123,MATCH($A65,'KPI Analysis'!$CO$7:$CO$123,FALSE),MATCH(AG$8,'KPI Analysis'!$CO$7:$EU$7,FALSE))</f>
        <v>OD</v>
      </c>
      <c r="AH65" s="315" t="str">
        <f>INDEX('KPI Analysis'!$CO$7:$EU$123,MATCH($A65,'KPI Analysis'!$CO$7:$CO$123,FALSE),MATCH(AH$8,'KPI Analysis'!$CO$7:$EU$7,FALSE))</f>
        <v>OD</v>
      </c>
      <c r="AI65" s="315" t="str">
        <f>INDEX('KPI Analysis'!$CO$7:$EU$123,MATCH($A65,'KPI Analysis'!$CO$7:$CO$123,FALSE),MATCH(AI$8,'KPI Analysis'!$CO$7:$EU$7,FALSE))</f>
        <v>OD</v>
      </c>
    </row>
    <row r="66" spans="1:35" x14ac:dyDescent="0.3">
      <c r="A66" t="str">
        <f t="shared" si="0"/>
        <v>Bridgend Manuf-KPI Q1</v>
      </c>
      <c r="B66" s="169" t="str">
        <f>+'KPI Stats'!G59</f>
        <v>Over</v>
      </c>
      <c r="C66" s="148" t="str">
        <f>+'KPI Stats'!C59</f>
        <v>KPI Q1</v>
      </c>
      <c r="F66" s="865" t="str">
        <f>+'KPI Stats'!$B$56</f>
        <v>Bridgend Manuf</v>
      </c>
      <c r="G66" s="868" t="str">
        <f>+'KPI Stats'!$B$56</f>
        <v>Bridgend Manuf</v>
      </c>
      <c r="H66" s="617" t="s">
        <v>526</v>
      </c>
      <c r="I66" s="465">
        <f>+'KPI Stats'!$F$56</f>
        <v>42</v>
      </c>
      <c r="J66" s="144" t="str">
        <f>+'KPI Stats'!D59</f>
        <v>Quality</v>
      </c>
      <c r="K66" s="144" t="str">
        <f>+'KPI Stats'!E59</f>
        <v>Customer Complaints</v>
      </c>
      <c r="L66" s="145" t="str">
        <f>+'KPI Stats'!F59</f>
        <v>Count</v>
      </c>
      <c r="M66" s="510" t="s">
        <v>247</v>
      </c>
      <c r="P66" s="581" t="str">
        <f>IF(
OR(
INDEX('KPI Analysis'!$AH$7:$CM$123,
MATCH($A66,'KPI Analysis'!$AH$7:$AH$123,FALSE),
MATCH(P$8,'KPI Analysis'!$AH$7:$CM$7,FALSE)
)="R",
INDEX('KPI Analysis'!$AH$7:$CM$123,
MATCH($A66,'KPI Analysis'!$AH$7:$AH$123,FALSE),
MATCH(P$8,'KPI Analysis'!$AH$7:$CM$7,FALSE)
)="G",
INDEX('KPI Analysis'!$AH$7:$CM$123,
MATCH($A66,'KPI Analysis'!$AH$7:$AH$123,FALSE),
MATCH(P$8,'KPI Analysis'!$AH$7:$CM$7,FALSE)
)="A"),
INDEX('KPI Analysis'!$AH$7:$CM$123,MATCH($A66,'KPI Analysis'!$AH$7:$AH$123,FALSE),MATCH(P$8,'KPI Analysis'!$AH$7:$CM$7,FALSE)),"")</f>
        <v>G</v>
      </c>
      <c r="Q66" s="567">
        <f>IF(INDEX('KPI Analysis'!$CO$7:$EU$123,MATCH($A66,'KPI Analysis'!$CO$7:$CO$123,FALSE),MATCH(P$8,'KPI Analysis'!$CO$7:$EU$7,FALSE))="OD","OD",INDEX('KPI Analysis'!$EW$7:$HC$123,MATCH($A66,'KPI Analysis'!$EW$7:$EW$123,FALSE),MATCH(P$8,'KPI Analysis'!$EW$7:$HC$7,FALSE)))</f>
        <v>2</v>
      </c>
      <c r="R66" s="581" t="str">
        <f>IF(
OR(
INDEX('KPI Analysis'!$AH$7:$CM$123,
MATCH($A66,'KPI Analysis'!$AH$7:$AH$123,FALSE),
MATCH(R$8,'KPI Analysis'!$AH$7:$CM$7,FALSE)
)="R",
INDEX('KPI Analysis'!$AH$7:$CM$123,
MATCH($A66,'KPI Analysis'!$AH$7:$AH$123,FALSE),
MATCH(R$8,'KPI Analysis'!$AH$7:$CM$7,FALSE)
)="G",
INDEX('KPI Analysis'!$AH$7:$CM$123,
MATCH($A66,'KPI Analysis'!$AH$7:$AH$123,FALSE),
MATCH(R$8,'KPI Analysis'!$AH$7:$CM$7,FALSE)
)="A"),
INDEX('KPI Analysis'!$AH$7:$CM$123,MATCH($A66,'KPI Analysis'!$AH$7:$AH$123,FALSE),MATCH(R$8,'KPI Analysis'!$AH$7:$CM$7,FALSE)),"")</f>
        <v>G</v>
      </c>
      <c r="S66" s="567">
        <f>IF(INDEX('KPI Analysis'!$CO$7:$EU$123,MATCH($A66,'KPI Analysis'!$CO$7:$CO$123,FALSE),MATCH(R$8,'KPI Analysis'!$CO$7:$EU$7,FALSE))="OD","OD",INDEX('KPI Analysis'!$EW$7:$HC$123,MATCH($A66,'KPI Analysis'!$EW$7:$EW$123,FALSE),MATCH(R$8,'KPI Analysis'!$EW$7:$HC$7,FALSE)))</f>
        <v>3</v>
      </c>
      <c r="T66" s="581" t="str">
        <f>IF(
OR(
INDEX('KPI Analysis'!$AH$7:$CM$123,
MATCH($A66,'KPI Analysis'!$AH$7:$AH$123,FALSE),
MATCH(T$8,'KPI Analysis'!$AH$7:$CM$7,FALSE)
)="R",
INDEX('KPI Analysis'!$AH$7:$CM$123,
MATCH($A66,'KPI Analysis'!$AH$7:$AH$123,FALSE),
MATCH(T$8,'KPI Analysis'!$AH$7:$CM$7,FALSE)
)="G",
INDEX('KPI Analysis'!$AH$7:$CM$123,
MATCH($A66,'KPI Analysis'!$AH$7:$AH$123,FALSE),
MATCH(T$8,'KPI Analysis'!$AH$7:$CM$7,FALSE)
)="A"),
INDEX('KPI Analysis'!$AH$7:$CM$123,MATCH($A66,'KPI Analysis'!$AH$7:$AH$123,FALSE),MATCH(T$8,'KPI Analysis'!$AH$7:$CM$7,FALSE)),"")</f>
        <v/>
      </c>
      <c r="U66" s="567" t="str">
        <f>IF(INDEX('KPI Analysis'!$CO$7:$EU$123,MATCH($A66,'KPI Analysis'!$CO$7:$CO$123,FALSE),MATCH(T$8,'KPI Analysis'!$CO$7:$EU$7,FALSE))="OD","OD",INDEX('KPI Analysis'!$EW$7:$HC$123,MATCH($A66,'KPI Analysis'!$EW$7:$EW$123,FALSE),MATCH(T$8,'KPI Analysis'!$EW$7:$HC$7,FALSE)))</f>
        <v>OD</v>
      </c>
      <c r="V66" s="581" t="str">
        <f>IF(
OR(
INDEX('KPI Analysis'!$AH$7:$CM$123,
MATCH($A66,'KPI Analysis'!$AH$7:$AH$123,FALSE),
MATCH(V$8,'KPI Analysis'!$AH$7:$CM$7,FALSE)
)="R",
INDEX('KPI Analysis'!$AH$7:$CM$123,
MATCH($A66,'KPI Analysis'!$AH$7:$AH$123,FALSE),
MATCH(V$8,'KPI Analysis'!$AH$7:$CM$7,FALSE)
)="G",
INDEX('KPI Analysis'!$AH$7:$CM$123,
MATCH($A66,'KPI Analysis'!$AH$7:$AH$123,FALSE),
MATCH(V$8,'KPI Analysis'!$AH$7:$CM$7,FALSE)
)="A"),
INDEX('KPI Analysis'!$AH$7:$CM$123,MATCH($A66,'KPI Analysis'!$AH$7:$AH$123,FALSE),MATCH(V$8,'KPI Analysis'!$AH$7:$CM$7,FALSE)),"")</f>
        <v/>
      </c>
      <c r="W66" s="567" t="str">
        <f>IF(INDEX('KPI Analysis'!$CO$7:$EU$123,MATCH($A66,'KPI Analysis'!$CO$7:$CO$123,FALSE),MATCH(V$8,'KPI Analysis'!$CO$7:$EU$7,FALSE))="OD","OD",INDEX('KPI Analysis'!$EW$7:$HC$123,MATCH($A66,'KPI Analysis'!$EW$7:$EW$123,FALSE),MATCH(V$8,'KPI Analysis'!$EW$7:$HC$7,FALSE)))</f>
        <v>OD</v>
      </c>
      <c r="X66" s="581" t="str">
        <f>IF(
OR(
INDEX('KPI Analysis'!$AH$7:$CM$123,
MATCH($A66,'KPI Analysis'!$AH$7:$AH$123,FALSE),
MATCH(X$8,'KPI Analysis'!$AH$7:$CM$7,FALSE)
)="R",
INDEX('KPI Analysis'!$AH$7:$CM$123,
MATCH($A66,'KPI Analysis'!$AH$7:$AH$123,FALSE),
MATCH(X$8,'KPI Analysis'!$AH$7:$CM$7,FALSE)
)="G",
INDEX('KPI Analysis'!$AH$7:$CM$123,
MATCH($A66,'KPI Analysis'!$AH$7:$AH$123,FALSE),
MATCH(X$8,'KPI Analysis'!$AH$7:$CM$7,FALSE)
)="A"),
INDEX('KPI Analysis'!$AH$7:$CM$123,MATCH($A66,'KPI Analysis'!$AH$7:$AH$123,FALSE),MATCH(X$8,'KPI Analysis'!$AH$7:$CM$7,FALSE)),"")</f>
        <v/>
      </c>
      <c r="Y66" s="567" t="str">
        <f>IF(INDEX('KPI Analysis'!$CO$7:$EU$123,MATCH($A66,'KPI Analysis'!$CO$7:$CO$123,FALSE),MATCH(X$8,'KPI Analysis'!$CO$7:$EU$7,FALSE))="OD","OD",INDEX('KPI Analysis'!$EW$7:$HC$123,MATCH($A66,'KPI Analysis'!$EW$7:$EW$123,FALSE),MATCH(X$8,'KPI Analysis'!$EW$7:$HC$7,FALSE)))</f>
        <v>OD</v>
      </c>
      <c r="Z66" s="148" t="s">
        <v>565</v>
      </c>
      <c r="AA66" s="203"/>
      <c r="AB66" s="203"/>
      <c r="AC66" s="648" t="s">
        <v>638</v>
      </c>
      <c r="AE66" s="323">
        <f>INDEX('KPI Analysis'!$CO$7:$EU$123,MATCH($A66,'KPI Analysis'!$CO$7:$CO$123,FALSE),MATCH(AE$8,'KPI Analysis'!$CO$7:$EU$7,FALSE))</f>
        <v>1.5</v>
      </c>
      <c r="AF66" s="315">
        <f>INDEX('KPI Analysis'!$CO$7:$EU$123,MATCH($A66,'KPI Analysis'!$CO$7:$CO$123,FALSE),MATCH(AF$8,'KPI Analysis'!$CO$7:$EU$7,FALSE))</f>
        <v>1</v>
      </c>
      <c r="AG66" s="315" t="str">
        <f>INDEX('KPI Analysis'!$CO$7:$EU$123,MATCH($A66,'KPI Analysis'!$CO$7:$CO$123,FALSE),MATCH(AG$8,'KPI Analysis'!$CO$7:$EU$7,FALSE))</f>
        <v>OD</v>
      </c>
      <c r="AH66" s="315" t="str">
        <f>INDEX('KPI Analysis'!$CO$7:$EU$123,MATCH($A66,'KPI Analysis'!$CO$7:$CO$123,FALSE),MATCH(AH$8,'KPI Analysis'!$CO$7:$EU$7,FALSE))</f>
        <v>OD</v>
      </c>
      <c r="AI66" s="315" t="str">
        <f>INDEX('KPI Analysis'!$CO$7:$EU$123,MATCH($A66,'KPI Analysis'!$CO$7:$CO$123,FALSE),MATCH(AI$8,'KPI Analysis'!$CO$7:$EU$7,FALSE))</f>
        <v>OD</v>
      </c>
    </row>
    <row r="67" spans="1:35" ht="15" thickBot="1" x14ac:dyDescent="0.35">
      <c r="A67" t="str">
        <f t="shared" si="0"/>
        <v>Bridgend Manuf-KPI C1</v>
      </c>
      <c r="B67" s="170" t="str">
        <f>+'KPI Stats'!G60</f>
        <v>Under</v>
      </c>
      <c r="C67" s="149" t="str">
        <f>+'KPI Stats'!C60</f>
        <v>KPI C1</v>
      </c>
      <c r="F67" s="866" t="str">
        <f>+'KPI Stats'!$B$56</f>
        <v>Bridgend Manuf</v>
      </c>
      <c r="G67" s="869" t="str">
        <f>+'KPI Stats'!$B$56</f>
        <v>Bridgend Manuf</v>
      </c>
      <c r="H67" s="296" t="s">
        <v>526</v>
      </c>
      <c r="I67" s="398">
        <f>+'KPI Stats'!$F$56</f>
        <v>42</v>
      </c>
      <c r="J67" s="146" t="str">
        <f>+'KPI Stats'!D60</f>
        <v>Cost</v>
      </c>
      <c r="K67" s="146" t="str">
        <f>+'KPI Stats'!E60</f>
        <v>Production Value per Employee</v>
      </c>
      <c r="L67" s="147" t="str">
        <f>+'KPI Stats'!F60</f>
        <v>£'s</v>
      </c>
      <c r="M67" s="140" t="str">
        <f>INDEX('KPI Analysis'!$CO$7:$EU$123,MATCH($A67,'KPI Analysis'!$CO$7:$CO$123,FALSE),MATCH(M$8,'KPI Analysis'!$CO$7:$EU$7,FALSE))</f>
        <v>% of target</v>
      </c>
      <c r="P67" s="578" t="str">
        <f>IF(
OR(
INDEX('KPI Analysis'!$AH$7:$CM$123,
MATCH($A67,'KPI Analysis'!$AH$7:$AH$123,FALSE),
MATCH(P$8,'KPI Analysis'!$AH$7:$CM$7,FALSE)
)="R",
INDEX('KPI Analysis'!$AH$7:$CM$123,
MATCH($A67,'KPI Analysis'!$AH$7:$AH$123,FALSE),
MATCH(P$8,'KPI Analysis'!$AH$7:$CM$7,FALSE)
)="G",
INDEX('KPI Analysis'!$AH$7:$CM$123,
MATCH($A67,'KPI Analysis'!$AH$7:$AH$123,FALSE),
MATCH(P$8,'KPI Analysis'!$AH$7:$CM$7,FALSE)
)="A"),
INDEX('KPI Analysis'!$AH$7:$CM$123,MATCH($A67,'KPI Analysis'!$AH$7:$AH$123,FALSE),MATCH(P$8,'KPI Analysis'!$AH$7:$CM$7,FALSE)),"")</f>
        <v>R</v>
      </c>
      <c r="Q67" s="636">
        <f>INDEX('KPI Analysis'!$CO$7:$EU$123,MATCH($A67,'KPI Analysis'!$CO$7:$CO$123,FALSE),MATCH(P$8,'KPI Analysis'!$CO$7:$EU$7,FALSE))</f>
        <v>0.87226596675415569</v>
      </c>
      <c r="R67" s="578" t="str">
        <f>IF(
OR(
INDEX('KPI Analysis'!$AH$7:$CM$123,
MATCH($A67,'KPI Analysis'!$AH$7:$AH$123,FALSE),
MATCH(R$8,'KPI Analysis'!$AH$7:$CM$7,FALSE)
)="R",
INDEX('KPI Analysis'!$AH$7:$CM$123,
MATCH($A67,'KPI Analysis'!$AH$7:$AH$123,FALSE),
MATCH(R$8,'KPI Analysis'!$AH$7:$CM$7,FALSE)
)="G",
INDEX('KPI Analysis'!$AH$7:$CM$123,
MATCH($A67,'KPI Analysis'!$AH$7:$AH$123,FALSE),
MATCH(R$8,'KPI Analysis'!$AH$7:$CM$7,FALSE)
)="A"),
INDEX('KPI Analysis'!$AH$7:$CM$123,MATCH($A67,'KPI Analysis'!$AH$7:$AH$123,FALSE),MATCH(R$8,'KPI Analysis'!$AH$7:$CM$7,FALSE)),"")</f>
        <v>G</v>
      </c>
      <c r="S67" s="636">
        <f>INDEX('KPI Analysis'!$CO$7:$EU$123,MATCH($A67,'KPI Analysis'!$CO$7:$CO$123,FALSE),MATCH(R$8,'KPI Analysis'!$CO$7:$EU$7,FALSE))</f>
        <v>1.3407699037620298</v>
      </c>
      <c r="T67" s="578" t="str">
        <f>IF(
OR(
INDEX('KPI Analysis'!$AH$7:$CM$123,
MATCH($A67,'KPI Analysis'!$AH$7:$AH$123,FALSE),
MATCH(T$8,'KPI Analysis'!$AH$7:$CM$7,FALSE)
)="R",
INDEX('KPI Analysis'!$AH$7:$CM$123,
MATCH($A67,'KPI Analysis'!$AH$7:$AH$123,FALSE),
MATCH(T$8,'KPI Analysis'!$AH$7:$CM$7,FALSE)
)="G",
INDEX('KPI Analysis'!$AH$7:$CM$123,
MATCH($A67,'KPI Analysis'!$AH$7:$AH$123,FALSE),
MATCH(T$8,'KPI Analysis'!$AH$7:$CM$7,FALSE)
)="A"),
INDEX('KPI Analysis'!$AH$7:$CM$123,MATCH($A67,'KPI Analysis'!$AH$7:$AH$123,FALSE),MATCH(T$8,'KPI Analysis'!$AH$7:$CM$7,FALSE)),"")</f>
        <v/>
      </c>
      <c r="U67" s="636" t="str">
        <f>INDEX('KPI Analysis'!$CO$7:$EU$123,MATCH($A67,'KPI Analysis'!$CO$7:$CO$123,FALSE),MATCH(T$8,'KPI Analysis'!$CO$7:$EU$7,FALSE))</f>
        <v>OD</v>
      </c>
      <c r="V67" s="578" t="str">
        <f>IF(
OR(
INDEX('KPI Analysis'!$AH$7:$CM$123,
MATCH($A67,'KPI Analysis'!$AH$7:$AH$123,FALSE),
MATCH(V$8,'KPI Analysis'!$AH$7:$CM$7,FALSE)
)="R",
INDEX('KPI Analysis'!$AH$7:$CM$123,
MATCH($A67,'KPI Analysis'!$AH$7:$AH$123,FALSE),
MATCH(V$8,'KPI Analysis'!$AH$7:$CM$7,FALSE)
)="G",
INDEX('KPI Analysis'!$AH$7:$CM$123,
MATCH($A67,'KPI Analysis'!$AH$7:$AH$123,FALSE),
MATCH(V$8,'KPI Analysis'!$AH$7:$CM$7,FALSE)
)="A"),
INDEX('KPI Analysis'!$AH$7:$CM$123,MATCH($A67,'KPI Analysis'!$AH$7:$AH$123,FALSE),MATCH(V$8,'KPI Analysis'!$AH$7:$CM$7,FALSE)),"")</f>
        <v/>
      </c>
      <c r="W67" s="636" t="str">
        <f>INDEX('KPI Analysis'!$CO$7:$EU$123,MATCH($A67,'KPI Analysis'!$CO$7:$CO$123,FALSE),MATCH(V$8,'KPI Analysis'!$CO$7:$EU$7,FALSE))</f>
        <v>OD</v>
      </c>
      <c r="X67" s="578" t="str">
        <f>IF(
OR(
INDEX('KPI Analysis'!$AH$7:$CM$123,
MATCH($A67,'KPI Analysis'!$AH$7:$AH$123,FALSE),
MATCH(X$8,'KPI Analysis'!$AH$7:$CM$7,FALSE)
)="R",
INDEX('KPI Analysis'!$AH$7:$CM$123,
MATCH($A67,'KPI Analysis'!$AH$7:$AH$123,FALSE),
MATCH(X$8,'KPI Analysis'!$AH$7:$CM$7,FALSE)
)="G",
INDEX('KPI Analysis'!$AH$7:$CM$123,
MATCH($A67,'KPI Analysis'!$AH$7:$AH$123,FALSE),
MATCH(X$8,'KPI Analysis'!$AH$7:$CM$7,FALSE)
)="A"),
INDEX('KPI Analysis'!$AH$7:$CM$123,MATCH($A67,'KPI Analysis'!$AH$7:$AH$123,FALSE),MATCH(X$8,'KPI Analysis'!$AH$7:$CM$7,FALSE)),"")</f>
        <v/>
      </c>
      <c r="Y67" s="636" t="str">
        <f>INDEX('KPI Analysis'!$CO$7:$EU$123,MATCH($A67,'KPI Analysis'!$CO$7:$CO$123,FALSE),MATCH(X$8,'KPI Analysis'!$CO$7:$EU$7,FALSE))</f>
        <v>OD</v>
      </c>
      <c r="Z67" s="149"/>
      <c r="AA67" s="203"/>
      <c r="AB67" s="203"/>
      <c r="AC67" s="648" t="s">
        <v>639</v>
      </c>
      <c r="AE67" s="324">
        <f>INDEX('KPI Analysis'!$CO$7:$EU$123,MATCH($A67,'KPI Analysis'!$CO$7:$CO$123,FALSE),MATCH(AE$8,'KPI Analysis'!$CO$7:$EU$7,FALSE))</f>
        <v>0.87226596675415569</v>
      </c>
      <c r="AF67" s="325">
        <f>INDEX('KPI Analysis'!$CO$7:$EU$123,MATCH($A67,'KPI Analysis'!$CO$7:$CO$123,FALSE),MATCH(AF$8,'KPI Analysis'!$CO$7:$EU$7,FALSE))</f>
        <v>1.3407699037620298</v>
      </c>
      <c r="AG67" s="325" t="str">
        <f>INDEX('KPI Analysis'!$CO$7:$EU$123,MATCH($A67,'KPI Analysis'!$CO$7:$CO$123,FALSE),MATCH(AG$8,'KPI Analysis'!$CO$7:$EU$7,FALSE))</f>
        <v>OD</v>
      </c>
      <c r="AH67" s="325" t="str">
        <f>INDEX('KPI Analysis'!$CO$7:$EU$123,MATCH($A67,'KPI Analysis'!$CO$7:$CO$123,FALSE),MATCH(AH$8,'KPI Analysis'!$CO$7:$EU$7,FALSE))</f>
        <v>OD</v>
      </c>
      <c r="AI67" s="325" t="str">
        <f>INDEX('KPI Analysis'!$CO$7:$EU$123,MATCH($A67,'KPI Analysis'!$CO$7:$CO$123,FALSE),MATCH(AI$8,'KPI Analysis'!$CO$7:$EU$7,FALSE))</f>
        <v>OD</v>
      </c>
    </row>
    <row r="68" spans="1:35" x14ac:dyDescent="0.3">
      <c r="H68"/>
      <c r="AA68" s="203"/>
      <c r="AB68" s="203"/>
    </row>
    <row r="69" spans="1:35" ht="15" thickBot="1" x14ac:dyDescent="0.35">
      <c r="H69"/>
      <c r="AA69" s="203"/>
      <c r="AB69" s="203"/>
    </row>
    <row r="70" spans="1:35" x14ac:dyDescent="0.3">
      <c r="A70" t="str">
        <f t="shared" si="0"/>
        <v>Maybole Manuf-KPI P1</v>
      </c>
      <c r="B70" s="168" t="str">
        <f>+'KPI Stats'!G63</f>
        <v>Under</v>
      </c>
      <c r="C70" s="141" t="str">
        <f>+'KPI Stats'!C63</f>
        <v>KPI P1</v>
      </c>
      <c r="F70" s="864" t="str">
        <f>+'KPI Stats'!$B$62</f>
        <v>Maybole Manuf</v>
      </c>
      <c r="G70" s="867" t="str">
        <f>+'KPI Stats'!$C$62</f>
        <v>Scott McMillan</v>
      </c>
      <c r="H70" s="616" t="s">
        <v>526</v>
      </c>
      <c r="I70" s="466">
        <f>+'KPI Stats'!$F$62</f>
        <v>42</v>
      </c>
      <c r="J70" s="142" t="str">
        <f>+'KPI Stats'!D63</f>
        <v>Productivity</v>
      </c>
      <c r="K70" s="142" t="str">
        <f>+'KPI Stats'!E63</f>
        <v>Production Value</v>
      </c>
      <c r="L70" s="143" t="str">
        <f>+'KPI Stats'!F63</f>
        <v>£'s</v>
      </c>
      <c r="M70" s="135" t="str">
        <f>INDEX('KPI Analysis'!$CO$7:$EU$123,MATCH($A70,'KPI Analysis'!$CO$7:$CO$123,FALSE),MATCH(M$8,'KPI Analysis'!$CO$7:$EU$7,FALSE))</f>
        <v>% of target</v>
      </c>
      <c r="P70" s="579" t="str">
        <f>IF(INDEX('KPI Analysis'!$AH$7:$CM$123,MATCH($A70,'KPI Analysis'!$AH$7:$AH$123,FALSE),MATCH(P$8,'KPI Analysis'!$AH$7:$CM$7,FALSE))="OD","",INDEX('KPI Analysis'!$AH$7:$CM$123,MATCH($A70,'KPI Analysis'!$AH$7:$AH$123,FALSE),MATCH(P$8,'KPI Analysis'!$AH$7:$CM$7,FALSE)))</f>
        <v>R</v>
      </c>
      <c r="Q70" s="635">
        <f>INDEX('KPI Analysis'!$CO$7:$EU$123,MATCH($A70,'KPI Analysis'!$CO$7:$CO$123,FALSE),MATCH(P$8,'KPI Analysis'!$CO$7:$EU$7,FALSE))</f>
        <v>0.79375578780261935</v>
      </c>
      <c r="R70" s="579" t="str">
        <f>IF(INDEX('KPI Analysis'!$AH$7:$CM$123,MATCH($A70,'KPI Analysis'!$AH$7:$AH$123,FALSE),MATCH(R$8,'KPI Analysis'!$AH$7:$CM$7,FALSE))="OD","",INDEX('KPI Analysis'!$AH$7:$CM$123,MATCH($A70,'KPI Analysis'!$AH$7:$AH$123,FALSE),MATCH(R$8,'KPI Analysis'!$AH$7:$CM$7,FALSE)))</f>
        <v>R</v>
      </c>
      <c r="S70" s="635">
        <f>INDEX('KPI Analysis'!$CO$7:$EU$123,MATCH($A70,'KPI Analysis'!$CO$7:$CO$123,FALSE),MATCH(R$8,'KPI Analysis'!$CO$7:$EU$7,FALSE))</f>
        <v>0.78846408255060196</v>
      </c>
      <c r="T70" s="579" t="str">
        <f>IF(INDEX('KPI Analysis'!$AH$7:$CM$123,MATCH($A70,'KPI Analysis'!$AH$7:$AH$123,FALSE),MATCH(T$8,'KPI Analysis'!$AH$7:$CM$7,FALSE))="OD","",INDEX('KPI Analysis'!$AH$7:$CM$123,MATCH($A70,'KPI Analysis'!$AH$7:$AH$123,FALSE),MATCH(T$8,'KPI Analysis'!$AH$7:$CM$7,FALSE)))</f>
        <v>G</v>
      </c>
      <c r="U70" s="635">
        <f>INDEX('KPI Analysis'!$CO$7:$EU$123,MATCH($A70,'KPI Analysis'!$CO$7:$CO$123,FALSE),MATCH(T$8,'KPI Analysis'!$CO$7:$EU$7,FALSE))</f>
        <v>1.0159933433111623</v>
      </c>
      <c r="V70" s="579" t="str">
        <f>IF(INDEX('KPI Analysis'!$AH$7:$CM$123,MATCH($A70,'KPI Analysis'!$AH$7:$AH$123,FALSE),MATCH(V$8,'KPI Analysis'!$AH$7:$CM$7,FALSE))="OD","",INDEX('KPI Analysis'!$AH$7:$CM$123,MATCH($A70,'KPI Analysis'!$AH$7:$AH$123,FALSE),MATCH(V$8,'KPI Analysis'!$AH$7:$CM$7,FALSE)))</f>
        <v>R</v>
      </c>
      <c r="W70" s="635">
        <f>INDEX('KPI Analysis'!$CO$7:$EU$123,MATCH($A70,'KPI Analysis'!$CO$7:$CO$123,FALSE),MATCH(V$8,'KPI Analysis'!$CO$7:$EU$7,FALSE))</f>
        <v>0.67405385854733169</v>
      </c>
      <c r="X70" s="579" t="str">
        <f>IF(INDEX('KPI Analysis'!$AH$7:$CM$123,MATCH($A70,'KPI Analysis'!$AH$7:$AH$123,FALSE),MATCH(X$8,'KPI Analysis'!$AH$7:$CM$7,FALSE))="OD","",INDEX('KPI Analysis'!$AH$7:$CM$123,MATCH($A70,'KPI Analysis'!$AH$7:$AH$123,FALSE),MATCH(X$8,'KPI Analysis'!$AH$7:$CM$7,FALSE)))</f>
        <v>R</v>
      </c>
      <c r="Y70" s="635">
        <f>INDEX('KPI Analysis'!$CO$7:$EU$123,MATCH($A70,'KPI Analysis'!$CO$7:$CO$123,FALSE),MATCH(X$8,'KPI Analysis'!$CO$7:$EU$7,FALSE))</f>
        <v>0.80557656265412814</v>
      </c>
      <c r="Z70" s="386"/>
      <c r="AA70" s="203"/>
      <c r="AB70" s="203"/>
      <c r="AC70" s="648" t="s">
        <v>639</v>
      </c>
      <c r="AE70" s="327">
        <f>INDEX('KPI Analysis'!$CO$7:$EU$123,MATCH($A70,'KPI Analysis'!$CO$7:$CO$123,FALSE),MATCH(AE$8,'KPI Analysis'!$CO$7:$EU$7,FALSE))</f>
        <v>0.79375578780261935</v>
      </c>
      <c r="AF70" s="328">
        <f>INDEX('KPI Analysis'!$CO$7:$EU$123,MATCH($A70,'KPI Analysis'!$CO$7:$CO$123,FALSE),MATCH(AF$8,'KPI Analysis'!$CO$7:$EU$7,FALSE))</f>
        <v>0.78846408255060196</v>
      </c>
      <c r="AG70" s="328">
        <f>INDEX('KPI Analysis'!$CO$7:$EU$123,MATCH($A70,'KPI Analysis'!$CO$7:$CO$123,FALSE),MATCH(AG$8,'KPI Analysis'!$CO$7:$EU$7,FALSE))</f>
        <v>1.0159933433111623</v>
      </c>
      <c r="AH70" s="328">
        <f>INDEX('KPI Analysis'!$CO$7:$EU$123,MATCH($A70,'KPI Analysis'!$CO$7:$CO$123,FALSE),MATCH(AH$8,'KPI Analysis'!$CO$7:$EU$7,FALSE))</f>
        <v>0.67405385854733169</v>
      </c>
      <c r="AI70" s="328">
        <f>INDEX('KPI Analysis'!$CO$7:$EU$123,MATCH($A70,'KPI Analysis'!$CO$7:$CO$123,FALSE),MATCH(AI$8,'KPI Analysis'!$CO$7:$EU$7,FALSE))</f>
        <v>0.80557656265412814</v>
      </c>
    </row>
    <row r="71" spans="1:35" x14ac:dyDescent="0.3">
      <c r="A71" t="str">
        <f t="shared" si="0"/>
        <v>Maybole Manuf-KPI D1</v>
      </c>
      <c r="B71" s="169" t="str">
        <f>+'KPI Stats'!G64</f>
        <v>Under</v>
      </c>
      <c r="C71" s="148" t="str">
        <f>+'KPI Stats'!C64</f>
        <v>KPI D1</v>
      </c>
      <c r="F71" s="865" t="str">
        <f>+'KPI Stats'!$B$62</f>
        <v>Maybole Manuf</v>
      </c>
      <c r="G71" s="868" t="str">
        <f>+'KPI Stats'!$B$62</f>
        <v>Maybole Manuf</v>
      </c>
      <c r="H71" s="617" t="s">
        <v>526</v>
      </c>
      <c r="I71" s="465">
        <f>+'KPI Stats'!$F$62</f>
        <v>42</v>
      </c>
      <c r="J71" s="144" t="str">
        <f>+'KPI Stats'!D64</f>
        <v>Delivery</v>
      </c>
      <c r="K71" s="144" t="str">
        <f>+'KPI Stats'!E64</f>
        <v>Percentage of OTIF that achieved delivery date</v>
      </c>
      <c r="L71" s="145" t="str">
        <f>+'KPI Stats'!F64</f>
        <v>Percentage</v>
      </c>
      <c r="M71" s="510" t="s">
        <v>247</v>
      </c>
      <c r="P71" s="581" t="str">
        <f>IF(
OR(
INDEX('KPI Analysis'!$AH$7:$CM$123,
MATCH($A71,'KPI Analysis'!$AH$7:$AH$123,FALSE),
MATCH(P$8,'KPI Analysis'!$AH$7:$CM$7,FALSE)
)="R",
INDEX('KPI Analysis'!$AH$7:$CM$123,
MATCH($A71,'KPI Analysis'!$AH$7:$AH$123,FALSE),
MATCH(P$8,'KPI Analysis'!$AH$7:$CM$7,FALSE)
)="G",
INDEX('KPI Analysis'!$AH$7:$CM$123,
MATCH($A71,'KPI Analysis'!$AH$7:$AH$123,FALSE),
MATCH(P$8,'KPI Analysis'!$AH$7:$CM$7,FALSE)
)="A"),
INDEX('KPI Analysis'!$AH$7:$CM$123,MATCH($A71,'KPI Analysis'!$AH$7:$AH$123,FALSE),MATCH(P$8,'KPI Analysis'!$AH$7:$CM$7,FALSE)),"")</f>
        <v>A</v>
      </c>
      <c r="Q71" s="632">
        <f>INDEX('KPI Analysis'!$EW$7:$HC$123,MATCH($A71,'KPI Analysis'!$EW$7:$EW$123,FALSE),MATCH(P$8,'KPI Analysis'!$EW$7:$HC$7,FALSE))</f>
        <v>0.92</v>
      </c>
      <c r="R71" s="581" t="str">
        <f>IF(
OR(
INDEX('KPI Analysis'!$AH$7:$CM$123,
MATCH($A71,'KPI Analysis'!$AH$7:$AH$123,FALSE),
MATCH(R$8,'KPI Analysis'!$AH$7:$CM$7,FALSE)
)="R",
INDEX('KPI Analysis'!$AH$7:$CM$123,
MATCH($A71,'KPI Analysis'!$AH$7:$AH$123,FALSE),
MATCH(R$8,'KPI Analysis'!$AH$7:$CM$7,FALSE)
)="G",
INDEX('KPI Analysis'!$AH$7:$CM$123,
MATCH($A71,'KPI Analysis'!$AH$7:$AH$123,FALSE),
MATCH(R$8,'KPI Analysis'!$AH$7:$CM$7,FALSE)
)="A"),
INDEX('KPI Analysis'!$AH$7:$CM$123,MATCH($A71,'KPI Analysis'!$AH$7:$AH$123,FALSE),MATCH(R$8,'KPI Analysis'!$AH$7:$CM$7,FALSE)),"")</f>
        <v>G</v>
      </c>
      <c r="S71" s="632">
        <f>IF(INDEX('KPI Analysis'!$CO$7:$EU$123,MATCH($A71,'KPI Analysis'!$CO$7:$CO$123,FALSE),MATCH(R$8,'KPI Analysis'!$CO$7:$EU$7,FALSE))="OD","OD",INDEX('KPI Analysis'!$EW$7:$HC$123,MATCH($A71,'KPI Analysis'!$EW$7:$EW$123,FALSE),MATCH(R$8,'KPI Analysis'!$EW$7:$HC$7,FALSE)))</f>
        <v>0.95</v>
      </c>
      <c r="T71" s="581" t="str">
        <f>IF(
OR(
INDEX('KPI Analysis'!$AH$7:$CM$123,
MATCH($A71,'KPI Analysis'!$AH$7:$AH$123,FALSE),
MATCH(T$8,'KPI Analysis'!$AH$7:$CM$7,FALSE)
)="R",
INDEX('KPI Analysis'!$AH$7:$CM$123,
MATCH($A71,'KPI Analysis'!$AH$7:$AH$123,FALSE),
MATCH(T$8,'KPI Analysis'!$AH$7:$CM$7,FALSE)
)="G",
INDEX('KPI Analysis'!$AH$7:$CM$123,
MATCH($A71,'KPI Analysis'!$AH$7:$AH$123,FALSE),
MATCH(T$8,'KPI Analysis'!$AH$7:$CM$7,FALSE)
)="A"),
INDEX('KPI Analysis'!$AH$7:$CM$123,MATCH($A71,'KPI Analysis'!$AH$7:$AH$123,FALSE),MATCH(T$8,'KPI Analysis'!$AH$7:$CM$7,FALSE)),"")</f>
        <v>R</v>
      </c>
      <c r="U71" s="632">
        <f>IF(INDEX('KPI Analysis'!$CO$7:$EU$123,MATCH($A71,'KPI Analysis'!$CO$7:$CO$123,FALSE),MATCH(T$8,'KPI Analysis'!$CO$7:$EU$7,FALSE))="OD","OD",INDEX('KPI Analysis'!$EW$7:$HC$123,MATCH($A71,'KPI Analysis'!$EW$7:$EW$123,FALSE),MATCH(T$8,'KPI Analysis'!$EW$7:$HC$7,FALSE)))</f>
        <v>0.89</v>
      </c>
      <c r="V71" s="581" t="str">
        <f>IF(
OR(
INDEX('KPI Analysis'!$AH$7:$CM$123,
MATCH($A71,'KPI Analysis'!$AH$7:$AH$123,FALSE),
MATCH(V$8,'KPI Analysis'!$AH$7:$CM$7,FALSE)
)="R",
INDEX('KPI Analysis'!$AH$7:$CM$123,
MATCH($A71,'KPI Analysis'!$AH$7:$AH$123,FALSE),
MATCH(V$8,'KPI Analysis'!$AH$7:$CM$7,FALSE)
)="G",
INDEX('KPI Analysis'!$AH$7:$CM$123,
MATCH($A71,'KPI Analysis'!$AH$7:$AH$123,FALSE),
MATCH(V$8,'KPI Analysis'!$AH$7:$CM$7,FALSE)
)="A"),
INDEX('KPI Analysis'!$AH$7:$CM$123,MATCH($A71,'KPI Analysis'!$AH$7:$AH$123,FALSE),MATCH(V$8,'KPI Analysis'!$AH$7:$CM$7,FALSE)),"")</f>
        <v>G</v>
      </c>
      <c r="W71" s="632">
        <f>IF(INDEX('KPI Analysis'!$CO$7:$EU$123,MATCH($A71,'KPI Analysis'!$CO$7:$CO$123,FALSE),MATCH(V$8,'KPI Analysis'!$CO$7:$EU$7,FALSE))="OD","OD",INDEX('KPI Analysis'!$EW$7:$HC$123,MATCH($A71,'KPI Analysis'!$EW$7:$EW$123,FALSE),MATCH(V$8,'KPI Analysis'!$EW$7:$HC$7,FALSE)))</f>
        <v>0.95</v>
      </c>
      <c r="X71" s="581" t="str">
        <f>IF(
OR(
INDEX('KPI Analysis'!$AH$7:$CM$123,
MATCH($A71,'KPI Analysis'!$AH$7:$AH$123,FALSE),
MATCH(X$8,'KPI Analysis'!$AH$7:$CM$7,FALSE)
)="R",
INDEX('KPI Analysis'!$AH$7:$CM$123,
MATCH($A71,'KPI Analysis'!$AH$7:$AH$123,FALSE),
MATCH(X$8,'KPI Analysis'!$AH$7:$CM$7,FALSE)
)="G",
INDEX('KPI Analysis'!$AH$7:$CM$123,
MATCH($A71,'KPI Analysis'!$AH$7:$AH$123,FALSE),
MATCH(X$8,'KPI Analysis'!$AH$7:$CM$7,FALSE)
)="A"),
INDEX('KPI Analysis'!$AH$7:$CM$123,MATCH($A71,'KPI Analysis'!$AH$7:$AH$123,FALSE),MATCH(X$8,'KPI Analysis'!$AH$7:$CM$7,FALSE)),"")</f>
        <v>A</v>
      </c>
      <c r="Y71" s="632">
        <f>IF(INDEX('KPI Analysis'!$CO$7:$EU$123,MATCH($A71,'KPI Analysis'!$CO$7:$CO$123,FALSE),MATCH(X$8,'KPI Analysis'!$CO$7:$EU$7,FALSE))="OD","OD",INDEX('KPI Analysis'!$EW$7:$HC$123,MATCH($A71,'KPI Analysis'!$EW$7:$EW$123,FALSE),MATCH(X$8,'KPI Analysis'!$EW$7:$HC$7,FALSE)))</f>
        <v>0.94</v>
      </c>
      <c r="Z71" s="637" t="s">
        <v>612</v>
      </c>
      <c r="AA71" s="203"/>
      <c r="AB71" s="203"/>
      <c r="AC71" s="648" t="s">
        <v>638</v>
      </c>
      <c r="AE71" s="323">
        <f>INDEX('KPI Analysis'!$CO$7:$EU$123,MATCH($A71,'KPI Analysis'!$CO$7:$CO$123,FALSE),MATCH(AE$8,'KPI Analysis'!$CO$7:$EU$7,FALSE))</f>
        <v>0.96842105263157907</v>
      </c>
      <c r="AF71" s="315">
        <f>INDEX('KPI Analysis'!$CO$7:$EU$123,MATCH($A71,'KPI Analysis'!$CO$7:$CO$123,FALSE),MATCH(AF$8,'KPI Analysis'!$CO$7:$EU$7,FALSE))</f>
        <v>1</v>
      </c>
      <c r="AG71" s="315">
        <f>INDEX('KPI Analysis'!$CO$7:$EU$123,MATCH($A71,'KPI Analysis'!$CO$7:$CO$123,FALSE),MATCH(AG$8,'KPI Analysis'!$CO$7:$EU$7,FALSE))</f>
        <v>0.93684210526315792</v>
      </c>
      <c r="AH71" s="315">
        <f>INDEX('KPI Analysis'!$CO$7:$EU$123,MATCH($A71,'KPI Analysis'!$CO$7:$CO$123,FALSE),MATCH(AH$8,'KPI Analysis'!$CO$7:$EU$7,FALSE))</f>
        <v>1</v>
      </c>
      <c r="AI71" s="315">
        <f>INDEX('KPI Analysis'!$CO$7:$EU$123,MATCH($A71,'KPI Analysis'!$CO$7:$CO$123,FALSE),MATCH(AI$8,'KPI Analysis'!$CO$7:$EU$7,FALSE))</f>
        <v>0.98947368421052628</v>
      </c>
    </row>
    <row r="72" spans="1:35" x14ac:dyDescent="0.3">
      <c r="A72" t="str">
        <f t="shared" si="0"/>
        <v>Maybole Manuf-KPI Q1</v>
      </c>
      <c r="B72" s="169" t="str">
        <f>+'KPI Stats'!G65</f>
        <v>Over</v>
      </c>
      <c r="C72" s="148" t="str">
        <f>+'KPI Stats'!C65</f>
        <v>KPI Q1</v>
      </c>
      <c r="F72" s="865" t="str">
        <f>+'KPI Stats'!$B$62</f>
        <v>Maybole Manuf</v>
      </c>
      <c r="G72" s="868" t="str">
        <f>+'KPI Stats'!$B$62</f>
        <v>Maybole Manuf</v>
      </c>
      <c r="H72" s="617" t="s">
        <v>526</v>
      </c>
      <c r="I72" s="465">
        <f>+'KPI Stats'!$F$62</f>
        <v>42</v>
      </c>
      <c r="J72" s="144" t="str">
        <f>+'KPI Stats'!D65</f>
        <v>Quality</v>
      </c>
      <c r="K72" s="144" t="str">
        <f>+'KPI Stats'!E65</f>
        <v>Customer Complaints</v>
      </c>
      <c r="L72" s="145" t="str">
        <f>+'KPI Stats'!F65</f>
        <v>Count</v>
      </c>
      <c r="M72" s="510" t="s">
        <v>247</v>
      </c>
      <c r="P72" s="581" t="str">
        <f>IF(
OR(
INDEX('KPI Analysis'!$AH$7:$CM$123,
MATCH($A72,'KPI Analysis'!$AH$7:$AH$123,FALSE),
MATCH(P$8,'KPI Analysis'!$AH$7:$CM$7,FALSE)
)="R",
INDEX('KPI Analysis'!$AH$7:$CM$123,
MATCH($A72,'KPI Analysis'!$AH$7:$AH$123,FALSE),
MATCH(P$8,'KPI Analysis'!$AH$7:$CM$7,FALSE)
)="G",
INDEX('KPI Analysis'!$AH$7:$CM$123,
MATCH($A72,'KPI Analysis'!$AH$7:$AH$123,FALSE),
MATCH(P$8,'KPI Analysis'!$AH$7:$CM$7,FALSE)
)="A"),
INDEX('KPI Analysis'!$AH$7:$CM$123,MATCH($A72,'KPI Analysis'!$AH$7:$AH$123,FALSE),MATCH(P$8,'KPI Analysis'!$AH$7:$CM$7,FALSE)),"")</f>
        <v>R</v>
      </c>
      <c r="Q72" s="567">
        <f>INDEX('KPI Analysis'!$EW$7:$HC$123,MATCH($A72,'KPI Analysis'!$EW$7:$EW$123,FALSE),MATCH(P$8,'KPI Analysis'!$EW$7:$HC$7,FALSE))</f>
        <v>1</v>
      </c>
      <c r="R72" s="581" t="str">
        <f>IF(
OR(
INDEX('KPI Analysis'!$AH$7:$CM$123,
MATCH($A72,'KPI Analysis'!$AH$7:$AH$123,FALSE),
MATCH(R$8,'KPI Analysis'!$AH$7:$CM$7,FALSE)
)="R",
INDEX('KPI Analysis'!$AH$7:$CM$123,
MATCH($A72,'KPI Analysis'!$AH$7:$AH$123,FALSE),
MATCH(R$8,'KPI Analysis'!$AH$7:$CM$7,FALSE)
)="G",
INDEX('KPI Analysis'!$AH$7:$CM$123,
MATCH($A72,'KPI Analysis'!$AH$7:$AH$123,FALSE),
MATCH(R$8,'KPI Analysis'!$AH$7:$CM$7,FALSE)
)="A"),
INDEX('KPI Analysis'!$AH$7:$CM$123,MATCH($A72,'KPI Analysis'!$AH$7:$AH$123,FALSE),MATCH(R$8,'KPI Analysis'!$AH$7:$CM$7,FALSE)),"")</f>
        <v>G</v>
      </c>
      <c r="S72" s="567">
        <f>IF(INDEX('KPI Analysis'!$CO$7:$EU$123,MATCH($A72,'KPI Analysis'!$CO$7:$CO$123,FALSE),MATCH(R$8,'KPI Analysis'!$CO$7:$EU$7,FALSE))="OD","OD",INDEX('KPI Analysis'!$EW$7:$HC$123,MATCH($A72,'KPI Analysis'!$EW$7:$EW$123,FALSE),MATCH(R$8,'KPI Analysis'!$EW$7:$HC$7,FALSE)))</f>
        <v>0</v>
      </c>
      <c r="T72" s="581" t="str">
        <f>IF(
OR(
INDEX('KPI Analysis'!$AH$7:$CM$123,
MATCH($A72,'KPI Analysis'!$AH$7:$AH$123,FALSE),
MATCH(T$8,'KPI Analysis'!$AH$7:$CM$7,FALSE)
)="R",
INDEX('KPI Analysis'!$AH$7:$CM$123,
MATCH($A72,'KPI Analysis'!$AH$7:$AH$123,FALSE),
MATCH(T$8,'KPI Analysis'!$AH$7:$CM$7,FALSE)
)="G",
INDEX('KPI Analysis'!$AH$7:$CM$123,
MATCH($A72,'KPI Analysis'!$AH$7:$AH$123,FALSE),
MATCH(T$8,'KPI Analysis'!$AH$7:$CM$7,FALSE)
)="A"),
INDEX('KPI Analysis'!$AH$7:$CM$123,MATCH($A72,'KPI Analysis'!$AH$7:$AH$123,FALSE),MATCH(T$8,'KPI Analysis'!$AH$7:$CM$7,FALSE)),"")</f>
        <v>G</v>
      </c>
      <c r="U72" s="567">
        <f>IF(INDEX('KPI Analysis'!$CO$7:$EU$123,MATCH($A72,'KPI Analysis'!$CO$7:$CO$123,FALSE),MATCH(T$8,'KPI Analysis'!$CO$7:$EU$7,FALSE))="OD","OD",INDEX('KPI Analysis'!$EW$7:$HC$123,MATCH($A72,'KPI Analysis'!$EW$7:$EW$123,FALSE),MATCH(T$8,'KPI Analysis'!$EW$7:$HC$7,FALSE)))</f>
        <v>0</v>
      </c>
      <c r="V72" s="581" t="str">
        <f>IF(
OR(
INDEX('KPI Analysis'!$AH$7:$CM$123,
MATCH($A72,'KPI Analysis'!$AH$7:$AH$123,FALSE),
MATCH(V$8,'KPI Analysis'!$AH$7:$CM$7,FALSE)
)="R",
INDEX('KPI Analysis'!$AH$7:$CM$123,
MATCH($A72,'KPI Analysis'!$AH$7:$AH$123,FALSE),
MATCH(V$8,'KPI Analysis'!$AH$7:$CM$7,FALSE)
)="G",
INDEX('KPI Analysis'!$AH$7:$CM$123,
MATCH($A72,'KPI Analysis'!$AH$7:$AH$123,FALSE),
MATCH(V$8,'KPI Analysis'!$AH$7:$CM$7,FALSE)
)="A"),
INDEX('KPI Analysis'!$AH$7:$CM$123,MATCH($A72,'KPI Analysis'!$AH$7:$AH$123,FALSE),MATCH(V$8,'KPI Analysis'!$AH$7:$CM$7,FALSE)),"")</f>
        <v>G</v>
      </c>
      <c r="W72" s="567">
        <f>IF(INDEX('KPI Analysis'!$CO$7:$EU$123,MATCH($A72,'KPI Analysis'!$CO$7:$CO$123,FALSE),MATCH(V$8,'KPI Analysis'!$CO$7:$EU$7,FALSE))="OD","OD",INDEX('KPI Analysis'!$EW$7:$HC$123,MATCH($A72,'KPI Analysis'!$EW$7:$EW$123,FALSE),MATCH(V$8,'KPI Analysis'!$EW$7:$HC$7,FALSE)))</f>
        <v>0</v>
      </c>
      <c r="X72" s="581" t="str">
        <f>IF(
OR(
INDEX('KPI Analysis'!$AH$7:$CM$123,
MATCH($A72,'KPI Analysis'!$AH$7:$AH$123,FALSE),
MATCH(X$8,'KPI Analysis'!$AH$7:$CM$7,FALSE)
)="R",
INDEX('KPI Analysis'!$AH$7:$CM$123,
MATCH($A72,'KPI Analysis'!$AH$7:$AH$123,FALSE),
MATCH(X$8,'KPI Analysis'!$AH$7:$CM$7,FALSE)
)="G",
INDEX('KPI Analysis'!$AH$7:$CM$123,
MATCH($A72,'KPI Analysis'!$AH$7:$AH$123,FALSE),
MATCH(X$8,'KPI Analysis'!$AH$7:$CM$7,FALSE)
)="A"),
INDEX('KPI Analysis'!$AH$7:$CM$123,MATCH($A72,'KPI Analysis'!$AH$7:$AH$123,FALSE),MATCH(X$8,'KPI Analysis'!$AH$7:$CM$7,FALSE)),"")</f>
        <v>R</v>
      </c>
      <c r="Y72" s="567">
        <f>IF(INDEX('KPI Analysis'!$CO$7:$EU$123,MATCH($A72,'KPI Analysis'!$CO$7:$CO$123,FALSE),MATCH(X$8,'KPI Analysis'!$CO$7:$EU$7,FALSE))="OD","OD",INDEX('KPI Analysis'!$EW$7:$HC$123,MATCH($A72,'KPI Analysis'!$EW$7:$EW$123,FALSE),MATCH(X$8,'KPI Analysis'!$EW$7:$HC$7,FALSE)))</f>
        <v>1</v>
      </c>
      <c r="Z72" s="638" t="s">
        <v>619</v>
      </c>
      <c r="AA72" s="203"/>
      <c r="AB72" s="203"/>
      <c r="AC72" s="648" t="s">
        <v>638</v>
      </c>
      <c r="AE72" s="314">
        <f>INDEX('KPI Analysis'!$CO$7:$EU$123,MATCH($A72,'KPI Analysis'!$CO$7:$CO$123,FALSE),MATCH(AE$8,'KPI Analysis'!$CO$7:$EU$7,FALSE))</f>
        <v>1</v>
      </c>
      <c r="AF72" s="314">
        <f>INDEX('KPI Analysis'!$CO$7:$EU$123,MATCH($A72,'KPI Analysis'!$CO$7:$CO$123,FALSE),MATCH(AF$8,'KPI Analysis'!$CO$7:$EU$7,FALSE))</f>
        <v>0</v>
      </c>
      <c r="AG72" s="314">
        <f>INDEX('KPI Analysis'!$CO$7:$EU$123,MATCH($A72,'KPI Analysis'!$CO$7:$CO$123,FALSE),MATCH(AG$8,'KPI Analysis'!$CO$7:$EU$7,FALSE))</f>
        <v>0</v>
      </c>
      <c r="AH72" s="527">
        <f>INDEX('KPI Analysis'!$CO$7:$EU$123,MATCH($A72,'KPI Analysis'!$CO$7:$CO$123,FALSE),MATCH(AH$8,'KPI Analysis'!$CO$7:$EU$7,FALSE))</f>
        <v>0</v>
      </c>
      <c r="AI72" s="548">
        <f>INDEX('KPI Analysis'!$CO$7:$EU$123,MATCH($A72,'KPI Analysis'!$CO$7:$CO$123,FALSE),MATCH(AI$8,'KPI Analysis'!$CO$7:$EU$7,FALSE))</f>
        <v>1</v>
      </c>
    </row>
    <row r="73" spans="1:35" ht="15" thickBot="1" x14ac:dyDescent="0.35">
      <c r="A73" t="str">
        <f t="shared" si="0"/>
        <v>Maybole Manuf-KPI C1</v>
      </c>
      <c r="B73" s="170" t="str">
        <f>+'KPI Stats'!G66</f>
        <v>Under</v>
      </c>
      <c r="C73" s="149" t="str">
        <f>+'KPI Stats'!C66</f>
        <v>KPI C1</v>
      </c>
      <c r="F73" s="866" t="str">
        <f>+'KPI Stats'!$B$62</f>
        <v>Maybole Manuf</v>
      </c>
      <c r="G73" s="869" t="str">
        <f>+'KPI Stats'!$B$62</f>
        <v>Maybole Manuf</v>
      </c>
      <c r="H73" s="296" t="s">
        <v>526</v>
      </c>
      <c r="I73" s="398">
        <f>+'KPI Stats'!$F$62</f>
        <v>42</v>
      </c>
      <c r="J73" s="146" t="str">
        <f>+'KPI Stats'!D66</f>
        <v>Cost</v>
      </c>
      <c r="K73" s="146" t="str">
        <f>+'KPI Stats'!E66</f>
        <v>Production Value  per Employee</v>
      </c>
      <c r="L73" s="147" t="str">
        <f>+'KPI Stats'!F66</f>
        <v>£'s</v>
      </c>
      <c r="M73" s="140" t="str">
        <f>INDEX('KPI Analysis'!$CO$7:$EU$123,MATCH($A73,'KPI Analysis'!$CO$7:$CO$123,FALSE),MATCH(M$8,'KPI Analysis'!$CO$7:$EU$7,FALSE))</f>
        <v>% of target</v>
      </c>
      <c r="P73" s="578" t="str">
        <f>IF(INDEX('KPI Analysis'!$AH$7:$CM$123,MATCH($A73,'KPI Analysis'!$AH$7:$AH$123,FALSE),MATCH(P$8,'KPI Analysis'!$AH$7:$CM$7,FALSE))="OD","",INDEX('KPI Analysis'!$AH$7:$CM$123,MATCH($A73,'KPI Analysis'!$AH$7:$AH$123,FALSE),MATCH(P$8,'KPI Analysis'!$AH$7:$CM$7,FALSE)))</f>
        <v>R</v>
      </c>
      <c r="Q73" s="636">
        <f>INDEX('KPI Analysis'!$CO$7:$EU$123,MATCH($A73,'KPI Analysis'!$CO$7:$CO$123,FALSE),MATCH(P$8,'KPI Analysis'!$CO$7:$EU$7,FALSE))</f>
        <v>0.79396681749622922</v>
      </c>
      <c r="R73" s="578" t="str">
        <f>IF(INDEX('KPI Analysis'!$AH$7:$CM$123,MATCH($A73,'KPI Analysis'!$AH$7:$AH$123,FALSE),MATCH(R$8,'KPI Analysis'!$AH$7:$CM$7,FALSE))="OD","",INDEX('KPI Analysis'!$AH$7:$CM$123,MATCH($A73,'KPI Analysis'!$AH$7:$AH$123,FALSE),MATCH(R$8,'KPI Analysis'!$AH$7:$CM$7,FALSE)))</f>
        <v>R</v>
      </c>
      <c r="S73" s="636">
        <f>INDEX('KPI Analysis'!$CO$7:$EU$123,MATCH($A73,'KPI Analysis'!$CO$7:$CO$123,FALSE),MATCH(R$8,'KPI Analysis'!$CO$7:$EU$7,FALSE))</f>
        <v>0.78853695324283557</v>
      </c>
      <c r="T73" s="578" t="str">
        <f>IF(INDEX('KPI Analysis'!$AH$7:$CM$123,MATCH($A73,'KPI Analysis'!$AH$7:$AH$123,FALSE),MATCH(T$8,'KPI Analysis'!$AH$7:$CM$7,FALSE))="OD","",INDEX('KPI Analysis'!$AH$7:$CM$123,MATCH($A73,'KPI Analysis'!$AH$7:$AH$123,FALSE),MATCH(T$8,'KPI Analysis'!$AH$7:$CM$7,FALSE)))</f>
        <v>G</v>
      </c>
      <c r="U73" s="636">
        <f>INDEX('KPI Analysis'!$CO$7:$EU$123,MATCH($A73,'KPI Analysis'!$CO$7:$CO$123,FALSE),MATCH(T$8,'KPI Analysis'!$CO$7:$EU$7,FALSE))</f>
        <v>1.0160147828765014</v>
      </c>
      <c r="V73" s="578" t="str">
        <f>IF(INDEX('KPI Analysis'!$AH$7:$CM$123,MATCH($A73,'KPI Analysis'!$AH$7:$AH$123,FALSE),MATCH(V$8,'KPI Analysis'!$AH$7:$CM$7,FALSE))="OD","",INDEX('KPI Analysis'!$AH$7:$CM$123,MATCH($A73,'KPI Analysis'!$AH$7:$AH$123,FALSE),MATCH(V$8,'KPI Analysis'!$AH$7:$CM$7,FALSE)))</f>
        <v>R</v>
      </c>
      <c r="W73" s="636">
        <f>INDEX('KPI Analysis'!$CO$7:$EU$123,MATCH($A73,'KPI Analysis'!$CO$7:$CO$123,FALSE),MATCH(V$8,'KPI Analysis'!$CO$7:$EU$7,FALSE))</f>
        <v>0.67437499999999995</v>
      </c>
      <c r="X73" s="578" t="str">
        <f>IF(INDEX('KPI Analysis'!$AH$7:$CM$123,MATCH($A73,'KPI Analysis'!$AH$7:$AH$123,FALSE),MATCH(X$8,'KPI Analysis'!$AH$7:$CM$7,FALSE))="OD","",INDEX('KPI Analysis'!$AH$7:$CM$123,MATCH($A73,'KPI Analysis'!$AH$7:$AH$123,FALSE),MATCH(X$8,'KPI Analysis'!$AH$7:$CM$7,FALSE)))</f>
        <v>R</v>
      </c>
      <c r="Y73" s="636">
        <f>INDEX('KPI Analysis'!$CO$7:$EU$123,MATCH($A73,'KPI Analysis'!$CO$7:$CO$123,FALSE),MATCH(X$8,'KPI Analysis'!$CO$7:$EU$7,FALSE))</f>
        <v>0.80625000000000002</v>
      </c>
      <c r="Z73" s="639"/>
      <c r="AA73" s="203"/>
      <c r="AB73" s="203"/>
      <c r="AC73" s="648" t="s">
        <v>639</v>
      </c>
      <c r="AE73" s="324">
        <f>INDEX('KPI Analysis'!$CO$7:$EU$123,MATCH($A73,'KPI Analysis'!$CO$7:$CO$123,FALSE),MATCH(AE$8,'KPI Analysis'!$CO$7:$EU$7,FALSE))</f>
        <v>0.79396681749622922</v>
      </c>
      <c r="AF73" s="325">
        <f>INDEX('KPI Analysis'!$CO$7:$EU$123,MATCH($A73,'KPI Analysis'!$CO$7:$CO$123,FALSE),MATCH(AF$8,'KPI Analysis'!$CO$7:$EU$7,FALSE))</f>
        <v>0.78853695324283557</v>
      </c>
      <c r="AG73" s="325">
        <f>INDEX('KPI Analysis'!$CO$7:$EU$123,MATCH($A73,'KPI Analysis'!$CO$7:$CO$123,FALSE),MATCH(AG$8,'KPI Analysis'!$CO$7:$EU$7,FALSE))</f>
        <v>1.0160147828765014</v>
      </c>
      <c r="AH73" s="325">
        <f>INDEX('KPI Analysis'!$CO$7:$EU$123,MATCH($A73,'KPI Analysis'!$CO$7:$CO$123,FALSE),MATCH(AH$8,'KPI Analysis'!$CO$7:$EU$7,FALSE))</f>
        <v>0.67437499999999995</v>
      </c>
      <c r="AI73" s="325">
        <f>INDEX('KPI Analysis'!$CO$7:$EU$123,MATCH($A73,'KPI Analysis'!$CO$7:$CO$123,FALSE),MATCH(AI$8,'KPI Analysis'!$CO$7:$EU$7,FALSE))</f>
        <v>0.80625000000000002</v>
      </c>
    </row>
    <row r="74" spans="1:35" x14ac:dyDescent="0.3">
      <c r="H74"/>
      <c r="AB74" s="203"/>
    </row>
    <row r="75" spans="1:35" ht="15" thickBot="1" x14ac:dyDescent="0.35">
      <c r="H75"/>
    </row>
    <row r="76" spans="1:35" ht="40.200000000000003" customHeight="1" thickBot="1" x14ac:dyDescent="0.35">
      <c r="B76" s="166"/>
      <c r="C76" s="113" t="s">
        <v>125</v>
      </c>
      <c r="F76" s="495" t="str">
        <f t="shared" ref="F76:M76" si="2">+F$6</f>
        <v>Department</v>
      </c>
      <c r="G76" s="545" t="s">
        <v>442</v>
      </c>
      <c r="H76" s="496" t="str">
        <f t="shared" si="2"/>
        <v>Freq</v>
      </c>
      <c r="I76" s="497" t="str">
        <f t="shared" si="2"/>
        <v>Wk</v>
      </c>
      <c r="J76" s="497" t="str">
        <f t="shared" si="2"/>
        <v>Category</v>
      </c>
      <c r="K76" s="497" t="str">
        <f t="shared" si="2"/>
        <v>KPI</v>
      </c>
      <c r="L76" s="497" t="str">
        <f t="shared" si="2"/>
        <v>UOM</v>
      </c>
      <c r="M76" s="498" t="str">
        <f t="shared" si="2"/>
        <v>Shown</v>
      </c>
      <c r="P76" s="193" t="s">
        <v>508</v>
      </c>
      <c r="Q76" s="574"/>
      <c r="R76" s="574"/>
      <c r="S76" s="574"/>
      <c r="T76" s="574"/>
      <c r="U76" s="574"/>
      <c r="V76" s="574"/>
      <c r="W76" s="574"/>
      <c r="X76" s="574"/>
      <c r="Y76" s="575"/>
      <c r="AE76" s="220" t="str">
        <f>+AE$6</f>
        <v>Week KPI Calc</v>
      </c>
      <c r="AF76" s="220" t="str">
        <f>+AF$6</f>
        <v>Week KPI Calc</v>
      </c>
      <c r="AG76" s="220" t="str">
        <f>+AG$6</f>
        <v>Week KPI Calc</v>
      </c>
      <c r="AH76" s="220" t="str">
        <f>+AH$6</f>
        <v>Week KPI Calc</v>
      </c>
      <c r="AI76" s="220" t="str">
        <f>+AI$6</f>
        <v>Week KPI Calc</v>
      </c>
    </row>
    <row r="77" spans="1:35" ht="15" thickBot="1" x14ac:dyDescent="0.35">
      <c r="A77" s="870" t="s">
        <v>403</v>
      </c>
      <c r="B77" s="471"/>
      <c r="C77" s="473"/>
      <c r="F77" s="492" t="str">
        <f>+F$7</f>
        <v>Mth No</v>
      </c>
      <c r="G77" s="475"/>
      <c r="H77" s="474" t="str">
        <f>+H$7</f>
        <v>For Monthly KPIs</v>
      </c>
      <c r="I77" s="475"/>
      <c r="J77" s="474"/>
      <c r="K77" s="474"/>
      <c r="L77" s="476"/>
      <c r="M77" s="471"/>
      <c r="P77" s="568">
        <f>_xlfn.XLOOKUP('KPI Linked Table for Report'!P78,'KPI Analysis'!$CU$7:$EU$7,'KPI Analysis'!$CU$8:$EU$8)</f>
        <v>8</v>
      </c>
      <c r="Q77" s="569"/>
      <c r="R77" s="568">
        <f>_xlfn.XLOOKUP('KPI Linked Table for Report'!R78,'KPI Analysis'!$CU$7:$EU$7,'KPI Analysis'!$CU$8:$EU$8)</f>
        <v>8</v>
      </c>
      <c r="S77" s="569"/>
      <c r="T77" s="568">
        <f>_xlfn.XLOOKUP('KPI Linked Table for Report'!T78,'KPI Analysis'!$CU$7:$EU$7,'KPI Analysis'!$CU$8:$EU$8)</f>
        <v>9</v>
      </c>
      <c r="U77" s="569"/>
      <c r="V77" s="568">
        <f>_xlfn.XLOOKUP('KPI Linked Table for Report'!V78,'KPI Analysis'!$CU$7:$EU$7,'KPI Analysis'!$CU$8:$EU$8)</f>
        <v>9</v>
      </c>
      <c r="W77" s="569"/>
      <c r="X77" s="568">
        <f>_xlfn.XLOOKUP('KPI Linked Table for Report'!X78,'KPI Analysis'!$CU$7:$EU$7,'KPI Analysis'!$CU$8:$EU$8)</f>
        <v>9</v>
      </c>
      <c r="Y77" s="569"/>
      <c r="AC77" t="s">
        <v>655</v>
      </c>
      <c r="AE77" s="491">
        <f>+AE$7</f>
        <v>8</v>
      </c>
      <c r="AF77" s="491">
        <f>+AF$7</f>
        <v>8</v>
      </c>
      <c r="AG77" s="491">
        <f>+AG$7</f>
        <v>9</v>
      </c>
      <c r="AH77" s="491">
        <f>+AH$7</f>
        <v>9</v>
      </c>
      <c r="AI77" s="491">
        <f>+AI$7</f>
        <v>9</v>
      </c>
    </row>
    <row r="78" spans="1:35" x14ac:dyDescent="0.3">
      <c r="A78" s="870"/>
      <c r="B78" s="480"/>
      <c r="C78" s="477"/>
      <c r="F78" s="493" t="str">
        <f>+F$8</f>
        <v>Wk No</v>
      </c>
      <c r="G78" s="479"/>
      <c r="H78" s="478" t="str">
        <f>+H$8</f>
        <v>For Weekly KPI's</v>
      </c>
      <c r="I78" s="479"/>
      <c r="J78" s="478"/>
      <c r="K78" s="478"/>
      <c r="L78" s="480"/>
      <c r="M78" s="480"/>
      <c r="P78" s="570">
        <f>+P$8</f>
        <v>38</v>
      </c>
      <c r="Q78" s="571"/>
      <c r="R78" s="570">
        <f>+R$8</f>
        <v>39</v>
      </c>
      <c r="S78" s="571"/>
      <c r="T78" s="570">
        <f>+T$8</f>
        <v>40</v>
      </c>
      <c r="U78" s="571"/>
      <c r="V78" s="570">
        <f>+V$8</f>
        <v>41</v>
      </c>
      <c r="W78" s="571"/>
      <c r="X78" s="570">
        <f>+X$8</f>
        <v>42</v>
      </c>
      <c r="Y78" s="571"/>
      <c r="AC78">
        <v>23</v>
      </c>
      <c r="AE78" s="472">
        <f>+AE$8</f>
        <v>38</v>
      </c>
      <c r="AF78" s="472">
        <f>+AF$8</f>
        <v>39</v>
      </c>
      <c r="AG78" s="472">
        <f>+AG$8</f>
        <v>40</v>
      </c>
      <c r="AH78" s="472">
        <f>+AH$8</f>
        <v>41</v>
      </c>
      <c r="AI78" s="472">
        <f>+AI$8</f>
        <v>42</v>
      </c>
    </row>
    <row r="79" spans="1:35" s="203" customFormat="1" ht="15" thickBot="1" x14ac:dyDescent="0.35">
      <c r="A79" s="870"/>
      <c r="B79" s="484"/>
      <c r="C79" s="481"/>
      <c r="D79"/>
      <c r="E79"/>
      <c r="F79" s="494" t="str">
        <f>+F$9</f>
        <v>Date</v>
      </c>
      <c r="G79" s="483"/>
      <c r="H79" s="482" t="str">
        <f>+H$9</f>
        <v>Week Ending (Fri)</v>
      </c>
      <c r="I79" s="483"/>
      <c r="J79" s="482"/>
      <c r="K79" s="482"/>
      <c r="L79" s="484"/>
      <c r="M79" s="484"/>
      <c r="N79"/>
      <c r="O79"/>
      <c r="P79" s="572">
        <f>_xlfn.XLOOKUP(P78,EHS!$M$6:$BM$6,EHS!$M$7:$BM$7)</f>
        <v>45919</v>
      </c>
      <c r="Q79" s="573"/>
      <c r="R79" s="572">
        <f>_xlfn.XLOOKUP(R78,EHS!$M$6:$BM$6,EHS!$M$7:$BM$7)</f>
        <v>45926</v>
      </c>
      <c r="S79" s="573"/>
      <c r="T79" s="572">
        <f>_xlfn.XLOOKUP(T78,EHS!$M$6:$BM$6,EHS!$M$7:$BM$7)</f>
        <v>45933</v>
      </c>
      <c r="U79" s="573"/>
      <c r="V79" s="572">
        <f>_xlfn.XLOOKUP(V78,EHS!$M$6:$BM$6,EHS!$M$7:$BM$7)</f>
        <v>45940</v>
      </c>
      <c r="W79" s="573"/>
      <c r="X79" s="572">
        <f>_xlfn.XLOOKUP(X78,EHS!$M$6:$BM$6,EHS!$M$7:$BM$7)</f>
        <v>45947</v>
      </c>
      <c r="Y79" s="573"/>
      <c r="Z79"/>
      <c r="AA79"/>
      <c r="AB79"/>
      <c r="AE79" s="505">
        <f>+AE$9</f>
        <v>45919</v>
      </c>
      <c r="AF79" s="505">
        <f>+AF$9</f>
        <v>45926</v>
      </c>
      <c r="AG79" s="505">
        <f>+AG$9</f>
        <v>45933</v>
      </c>
      <c r="AH79" s="505">
        <f>+AH$9</f>
        <v>45940</v>
      </c>
      <c r="AI79" s="505">
        <f>+AI$9</f>
        <v>45947</v>
      </c>
    </row>
    <row r="80" spans="1:35" ht="15" thickBot="1" x14ac:dyDescent="0.35">
      <c r="F80" s="676"/>
      <c r="G80" s="676"/>
      <c r="H80" s="676"/>
      <c r="I80" s="676"/>
      <c r="J80" s="676"/>
      <c r="K80" s="676"/>
      <c r="L80" s="676"/>
      <c r="M80" s="676"/>
    </row>
    <row r="81" spans="1:35" hidden="1" x14ac:dyDescent="0.3">
      <c r="A81" t="str">
        <f>F81&amp;"-"&amp;C81</f>
        <v>Logistics-KPI P1</v>
      </c>
      <c r="B81" s="177" t="str">
        <f>+'KPI Stats'!G69</f>
        <v>Under</v>
      </c>
      <c r="C81" s="133" t="str">
        <f>+'KPI Stats'!C69</f>
        <v>KPI P1</v>
      </c>
      <c r="F81" s="864" t="str">
        <f>+'KPI Stats'!$B$68</f>
        <v>Logistics</v>
      </c>
      <c r="G81" s="867" t="s">
        <v>643</v>
      </c>
      <c r="H81" s="616" t="s">
        <v>526</v>
      </c>
      <c r="I81" s="466">
        <f>+'KPI Stats'!$F$68</f>
        <v>42</v>
      </c>
      <c r="J81" s="142" t="str">
        <f>+'KPI Stats'!D69</f>
        <v>Productivity</v>
      </c>
      <c r="K81" s="142" t="str">
        <f>+'KPI Stats'!E69</f>
        <v>Sales Value Despatched - Group</v>
      </c>
      <c r="L81" s="143" t="str">
        <f>+'KPI Stats'!F69</f>
        <v>£'s</v>
      </c>
      <c r="M81" s="135" t="str">
        <f>INDEX('KPI Analysis'!$CO$7:$EU$123,MATCH($A81,'KPI Analysis'!$CO$7:$CO$123,FALSE),MATCH(M$8,'KPI Analysis'!$CO$7:$EU$7,FALSE))</f>
        <v>% of target</v>
      </c>
      <c r="P81" s="579" t="str">
        <f>IF(INDEX('KPI Analysis'!$AH$7:$CM$123,MATCH($A81,'KPI Analysis'!$AH$7:$AH$123,FALSE),MATCH(P$8,'KPI Analysis'!$AH$7:$CM$7,FALSE))="OD","",INDEX('KPI Analysis'!$AH$7:$CM$123,MATCH($A81,'KPI Analysis'!$AH$7:$AH$123,FALSE),MATCH(P$8,'KPI Analysis'!$AH$7:$CM$7,FALSE)))</f>
        <v/>
      </c>
      <c r="Q81" s="635" t="str">
        <f>INDEX('KPI Analysis'!$CO$7:$EU$123,MATCH($A81,'KPI Analysis'!$CO$7:$CO$123,FALSE),MATCH(P$8,'KPI Analysis'!$CO$7:$EU$7,FALSE))</f>
        <v>OD</v>
      </c>
      <c r="R81" s="579" t="str">
        <f>IF(INDEX('KPI Analysis'!$AH$7:$CM$123,MATCH($A81,'KPI Analysis'!$AH$7:$AH$123,FALSE),MATCH(R$8,'KPI Analysis'!$AH$7:$CM$7,FALSE))="OD","",INDEX('KPI Analysis'!$AH$7:$CM$123,MATCH($A81,'KPI Analysis'!$AH$7:$AH$123,FALSE),MATCH(R$8,'KPI Analysis'!$AH$7:$CM$7,FALSE)))</f>
        <v/>
      </c>
      <c r="S81" s="635" t="str">
        <f>INDEX('KPI Analysis'!$CO$7:$EU$123,MATCH($A81,'KPI Analysis'!$CO$7:$CO$123,FALSE),MATCH(R$8,'KPI Analysis'!$CO$7:$EU$7,FALSE))</f>
        <v>OD</v>
      </c>
      <c r="T81" s="579" t="str">
        <f>IF(INDEX('KPI Analysis'!$AH$7:$CM$123,MATCH($A81,'KPI Analysis'!$AH$7:$AH$123,FALSE),MATCH(T$8,'KPI Analysis'!$AH$7:$CM$7,FALSE))="OD","",INDEX('KPI Analysis'!$AH$7:$CM$123,MATCH($A81,'KPI Analysis'!$AH$7:$AH$123,FALSE),MATCH(T$8,'KPI Analysis'!$AH$7:$CM$7,FALSE)))</f>
        <v/>
      </c>
      <c r="U81" s="635" t="str">
        <f>INDEX('KPI Analysis'!$CO$7:$EU$123,MATCH($A81,'KPI Analysis'!$CO$7:$CO$123,FALSE),MATCH(T$8,'KPI Analysis'!$CO$7:$EU$7,FALSE))</f>
        <v>OD</v>
      </c>
      <c r="V81" s="579" t="str">
        <f>IF(INDEX('KPI Analysis'!$AH$7:$CM$123,MATCH($A81,'KPI Analysis'!$AH$7:$AH$123,FALSE),MATCH(V$8,'KPI Analysis'!$AH$7:$CM$7,FALSE))="OD","",INDEX('KPI Analysis'!$AH$7:$CM$123,MATCH($A81,'KPI Analysis'!$AH$7:$AH$123,FALSE),MATCH(V$8,'KPI Analysis'!$AH$7:$CM$7,FALSE)))</f>
        <v/>
      </c>
      <c r="W81" s="635" t="str">
        <f>INDEX('KPI Analysis'!$CO$7:$EU$123,MATCH($A81,'KPI Analysis'!$CO$7:$CO$123,FALSE),MATCH(V$8,'KPI Analysis'!$CO$7:$EU$7,FALSE))</f>
        <v>OD</v>
      </c>
      <c r="X81" s="579" t="str">
        <f>IF(INDEX('KPI Analysis'!$AH$7:$CM$123,MATCH($A81,'KPI Analysis'!$AH$7:$AH$123,FALSE),MATCH(X$8,'KPI Analysis'!$AH$7:$CM$7,FALSE))="OD","",INDEX('KPI Analysis'!$AH$7:$CM$123,MATCH($A81,'KPI Analysis'!$AH$7:$AH$123,FALSE),MATCH(X$8,'KPI Analysis'!$AH$7:$CM$7,FALSE)))</f>
        <v/>
      </c>
      <c r="Y81" s="635" t="str">
        <f>INDEX('KPI Analysis'!$CO$7:$EU$123,MATCH($A81,'KPI Analysis'!$CO$7:$CO$123,FALSE),MATCH(X$8,'KPI Analysis'!$CO$7:$EU$7,FALSE))</f>
        <v>OD</v>
      </c>
      <c r="Z81" s="141"/>
      <c r="AC81" s="648" t="s">
        <v>639</v>
      </c>
      <c r="AE81" s="327" t="str">
        <f>INDEX('KPI Analysis'!$CO$7:$EU$123,MATCH($A81,'KPI Analysis'!$CO$7:$CO$123,FALSE),MATCH(AE$8,'KPI Analysis'!$CO$7:$EU$7,FALSE))</f>
        <v>OD</v>
      </c>
      <c r="AF81" s="328" t="str">
        <f>INDEX('KPI Analysis'!$CO$7:$EU$123,MATCH($A81,'KPI Analysis'!$CO$7:$CO$123,FALSE),MATCH(AF$8,'KPI Analysis'!$CO$7:$EU$7,FALSE))</f>
        <v>OD</v>
      </c>
      <c r="AG81" s="328" t="str">
        <f>INDEX('KPI Analysis'!$CO$7:$EU$123,MATCH($A81,'KPI Analysis'!$CO$7:$CO$123,FALSE),MATCH(AG$8,'KPI Analysis'!$CO$7:$EU$7,FALSE))</f>
        <v>OD</v>
      </c>
      <c r="AH81" s="328" t="str">
        <f>INDEX('KPI Analysis'!$CO$7:$EU$123,MATCH($A81,'KPI Analysis'!$CO$7:$CO$123,FALSE),MATCH(AH$8,'KPI Analysis'!$CO$7:$EU$7,FALSE))</f>
        <v>OD</v>
      </c>
      <c r="AI81" s="328" t="str">
        <f>INDEX('KPI Analysis'!$CO$7:$EU$123,MATCH($A81,'KPI Analysis'!$CO$7:$CO$123,FALSE),MATCH(AI$8,'KPI Analysis'!$CO$7:$EU$7,FALSE))</f>
        <v>OD</v>
      </c>
    </row>
    <row r="82" spans="1:35" ht="25.2" hidden="1" customHeight="1" thickBot="1" x14ac:dyDescent="0.35">
      <c r="A82" t="str">
        <f>F82&amp;"-"&amp;C82</f>
        <v>Logistics-KPI D1</v>
      </c>
      <c r="B82" s="178" t="str">
        <f>+'KPI Stats'!G70</f>
        <v>Under</v>
      </c>
      <c r="C82" s="136" t="str">
        <f>+'KPI Stats'!C70</f>
        <v>KPI D1</v>
      </c>
      <c r="F82" s="865" t="str">
        <f>+'KPI Stats'!$B$68</f>
        <v>Logistics</v>
      </c>
      <c r="G82" s="868" t="str">
        <f>+'KPI Stats'!$B$68</f>
        <v>Logistics</v>
      </c>
      <c r="H82" s="617" t="s">
        <v>526</v>
      </c>
      <c r="I82" s="465">
        <f>+'KPI Stats'!$F$68</f>
        <v>42</v>
      </c>
      <c r="J82" s="144" t="str">
        <f>+'KPI Stats'!D70</f>
        <v>Delivery</v>
      </c>
      <c r="K82" s="144" t="str">
        <f>+'KPI Stats'!E70</f>
        <v>Logistics - Delivery - OTIF Group</v>
      </c>
      <c r="L82" s="145" t="str">
        <f>+'KPI Stats'!F70</f>
        <v>Percentage</v>
      </c>
      <c r="M82" s="510" t="s">
        <v>247</v>
      </c>
      <c r="P82" s="744" t="str">
        <f>IF(INDEX('KPI Analysis'!$AH$7:$CM$123,MATCH($A82,'KPI Analysis'!$AH$7:$AH$123,FALSE),MATCH(P$8,'KPI Analysis'!$AH$7:$CM$7,FALSE))="OD","",INDEX('KPI Analysis'!$AH$7:$CM$123,MATCH($A82,'KPI Analysis'!$AH$7:$AH$123,FALSE),MATCH(P$8,'KPI Analysis'!$AH$7:$CM$7,FALSE)))</f>
        <v/>
      </c>
      <c r="Q82" s="749">
        <f>INDEX('KPI Analysis'!$EW$7:$HC$123,MATCH($A82,'KPI Analysis'!$EW$7:$EW$123,FALSE),MATCH(P$8,'KPI Analysis'!$EW$7:$HC$7,FALSE))</f>
        <v>0</v>
      </c>
      <c r="R82" s="744" t="str">
        <f>IF(INDEX('KPI Analysis'!$AH$7:$CM$123,MATCH($A82,'KPI Analysis'!$AH$7:$AH$123,FALSE),MATCH(R$8,'KPI Analysis'!$AH$7:$CM$7,FALSE))="OD","",INDEX('KPI Analysis'!$AH$7:$CM$123,MATCH($A82,'KPI Analysis'!$AH$7:$AH$123,FALSE),MATCH(R$8,'KPI Analysis'!$AH$7:$CM$7,FALSE)))</f>
        <v/>
      </c>
      <c r="S82" s="749">
        <f>INDEX('KPI Analysis'!$EW$7:$HC$123,MATCH($A82,'KPI Analysis'!$EW$7:$EW$123,FALSE),MATCH(R$8,'KPI Analysis'!$EW$7:$HC$7,FALSE))</f>
        <v>0</v>
      </c>
      <c r="T82" s="744" t="str">
        <f>IF(INDEX('KPI Analysis'!$AH$7:$CM$123,MATCH($A82,'KPI Analysis'!$AH$7:$AH$123,FALSE),MATCH(T$8,'KPI Analysis'!$AH$7:$CM$7,FALSE))="OD","",INDEX('KPI Analysis'!$AH$7:$CM$123,MATCH($A82,'KPI Analysis'!$AH$7:$AH$123,FALSE),MATCH(T$8,'KPI Analysis'!$AH$7:$CM$7,FALSE)))</f>
        <v/>
      </c>
      <c r="U82" s="749" t="str">
        <f>IF(INDEX('KPI Analysis'!$CO$7:$EU$123,MATCH($A82,'KPI Analysis'!$CO$7:$CO$123,FALSE),MATCH(T$8,'KPI Analysis'!$CO$7:$EU$7,FALSE))="OD","OD",INDEX('KPI Analysis'!$EW$7:$HC$123,MATCH($A82,'KPI Analysis'!$EW$7:$EW$123,FALSE),MATCH(T$8,'KPI Analysis'!$EW$7:$HC$7,FALSE)))</f>
        <v>OD</v>
      </c>
      <c r="V82" s="744" t="str">
        <f>IF(INDEX('KPI Analysis'!$AH$7:$CM$123,MATCH($A82,'KPI Analysis'!$AH$7:$AH$123,FALSE),MATCH(V$8,'KPI Analysis'!$AH$7:$CM$7,FALSE))="OD","",INDEX('KPI Analysis'!$AH$7:$CM$123,MATCH($A82,'KPI Analysis'!$AH$7:$AH$123,FALSE),MATCH(V$8,'KPI Analysis'!$AH$7:$CM$7,FALSE)))</f>
        <v/>
      </c>
      <c r="W82" s="749" t="str">
        <f>IF(INDEX('KPI Analysis'!$CO$7:$EU$123,MATCH($A82,'KPI Analysis'!$CO$7:$CO$123,FALSE),MATCH(V$8,'KPI Analysis'!$CO$7:$EU$7,FALSE))="OD","OD",INDEX('KPI Analysis'!$EW$7:$HC$123,MATCH($A82,'KPI Analysis'!$EW$7:$EW$123,FALSE),MATCH(V$8,'KPI Analysis'!$EW$7:$HC$7,FALSE)))</f>
        <v>OD</v>
      </c>
      <c r="X82" s="744" t="str">
        <f>IF(INDEX('KPI Analysis'!$AH$7:$CM$123,MATCH($A82,'KPI Analysis'!$AH$7:$AH$123,FALSE),MATCH(X$8,'KPI Analysis'!$AH$7:$CM$7,FALSE))="OD","",INDEX('KPI Analysis'!$AH$7:$CM$123,MATCH($A82,'KPI Analysis'!$AH$7:$AH$123,FALSE),MATCH(X$8,'KPI Analysis'!$AH$7:$CM$7,FALSE)))</f>
        <v/>
      </c>
      <c r="Y82" s="749" t="str">
        <f>IF(INDEX('KPI Analysis'!$CO$7:$EU$123,MATCH($A82,'KPI Analysis'!$CO$7:$CO$123,FALSE),MATCH(X$8,'KPI Analysis'!$CO$7:$EU$7,FALSE))="OD","OD",INDEX('KPI Analysis'!$EW$7:$HC$123,MATCH($A82,'KPI Analysis'!$EW$7:$EW$123,FALSE),MATCH(X$8,'KPI Analysis'!$EW$7:$HC$7,FALSE)))</f>
        <v>OD</v>
      </c>
      <c r="Z82" s="148" t="s">
        <v>612</v>
      </c>
      <c r="AC82" s="648" t="s">
        <v>638</v>
      </c>
      <c r="AE82" s="323" t="str">
        <f>INDEX('KPI Analysis'!$CO$7:$EU$123,MATCH($A82,'KPI Analysis'!$CO$7:$CO$123,FALSE),MATCH(AE$8,'KPI Analysis'!$CO$7:$EU$7,FALSE))</f>
        <v>OD</v>
      </c>
      <c r="AF82" s="315" t="str">
        <f>INDEX('KPI Analysis'!$CO$7:$EU$123,MATCH($A82,'KPI Analysis'!$CO$7:$CO$123,FALSE),MATCH(AF$8,'KPI Analysis'!$CO$7:$EU$7,FALSE))</f>
        <v>OD</v>
      </c>
      <c r="AG82" s="315" t="str">
        <f>INDEX('KPI Analysis'!$CO$7:$EU$123,MATCH($A82,'KPI Analysis'!$CO$7:$CO$123,FALSE),MATCH(AG$8,'KPI Analysis'!$CO$7:$EU$7,FALSE))</f>
        <v>OD</v>
      </c>
      <c r="AH82" s="315" t="str">
        <f>INDEX('KPI Analysis'!$CO$7:$EU$123,MATCH($A82,'KPI Analysis'!$CO$7:$CO$123,FALSE),MATCH(AH$8,'KPI Analysis'!$CO$7:$EU$7,FALSE))</f>
        <v>OD</v>
      </c>
      <c r="AI82" s="315" t="str">
        <f>INDEX('KPI Analysis'!$CO$7:$EU$123,MATCH($A82,'KPI Analysis'!$CO$7:$CO$123,FALSE),MATCH(AI$8,'KPI Analysis'!$CO$7:$EU$7,FALSE))</f>
        <v>OD</v>
      </c>
    </row>
    <row r="83" spans="1:35" ht="28.2" customHeight="1" thickBot="1" x14ac:dyDescent="0.35">
      <c r="A83" t="str">
        <f>F83&amp;"-"&amp;C83</f>
        <v>Logistics-KPI Q1</v>
      </c>
      <c r="B83" s="824" t="str">
        <f>+'KPI Stats'!G71</f>
        <v>Over</v>
      </c>
      <c r="C83" s="179" t="str">
        <f>+'KPI Stats'!C71</f>
        <v>KPI Q1</v>
      </c>
      <c r="F83" s="865" t="str">
        <f>+'KPI Stats'!$B$68</f>
        <v>Logistics</v>
      </c>
      <c r="G83" s="868" t="str">
        <f>+'KPI Stats'!$B$68</f>
        <v>Logistics</v>
      </c>
      <c r="H83" s="617" t="s">
        <v>526</v>
      </c>
      <c r="I83" s="465">
        <f>+'KPI Stats'!$F$68</f>
        <v>42</v>
      </c>
      <c r="J83" s="144" t="str">
        <f>+'KPI Stats'!D71</f>
        <v>Quality</v>
      </c>
      <c r="K83" s="144" t="str">
        <f>+'KPI Stats'!E71</f>
        <v>Transport Complaints</v>
      </c>
      <c r="L83" s="145" t="str">
        <f>+'KPI Stats'!F71</f>
        <v>Count</v>
      </c>
      <c r="M83" s="510" t="s">
        <v>247</v>
      </c>
      <c r="P83" s="782"/>
      <c r="Q83" s="503">
        <f>INDEX('KPI Analysis'!$EW$7:$HC$123,MATCH($A83,'KPI Analysis'!$EW$7:$EW$123,FALSE),MATCH(P$8,'KPI Analysis'!$EW$7:$HC$7,FALSE))</f>
        <v>0</v>
      </c>
      <c r="R83" s="827" t="str">
        <f>IF(
OR(
INDEX('KPI Analysis'!$AH$7:$CM$123,
MATCH($A83,'KPI Analysis'!$AH$7:$AH$123,FALSE),
MATCH(R$8,'KPI Analysis'!$AH$7:$CM$7,FALSE)
)="R",
INDEX('KPI Analysis'!$AH$7:$CM$123,
MATCH($A83,'KPI Analysis'!$AH$7:$AH$123,FALSE),
MATCH(R$8,'KPI Analysis'!$AH$7:$CM$7,FALSE)
)="G",
INDEX('KPI Analysis'!$AH$7:$CM$123,
MATCH($A83,'KPI Analysis'!$AH$7:$AH$123,FALSE),
MATCH(R$8,'KPI Analysis'!$AH$7:$CM$7,FALSE)
)="A"),
INDEX('KPI Analysis'!$AH$7:$CM$123,MATCH($A83,'KPI Analysis'!$AH$7:$AH$123,FALSE),MATCH(R$8,'KPI Analysis'!$AH$7:$CM$7,FALSE)),"")</f>
        <v/>
      </c>
      <c r="S83" s="828">
        <f>INDEX('KPI Analysis'!$EW$7:$HC$123,MATCH($A83,'KPI Analysis'!$EW$7:$EW$123,FALSE),MATCH(R$8,'KPI Analysis'!$EW$7:$HC$7,FALSE))</f>
        <v>0</v>
      </c>
      <c r="T83" s="829" t="str">
        <f>IF(
OR(
INDEX('KPI Analysis'!$AH$7:$CM$123,
MATCH($A83,'KPI Analysis'!$AH$7:$AH$123,FALSE),
MATCH(T$8,'KPI Analysis'!$AH$7:$CM$7,FALSE)
)="R",
INDEX('KPI Analysis'!$AH$7:$CM$123,
MATCH($A83,'KPI Analysis'!$AH$7:$AH$123,FALSE),
MATCH(T$8,'KPI Analysis'!$AH$7:$CM$7,FALSE)
)="G",
INDEX('KPI Analysis'!$AH$7:$CM$123,
MATCH($A83,'KPI Analysis'!$AH$7:$AH$123,FALSE),
MATCH(T$8,'KPI Analysis'!$AH$7:$CM$7,FALSE)
)="A"),
INDEX('KPI Analysis'!$AH$7:$CM$123,MATCH($A83,'KPI Analysis'!$AH$7:$AH$123,FALSE),MATCH(T$8,'KPI Analysis'!$AH$7:$CM$7,FALSE)),"")</f>
        <v/>
      </c>
      <c r="U83" s="783" t="str">
        <f>IF(INDEX('KPI Analysis'!$CO$7:$EU$123,MATCH($A83,'KPI Analysis'!$CO$7:$CO$123,FALSE),MATCH(T$8,'KPI Analysis'!$CO$7:$EU$7,FALSE))="OD","OD",INDEX('KPI Analysis'!$EW$7:$HC$123,MATCH($A83,'KPI Analysis'!$EW$7:$EW$123,FALSE),MATCH(T$8,'KPI Analysis'!$EW$7:$HC$7,FALSE)))</f>
        <v>OD</v>
      </c>
      <c r="V83" s="782" t="str">
        <f>IF(INDEX('KPI Analysis'!$AH$7:$CM$123,MATCH($A83,'KPI Analysis'!$AH$7:$AH$123,FALSE),MATCH(V$8,'KPI Analysis'!$AH$7:$CM$7,FALSE))="OD","",INDEX('KPI Analysis'!$AH$7:$CM$123,MATCH($A83,'KPI Analysis'!$AH$7:$AH$123,FALSE),MATCH(V$8,'KPI Analysis'!$AH$7:$CM$7,FALSE)))</f>
        <v/>
      </c>
      <c r="W83" s="784" t="str">
        <f>IF(INDEX('KPI Analysis'!$CO$7:$EU$123,MATCH($A83,'KPI Analysis'!$CO$7:$CO$123,FALSE),MATCH(V$8,'KPI Analysis'!$CO$7:$EU$7,FALSE))="OD","OD",INDEX('KPI Analysis'!$EW$7:$HC$123,MATCH($A83,'KPI Analysis'!$EW$7:$EW$123,FALSE),MATCH(V$8,'KPI Analysis'!$EW$7:$HC$7,FALSE)))</f>
        <v>OD</v>
      </c>
      <c r="X83" s="782" t="str">
        <f>IF(INDEX('KPI Analysis'!$AH$7:$CM$123,MATCH($A83,'KPI Analysis'!$AH$7:$AH$123,FALSE),MATCH(X$8,'KPI Analysis'!$AH$7:$CM$7,FALSE))="OD","",INDEX('KPI Analysis'!$AH$7:$CM$123,MATCH($A83,'KPI Analysis'!$AH$7:$AH$123,FALSE),MATCH(X$8,'KPI Analysis'!$AH$7:$CM$7,FALSE)))</f>
        <v/>
      </c>
      <c r="Y83" s="784" t="str">
        <f>IF(INDEX('KPI Analysis'!$CO$7:$EU$123,MATCH($A83,'KPI Analysis'!$CO$7:$CO$123,FALSE),MATCH(X$8,'KPI Analysis'!$CO$7:$EU$7,FALSE))="OD","OD",INDEX('KPI Analysis'!$EW$7:$HC$123,MATCH($A83,'KPI Analysis'!$EW$7:$EW$123,FALSE),MATCH(X$8,'KPI Analysis'!$EW$7:$HC$7,FALSE)))</f>
        <v>OD</v>
      </c>
      <c r="Z83" s="179" t="s">
        <v>614</v>
      </c>
      <c r="AC83" s="648" t="s">
        <v>638</v>
      </c>
      <c r="AE83" s="323">
        <f>INDEX('KPI Analysis'!$CO$7:$EU$123,MATCH($A83,'KPI Analysis'!$CO$7:$CO$123,FALSE),MATCH(AE$8,'KPI Analysis'!$CO$7:$EU$7,FALSE))</f>
        <v>1</v>
      </c>
      <c r="AF83" s="315" t="str">
        <f>INDEX('KPI Analysis'!$CO$7:$EU$123,MATCH($A83,'KPI Analysis'!$CO$7:$CO$123,FALSE),MATCH(AF$8,'KPI Analysis'!$CO$7:$EU$7,FALSE))</f>
        <v>OD</v>
      </c>
      <c r="AG83" s="315" t="str">
        <f>INDEX('KPI Analysis'!$CO$7:$EU$123,MATCH($A83,'KPI Analysis'!$CO$7:$CO$123,FALSE),MATCH(AG$8,'KPI Analysis'!$CO$7:$EU$7,FALSE))</f>
        <v>OD</v>
      </c>
      <c r="AH83" s="315" t="str">
        <f>INDEX('KPI Analysis'!$CO$7:$EU$123,MATCH($A83,'KPI Analysis'!$CO$7:$CO$123,FALSE),MATCH(AH$8,'KPI Analysis'!$CO$7:$EU$7,FALSE))</f>
        <v>OD</v>
      </c>
      <c r="AI83" s="315" t="str">
        <f>INDEX('KPI Analysis'!$CO$7:$EU$123,MATCH($A83,'KPI Analysis'!$CO$7:$CO$123,FALSE),MATCH(AI$8,'KPI Analysis'!$CO$7:$EU$7,FALSE))</f>
        <v>OD</v>
      </c>
    </row>
    <row r="84" spans="1:35" ht="0.6" customHeight="1" thickBot="1" x14ac:dyDescent="0.35">
      <c r="A84" t="str">
        <f>F84&amp;"-"&amp;C84</f>
        <v>Logistics-KPI C1</v>
      </c>
      <c r="B84" s="188" t="str">
        <f>+'KPI Stats'!G72</f>
        <v>Over</v>
      </c>
      <c r="C84" s="138" t="str">
        <f>+'KPI Stats'!C72</f>
        <v>KPI C1</v>
      </c>
      <c r="F84" s="866" t="str">
        <f>+'KPI Stats'!$B$68</f>
        <v>Logistics</v>
      </c>
      <c r="G84" s="869" t="str">
        <f>+'KPI Stats'!$B$68</f>
        <v>Logistics</v>
      </c>
      <c r="H84" s="296" t="s">
        <v>526</v>
      </c>
      <c r="I84" s="398">
        <f>+'KPI Stats'!$F$68</f>
        <v>42</v>
      </c>
      <c r="J84" s="146" t="str">
        <f>+'KPI Stats'!D72</f>
        <v>Cost</v>
      </c>
      <c r="K84" s="146" t="str">
        <f>+'KPI Stats'!E72</f>
        <v>Distribution Costs - Group</v>
      </c>
      <c r="L84" s="147" t="str">
        <f>+'KPI Stats'!F72</f>
        <v>£'s</v>
      </c>
      <c r="M84" s="140" t="str">
        <f>INDEX('KPI Analysis'!$CO$7:$EU$123,MATCH($A84,'KPI Analysis'!$CO$7:$CO$123,FALSE),MATCH(M$8,'KPI Analysis'!$CO$7:$EU$7,FALSE))</f>
        <v>% of target</v>
      </c>
      <c r="P84" s="780" t="str">
        <f>IF(
OR(
INDEX('KPI Analysis'!$AH$7:$CM$123,
MATCH($A84,'KPI Analysis'!$AH$7:$AH$123,FALSE),
MATCH(P$8,'KPI Analysis'!$AH$7:$CM$7,FALSE)
)="R",
INDEX('KPI Analysis'!$AH$7:$CM$123,
MATCH($A84,'KPI Analysis'!$AH$7:$AH$123,FALSE),
MATCH(P$8,'KPI Analysis'!$AH$7:$CM$7,FALSE)
)="G",
INDEX('KPI Analysis'!$AH$7:$CM$123,
MATCH($A84,'KPI Analysis'!$AH$7:$AH$123,FALSE),
MATCH(P$8,'KPI Analysis'!$AH$7:$CM$7,FALSE)
)="A"),
INDEX('KPI Analysis'!$AH$7:$CM$123,MATCH($A84,'KPI Analysis'!$AH$7:$AH$123,FALSE),MATCH(P$8,'KPI Analysis'!$AH$7:$CM$7,FALSE)),"")</f>
        <v/>
      </c>
      <c r="Q84" s="781" t="str">
        <f>INDEX('KPI Analysis'!$CO$7:$EU$123,MATCH($A84,'KPI Analysis'!$CO$7:$CO$123,FALSE),MATCH(P$8,'KPI Analysis'!$CO$7:$EU$7,FALSE))</f>
        <v>OD</v>
      </c>
      <c r="R84" s="780" t="str">
        <f>IF(
OR(
INDEX('KPI Analysis'!$AH$7:$CM$123,
MATCH($A84,'KPI Analysis'!$AH$7:$AH$123,FALSE),
MATCH(R$8,'KPI Analysis'!$AH$7:$CM$7,FALSE)
)="R",
INDEX('KPI Analysis'!$AH$7:$CM$123,
MATCH($A84,'KPI Analysis'!$AH$7:$AH$123,FALSE),
MATCH(R$8,'KPI Analysis'!$AH$7:$CM$7,FALSE)
)="G",
INDEX('KPI Analysis'!$AH$7:$CM$123,
MATCH($A84,'KPI Analysis'!$AH$7:$AH$123,FALSE),
MATCH(R$8,'KPI Analysis'!$AH$7:$CM$7,FALSE)
)="A"),
INDEX('KPI Analysis'!$AH$7:$CM$123,MATCH($A84,'KPI Analysis'!$AH$7:$AH$123,FALSE),MATCH(R$8,'KPI Analysis'!$AH$7:$CM$7,FALSE)),"")</f>
        <v/>
      </c>
      <c r="S84" s="781" t="str">
        <f>INDEX('KPI Analysis'!$CO$7:$EU$123,MATCH($A84,'KPI Analysis'!$CO$7:$CO$123,FALSE),MATCH(R$8,'KPI Analysis'!$CO$7:$EU$7,FALSE))</f>
        <v>OD</v>
      </c>
      <c r="T84" s="780" t="str">
        <f>IF(
OR(
INDEX('KPI Analysis'!$AH$7:$CM$123,
MATCH($A84,'KPI Analysis'!$AH$7:$AH$123,FALSE),
MATCH(T$8,'KPI Analysis'!$AH$7:$CM$7,FALSE)
)="R",
INDEX('KPI Analysis'!$AH$7:$CM$123,
MATCH($A84,'KPI Analysis'!$AH$7:$AH$123,FALSE),
MATCH(T$8,'KPI Analysis'!$AH$7:$CM$7,FALSE)
)="G",
INDEX('KPI Analysis'!$AH$7:$CM$123,
MATCH($A84,'KPI Analysis'!$AH$7:$AH$123,FALSE),
MATCH(T$8,'KPI Analysis'!$AH$7:$CM$7,FALSE)
)="A"),
INDEX('KPI Analysis'!$AH$7:$CM$123,MATCH($A84,'KPI Analysis'!$AH$7:$AH$123,FALSE),MATCH(T$8,'KPI Analysis'!$AH$7:$CM$7,FALSE)),"")</f>
        <v/>
      </c>
      <c r="U84" s="781" t="str">
        <f>INDEX('KPI Analysis'!$CO$7:$EU$123,MATCH($A84,'KPI Analysis'!$CO$7:$CO$123,FALSE),MATCH(T$8,'KPI Analysis'!$CO$7:$EU$7,FALSE))</f>
        <v>OD</v>
      </c>
      <c r="V84" s="780" t="str">
        <f>IF(
OR(
INDEX('KPI Analysis'!$AH$7:$CM$123,
MATCH($A84,'KPI Analysis'!$AH$7:$AH$123,FALSE),
MATCH(V$8,'KPI Analysis'!$AH$7:$CM$7,FALSE)
)="R",
INDEX('KPI Analysis'!$AH$7:$CM$123,
MATCH($A84,'KPI Analysis'!$AH$7:$AH$123,FALSE),
MATCH(V$8,'KPI Analysis'!$AH$7:$CM$7,FALSE)
)="G",
INDEX('KPI Analysis'!$AH$7:$CM$123,
MATCH($A84,'KPI Analysis'!$AH$7:$AH$123,FALSE),
MATCH(V$8,'KPI Analysis'!$AH$7:$CM$7,FALSE)
)="A"),
INDEX('KPI Analysis'!$AH$7:$CM$123,MATCH($A84,'KPI Analysis'!$AH$7:$AH$123,FALSE),MATCH(V$8,'KPI Analysis'!$AH$7:$CM$7,FALSE)),"")</f>
        <v/>
      </c>
      <c r="W84" s="781" t="str">
        <f>INDEX('KPI Analysis'!$CO$7:$EU$123,MATCH($A84,'KPI Analysis'!$CO$7:$CO$123,FALSE),MATCH(V$8,'KPI Analysis'!$CO$7:$EU$7,FALSE))</f>
        <v>OD</v>
      </c>
      <c r="X84" s="780" t="str">
        <f>IF(
OR(
INDEX('KPI Analysis'!$AH$7:$CM$123,
MATCH($A84,'KPI Analysis'!$AH$7:$AH$123,FALSE),
MATCH(X$8,'KPI Analysis'!$AH$7:$CM$7,FALSE)
)="R",
INDEX('KPI Analysis'!$AH$7:$CM$123,
MATCH($A84,'KPI Analysis'!$AH$7:$AH$123,FALSE),
MATCH(X$8,'KPI Analysis'!$AH$7:$CM$7,FALSE)
)="G",
INDEX('KPI Analysis'!$AH$7:$CM$123,
MATCH($A84,'KPI Analysis'!$AH$7:$AH$123,FALSE),
MATCH(X$8,'KPI Analysis'!$AH$7:$CM$7,FALSE)
)="A"),
INDEX('KPI Analysis'!$AH$7:$CM$123,MATCH($A84,'KPI Analysis'!$AH$7:$AH$123,FALSE),MATCH(X$8,'KPI Analysis'!$AH$7:$CM$7,FALSE)),"")</f>
        <v/>
      </c>
      <c r="Y84" s="781" t="str">
        <f>INDEX('KPI Analysis'!$CO$7:$EU$123,MATCH($A84,'KPI Analysis'!$CO$7:$CO$123,FALSE),MATCH(X$8,'KPI Analysis'!$CO$7:$EU$7,FALSE))</f>
        <v>OD</v>
      </c>
      <c r="Z84" s="149" t="s">
        <v>538</v>
      </c>
      <c r="AC84" s="648" t="s">
        <v>639</v>
      </c>
      <c r="AE84" s="324" t="str">
        <f>INDEX('KPI Analysis'!$CO$7:$EU$123,MATCH($A84,'KPI Analysis'!$CO$7:$CO$123,FALSE),MATCH(AE$8,'KPI Analysis'!$CO$7:$EU$7,FALSE))</f>
        <v>OD</v>
      </c>
      <c r="AF84" s="325" t="str">
        <f>INDEX('KPI Analysis'!$CO$7:$EU$123,MATCH($A84,'KPI Analysis'!$CO$7:$CO$123,FALSE),MATCH(AF$8,'KPI Analysis'!$CO$7:$EU$7,FALSE))</f>
        <v>OD</v>
      </c>
      <c r="AG84" s="325" t="str">
        <f>INDEX('KPI Analysis'!$CO$7:$EU$123,MATCH($A84,'KPI Analysis'!$CO$7:$CO$123,FALSE),MATCH(AG$8,'KPI Analysis'!$CO$7:$EU$7,FALSE))</f>
        <v>OD</v>
      </c>
      <c r="AH84" s="325" t="str">
        <f>INDEX('KPI Analysis'!$CO$7:$EU$123,MATCH($A84,'KPI Analysis'!$CO$7:$CO$123,FALSE),MATCH(AH$8,'KPI Analysis'!$CO$7:$EU$7,FALSE))</f>
        <v>OD</v>
      </c>
      <c r="AI84" s="325" t="str">
        <f>INDEX('KPI Analysis'!$CO$7:$EU$123,MATCH($A84,'KPI Analysis'!$CO$7:$CO$123,FALSE),MATCH(AI$8,'KPI Analysis'!$CO$7:$EU$7,FALSE))</f>
        <v>OD</v>
      </c>
    </row>
    <row r="85" spans="1:35" x14ac:dyDescent="0.3">
      <c r="H85"/>
      <c r="P85" s="604" t="s">
        <v>668</v>
      </c>
    </row>
    <row r="86" spans="1:35" ht="15" thickBot="1" x14ac:dyDescent="0.35">
      <c r="H86"/>
    </row>
    <row r="87" spans="1:35" x14ac:dyDescent="0.3">
      <c r="A87" t="str">
        <f t="shared" si="0"/>
        <v>Engineering-KPI P1</v>
      </c>
      <c r="B87" s="168" t="str">
        <f>+'KPI Stats'!G75</f>
        <v>Over</v>
      </c>
      <c r="C87" s="141" t="str">
        <f>+'KPI Stats'!C75</f>
        <v>KPI P1</v>
      </c>
      <c r="F87" s="864" t="str">
        <f>+'KPI Stats'!$B$74</f>
        <v>Engineering</v>
      </c>
      <c r="G87" s="867" t="s">
        <v>643</v>
      </c>
      <c r="H87" s="530" t="s">
        <v>354</v>
      </c>
      <c r="I87" s="466">
        <f>+'KPI Stats'!F74</f>
        <v>9</v>
      </c>
      <c r="J87" s="142" t="str">
        <f>+'KPI Stats'!D75</f>
        <v>Productivity</v>
      </c>
      <c r="K87" s="142" t="str">
        <f>+'KPI Stats'!E75</f>
        <v>Mean Time to Allocate MTTA</v>
      </c>
      <c r="L87" s="143" t="str">
        <f>+'KPI Stats'!F75</f>
        <v>Days</v>
      </c>
      <c r="M87" s="511" t="s">
        <v>247</v>
      </c>
      <c r="P87" s="649" t="str">
        <f>IF(
OR(
INDEX('KPI Analysis'!$AH$7:$CM$123,
MATCH($A87,'KPI Analysis'!$AH$7:$AH$123,FALSE),
MATCH(P$8,'KPI Analysis'!$AH$7:$CM$7,FALSE)
)="R",
INDEX('KPI Analysis'!$AH$7:$CM$123,
MATCH($A87,'KPI Analysis'!$AH$7:$AH$123,FALSE),
MATCH(P$8,'KPI Analysis'!$AH$7:$CM$7,FALSE)
)="G",
INDEX('KPI Analysis'!$AH$7:$CM$123,
MATCH($A87,'KPI Analysis'!$AH$7:$AH$123,FALSE),
MATCH(P$8,'KPI Analysis'!$AH$7:$CM$7,FALSE)
)="A"),
INDEX('KPI Analysis'!$AH$7:$CM$123,MATCH($A87,'KPI Analysis'!$AH$7:$AH$123,FALSE),MATCH(P$8,'KPI Analysis'!$AH$7:$CM$7,FALSE)),"")</f>
        <v/>
      </c>
      <c r="Q87" s="843" t="str">
        <f>INDEX('KPI Analysis'!$CO$7:$EU$123,MATCH($A87,'KPI Analysis'!$CO$7:$CO$123,FALSE),MATCH(P$8,'KPI Analysis'!$CO$7:$EU$7,FALSE))</f>
        <v>OD</v>
      </c>
      <c r="R87" s="844"/>
      <c r="S87" s="844"/>
      <c r="T87" s="844"/>
      <c r="U87" s="845"/>
      <c r="V87" s="826" t="str">
        <f>IF(
OR(
INDEX('KPI Analysis'!$AH$7:$CM$123,
MATCH($A87,'KPI Analysis'!$AH$7:$AH$123,FALSE),
MATCH(X$8,'KPI Analysis'!$AH$7:$CM$7,FALSE)
)="R",
INDEX('KPI Analysis'!$AH$7:$CM$123,
MATCH($A87,'KPI Analysis'!$AH$7:$AH$123,FALSE),
MATCH(X$8,'KPI Analysis'!$AH$7:$CM$7,FALSE)
)="G",
INDEX('KPI Analysis'!$AH$7:$CM$123,
MATCH($A87,'KPI Analysis'!$AH$7:$AH$123,FALSE),
MATCH(X$8,'KPI Analysis'!$AH$7:$CM$7,FALSE)
)="A"),
INDEX('KPI Analysis'!$AH$7:$CM$123,MATCH($A87,'KPI Analysis'!$AH$7:$AH$123,FALSE),MATCH(X$8,'KPI Analysis'!$AH$7:$CM$7,FALSE)),"")</f>
        <v/>
      </c>
      <c r="W87" s="843" t="s">
        <v>194</v>
      </c>
      <c r="X87" s="844"/>
      <c r="Y87" s="845"/>
      <c r="Z87" s="135" t="s">
        <v>635</v>
      </c>
      <c r="AC87" s="648" t="s">
        <v>638</v>
      </c>
      <c r="AE87" s="327" t="str">
        <f>INDEX('KPI Analysis'!$CO$7:$EU$123,MATCH($A87,'KPI Analysis'!$CO$7:$CO$123,FALSE),MATCH(AE$8,'KPI Analysis'!$CO$7:$EU$7,FALSE))</f>
        <v>OD</v>
      </c>
      <c r="AF87" s="327" t="str">
        <f>INDEX('KPI Analysis'!$CO$7:$EU$123,MATCH($A87,'KPI Analysis'!$CO$7:$CO$123,FALSE),MATCH(AF$8,'KPI Analysis'!$CO$7:$EU$7,FALSE))</f>
        <v>OD</v>
      </c>
      <c r="AG87" s="327" t="str">
        <f>INDEX('KPI Analysis'!$CO$7:$EU$123,MATCH($A87,'KPI Analysis'!$CO$7:$CO$123,FALSE),MATCH(AG$8,'KPI Analysis'!$CO$7:$EU$7,FALSE))</f>
        <v>OD</v>
      </c>
      <c r="AH87" s="327" t="str">
        <f>INDEX('KPI Analysis'!$CO$7:$EU$123,MATCH($A87,'KPI Analysis'!$CO$7:$CO$123,FALSE),MATCH(AH$8,'KPI Analysis'!$CO$7:$EU$7,FALSE))</f>
        <v>OD</v>
      </c>
      <c r="AI87" s="328" t="str">
        <f>INDEX('KPI Analysis'!$CO$7:$EU$123,MATCH($A87,'KPI Analysis'!$CO$7:$CO$123,FALSE),MATCH(AI$8,'KPI Analysis'!$CO$7:$EU$7,FALSE))</f>
        <v>OD</v>
      </c>
    </row>
    <row r="88" spans="1:35" ht="15" thickBot="1" x14ac:dyDescent="0.35">
      <c r="A88" t="str">
        <f t="shared" si="0"/>
        <v>Engineering-KPI D1</v>
      </c>
      <c r="B88" s="169" t="str">
        <f>+'KPI Stats'!G76</f>
        <v>Under</v>
      </c>
      <c r="C88" s="148" t="str">
        <f>+'KPI Stats'!C76</f>
        <v>KPI D1</v>
      </c>
      <c r="F88" s="865" t="str">
        <f>+'KPI Stats'!$B$74</f>
        <v>Engineering</v>
      </c>
      <c r="G88" s="868" t="str">
        <f>+'KPI Stats'!$B$68</f>
        <v>Logistics</v>
      </c>
      <c r="H88" s="630" t="s">
        <v>354</v>
      </c>
      <c r="I88" s="465">
        <f>+I87</f>
        <v>9</v>
      </c>
      <c r="J88" s="144" t="str">
        <f>+'KPI Stats'!D76</f>
        <v>Delivery</v>
      </c>
      <c r="K88" s="144" t="str">
        <f>+'KPI Stats'!E76</f>
        <v>Conversion Ratio - Jobs complete / Jobs Picked Up</v>
      </c>
      <c r="L88" s="145" t="str">
        <f>+'KPI Stats'!F76</f>
        <v>%</v>
      </c>
      <c r="M88" s="510" t="s">
        <v>247</v>
      </c>
      <c r="P88" s="731" t="str">
        <f>IF(
OR(
INDEX('KPI Analysis'!$AH$7:$CM$123,
MATCH($A88,'KPI Analysis'!$AH$7:$AH$123,FALSE),
MATCH(P$8,'KPI Analysis'!$AH$7:$CM$7,FALSE)
)="R",
INDEX('KPI Analysis'!$AH$7:$CM$123,
MATCH($A88,'KPI Analysis'!$AH$7:$AH$123,FALSE),
MATCH(P$8,'KPI Analysis'!$AH$7:$CM$7,FALSE)
)="G",
INDEX('KPI Analysis'!$AH$7:$CM$123,
MATCH($A88,'KPI Analysis'!$AH$7:$AH$123,FALSE),
MATCH(P$8,'KPI Analysis'!$AH$7:$CM$7,FALSE)
)="A"),
INDEX('KPI Analysis'!$AH$7:$CM$123,MATCH($A88,'KPI Analysis'!$AH$7:$AH$123,FALSE),MATCH(P$8,'KPI Analysis'!$AH$7:$CM$7,FALSE)),"")</f>
        <v/>
      </c>
      <c r="Q88" s="846" t="str">
        <f>INDEX('KPI Analysis'!$CO$7:$EU$123,MATCH($A88,'KPI Analysis'!$CO$7:$CO$123,FALSE),MATCH(P$8,'KPI Analysis'!$CO$7:$EU$7,FALSE))</f>
        <v>OD</v>
      </c>
      <c r="R88" s="847"/>
      <c r="S88" s="847"/>
      <c r="T88" s="847"/>
      <c r="U88" s="848"/>
      <c r="V88" s="650" t="str">
        <f>IF(
OR(
INDEX('KPI Analysis'!$AH$7:$CM$123,
MATCH($A88,'KPI Analysis'!$AH$7:$AH$123,FALSE),
MATCH(X$8,'KPI Analysis'!$AH$7:$CM$7,FALSE)
)="R",
INDEX('KPI Analysis'!$AH$7:$CM$123,
MATCH($A88,'KPI Analysis'!$AH$7:$AH$123,FALSE),
MATCH(X$8,'KPI Analysis'!$AH$7:$CM$7,FALSE)
)="G",
INDEX('KPI Analysis'!$AH$7:$CM$123,
MATCH($A88,'KPI Analysis'!$AH$7:$AH$123,FALSE),
MATCH(X$8,'KPI Analysis'!$AH$7:$CM$7,FALSE)
)="A"),
INDEX('KPI Analysis'!$AH$7:$CM$123,MATCH($A88,'KPI Analysis'!$AH$7:$AH$123,FALSE),MATCH(X$8,'KPI Analysis'!$AH$7:$CM$7,FALSE)),"")</f>
        <v/>
      </c>
      <c r="W88" s="846" t="s">
        <v>194</v>
      </c>
      <c r="X88" s="847"/>
      <c r="Y88" s="848"/>
      <c r="Z88" s="137" t="s">
        <v>636</v>
      </c>
      <c r="AC88" s="648" t="s">
        <v>638</v>
      </c>
      <c r="AE88" s="324" t="str">
        <f>INDEX('KPI Analysis'!$CO$7:$EU$123,MATCH($A88,'KPI Analysis'!$CO$7:$CO$123,FALSE),MATCH(AE$8,'KPI Analysis'!$CO$7:$EU$7,FALSE))</f>
        <v>OD</v>
      </c>
      <c r="AF88" s="324" t="str">
        <f>INDEX('KPI Analysis'!$CO$7:$EU$123,MATCH($A88,'KPI Analysis'!$CO$7:$CO$123,FALSE),MATCH(AF$8,'KPI Analysis'!$CO$7:$EU$7,FALSE))</f>
        <v>OD</v>
      </c>
      <c r="AG88" s="323" t="str">
        <f>INDEX('KPI Analysis'!$CO$7:$EU$123,MATCH($A88,'KPI Analysis'!$CO$7:$CO$123,FALSE),MATCH(AG$8,'KPI Analysis'!$CO$7:$EU$7,FALSE))</f>
        <v>OD</v>
      </c>
      <c r="AH88" s="323" t="str">
        <f>INDEX('KPI Analysis'!$CO$7:$EU$123,MATCH($A88,'KPI Analysis'!$CO$7:$CO$123,FALSE),MATCH(AH$8,'KPI Analysis'!$CO$7:$EU$7,FALSE))</f>
        <v>OD</v>
      </c>
      <c r="AI88" s="315" t="str">
        <f>INDEX('KPI Analysis'!$CO$7:$EU$123,MATCH($A88,'KPI Analysis'!$CO$7:$CO$123,FALSE),MATCH(AI$8,'KPI Analysis'!$CO$7:$EU$7,FALSE))</f>
        <v>OD</v>
      </c>
    </row>
    <row r="89" spans="1:35" ht="20.399999999999999" customHeight="1" thickBot="1" x14ac:dyDescent="0.35">
      <c r="A89" t="str">
        <f t="shared" si="0"/>
        <v>Engineering-KPI Q1</v>
      </c>
      <c r="B89" s="169" t="str">
        <f>+'KPI Stats'!G79</f>
        <v>Over</v>
      </c>
      <c r="C89" s="148" t="str">
        <f>+'KPI Stats'!C79</f>
        <v>KPI Q1</v>
      </c>
      <c r="F89" s="865" t="str">
        <f>+'KPI Stats'!$B$74</f>
        <v>Engineering</v>
      </c>
      <c r="G89" s="868" t="str">
        <f>+'KPI Stats'!$B$68</f>
        <v>Logistics</v>
      </c>
      <c r="H89" s="617" t="s">
        <v>526</v>
      </c>
      <c r="I89" s="465">
        <f>+I88</f>
        <v>9</v>
      </c>
      <c r="J89" s="144" t="str">
        <f>+'KPI Stats'!D79</f>
        <v>Quality</v>
      </c>
      <c r="K89" s="144" t="str">
        <f>+'KPI Stats'!E79</f>
        <v>Proactive v Reactive Maintenance</v>
      </c>
      <c r="L89" s="145" t="s">
        <v>58</v>
      </c>
      <c r="M89" s="510" t="s">
        <v>247</v>
      </c>
      <c r="P89" s="808" t="str">
        <f>IF(
OR(
INDEX('KPI Analysis'!$AH$7:$CM$123,
MATCH($A89,'KPI Analysis'!$AH$7:$AH$123,FALSE),
MATCH(P$8,'KPI Analysis'!$AH$7:$CM$7,FALSE)
)="R",
INDEX('KPI Analysis'!$AH$7:$CM$123,
MATCH($A89,'KPI Analysis'!$AH$7:$AH$123,FALSE),
MATCH(P$8,'KPI Analysis'!$AH$7:$CM$7,FALSE)
)="G",
INDEX('KPI Analysis'!$AH$7:$CM$123,
MATCH($A89,'KPI Analysis'!$AH$7:$AH$123,FALSE),
MATCH(P$8,'KPI Analysis'!$AH$7:$CM$7,FALSE)
)="A"),
INDEX('KPI Analysis'!$AH$7:$CM$123,MATCH($A89,'KPI Analysis'!$AH$7:$AH$123,FALSE),MATCH(P$8,'KPI Analysis'!$AH$7:$CM$7,FALSE)),"")</f>
        <v>A</v>
      </c>
      <c r="Q89" s="327">
        <f>INDEX('KPI Analysis'!$EW$7:$HC$123,MATCH($A89,'KPI Analysis'!$EW$7:$EW$123,FALSE),MATCH(P$8,'KPI Analysis'!$EW$7:$HC$7,FALSE))</f>
        <v>0.77</v>
      </c>
      <c r="R89" s="809" t="str">
        <f>IF(
OR(
INDEX('KPI Analysis'!$AH$7:$CM$123,
MATCH($A89,'KPI Analysis'!$AH$7:$AH$123,FALSE),
MATCH(R$8,'KPI Analysis'!$AH$7:$CM$7,FALSE)
)="R",
INDEX('KPI Analysis'!$AH$7:$CM$123,
MATCH($A89,'KPI Analysis'!$AH$7:$AH$123,FALSE),
MATCH(R$8,'KPI Analysis'!$AH$7:$CM$7,FALSE)
)="G",
INDEX('KPI Analysis'!$AH$7:$CM$123,
MATCH($A89,'KPI Analysis'!$AH$7:$AH$123,FALSE),
MATCH(R$8,'KPI Analysis'!$AH$7:$CM$7,FALSE)
)="A"),
INDEX('KPI Analysis'!$AH$7:$CM$123,MATCH($A89,'KPI Analysis'!$AH$7:$AH$123,FALSE),MATCH(R$8,'KPI Analysis'!$AH$7:$CM$7,FALSE)),"")</f>
        <v/>
      </c>
      <c r="S89" s="810" t="str">
        <f>INDEX('KPI Analysis'!$EW$7:$HC$123,MATCH($A89,'KPI Analysis'!$EW$7:$EW$123,FALSE),MATCH(R$8,'KPI Analysis'!$EW$7:$HC$7,FALSE))</f>
        <v>OD</v>
      </c>
      <c r="T89" s="811" t="str">
        <f>IF(
OR(
INDEX('KPI Analysis'!$AH$7:$CM$123,
MATCH($A89,'KPI Analysis'!$AH$7:$AH$123,FALSE),
MATCH(T$8,'KPI Analysis'!$AH$7:$CM$7,FALSE)
)="R",
INDEX('KPI Analysis'!$AH$7:$CM$123,
MATCH($A89,'KPI Analysis'!$AH$7:$AH$123,FALSE),
MATCH(T$8,'KPI Analysis'!$AH$7:$CM$7,FALSE)
)="G",
INDEX('KPI Analysis'!$AH$7:$CM$123,
MATCH($A89,'KPI Analysis'!$AH$7:$AH$123,FALSE),
MATCH(T$8,'KPI Analysis'!$AH$7:$CM$7,FALSE)
)="A"),
INDEX('KPI Analysis'!$AH$7:$CM$123,MATCH($A89,'KPI Analysis'!$AH$7:$AH$123,FALSE),MATCH(T$8,'KPI Analysis'!$AH$7:$CM$7,FALSE)),"")</f>
        <v/>
      </c>
      <c r="U89" s="812" t="str">
        <f>INDEX('KPI Analysis'!$EW$7:$HC$123,MATCH($A89,'KPI Analysis'!$EW$7:$EW$123,FALSE),MATCH(T$8,'KPI Analysis'!$EW$7:$HC$7,FALSE))</f>
        <v>OD</v>
      </c>
      <c r="V89" s="809" t="str">
        <f>IF(
OR(
INDEX('KPI Analysis'!$AH$7:$CM$123,
MATCH($A89,'KPI Analysis'!$AH$7:$AH$123,FALSE),
MATCH(V$8,'KPI Analysis'!$AH$7:$CM$7,FALSE)
)="R",
INDEX('KPI Analysis'!$AH$7:$CM$123,
MATCH($A89,'KPI Analysis'!$AH$7:$AH$123,FALSE),
MATCH(V$8,'KPI Analysis'!$AH$7:$CM$7,FALSE)
)="G",
INDEX('KPI Analysis'!$AH$7:$CM$123,
MATCH($A89,'KPI Analysis'!$AH$7:$AH$123,FALSE),
MATCH(V$8,'KPI Analysis'!$AH$7:$CM$7,FALSE)
)="A"),
INDEX('KPI Analysis'!$AH$7:$CM$123,MATCH($A89,'KPI Analysis'!$AH$7:$AH$123,FALSE),MATCH(V$8,'KPI Analysis'!$AH$7:$CM$7,FALSE)),"")</f>
        <v/>
      </c>
      <c r="W89" s="812" t="str">
        <f>IF(INDEX('KPI Analysis'!$CO$7:$EU$123,MATCH($A89,'KPI Analysis'!$CO$7:$CO$123,FALSE),MATCH(V$8,'KPI Analysis'!$CO$7:$EU$7,FALSE))="OD","OD",IFERROR(INDEX('KPI Analysis'!$EW$7:$HC$123,MATCH($A89,'KPI Analysis'!$EW$7:$EW$123,FALSE),MATCH(V$8,'KPI Analysis'!$EW$7:$HC$7,FALSE)),"OD"))</f>
        <v>OD</v>
      </c>
      <c r="X89" s="813" t="str">
        <f>IF(
OR(
INDEX('KPI Analysis'!$AH$7:$CM$123,
MATCH($A89,'KPI Analysis'!$AH$7:$AH$123,FALSE),
MATCH(X$8,'KPI Analysis'!$AH$7:$CM$7,FALSE)
)="R",
INDEX('KPI Analysis'!$AH$7:$CM$123,
MATCH($A89,'KPI Analysis'!$AH$7:$AH$123,FALSE),
MATCH(X$8,'KPI Analysis'!$AH$7:$CM$7,FALSE)
)="G",
INDEX('KPI Analysis'!$AH$7:$CM$123,
MATCH($A89,'KPI Analysis'!$AH$7:$AH$123,FALSE),
MATCH(X$8,'KPI Analysis'!$AH$7:$CM$7,FALSE)
)="A"),
INDEX('KPI Analysis'!$AH$7:$CM$123,MATCH($A89,'KPI Analysis'!$AH$7:$AH$123,FALSE),MATCH(X$8,'KPI Analysis'!$AH$7:$CM$7,FALSE)),"")</f>
        <v/>
      </c>
      <c r="Y89" s="812" t="str">
        <f>IF(INDEX('KPI Analysis'!$CO$7:$EU$123,MATCH($A89,'KPI Analysis'!$CO$7:$CO$123,FALSE),MATCH(X$8,'KPI Analysis'!$CO$7:$EU$7,FALSE))="OD","OD",IFERROR(INDEX('KPI Analysis'!$EW$7:$HC$123,MATCH($A89,'KPI Analysis'!$EW$7:$EW$123,FALSE),MATCH(X$8,'KPI Analysis'!$EW$7:$HC$7,FALSE)),"OD"))</f>
        <v>OD</v>
      </c>
      <c r="Z89" s="659" t="s">
        <v>687</v>
      </c>
      <c r="AC89" s="648" t="s">
        <v>638</v>
      </c>
      <c r="AE89" s="885" t="str">
        <f>INDEX('KPI Analysis'!$CO$7:$EU$123,MATCH($A89,'KPI Analysis'!$CO$7:$CO$123,FALSE),MATCH(AH$8-1,'KPI Analysis'!$CO$7:$EU$7,FALSE))</f>
        <v>OD</v>
      </c>
      <c r="AF89" s="886"/>
      <c r="AG89" s="877" t="str">
        <f>INDEX('KPI Analysis'!$CO$7:$EU$123,MATCH($A89,'KPI Analysis'!$CO$7:$CO$123,FALSE),MATCH(AH$8,'KPI Analysis'!$CO$7:$EU$7,FALSE))</f>
        <v>OD</v>
      </c>
      <c r="AH89" s="878"/>
      <c r="AI89" s="879"/>
    </row>
    <row r="90" spans="1:35" ht="24" customHeight="1" thickBot="1" x14ac:dyDescent="0.35">
      <c r="A90" t="str">
        <f>F89&amp;"-"&amp;C90</f>
        <v>Engineering-KPI Q2</v>
      </c>
      <c r="B90" s="169" t="str">
        <f>+'KPI Stats'!G80</f>
        <v>Over</v>
      </c>
      <c r="C90" s="148" t="str">
        <f>+'KPI Stats'!C80</f>
        <v>KPI Q2</v>
      </c>
      <c r="F90" s="865"/>
      <c r="G90" s="868"/>
      <c r="H90" s="617" t="s">
        <v>526</v>
      </c>
      <c r="I90" s="465">
        <f>+I89</f>
        <v>9</v>
      </c>
      <c r="J90" s="144" t="str">
        <f>+'KPI Stats'!D80</f>
        <v>Quality</v>
      </c>
      <c r="K90" s="144" t="str">
        <f>+'KPI Stats'!E80</f>
        <v>Mean Time Between Failures</v>
      </c>
      <c r="L90" s="145" t="s">
        <v>58</v>
      </c>
      <c r="M90" s="510" t="s">
        <v>247</v>
      </c>
      <c r="P90" s="814" t="str">
        <f>IF(
OR(
INDEX('KPI Analysis'!$AH$7:$CM$123,
MATCH($A90,'KPI Analysis'!$AH$7:$AH$123,FALSE),
MATCH(P$8,'KPI Analysis'!$AH$7:$CM$7,FALSE)
)="R",
INDEX('KPI Analysis'!$AH$7:$CM$123,
MATCH($A90,'KPI Analysis'!$AH$7:$AH$123,FALSE),
MATCH(P$8,'KPI Analysis'!$AH$7:$CM$7,FALSE)
)="G",
INDEX('KPI Analysis'!$AH$7:$CM$123,
MATCH($A90,'KPI Analysis'!$AH$7:$AH$123,FALSE),
MATCH(P$8,'KPI Analysis'!$AH$7:$CM$7,FALSE)
)="A"),
INDEX('KPI Analysis'!$AH$7:$CM$123,MATCH($A90,'KPI Analysis'!$AH$7:$AH$123,FALSE),MATCH(P$8,'KPI Analysis'!$AH$7:$CM$7,FALSE)),"")</f>
        <v>R</v>
      </c>
      <c r="Q90" s="695">
        <f>INDEX('KPI Analysis'!$EW$7:$HC$123,MATCH($A90,'KPI Analysis'!$EW$7:$EW$123,FALSE),MATCH(P$8,'KPI Analysis'!$EW$7:$HC$7,FALSE))</f>
        <v>3.4</v>
      </c>
      <c r="R90" s="644" t="str">
        <f>IF(
OR(
INDEX('KPI Analysis'!$AH$7:$CM$123,
MATCH($A90,'KPI Analysis'!$AH$7:$AH$123,FALSE),
MATCH(R$8,'KPI Analysis'!$AH$7:$CM$7,FALSE)
)="R",
INDEX('KPI Analysis'!$AH$7:$CM$123,
MATCH($A90,'KPI Analysis'!$AH$7:$AH$123,FALSE),
MATCH(R$8,'KPI Analysis'!$AH$7:$CM$7,FALSE)
)="G",
INDEX('KPI Analysis'!$AH$7:$CM$123,
MATCH($A90,'KPI Analysis'!$AH$7:$AH$123,FALSE),
MATCH(R$8,'KPI Analysis'!$AH$7:$CM$7,FALSE)
)="A"),
INDEX('KPI Analysis'!$AH$7:$CM$123,MATCH($A90,'KPI Analysis'!$AH$7:$AH$123,FALSE),MATCH(R$8,'KPI Analysis'!$AH$7:$CM$7,FALSE)),"")</f>
        <v/>
      </c>
      <c r="S90" s="815" t="str">
        <f>INDEX('KPI Analysis'!$EW$7:$HC$123,MATCH($A90,'KPI Analysis'!$EW$7:$EW$123,FALSE),MATCH(R$8,'KPI Analysis'!$EW$7:$HC$7,FALSE))</f>
        <v>OD</v>
      </c>
      <c r="T90" s="816" t="str">
        <f>IF(
OR(
INDEX('KPI Analysis'!$AH$7:$CM$123,
MATCH($A90,'KPI Analysis'!$AH$7:$AH$123,FALSE),
MATCH(T$8,'KPI Analysis'!$AH$7:$CM$7,FALSE)
)="R",
INDEX('KPI Analysis'!$AH$7:$CM$123,
MATCH($A90,'KPI Analysis'!$AH$7:$AH$123,FALSE),
MATCH(T$8,'KPI Analysis'!$AH$7:$CM$7,FALSE)
)="G",
INDEX('KPI Analysis'!$AH$7:$CM$123,
MATCH($A90,'KPI Analysis'!$AH$7:$AH$123,FALSE),
MATCH(T$8,'KPI Analysis'!$AH$7:$CM$7,FALSE)
)="A"),
INDEX('KPI Analysis'!$AH$7:$CM$123,MATCH($A90,'KPI Analysis'!$AH$7:$AH$123,FALSE),MATCH(T$8,'KPI Analysis'!$AH$7:$CM$7,FALSE)),"")</f>
        <v/>
      </c>
      <c r="U90" s="563" t="str">
        <f>INDEX('KPI Analysis'!$EW$7:$HC$123,MATCH($A90,'KPI Analysis'!$EW$7:$EW$123,FALSE),MATCH(T$8,'KPI Analysis'!$EW$7:$HC$7,FALSE))</f>
        <v>OD</v>
      </c>
      <c r="V90" s="644" t="str">
        <f>IF(
OR(
INDEX('KPI Analysis'!$AH$7:$CM$123,
MATCH($A90,'KPI Analysis'!$AH$7:$AH$123,FALSE),
MATCH(V$8,'KPI Analysis'!$AH$7:$CM$7,FALSE)
)="R",
INDEX('KPI Analysis'!$AH$7:$CM$123,
MATCH($A90,'KPI Analysis'!$AH$7:$AH$123,FALSE),
MATCH(V$8,'KPI Analysis'!$AH$7:$CM$7,FALSE)
)="G",
INDEX('KPI Analysis'!$AH$7:$CM$123,
MATCH($A90,'KPI Analysis'!$AH$7:$AH$123,FALSE),
MATCH(V$8,'KPI Analysis'!$AH$7:$CM$7,FALSE)
)="A"),
INDEX('KPI Analysis'!$AH$7:$CM$123,MATCH($A90,'KPI Analysis'!$AH$7:$AH$123,FALSE),MATCH(V$8,'KPI Analysis'!$AH$7:$CM$7,FALSE)),"")</f>
        <v/>
      </c>
      <c r="W90" s="563" t="str">
        <f>IF(INDEX('KPI Analysis'!$CO$7:$EU$123,MATCH($A90,'KPI Analysis'!$CO$7:$CO$123,FALSE),MATCH(V$8,'KPI Analysis'!$CO$7:$EU$7,FALSE))="OD","OD",IFERROR(INDEX('KPI Analysis'!$EW$7:$HC$123,MATCH($A90,'KPI Analysis'!$EW$7:$EW$123,FALSE),MATCH(V$8,'KPI Analysis'!$EW$7:$HC$7,FALSE)),"OD"))</f>
        <v>OD</v>
      </c>
      <c r="X90" s="817" t="str">
        <f>IF(
OR(
INDEX('KPI Analysis'!$AH$7:$CM$123,
MATCH($A90,'KPI Analysis'!$AH$7:$AH$123,FALSE),
MATCH(X$8,'KPI Analysis'!$AH$7:$CM$7,FALSE)
)="R",
INDEX('KPI Analysis'!$AH$7:$CM$123,
MATCH($A90,'KPI Analysis'!$AH$7:$AH$123,FALSE),
MATCH(X$8,'KPI Analysis'!$AH$7:$CM$7,FALSE)
)="G",
INDEX('KPI Analysis'!$AH$7:$CM$123,
MATCH($A90,'KPI Analysis'!$AH$7:$AH$123,FALSE),
MATCH(X$8,'KPI Analysis'!$AH$7:$CM$7,FALSE)
)="A"),
INDEX('KPI Analysis'!$AH$7:$CM$123,MATCH($A90,'KPI Analysis'!$AH$7:$AH$123,FALSE),MATCH(X$8,'KPI Analysis'!$AH$7:$CM$7,FALSE)),"")</f>
        <v/>
      </c>
      <c r="Y90" s="563" t="str">
        <f>IF(INDEX('KPI Analysis'!$CO$7:$EU$123,MATCH($A90,'KPI Analysis'!$CO$7:$CO$123,FALSE),MATCH(X$8,'KPI Analysis'!$CO$7:$EU$7,FALSE))="OD","OD",IFERROR(INDEX('KPI Analysis'!$EW$7:$HC$123,MATCH($A90,'KPI Analysis'!$EW$7:$EW$123,FALSE),MATCH(X$8,'KPI Analysis'!$EW$7:$HC$7,FALSE)),"OD"))</f>
        <v>OD</v>
      </c>
      <c r="Z90" s="659" t="s">
        <v>687</v>
      </c>
      <c r="AC90" s="648" t="s">
        <v>638</v>
      </c>
      <c r="AE90" s="885" t="str">
        <f>INDEX('KPI Analysis'!$CO$7:$EU$123,MATCH($A90,'KPI Analysis'!$CO$7:$CO$123,FALSE),MATCH(AH$8-1,'KPI Analysis'!$CO$7:$EU$7,FALSE))</f>
        <v>OD</v>
      </c>
      <c r="AF90" s="886"/>
      <c r="AG90" s="877" t="str">
        <f>INDEX('KPI Analysis'!$CO$7:$EU$123,MATCH($A90,'KPI Analysis'!$CO$7:$CO$123,FALSE),MATCH(AH$8,'KPI Analysis'!$CO$7:$EU$7,FALSE))</f>
        <v>OD</v>
      </c>
      <c r="AH90" s="878"/>
      <c r="AI90" s="879"/>
    </row>
    <row r="91" spans="1:35" ht="22.2" customHeight="1" thickBot="1" x14ac:dyDescent="0.35">
      <c r="A91" t="str">
        <f>F89&amp;"-"&amp;C91</f>
        <v>Engineering-KPI Q3</v>
      </c>
      <c r="B91" s="169" t="str">
        <f>+'KPI Stats'!G81</f>
        <v>Over</v>
      </c>
      <c r="C91" s="148" t="str">
        <f>+'KPI Stats'!C81</f>
        <v>KPI Q3</v>
      </c>
      <c r="F91" s="865"/>
      <c r="G91" s="868"/>
      <c r="H91" s="617" t="s">
        <v>526</v>
      </c>
      <c r="I91" s="465">
        <f>+I89</f>
        <v>9</v>
      </c>
      <c r="J91" s="144" t="str">
        <f>+'KPI Stats'!D81</f>
        <v>Quality</v>
      </c>
      <c r="K91" s="144" t="str">
        <f>+'KPI Stats'!E81</f>
        <v>Planning Engineering Complaints</v>
      </c>
      <c r="L91" s="145" t="str">
        <f>+'KPI Stats'!F81</f>
        <v>Days</v>
      </c>
      <c r="M91" s="510" t="s">
        <v>247</v>
      </c>
      <c r="P91" s="818" t="str">
        <f>IF(
OR(
INDEX('KPI Analysis'!$AH$7:$CM$123,
MATCH($A91,'KPI Analysis'!$AH$7:$AH$123,FALSE),
MATCH(P$8,'KPI Analysis'!$AH$7:$CM$7,FALSE)
)="R",
INDEX('KPI Analysis'!$AH$7:$CM$123,
MATCH($A91,'KPI Analysis'!$AH$7:$AH$123,FALSE),
MATCH(P$8,'KPI Analysis'!$AH$7:$CM$7,FALSE)
)="G",
INDEX('KPI Analysis'!$AH$7:$CM$123,
MATCH($A91,'KPI Analysis'!$AH$7:$AH$123,FALSE),
MATCH(P$8,'KPI Analysis'!$AH$7:$CM$7,FALSE)
)="A"),
INDEX('KPI Analysis'!$AH$7:$CM$123,MATCH($A91,'KPI Analysis'!$AH$7:$AH$123,FALSE),MATCH(P$8,'KPI Analysis'!$AH$7:$CM$7,FALSE)),"")</f>
        <v>G</v>
      </c>
      <c r="Q91" s="755">
        <f>INDEX('KPI Analysis'!$EW$7:$HC$123,MATCH($A91,'KPI Analysis'!$EW$7:$EW$123,FALSE),MATCH(P$8,'KPI Analysis'!$EW$7:$HC$7,FALSE))</f>
        <v>1</v>
      </c>
      <c r="R91" s="645" t="str">
        <f>IF(
OR(
INDEX('KPI Analysis'!$AH$7:$CM$123,
MATCH($A91,'KPI Analysis'!$AH$7:$AH$123,FALSE),
MATCH(R$8,'KPI Analysis'!$AH$7:$CM$7,FALSE)
)="R",
INDEX('KPI Analysis'!$AH$7:$CM$123,
MATCH($A91,'KPI Analysis'!$AH$7:$AH$123,FALSE),
MATCH(R$8,'KPI Analysis'!$AH$7:$CM$7,FALSE)
)="G",
INDEX('KPI Analysis'!$AH$7:$CM$123,
MATCH($A91,'KPI Analysis'!$AH$7:$AH$123,FALSE),
MATCH(R$8,'KPI Analysis'!$AH$7:$CM$7,FALSE)
)="A"),
INDEX('KPI Analysis'!$AH$7:$CM$123,MATCH($A91,'KPI Analysis'!$AH$7:$AH$123,FALSE),MATCH(R$8,'KPI Analysis'!$AH$7:$CM$7,FALSE)),"")</f>
        <v/>
      </c>
      <c r="S91" s="819" t="str">
        <f>INDEX('KPI Analysis'!$EW$7:$HC$123,MATCH($A91,'KPI Analysis'!$EW$7:$EW$123,FALSE),MATCH(R$8,'KPI Analysis'!$EW$7:$HC$7,FALSE))</f>
        <v>OD</v>
      </c>
      <c r="T91" s="820" t="str">
        <f>IF(
OR(
INDEX('KPI Analysis'!$AH$7:$CM$123,
MATCH($A91,'KPI Analysis'!$AH$7:$AH$123,FALSE),
MATCH(T$8,'KPI Analysis'!$AH$7:$CM$7,FALSE)
)="R",
INDEX('KPI Analysis'!$AH$7:$CM$123,
MATCH($A91,'KPI Analysis'!$AH$7:$AH$123,FALSE),
MATCH(T$8,'KPI Analysis'!$AH$7:$CM$7,FALSE)
)="G",
INDEX('KPI Analysis'!$AH$7:$CM$123,
MATCH($A91,'KPI Analysis'!$AH$7:$AH$123,FALSE),
MATCH(T$8,'KPI Analysis'!$AH$7:$CM$7,FALSE)
)="A"),
INDEX('KPI Analysis'!$AH$7:$CM$123,MATCH($A91,'KPI Analysis'!$AH$7:$AH$123,FALSE),MATCH(T$8,'KPI Analysis'!$AH$7:$CM$7,FALSE)),"")</f>
        <v/>
      </c>
      <c r="U91" s="565" t="str">
        <f>INDEX('KPI Analysis'!$EW$7:$HC$123,MATCH($A91,'KPI Analysis'!$EW$7:$EW$123,FALSE),MATCH(T$8,'KPI Analysis'!$EW$7:$HC$7,FALSE))</f>
        <v>OD</v>
      </c>
      <c r="V91" s="645" t="str">
        <f>IF(
OR(
INDEX('KPI Analysis'!$AH$7:$CM$123,
MATCH($A91,'KPI Analysis'!$AH$7:$AH$123,FALSE),
MATCH(V$8,'KPI Analysis'!$AH$7:$CM$7,FALSE)
)="R",
INDEX('KPI Analysis'!$AH$7:$CM$123,
MATCH($A91,'KPI Analysis'!$AH$7:$AH$123,FALSE),
MATCH(V$8,'KPI Analysis'!$AH$7:$CM$7,FALSE)
)="G",
INDEX('KPI Analysis'!$AH$7:$CM$123,
MATCH($A91,'KPI Analysis'!$AH$7:$AH$123,FALSE),
MATCH(V$8,'KPI Analysis'!$AH$7:$CM$7,FALSE)
)="A"),
INDEX('KPI Analysis'!$AH$7:$CM$123,MATCH($A91,'KPI Analysis'!$AH$7:$AH$123,FALSE),MATCH(V$8,'KPI Analysis'!$AH$7:$CM$7,FALSE)),"")</f>
        <v/>
      </c>
      <c r="W91" s="821" t="str">
        <f>IF(INDEX('KPI Analysis'!$CO$7:$EU$123,MATCH($A91,'KPI Analysis'!$CO$7:$CO$123,FALSE),MATCH(V$8,'KPI Analysis'!$CO$7:$EU$7,FALSE))="OD","OD",IFERROR(INDEX('KPI Analysis'!$EW$7:$HC$123,MATCH($A91,'KPI Analysis'!$EW$7:$EW$123,FALSE),MATCH(V$8,'KPI Analysis'!$EW$7:$HC$7,FALSE)),"OD"))</f>
        <v>OD</v>
      </c>
      <c r="X91" s="822" t="str">
        <f>IF(
OR(
INDEX('KPI Analysis'!$AH$7:$CM$123,
MATCH($A91,'KPI Analysis'!$AH$7:$AH$123,FALSE),
MATCH(X$8,'KPI Analysis'!$AH$7:$CM$7,FALSE)
)="R",
INDEX('KPI Analysis'!$AH$7:$CM$123,
MATCH($A91,'KPI Analysis'!$AH$7:$AH$123,FALSE),
MATCH(X$8,'KPI Analysis'!$AH$7:$CM$7,FALSE)
)="G",
INDEX('KPI Analysis'!$AH$7:$CM$123,
MATCH($A91,'KPI Analysis'!$AH$7:$AH$123,FALSE),
MATCH(X$8,'KPI Analysis'!$AH$7:$CM$7,FALSE)
)="A"),
INDEX('KPI Analysis'!$AH$7:$CM$123,MATCH($A91,'KPI Analysis'!$AH$7:$AH$123,FALSE),MATCH(X$8,'KPI Analysis'!$AH$7:$CM$7,FALSE)),"")</f>
        <v/>
      </c>
      <c r="Y91" s="821" t="str">
        <f>IF(INDEX('KPI Analysis'!$CO$7:$EU$123,MATCH($A91,'KPI Analysis'!$CO$7:$CO$123,FALSE),MATCH(X$8,'KPI Analysis'!$CO$7:$EU$7,FALSE))="OD","OD",IFERROR(INDEX('KPI Analysis'!$EW$7:$HC$123,MATCH($A91,'KPI Analysis'!$EW$7:$EW$123,FALSE),MATCH(X$8,'KPI Analysis'!$EW$7:$HC$7,FALSE)),"OD"))</f>
        <v>OD</v>
      </c>
      <c r="Z91" s="659" t="s">
        <v>686</v>
      </c>
      <c r="AC91" s="648" t="s">
        <v>638</v>
      </c>
      <c r="AE91" s="885" t="str">
        <f>INDEX('KPI Analysis'!$CO$7:$EU$123,MATCH($A91,'KPI Analysis'!$CO$7:$CO$123,FALSE),MATCH(AH$8-1,'KPI Analysis'!$CO$7:$EU$7,FALSE))</f>
        <v>OD</v>
      </c>
      <c r="AF91" s="886"/>
      <c r="AG91" s="877" t="str">
        <f>INDEX('KPI Analysis'!$CO$7:$EU$123,MATCH($A91,'KPI Analysis'!$CO$7:$CO$123,FALSE),MATCH(AH$8,'KPI Analysis'!$CO$7:$EU$7,FALSE))</f>
        <v>OD</v>
      </c>
      <c r="AH91" s="878"/>
      <c r="AI91" s="879"/>
    </row>
    <row r="92" spans="1:35" ht="15" thickBot="1" x14ac:dyDescent="0.35">
      <c r="A92" t="str">
        <f t="shared" si="0"/>
        <v>Engineering-KPI C1</v>
      </c>
      <c r="B92" s="170" t="str">
        <f>+'KPI Stats'!G77</f>
        <v>Over</v>
      </c>
      <c r="C92" s="149" t="str">
        <f>+'KPI Stats'!C77</f>
        <v>KPI C1</v>
      </c>
      <c r="F92" s="866" t="str">
        <f>+'KPI Stats'!$B$74</f>
        <v>Engineering</v>
      </c>
      <c r="G92" s="869" t="str">
        <f>+'KPI Stats'!$B$68</f>
        <v>Logistics</v>
      </c>
      <c r="H92" s="533" t="s">
        <v>354</v>
      </c>
      <c r="I92" s="398">
        <f>+I89</f>
        <v>9</v>
      </c>
      <c r="J92" s="146" t="str">
        <f>+'KPI Stats'!D77</f>
        <v>Cost</v>
      </c>
      <c r="K92" s="146" t="str">
        <f>+'KPI Stats'!E77</f>
        <v>Department Spend</v>
      </c>
      <c r="L92" s="147" t="str">
        <f>+'KPI Stats'!F77</f>
        <v>£'s</v>
      </c>
      <c r="M92" s="585" t="s">
        <v>247</v>
      </c>
      <c r="P92" s="748" t="str">
        <f>IF(
OR(
INDEX('KPI Analysis'!$AH$7:$CM$123,
MATCH($A92,'KPI Analysis'!$AH$7:$AH$123,FALSE),
MATCH(P$8,'KPI Analysis'!$AH$7:$CM$7,FALSE)
)="R",
INDEX('KPI Analysis'!$AH$7:$CM$123,
MATCH($A92,'KPI Analysis'!$AH$7:$AH$123,FALSE),
MATCH(P$8,'KPI Analysis'!$AH$7:$CM$7,FALSE)
)="G",
INDEX('KPI Analysis'!$AH$7:$CM$123,
MATCH($A92,'KPI Analysis'!$AH$7:$AH$123,FALSE),
MATCH(P$8,'KPI Analysis'!$AH$7:$CM$7,FALSE)
)="A"),
INDEX('KPI Analysis'!$AH$7:$CM$123,MATCH($A92,'KPI Analysis'!$AH$7:$AH$123,FALSE),MATCH(P$8,'KPI Analysis'!$AH$7:$CM$7,FALSE)),"")</f>
        <v/>
      </c>
      <c r="Q92" s="843" t="str">
        <f>INDEX('KPI Analysis'!$EW$7:$HC$123,MATCH($A92,'KPI Analysis'!$EW$7:$EW$123,FALSE),MATCH(P$8,'KPI Analysis'!$EW$7:$HC$7,FALSE))</f>
        <v>OD</v>
      </c>
      <c r="R92" s="844"/>
      <c r="S92" s="844"/>
      <c r="T92" s="844" t="e">
        <f>INDEX('KPI Analysis'!$EW$7:$HC$123,MATCH($A92,'KPI Analysis'!$EW$7:$EW$123,FALSE),MATCH(S$8,'KPI Analysis'!$EW$7:$HC$7,FALSE))</f>
        <v>#N/A</v>
      </c>
      <c r="U92" s="845"/>
      <c r="V92" s="838"/>
      <c r="W92" s="843" t="s">
        <v>194</v>
      </c>
      <c r="X92" s="844" t="e">
        <f>INDEX('KPI Analysis'!$EW$7:$HC$123,MATCH($A92,'KPI Analysis'!$EW$7:$EW$123,FALSE),MATCH(W$8,'KPI Analysis'!$EW$7:$HC$7,FALSE))</f>
        <v>#N/A</v>
      </c>
      <c r="Y92" s="845">
        <f>INDEX('KPI Analysis'!$EW$7:$HC$123,MATCH($A92,'KPI Analysis'!$EW$7:$EW$123,FALSE),MATCH(X$8,'KPI Analysis'!$EW$7:$HC$7,FALSE))</f>
        <v>0</v>
      </c>
      <c r="Z92" s="660" t="s">
        <v>637</v>
      </c>
      <c r="AC92" s="648" t="s">
        <v>638</v>
      </c>
      <c r="AE92" s="880" t="str">
        <f>INDEX('KPI Analysis'!$CO$7:$EU$123,MATCH($A92,'KPI Analysis'!$CO$7:$CO$123,FALSE),MATCH(AH$8-1,'KPI Analysis'!$CO$7:$EU$7,FALSE))</f>
        <v>OD</v>
      </c>
      <c r="AF92" s="881"/>
      <c r="AG92" s="882" t="str">
        <f>INDEX('KPI Analysis'!$CO$7:$EU$123,MATCH($A92,'KPI Analysis'!$CO$7:$CO$123,FALSE),MATCH(AH$8,'KPI Analysis'!$CO$7:$EU$7,FALSE))</f>
        <v>OD</v>
      </c>
      <c r="AH92" s="883"/>
      <c r="AI92" s="884"/>
    </row>
    <row r="93" spans="1:35" x14ac:dyDescent="0.3">
      <c r="F93" s="604" t="s">
        <v>667</v>
      </c>
      <c r="H93"/>
      <c r="P93" s="604"/>
    </row>
    <row r="94" spans="1:35" ht="15" thickBot="1" x14ac:dyDescent="0.35">
      <c r="H94"/>
    </row>
    <row r="95" spans="1:35" x14ac:dyDescent="0.3">
      <c r="A95" t="str">
        <f t="shared" si="0"/>
        <v>Quality Maybole-KPI P1</v>
      </c>
      <c r="B95" s="168" t="str">
        <f>+'KPI Stats'!G84</f>
        <v>Under</v>
      </c>
      <c r="C95" s="141" t="str">
        <f>+'KPI Stats'!C84</f>
        <v>KPI P1</v>
      </c>
      <c r="F95" s="864" t="str">
        <f>+'KPI Stats'!$B$83</f>
        <v>Quality Maybole</v>
      </c>
      <c r="G95" s="867" t="str">
        <f>+'KPI Stats'!$C$83</f>
        <v>Scott McMillan</v>
      </c>
      <c r="H95" s="616" t="s">
        <v>526</v>
      </c>
      <c r="I95" s="466">
        <f>+'KPI Stats'!$F$83</f>
        <v>42</v>
      </c>
      <c r="J95" s="142" t="str">
        <f>+'KPI Stats'!D84</f>
        <v>Productivity</v>
      </c>
      <c r="K95" s="142" t="str">
        <f>+'KPI Stats'!E84</f>
        <v>Quality Internal Audit Plan  (Maybole only)</v>
      </c>
      <c r="L95" s="143" t="str">
        <f>+'KPI Stats'!F84</f>
        <v>Count</v>
      </c>
      <c r="M95" s="135" t="s">
        <v>246</v>
      </c>
      <c r="P95" s="579" t="str">
        <f>IF(INDEX('KPI Analysis'!$AH$7:$CM$123,MATCH($A95,'KPI Analysis'!$AH$7:$AH$123,FALSE),MATCH(P$8,'KPI Analysis'!$AH$7:$CM$7,FALSE))="OD","",INDEX('KPI Analysis'!$AH$7:$CM$123,MATCH($A95,'KPI Analysis'!$AH$7:$AH$123,FALSE),MATCH(P$8,'KPI Analysis'!$AH$7:$CM$7,FALSE)))</f>
        <v>G</v>
      </c>
      <c r="Q95" s="635">
        <f>INDEX('KPI Analysis'!$CO$7:$EU$123,MATCH($A95,'KPI Analysis'!$CO$7:$CO$123,FALSE),MATCH(P$8,'KPI Analysis'!$CO$7:$EU$7,FALSE))</f>
        <v>1</v>
      </c>
      <c r="R95" s="579" t="str">
        <f>IF(INDEX('KPI Analysis'!$AH$7:$CM$123,MATCH($A95,'KPI Analysis'!$AH$7:$AH$123,FALSE),MATCH(R$8,'KPI Analysis'!$AH$7:$CM$7,FALSE))="OD","",INDEX('KPI Analysis'!$AH$7:$CM$123,MATCH($A95,'KPI Analysis'!$AH$7:$AH$123,FALSE),MATCH(R$8,'KPI Analysis'!$AH$7:$CM$7,FALSE)))</f>
        <v>G</v>
      </c>
      <c r="S95" s="635">
        <f>INDEX('KPI Analysis'!$CO$7:$EU$123,MATCH($A95,'KPI Analysis'!$CO$7:$CO$123,FALSE),MATCH(R$8,'KPI Analysis'!$CO$7:$EU$7,FALSE))</f>
        <v>1</v>
      </c>
      <c r="T95" s="579" t="str">
        <f>IF(INDEX('KPI Analysis'!$AH$7:$CM$123,MATCH($A95,'KPI Analysis'!$AH$7:$AH$123,FALSE),MATCH(T$8,'KPI Analysis'!$AH$7:$CM$7,FALSE))="OD","",INDEX('KPI Analysis'!$AH$7:$CM$123,MATCH($A95,'KPI Analysis'!$AH$7:$AH$123,FALSE),MATCH(T$8,'KPI Analysis'!$AH$7:$CM$7,FALSE)))</f>
        <v>G</v>
      </c>
      <c r="U95" s="635">
        <f>INDEX('KPI Analysis'!$CO$7:$EU$123,MATCH($A95,'KPI Analysis'!$CO$7:$CO$123,FALSE),MATCH(T$8,'KPI Analysis'!$CO$7:$EU$7,FALSE))</f>
        <v>1</v>
      </c>
      <c r="V95" s="579" t="str">
        <f>IF(INDEX('KPI Analysis'!$AH$7:$CM$123,MATCH($A95,'KPI Analysis'!$AH$7:$AH$123,FALSE),MATCH(V$8,'KPI Analysis'!$AH$7:$CM$7,FALSE))="OD","",INDEX('KPI Analysis'!$AH$7:$CM$123,MATCH($A95,'KPI Analysis'!$AH$7:$AH$123,FALSE),MATCH(V$8,'KPI Analysis'!$AH$7:$CM$7,FALSE)))</f>
        <v>G</v>
      </c>
      <c r="W95" s="635">
        <f>INDEX('KPI Analysis'!$CO$7:$EU$123,MATCH($A95,'KPI Analysis'!$CO$7:$CO$123,FALSE),MATCH(V$8,'KPI Analysis'!$CO$7:$EU$7,FALSE))</f>
        <v>1</v>
      </c>
      <c r="X95" s="579" t="str">
        <f>IF(INDEX('KPI Analysis'!$AH$7:$CM$123,MATCH($A95,'KPI Analysis'!$AH$7:$AH$123,FALSE),MATCH(X$8,'KPI Analysis'!$AH$7:$CM$7,FALSE))="OD","",INDEX('KPI Analysis'!$AH$7:$CM$123,MATCH($A95,'KPI Analysis'!$AH$7:$AH$123,FALSE),MATCH(X$8,'KPI Analysis'!$AH$7:$CM$7,FALSE)))</f>
        <v>G</v>
      </c>
      <c r="Y95" s="635">
        <f>INDEX('KPI Analysis'!$CO$7:$EU$123,MATCH($A95,'KPI Analysis'!$CO$7:$CO$123,FALSE),MATCH(X$8,'KPI Analysis'!$CO$7:$EU$7,FALSE))</f>
        <v>1</v>
      </c>
      <c r="Z95" s="141" t="s">
        <v>596</v>
      </c>
      <c r="AC95" s="648" t="s">
        <v>639</v>
      </c>
      <c r="AE95" s="327">
        <f>INDEX('KPI Analysis'!$CO$7:$EU$123,MATCH($A95,'KPI Analysis'!$CO$7:$CO$123,FALSE),MATCH(AE$8,'KPI Analysis'!$CO$7:$EU$7,FALSE))</f>
        <v>1</v>
      </c>
      <c r="AF95" s="328">
        <f>INDEX('KPI Analysis'!$CO$7:$EU$123,MATCH($A95,'KPI Analysis'!$CO$7:$CO$123,FALSE),MATCH(AF$8,'KPI Analysis'!$CO$7:$EU$7,FALSE))</f>
        <v>1</v>
      </c>
      <c r="AG95" s="328">
        <f>INDEX('KPI Analysis'!$CO$7:$EU$123,MATCH($A95,'KPI Analysis'!$CO$7:$CO$123,FALSE),MATCH(AG$8,'KPI Analysis'!$CO$7:$EU$7,FALSE))</f>
        <v>1</v>
      </c>
      <c r="AH95" s="328">
        <f>INDEX('KPI Analysis'!$CO$7:$EU$123,MATCH($A95,'KPI Analysis'!$CO$7:$CO$123,FALSE),MATCH(AH$8,'KPI Analysis'!$CO$7:$EU$7,FALSE))</f>
        <v>1</v>
      </c>
      <c r="AI95" s="328">
        <f>INDEX('KPI Analysis'!$CO$7:$EU$123,MATCH($A95,'KPI Analysis'!$CO$7:$CO$123,FALSE),MATCH(AI$8,'KPI Analysis'!$CO$7:$EU$7,FALSE))</f>
        <v>1</v>
      </c>
    </row>
    <row r="96" spans="1:35" x14ac:dyDescent="0.3">
      <c r="A96" t="str">
        <f t="shared" si="0"/>
        <v>Quality Maybole-KPI D1</v>
      </c>
      <c r="B96" s="169" t="str">
        <f>+'KPI Stats'!G85</f>
        <v>Over</v>
      </c>
      <c r="C96" s="148" t="str">
        <f>+'KPI Stats'!C85</f>
        <v>KPI D1</v>
      </c>
      <c r="F96" s="865" t="str">
        <f>+'KPI Stats'!$B$83</f>
        <v>Quality Maybole</v>
      </c>
      <c r="G96" s="868" t="str">
        <f>+'KPI Stats'!$B$83</f>
        <v>Quality Maybole</v>
      </c>
      <c r="H96" s="617" t="s">
        <v>526</v>
      </c>
      <c r="I96" s="465">
        <f>+'KPI Stats'!$F$83</f>
        <v>42</v>
      </c>
      <c r="J96" s="144" t="str">
        <f>+'KPI Stats'!D85</f>
        <v>Delivery</v>
      </c>
      <c r="K96" s="144" t="str">
        <f>+'KPI Stats'!E85</f>
        <v>Quality - Internal Rework orders raised  (Maybole only)</v>
      </c>
      <c r="L96" s="145" t="str">
        <f>+'KPI Stats'!F85</f>
        <v>£'s</v>
      </c>
      <c r="M96" s="137" t="s">
        <v>246</v>
      </c>
      <c r="P96" s="581" t="str">
        <f>IF(INDEX('KPI Analysis'!$AH$7:$CM$123,MATCH($A96,'KPI Analysis'!$AH$7:$AH$123,FALSE),MATCH(P$8,'KPI Analysis'!$AH$7:$CM$7,FALSE))="OD","",INDEX('KPI Analysis'!$AH$7:$CM$123,MATCH($A96,'KPI Analysis'!$AH$7:$AH$123,FALSE),MATCH(P$8,'KPI Analysis'!$AH$7:$CM$7,FALSE)))</f>
        <v>G</v>
      </c>
      <c r="Q96" s="632">
        <f>INDEX('KPI Analysis'!$CO$7:$EU$123,MATCH($A96,'KPI Analysis'!$CO$7:$CO$123,FALSE),MATCH(P$8,'KPI Analysis'!$CO$7:$EU$7,FALSE))</f>
        <v>4.1836734693877551</v>
      </c>
      <c r="R96" s="581" t="str">
        <f>IF(INDEX('KPI Analysis'!$AH$7:$CM$123,MATCH($A96,'KPI Analysis'!$AH$7:$AH$123,FALSE),MATCH(R$8,'KPI Analysis'!$AH$7:$CM$7,FALSE))="OD","",INDEX('KPI Analysis'!$AH$7:$CM$123,MATCH($A96,'KPI Analysis'!$AH$7:$AH$123,FALSE),MATCH(R$8,'KPI Analysis'!$AH$7:$CM$7,FALSE)))</f>
        <v>G</v>
      </c>
      <c r="S96" s="632">
        <f>INDEX('KPI Analysis'!$CO$7:$EU$123,MATCH($A96,'KPI Analysis'!$CO$7:$CO$123,FALSE),MATCH(R$8,'KPI Analysis'!$CO$7:$EU$7,FALSE))</f>
        <v>3.7962962962962963</v>
      </c>
      <c r="T96" s="581" t="str">
        <f>IF(INDEX('KPI Analysis'!$AH$7:$CM$123,MATCH($A96,'KPI Analysis'!$AH$7:$AH$123,FALSE),MATCH(T$8,'KPI Analysis'!$AH$7:$CM$7,FALSE))="OD","",INDEX('KPI Analysis'!$AH$7:$CM$123,MATCH($A96,'KPI Analysis'!$AH$7:$AH$123,FALSE),MATCH(T$8,'KPI Analysis'!$AH$7:$CM$7,FALSE)))</f>
        <v>G</v>
      </c>
      <c r="U96" s="632">
        <f>INDEX('KPI Analysis'!$CO$7:$EU$123,MATCH($A96,'KPI Analysis'!$CO$7:$CO$123,FALSE),MATCH(T$8,'KPI Analysis'!$CO$7:$EU$7,FALSE))</f>
        <v>7.7651515151515156</v>
      </c>
      <c r="V96" s="581" t="str">
        <f>IF(INDEX('KPI Analysis'!$AH$7:$CM$123,MATCH($A96,'KPI Analysis'!$AH$7:$AH$123,FALSE),MATCH(V$8,'KPI Analysis'!$AH$7:$CM$7,FALSE))="OD","",INDEX('KPI Analysis'!$AH$7:$CM$123,MATCH($A96,'KPI Analysis'!$AH$7:$AH$123,FALSE),MATCH(V$8,'KPI Analysis'!$AH$7:$CM$7,FALSE)))</f>
        <v>G</v>
      </c>
      <c r="W96" s="632" t="str">
        <f>INDEX('KPI Analysis'!$CO$7:$EU$123,MATCH($A96,'KPI Analysis'!$CO$7:$CO$123,FALSE),MATCH(V$8,'KPI Analysis'!$CO$7:$EU$7,FALSE))</f>
        <v/>
      </c>
      <c r="X96" s="581" t="str">
        <f>IF(INDEX('KPI Analysis'!$AH$7:$CM$123,MATCH($A96,'KPI Analysis'!$AH$7:$AH$123,FALSE),MATCH(X$8,'KPI Analysis'!$AH$7:$CM$7,FALSE))="OD","",INDEX('KPI Analysis'!$AH$7:$CM$123,MATCH($A96,'KPI Analysis'!$AH$7:$AH$123,FALSE),MATCH(X$8,'KPI Analysis'!$AH$7:$CM$7,FALSE)))</f>
        <v>R</v>
      </c>
      <c r="Y96" s="632">
        <f>INDEX('KPI Analysis'!$CO$7:$EU$123,MATCH($A96,'KPI Analysis'!$CO$7:$CO$123,FALSE),MATCH(X$8,'KPI Analysis'!$CO$7:$EU$7,FALSE))</f>
        <v>0.3203125</v>
      </c>
      <c r="Z96" s="148" t="s">
        <v>640</v>
      </c>
      <c r="AC96" s="648" t="s">
        <v>639</v>
      </c>
      <c r="AE96" s="323">
        <f>INDEX('KPI Analysis'!$CO$7:$EU$123,MATCH($A96,'KPI Analysis'!$CO$7:$CO$123,FALSE),MATCH(AE$8,'KPI Analysis'!$CO$7:$EU$7,FALSE))</f>
        <v>4.1836734693877551</v>
      </c>
      <c r="AF96" s="315">
        <f>INDEX('KPI Analysis'!$CO$7:$EU$123,MATCH($A96,'KPI Analysis'!$CO$7:$CO$123,FALSE),MATCH(AF$8,'KPI Analysis'!$CO$7:$EU$7,FALSE))</f>
        <v>3.7962962962962963</v>
      </c>
      <c r="AG96" s="315">
        <f>INDEX('KPI Analysis'!$CO$7:$EU$123,MATCH($A96,'KPI Analysis'!$CO$7:$CO$123,FALSE),MATCH(AG$8,'KPI Analysis'!$CO$7:$EU$7,FALSE))</f>
        <v>7.7651515151515156</v>
      </c>
      <c r="AH96" s="315" t="str">
        <f>INDEX('KPI Analysis'!$CO$7:$EU$123,MATCH($A96,'KPI Analysis'!$CO$7:$CO$123,FALSE),MATCH(AH$8,'KPI Analysis'!$CO$7:$EU$7,FALSE))</f>
        <v/>
      </c>
      <c r="AI96" s="315">
        <f>INDEX('KPI Analysis'!$CO$7:$EU$123,MATCH($A96,'KPI Analysis'!$CO$7:$CO$123,FALSE),MATCH(AI$8,'KPI Analysis'!$CO$7:$EU$7,FALSE))</f>
        <v>0.3203125</v>
      </c>
    </row>
    <row r="97" spans="1:35" x14ac:dyDescent="0.3">
      <c r="A97" t="str">
        <f t="shared" si="0"/>
        <v>Quality Maybole-KPI Q1</v>
      </c>
      <c r="B97" s="169" t="str">
        <f>+'KPI Stats'!G86</f>
        <v>Over</v>
      </c>
      <c r="C97" s="148" t="str">
        <f>+'KPI Stats'!C86</f>
        <v>KPI Q1</v>
      </c>
      <c r="F97" s="865" t="str">
        <f>+'KPI Stats'!$B$83</f>
        <v>Quality Maybole</v>
      </c>
      <c r="G97" s="868" t="str">
        <f>+'KPI Stats'!$B$83</f>
        <v>Quality Maybole</v>
      </c>
      <c r="H97" s="617" t="s">
        <v>526</v>
      </c>
      <c r="I97" s="465">
        <f>+'KPI Stats'!$F$83</f>
        <v>42</v>
      </c>
      <c r="J97" s="144" t="str">
        <f>+'KPI Stats'!D86</f>
        <v>Quality</v>
      </c>
      <c r="K97" s="144" t="str">
        <f>+'KPI Stats'!E86</f>
        <v>Customer Complaints (Maybole only)</v>
      </c>
      <c r="L97" s="145" t="str">
        <f>+'KPI Stats'!F86</f>
        <v>Count</v>
      </c>
      <c r="M97" s="510" t="s">
        <v>247</v>
      </c>
      <c r="P97" s="581" t="str">
        <f>IF(INDEX('KPI Analysis'!$AH$7:$CM$123,MATCH($A97,'KPI Analysis'!$AH$7:$AH$123,FALSE),MATCH(P$8,'KPI Analysis'!$AH$7:$CM$7,FALSE))="OD","",INDEX('KPI Analysis'!$AH$7:$CM$123,MATCH($A97,'KPI Analysis'!$AH$7:$AH$123,FALSE),MATCH(P$8,'KPI Analysis'!$AH$7:$CM$7,FALSE)))</f>
        <v>G</v>
      </c>
      <c r="Q97" s="567">
        <f>INDEX('KPI Analysis'!$EW$7:$HC$123,MATCH($A97,'KPI Analysis'!$EW$7:$EW$123,FALSE),MATCH(P$8,'KPI Analysis'!$EW$7:$HC$7,FALSE))</f>
        <v>1</v>
      </c>
      <c r="R97" s="581" t="str">
        <f>IF(INDEX('KPI Analysis'!$AH$7:$CM$123,MATCH($A97,'KPI Analysis'!$AH$7:$AH$123,FALSE),MATCH(R$8,'KPI Analysis'!$AH$7:$CM$7,FALSE))="OD","",INDEX('KPI Analysis'!$AH$7:$CM$123,MATCH($A97,'KPI Analysis'!$AH$7:$AH$123,FALSE),MATCH(R$8,'KPI Analysis'!$AH$7:$CM$7,FALSE)))</f>
        <v>G</v>
      </c>
      <c r="S97" s="567">
        <f>IF(INDEX('KPI Analysis'!$CO$7:$EU$123,MATCH($A97,'KPI Analysis'!$CO$7:$CO$123,FALSE),MATCH(R$8,'KPI Analysis'!$CO$7:$EU$7,FALSE))="OD","OD",INDEX('KPI Analysis'!$EW$7:$HC$123,MATCH($A97,'KPI Analysis'!$EW$7:$EW$123,FALSE),MATCH(R$8,'KPI Analysis'!$EW$7:$HC$7,FALSE)))</f>
        <v>0</v>
      </c>
      <c r="T97" s="581" t="str">
        <f>IF(INDEX('KPI Analysis'!$AH$7:$CM$123,MATCH($A97,'KPI Analysis'!$AH$7:$AH$123,FALSE),MATCH(T$8,'KPI Analysis'!$AH$7:$CM$7,FALSE))="OD","",INDEX('KPI Analysis'!$AH$7:$CM$123,MATCH($A97,'KPI Analysis'!$AH$7:$AH$123,FALSE),MATCH(T$8,'KPI Analysis'!$AH$7:$CM$7,FALSE)))</f>
        <v>G</v>
      </c>
      <c r="U97" s="567">
        <f>IF(INDEX('KPI Analysis'!$CO$7:$EU$123,MATCH($A97,'KPI Analysis'!$CO$7:$CO$123,FALSE),MATCH(T$8,'KPI Analysis'!$CO$7:$EU$7,FALSE))="OD","OD",INDEX('KPI Analysis'!$EW$7:$HC$123,MATCH($A97,'KPI Analysis'!$EW$7:$EW$123,FALSE),MATCH(T$8,'KPI Analysis'!$EW$7:$HC$7,FALSE)))</f>
        <v>0</v>
      </c>
      <c r="V97" s="581" t="str">
        <f>IF(INDEX('KPI Analysis'!$AH$7:$CM$123,MATCH($A97,'KPI Analysis'!$AH$7:$AH$123,FALSE),MATCH(V$8,'KPI Analysis'!$AH$7:$CM$7,FALSE))="OD","",INDEX('KPI Analysis'!$AH$7:$CM$123,MATCH($A97,'KPI Analysis'!$AH$7:$AH$123,FALSE),MATCH(V$8,'KPI Analysis'!$AH$7:$CM$7,FALSE)))</f>
        <v>G</v>
      </c>
      <c r="W97" s="567">
        <f>IF(INDEX('KPI Analysis'!$CO$7:$EU$123,MATCH($A97,'KPI Analysis'!$CO$7:$CO$123,FALSE),MATCH(V$8,'KPI Analysis'!$CO$7:$EU$7,FALSE))="OD","OD",INDEX('KPI Analysis'!$EW$7:$HC$123,MATCH($A97,'KPI Analysis'!$EW$7:$EW$123,FALSE),MATCH(V$8,'KPI Analysis'!$EW$7:$HC$7,FALSE)))</f>
        <v>0</v>
      </c>
      <c r="X97" s="581" t="str">
        <f>IF(INDEX('KPI Analysis'!$AH$7:$CM$123,MATCH($A97,'KPI Analysis'!$AH$7:$AH$123,FALSE),MATCH(X$8,'KPI Analysis'!$AH$7:$CM$7,FALSE))="OD","",INDEX('KPI Analysis'!$AH$7:$CM$123,MATCH($A97,'KPI Analysis'!$AH$7:$AH$123,FALSE),MATCH(X$8,'KPI Analysis'!$AH$7:$CM$7,FALSE)))</f>
        <v>G</v>
      </c>
      <c r="Y97" s="567">
        <f>IF(INDEX('KPI Analysis'!$CO$7:$EU$123,MATCH($A97,'KPI Analysis'!$CO$7:$CO$123,FALSE),MATCH(X$8,'KPI Analysis'!$CO$7:$EU$7,FALSE))="OD","OD",INDEX('KPI Analysis'!$EW$7:$HC$123,MATCH($A97,'KPI Analysis'!$EW$7:$EW$123,FALSE),MATCH(X$8,'KPI Analysis'!$EW$7:$HC$7,FALSE)))</f>
        <v>0</v>
      </c>
      <c r="Z97" s="148" t="s">
        <v>614</v>
      </c>
      <c r="AC97" s="648" t="s">
        <v>638</v>
      </c>
      <c r="AE97" s="323">
        <f>INDEX('KPI Analysis'!$CO$7:$EU$123,MATCH($A97,'KPI Analysis'!$CO$7:$CO$123,FALSE),MATCH(AE$8,'KPI Analysis'!$CO$7:$EU$7,FALSE))</f>
        <v>1</v>
      </c>
      <c r="AF97" s="315">
        <f>INDEX('KPI Analysis'!$CO$7:$EU$123,MATCH($A97,'KPI Analysis'!$CO$7:$CO$123,FALSE),MATCH(AF$8,'KPI Analysis'!$CO$7:$EU$7,FALSE))</f>
        <v>1</v>
      </c>
      <c r="AG97" s="315">
        <f>INDEX('KPI Analysis'!$CO$7:$EU$123,MATCH($A97,'KPI Analysis'!$CO$7:$CO$123,FALSE),MATCH(AG$8,'KPI Analysis'!$CO$7:$EU$7,FALSE))</f>
        <v>1</v>
      </c>
      <c r="AH97" s="315">
        <f>INDEX('KPI Analysis'!$CO$7:$EU$123,MATCH($A97,'KPI Analysis'!$CO$7:$CO$123,FALSE),MATCH(AH$8,'KPI Analysis'!$CO$7:$EU$7,FALSE))</f>
        <v>1</v>
      </c>
      <c r="AI97" s="315">
        <f>INDEX('KPI Analysis'!$CO$7:$EU$123,MATCH($A97,'KPI Analysis'!$CO$7:$CO$123,FALSE),MATCH(AI$8,'KPI Analysis'!$CO$7:$EU$7,FALSE))</f>
        <v>1</v>
      </c>
    </row>
    <row r="98" spans="1:35" ht="15" thickBot="1" x14ac:dyDescent="0.35">
      <c r="A98" t="str">
        <f t="shared" si="0"/>
        <v>Quality Maybole-KPI C1</v>
      </c>
      <c r="B98" s="170" t="str">
        <f>+'KPI Stats'!G87</f>
        <v>Over</v>
      </c>
      <c r="C98" s="149" t="str">
        <f>+'KPI Stats'!C87</f>
        <v>KPI C1</v>
      </c>
      <c r="F98" s="866" t="str">
        <f>+'KPI Stats'!$B$83</f>
        <v>Quality Maybole</v>
      </c>
      <c r="G98" s="869" t="str">
        <f>+'KPI Stats'!$B$83</f>
        <v>Quality Maybole</v>
      </c>
      <c r="H98" s="296" t="s">
        <v>526</v>
      </c>
      <c r="I98" s="398">
        <f>+'KPI Stats'!$F$83</f>
        <v>42</v>
      </c>
      <c r="J98" s="146" t="str">
        <f>+'KPI Stats'!D87</f>
        <v>Cost</v>
      </c>
      <c r="K98" s="146" t="str">
        <f>+'KPI Stats'!E87</f>
        <v>Cost of Quality - (Maybole only)</v>
      </c>
      <c r="L98" s="147" t="str">
        <f>+'KPI Stats'!F87</f>
        <v>£'s</v>
      </c>
      <c r="M98" s="585" t="s">
        <v>247</v>
      </c>
      <c r="P98" s="578" t="str">
        <f>IF(
OR(
INDEX('KPI Analysis'!$AH$7:$CM$123,
MATCH($A98,'KPI Analysis'!$AH$7:$AH$123,FALSE),
MATCH(P$8,'KPI Analysis'!$AH$7:$CM$7,FALSE)
)="R",
INDEX('KPI Analysis'!$AH$7:$CM$123,
MATCH($A98,'KPI Analysis'!$AH$7:$AH$123,FALSE),
MATCH(P$8,'KPI Analysis'!$AH$7:$CM$7,FALSE)
)="G",
INDEX('KPI Analysis'!$AH$7:$CM$123,
MATCH($A98,'KPI Analysis'!$AH$7:$AH$123,FALSE),
MATCH(P$8,'KPI Analysis'!$AH$7:$CM$7,FALSE)
)="A"),
INDEX('KPI Analysis'!$AH$7:$CM$123,MATCH($A98,'KPI Analysis'!$AH$7:$AH$123,FALSE),MATCH(P$8,'KPI Analysis'!$AH$7:$CM$7,FALSE)),"")</f>
        <v>G</v>
      </c>
      <c r="Q98" s="640">
        <f>INDEX('KPI Analysis'!$EW$7:$HC$123,MATCH($A98,'KPI Analysis'!$EW$7:$EW$123,FALSE),MATCH(P$8,'KPI Analysis'!$EW$7:$HC$7,FALSE))</f>
        <v>0</v>
      </c>
      <c r="R98" s="578" t="str">
        <f>IF(
OR(
INDEX('KPI Analysis'!$AH$7:$CM$123,
MATCH($A98,'KPI Analysis'!$AH$7:$AH$123,FALSE),
MATCH(R$8,'KPI Analysis'!$AH$7:$CM$7,FALSE)
)="R",
INDEX('KPI Analysis'!$AH$7:$CM$123,
MATCH($A98,'KPI Analysis'!$AH$7:$AH$123,FALSE),
MATCH(R$8,'KPI Analysis'!$AH$7:$CM$7,FALSE)
)="G",
INDEX('KPI Analysis'!$AH$7:$CM$123,
MATCH($A98,'KPI Analysis'!$AH$7:$AH$123,FALSE),
MATCH(R$8,'KPI Analysis'!$AH$7:$CM$7,FALSE)
)="A"),
INDEX('KPI Analysis'!$AH$7:$CM$123,MATCH($A98,'KPI Analysis'!$AH$7:$AH$123,FALSE),MATCH(R$8,'KPI Analysis'!$AH$7:$CM$7,FALSE)),"")</f>
        <v>G</v>
      </c>
      <c r="S98" s="640">
        <f>IF(INDEX('KPI Analysis'!$CO$7:$EU$123,MATCH($A98,'KPI Analysis'!$CO$7:$CO$123,FALSE),MATCH(R$8,'KPI Analysis'!$CO$7:$EU$7,FALSE))="OD","OD",INDEX('KPI Analysis'!$EW$7:$HC$123,MATCH($A98,'KPI Analysis'!$EW$7:$EW$123,FALSE),MATCH(R$8,'KPI Analysis'!$EW$7:$HC$7,FALSE)))</f>
        <v>0</v>
      </c>
      <c r="T98" s="578" t="str">
        <f>IF(
OR(
INDEX('KPI Analysis'!$AH$7:$CM$123,
MATCH($A98,'KPI Analysis'!$AH$7:$AH$123,FALSE),
MATCH(T$8,'KPI Analysis'!$AH$7:$CM$7,FALSE)
)="R",
INDEX('KPI Analysis'!$AH$7:$CM$123,
MATCH($A98,'KPI Analysis'!$AH$7:$AH$123,FALSE),
MATCH(T$8,'KPI Analysis'!$AH$7:$CM$7,FALSE)
)="G",
INDEX('KPI Analysis'!$AH$7:$CM$123,
MATCH($A98,'KPI Analysis'!$AH$7:$AH$123,FALSE),
MATCH(T$8,'KPI Analysis'!$AH$7:$CM$7,FALSE)
)="A"),
INDEX('KPI Analysis'!$AH$7:$CM$123,MATCH($A98,'KPI Analysis'!$AH$7:$AH$123,FALSE),MATCH(T$8,'KPI Analysis'!$AH$7:$CM$7,FALSE)),"")</f>
        <v>R</v>
      </c>
      <c r="U98" s="640">
        <f>IF(INDEX('KPI Analysis'!$CO$7:$EU$123,MATCH($A98,'KPI Analysis'!$CO$7:$CO$123,FALSE),MATCH(T$8,'KPI Analysis'!$CO$7:$EU$7,FALSE))="OD","OD",INDEX('KPI Analysis'!$EW$7:$HC$123,MATCH($A98,'KPI Analysis'!$EW$7:$EW$123,FALSE),MATCH(T$8,'KPI Analysis'!$EW$7:$HC$7,FALSE)))</f>
        <v>5100</v>
      </c>
      <c r="V98" s="578" t="str">
        <f>IF(
OR(
INDEX('KPI Analysis'!$AH$7:$CM$123,
MATCH($A98,'KPI Analysis'!$AH$7:$AH$123,FALSE),
MATCH(V$8,'KPI Analysis'!$AH$7:$CM$7,FALSE)
)="R",
INDEX('KPI Analysis'!$AH$7:$CM$123,
MATCH($A98,'KPI Analysis'!$AH$7:$AH$123,FALSE),
MATCH(V$8,'KPI Analysis'!$AH$7:$CM$7,FALSE)
)="G",
INDEX('KPI Analysis'!$AH$7:$CM$123,
MATCH($A98,'KPI Analysis'!$AH$7:$AH$123,FALSE),
MATCH(V$8,'KPI Analysis'!$AH$7:$CM$7,FALSE)
)="A"),
INDEX('KPI Analysis'!$AH$7:$CM$123,MATCH($A98,'KPI Analysis'!$AH$7:$AH$123,FALSE),MATCH(V$8,'KPI Analysis'!$AH$7:$CM$7,FALSE)),"")</f>
        <v>G</v>
      </c>
      <c r="W98" s="640">
        <f>IF(INDEX('KPI Analysis'!$CO$7:$EU$123,MATCH($A98,'KPI Analysis'!$CO$7:$CO$123,FALSE),MATCH(V$8,'KPI Analysis'!$CO$7:$EU$7,FALSE))="OD","OD",INDEX('KPI Analysis'!$EW$7:$HC$123,MATCH($A98,'KPI Analysis'!$EW$7:$EW$123,FALSE),MATCH(V$8,'KPI Analysis'!$EW$7:$HC$7,FALSE)))</f>
        <v>0</v>
      </c>
      <c r="X98" s="578" t="str">
        <f>IF(
OR(
INDEX('KPI Analysis'!$AH$7:$CM$123,
MATCH($A98,'KPI Analysis'!$AH$7:$AH$123,FALSE),
MATCH(X$8,'KPI Analysis'!$AH$7:$CM$7,FALSE)
)="R",
INDEX('KPI Analysis'!$AH$7:$CM$123,
MATCH($A98,'KPI Analysis'!$AH$7:$AH$123,FALSE),
MATCH(X$8,'KPI Analysis'!$AH$7:$CM$7,FALSE)
)="G",
INDEX('KPI Analysis'!$AH$7:$CM$123,
MATCH($A98,'KPI Analysis'!$AH$7:$AH$123,FALSE),
MATCH(X$8,'KPI Analysis'!$AH$7:$CM$7,FALSE)
)="A"),
INDEX('KPI Analysis'!$AH$7:$CM$123,MATCH($A98,'KPI Analysis'!$AH$7:$AH$123,FALSE),MATCH(X$8,'KPI Analysis'!$AH$7:$CM$7,FALSE)),"")</f>
        <v>G</v>
      </c>
      <c r="Y98" s="641">
        <f>IF(INDEX('KPI Analysis'!$CO$7:$EU$123,MATCH($A98,'KPI Analysis'!$CO$7:$CO$123,FALSE),MATCH(X$8,'KPI Analysis'!$CO$7:$EU$7,FALSE))="OD","OD",INDEX('KPI Analysis'!$EW$7:$HC$123,MATCH($A98,'KPI Analysis'!$EW$7:$EW$123,FALSE),MATCH(X$8,'KPI Analysis'!$EW$7:$HC$7,FALSE)))</f>
        <v>0</v>
      </c>
      <c r="Z98" s="149" t="s">
        <v>630</v>
      </c>
      <c r="AC98" s="648" t="s">
        <v>638</v>
      </c>
      <c r="AE98" s="324" t="str">
        <f>INDEX('KPI Analysis'!$CO$7:$EU$123,MATCH($A98,'KPI Analysis'!$CO$7:$CO$123,FALSE),MATCH(AE$8,'KPI Analysis'!$CO$7:$EU$7,FALSE))</f>
        <v>100%</v>
      </c>
      <c r="AF98" s="325" t="str">
        <f>INDEX('KPI Analysis'!$CO$7:$EU$123,MATCH($A98,'KPI Analysis'!$CO$7:$CO$123,FALSE),MATCH(AF$8,'KPI Analysis'!$CO$7:$EU$7,FALSE))</f>
        <v>100%</v>
      </c>
      <c r="AG98" s="325">
        <f>INDEX('KPI Analysis'!$CO$7:$EU$123,MATCH($A98,'KPI Analysis'!$CO$7:$CO$123,FALSE),MATCH(AG$8,'KPI Analysis'!$CO$7:$EU$7,FALSE))</f>
        <v>0.12823529411764706</v>
      </c>
      <c r="AH98" s="325" t="str">
        <f>INDEX('KPI Analysis'!$CO$7:$EU$123,MATCH($A98,'KPI Analysis'!$CO$7:$CO$123,FALSE),MATCH(AH$8,'KPI Analysis'!$CO$7:$EU$7,FALSE))</f>
        <v>100%</v>
      </c>
      <c r="AI98" s="325" t="str">
        <f>INDEX('KPI Analysis'!$CO$7:$EU$123,MATCH($A98,'KPI Analysis'!$CO$7:$CO$123,FALSE),MATCH(AI$8,'KPI Analysis'!$CO$7:$EU$7,FALSE))</f>
        <v>100%</v>
      </c>
    </row>
    <row r="99" spans="1:35" x14ac:dyDescent="0.3">
      <c r="H99"/>
      <c r="P99" s="604" t="s">
        <v>621</v>
      </c>
    </row>
    <row r="100" spans="1:35" ht="15" thickBot="1" x14ac:dyDescent="0.35">
      <c r="H100"/>
    </row>
    <row r="101" spans="1:35" ht="14.4" customHeight="1" x14ac:dyDescent="0.3">
      <c r="A101" t="str">
        <f t="shared" si="0"/>
        <v>Procurement-KPI P1</v>
      </c>
      <c r="B101" s="168" t="str">
        <f>+'KPI Stats'!G90</f>
        <v>Under</v>
      </c>
      <c r="C101" s="141" t="str">
        <f>+'KPI Stats'!C90</f>
        <v>KPI P1</v>
      </c>
      <c r="F101" s="864" t="str">
        <f>+'KPI Stats'!$B$89</f>
        <v>Procurement</v>
      </c>
      <c r="G101" s="867" t="str">
        <f>+'KPI Stats'!$C$89</f>
        <v>Matt Pope</v>
      </c>
      <c r="H101" s="616" t="s">
        <v>526</v>
      </c>
      <c r="I101" s="466">
        <f>+'KPI Stats'!$F$89</f>
        <v>42</v>
      </c>
      <c r="J101" s="142" t="str">
        <f>+'KPI Stats'!D90</f>
        <v>Productivity</v>
      </c>
      <c r="K101" s="142" t="str">
        <f>+'KPI Stats'!E90</f>
        <v>Raw Material Inventory Value Stock Turn</v>
      </c>
      <c r="L101" s="143" t="str">
        <f>+'KPI Stats'!F90</f>
        <v>Stock Turns</v>
      </c>
      <c r="M101" s="511" t="s">
        <v>247</v>
      </c>
      <c r="P101" s="642" t="str">
        <f>IF(
OR(
INDEX('KPI Analysis'!$AH$7:$CM$123,
MATCH($A101,'KPI Analysis'!$AH$7:$AH$123,FALSE),
MATCH(P$8,'KPI Analysis'!$AH$7:$CM$7,FALSE)
)="R",
INDEX('KPI Analysis'!$AH$7:$CM$123,
MATCH($A101,'KPI Analysis'!$AH$7:$AH$123,FALSE),
MATCH(P$8,'KPI Analysis'!$AH$7:$CM$7,FALSE)
)="G",
INDEX('KPI Analysis'!$AH$7:$CM$123,
MATCH($A101,'KPI Analysis'!$AH$7:$AH$123,FALSE),
MATCH(P$8,'KPI Analysis'!$AH$7:$CM$7,FALSE)
)="A"),
INDEX('KPI Analysis'!$AH$7:$CM$123,MATCH($A101,'KPI Analysis'!$AH$7:$AH$123,FALSE),MATCH(P$8,'KPI Analysis'!$AH$7:$CM$7,FALSE)),"")</f>
        <v>R</v>
      </c>
      <c r="Q101" s="643">
        <f>INDEX('KPI Analysis'!$EW$7:$HC$123,MATCH($A101,'KPI Analysis'!$EW$7:$EW$123,FALSE),MATCH(P$8,'KPI Analysis'!$EW$7:$HC$7,FALSE))</f>
        <v>3.7</v>
      </c>
      <c r="R101" s="642" t="str">
        <f>IF(
OR(
INDEX('KPI Analysis'!$AH$7:$CM$123,
MATCH($A101,'KPI Analysis'!$AH$7:$AH$123,FALSE),
MATCH(R$8,'KPI Analysis'!$AH$7:$CM$7,FALSE)
)="R",
INDEX('KPI Analysis'!$AH$7:$CM$123,
MATCH($A101,'KPI Analysis'!$AH$7:$AH$123,FALSE),
MATCH(R$8,'KPI Analysis'!$AH$7:$CM$7,FALSE)
)="G",
INDEX('KPI Analysis'!$AH$7:$CM$123,
MATCH($A101,'KPI Analysis'!$AH$7:$AH$123,FALSE),
MATCH(R$8,'KPI Analysis'!$AH$7:$CM$7,FALSE)
)="A"),
INDEX('KPI Analysis'!$AH$7:$CM$123,MATCH($A101,'KPI Analysis'!$AH$7:$AH$123,FALSE),MATCH(R$8,'KPI Analysis'!$AH$7:$CM$7,FALSE)),"")</f>
        <v>R</v>
      </c>
      <c r="S101" s="643">
        <f>INDEX('KPI Analysis'!$EW$7:$HC$123,MATCH($A101,'KPI Analysis'!$EW$7:$EW$123,FALSE),MATCH(R$8,'KPI Analysis'!$EW$7:$HC$7,FALSE))</f>
        <v>3.7</v>
      </c>
      <c r="T101" s="642" t="str">
        <f>IF(
OR(
INDEX('KPI Analysis'!$AH$7:$CM$123,
MATCH($A101,'KPI Analysis'!$AH$7:$AH$123,FALSE),
MATCH(T$8,'KPI Analysis'!$AH$7:$CM$7,FALSE)
)="R",
INDEX('KPI Analysis'!$AH$7:$CM$123,
MATCH($A101,'KPI Analysis'!$AH$7:$AH$123,FALSE),
MATCH(T$8,'KPI Analysis'!$AH$7:$CM$7,FALSE)
)="G",
INDEX('KPI Analysis'!$AH$7:$CM$123,
MATCH($A101,'KPI Analysis'!$AH$7:$AH$123,FALSE),
MATCH(T$8,'KPI Analysis'!$AH$7:$CM$7,FALSE)
)="A"),
INDEX('KPI Analysis'!$AH$7:$CM$123,MATCH($A101,'KPI Analysis'!$AH$7:$AH$123,FALSE),MATCH(T$8,'KPI Analysis'!$AH$7:$CM$7,FALSE)),"")</f>
        <v>R</v>
      </c>
      <c r="U101" s="643">
        <f>INDEX('KPI Analysis'!$EW$7:$HC$123,MATCH($A101,'KPI Analysis'!$EW$7:$EW$123,FALSE),MATCH(T$8,'KPI Analysis'!$EW$7:$HC$7,FALSE))</f>
        <v>3.7</v>
      </c>
      <c r="V101" s="642" t="str">
        <f>IF(
OR(
INDEX('KPI Analysis'!$AH$7:$CM$123,
MATCH($A101,'KPI Analysis'!$AH$7:$AH$123,FALSE),
MATCH(V$8,'KPI Analysis'!$AH$7:$CM$7,FALSE)
)="R",
INDEX('KPI Analysis'!$AH$7:$CM$123,
MATCH($A101,'KPI Analysis'!$AH$7:$AH$123,FALSE),
MATCH(V$8,'KPI Analysis'!$AH$7:$CM$7,FALSE)
)="G",
INDEX('KPI Analysis'!$AH$7:$CM$123,
MATCH($A101,'KPI Analysis'!$AH$7:$AH$123,FALSE),
MATCH(V$8,'KPI Analysis'!$AH$7:$CM$7,FALSE)
)="A"),
INDEX('KPI Analysis'!$AH$7:$CM$123,MATCH($A101,'KPI Analysis'!$AH$7:$AH$123,FALSE),MATCH(V$8,'KPI Analysis'!$AH$7:$CM$7,FALSE)),"")</f>
        <v>R</v>
      </c>
      <c r="W101" s="643">
        <f>INDEX('KPI Analysis'!$EW$7:$HC$123,MATCH($A101,'KPI Analysis'!$EW$7:$EW$123,FALSE),MATCH(V$8,'KPI Analysis'!$EW$7:$HC$7,FALSE))</f>
        <v>3.7</v>
      </c>
      <c r="X101" s="642" t="str">
        <f>IF(
OR(
INDEX('KPI Analysis'!$AH$7:$CM$123,
MATCH($A101,'KPI Analysis'!$AH$7:$AH$123,FALSE),
MATCH(X$8,'KPI Analysis'!$AH$7:$CM$7,FALSE)
)="R",
INDEX('KPI Analysis'!$AH$7:$CM$123,
MATCH($A101,'KPI Analysis'!$AH$7:$AH$123,FALSE),
MATCH(X$8,'KPI Analysis'!$AH$7:$CM$7,FALSE)
)="G",
INDEX('KPI Analysis'!$AH$7:$CM$123,
MATCH($A101,'KPI Analysis'!$AH$7:$AH$123,FALSE),
MATCH(X$8,'KPI Analysis'!$AH$7:$CM$7,FALSE)
)="A"),
INDEX('KPI Analysis'!$AH$7:$CM$123,MATCH($A101,'KPI Analysis'!$AH$7:$AH$123,FALSE),MATCH(X$8,'KPI Analysis'!$AH$7:$CM$7,FALSE)),"")</f>
        <v>R</v>
      </c>
      <c r="Y101" s="643">
        <f>IF(INDEX('KPI Analysis'!$CO$7:$EU$123,MATCH($A101,'KPI Analysis'!$CO$7:$CO$123,FALSE),MATCH(X$8,'KPI Analysis'!$CO$7:$EU$7,FALSE))="OD","OD",INDEX('KPI Analysis'!$EW$7:$HC$123,MATCH($A101,'KPI Analysis'!$EW$7:$EW$123,FALSE),MATCH(X$8,'KPI Analysis'!$EW$7:$HC$7,FALSE)))</f>
        <v>3.7</v>
      </c>
      <c r="Z101" s="615" t="s">
        <v>618</v>
      </c>
      <c r="AC101" s="648" t="s">
        <v>638</v>
      </c>
      <c r="AE101" s="536">
        <f>INDEX('KPI Analysis'!$CO$7:$EU$123,MATCH($A101,'KPI Analysis'!$CO$7:$CO$123,FALSE),MATCH(AE$8,'KPI Analysis'!$CO$7:$EU$7,FALSE))</f>
        <v>0.92500000000000004</v>
      </c>
      <c r="AF101" s="537">
        <f>INDEX('KPI Analysis'!$CO$7:$EU$123,MATCH($A101,'KPI Analysis'!$CO$7:$CO$123,FALSE),MATCH(AF$8,'KPI Analysis'!$CO$7:$EU$7,FALSE))</f>
        <v>0.92500000000000004</v>
      </c>
      <c r="AG101" s="537">
        <f>INDEX('KPI Analysis'!$CO$7:$EU$123,MATCH($A101,'KPI Analysis'!$CO$7:$CO$123,FALSE),MATCH(AG$8,'KPI Analysis'!$CO$7:$EU$7,FALSE))</f>
        <v>0.92500000000000004</v>
      </c>
      <c r="AH101" s="537">
        <f>INDEX('KPI Analysis'!$CO$7:$EU$123,MATCH($A101,'KPI Analysis'!$CO$7:$CO$123,FALSE),MATCH(AH$8,'KPI Analysis'!$CO$7:$EU$7,FALSE))</f>
        <v>0.92500000000000004</v>
      </c>
      <c r="AI101" s="537">
        <f>INDEX('KPI Analysis'!$CO$7:$EU$123,MATCH($A101,'KPI Analysis'!$CO$7:$CO$123,FALSE),MATCH(AI$8,'KPI Analysis'!$CO$7:$EU$7,FALSE))</f>
        <v>0.92500000000000004</v>
      </c>
    </row>
    <row r="102" spans="1:35" x14ac:dyDescent="0.3">
      <c r="A102" t="str">
        <f t="shared" si="0"/>
        <v>Procurement-KPI D1</v>
      </c>
      <c r="B102" s="169" t="str">
        <f>+'KPI Stats'!G91</f>
        <v>Under</v>
      </c>
      <c r="C102" s="148" t="str">
        <f>+'KPI Stats'!C91</f>
        <v>KPI D1</v>
      </c>
      <c r="F102" s="865" t="str">
        <f>+'KPI Stats'!$B$89</f>
        <v>Procurement</v>
      </c>
      <c r="G102" s="868" t="str">
        <f>+'KPI Stats'!$B$89</f>
        <v>Procurement</v>
      </c>
      <c r="H102" s="617" t="s">
        <v>526</v>
      </c>
      <c r="I102" s="465">
        <f>+'KPI Stats'!$F$89</f>
        <v>42</v>
      </c>
      <c r="J102" s="144" t="str">
        <f>+'KPI Stats'!D91</f>
        <v>Delivery</v>
      </c>
      <c r="K102" s="144" t="str">
        <f>+'KPI Stats'!E91</f>
        <v>Supplier Delivery Performance - on time and full into SAS</v>
      </c>
      <c r="L102" s="145" t="str">
        <f>+'KPI Stats'!F91</f>
        <v>Percentage</v>
      </c>
      <c r="M102" s="510" t="s">
        <v>247</v>
      </c>
      <c r="P102" s="644" t="str">
        <f>IF(
OR(
INDEX('KPI Analysis'!$AH$7:$CM$123,
MATCH($A102,'KPI Analysis'!$AH$7:$AH$123,FALSE),
MATCH(P$8,'KPI Analysis'!$AH$7:$CM$7,FALSE)
)="R",
INDEX('KPI Analysis'!$AH$7:$CM$123,
MATCH($A102,'KPI Analysis'!$AH$7:$AH$123,FALSE),
MATCH(P$8,'KPI Analysis'!$AH$7:$CM$7,FALSE)
)="G",
INDEX('KPI Analysis'!$AH$7:$CM$123,
MATCH($A102,'KPI Analysis'!$AH$7:$AH$123,FALSE),
MATCH(P$8,'KPI Analysis'!$AH$7:$CM$7,FALSE)
)="A"),
INDEX('KPI Analysis'!$AH$7:$CM$123,MATCH($A102,'KPI Analysis'!$AH$7:$AH$123,FALSE),MATCH(P$8,'KPI Analysis'!$AH$7:$CM$7,FALSE)),"")</f>
        <v>A</v>
      </c>
      <c r="Q102" s="563">
        <f>INDEX('KPI Analysis'!$EW$7:$HC$123,MATCH($A102,'KPI Analysis'!$EW$7:$EW$123,FALSE),MATCH(P$8,'KPI Analysis'!$EW$7:$HC$7,FALSE))/100</f>
        <v>0.93799999999999994</v>
      </c>
      <c r="R102" s="644" t="str">
        <f>IF(
OR(
INDEX('KPI Analysis'!$AH$7:$CM$123,
MATCH($A102,'KPI Analysis'!$AH$7:$AH$123,FALSE),
MATCH(R$8,'KPI Analysis'!$AH$7:$CM$7,FALSE)
)="R",
INDEX('KPI Analysis'!$AH$7:$CM$123,
MATCH($A102,'KPI Analysis'!$AH$7:$AH$123,FALSE),
MATCH(R$8,'KPI Analysis'!$AH$7:$CM$7,FALSE)
)="G",
INDEX('KPI Analysis'!$AH$7:$CM$123,
MATCH($A102,'KPI Analysis'!$AH$7:$AH$123,FALSE),
MATCH(R$8,'KPI Analysis'!$AH$7:$CM$7,FALSE)
)="A"),
INDEX('KPI Analysis'!$AH$7:$CM$123,MATCH($A102,'KPI Analysis'!$AH$7:$AH$123,FALSE),MATCH(R$8,'KPI Analysis'!$AH$7:$CM$7,FALSE)),"")</f>
        <v>A</v>
      </c>
      <c r="S102" s="563">
        <f>INDEX('KPI Analysis'!$EW$7:$HC$123,MATCH($A102,'KPI Analysis'!$EW$7:$EW$123,FALSE),MATCH(R$8,'KPI Analysis'!$EW$7:$HC$7,FALSE))/100</f>
        <v>0.93799999999999994</v>
      </c>
      <c r="T102" s="644" t="str">
        <f>IF(
OR(
INDEX('KPI Analysis'!$AH$7:$CM$123,
MATCH($A102,'KPI Analysis'!$AH$7:$AH$123,FALSE),
MATCH(T$8,'KPI Analysis'!$AH$7:$CM$7,FALSE)
)="R",
INDEX('KPI Analysis'!$AH$7:$CM$123,
MATCH($A102,'KPI Analysis'!$AH$7:$AH$123,FALSE),
MATCH(T$8,'KPI Analysis'!$AH$7:$CM$7,FALSE)
)="G",
INDEX('KPI Analysis'!$AH$7:$CM$123,
MATCH($A102,'KPI Analysis'!$AH$7:$AH$123,FALSE),
MATCH(T$8,'KPI Analysis'!$AH$7:$CM$7,FALSE)
)="A"),
INDEX('KPI Analysis'!$AH$7:$CM$123,MATCH($A102,'KPI Analysis'!$AH$7:$AH$123,FALSE),MATCH(T$8,'KPI Analysis'!$AH$7:$CM$7,FALSE)),"")</f>
        <v>A</v>
      </c>
      <c r="U102" s="563">
        <f>INDEX('KPI Analysis'!$EW$7:$HC$123,MATCH($A102,'KPI Analysis'!$EW$7:$EW$123,FALSE),MATCH(T$8,'KPI Analysis'!$EW$7:$HC$7,FALSE))/100</f>
        <v>0.93799999999999994</v>
      </c>
      <c r="V102" s="644" t="str">
        <f>IF(
OR(
INDEX('KPI Analysis'!$AH$7:$CM$123,
MATCH($A102,'KPI Analysis'!$AH$7:$AH$123,FALSE),
MATCH(V$8,'KPI Analysis'!$AH$7:$CM$7,FALSE)
)="R",
INDEX('KPI Analysis'!$AH$7:$CM$123,
MATCH($A102,'KPI Analysis'!$AH$7:$AH$123,FALSE),
MATCH(V$8,'KPI Analysis'!$AH$7:$CM$7,FALSE)
)="G",
INDEX('KPI Analysis'!$AH$7:$CM$123,
MATCH($A102,'KPI Analysis'!$AH$7:$AH$123,FALSE),
MATCH(V$8,'KPI Analysis'!$AH$7:$CM$7,FALSE)
)="A"),
INDEX('KPI Analysis'!$AH$7:$CM$123,MATCH($A102,'KPI Analysis'!$AH$7:$AH$123,FALSE),MATCH(V$8,'KPI Analysis'!$AH$7:$CM$7,FALSE)),"")</f>
        <v>A</v>
      </c>
      <c r="W102" s="563">
        <f>INDEX('KPI Analysis'!$EW$7:$HC$123,MATCH($A102,'KPI Analysis'!$EW$7:$EW$123,FALSE),MATCH(V$8,'KPI Analysis'!$EW$7:$HC$7,FALSE))/100</f>
        <v>0.93799999999999994</v>
      </c>
      <c r="X102" s="644" t="str">
        <f>IF(
OR(
INDEX('KPI Analysis'!$AH$7:$CM$123,
MATCH($A102,'KPI Analysis'!$AH$7:$AH$123,FALSE),
MATCH(X$8,'KPI Analysis'!$AH$7:$CM$7,FALSE)
)="R",
INDEX('KPI Analysis'!$AH$7:$CM$123,
MATCH($A102,'KPI Analysis'!$AH$7:$AH$123,FALSE),
MATCH(X$8,'KPI Analysis'!$AH$7:$CM$7,FALSE)
)="G",
INDEX('KPI Analysis'!$AH$7:$CM$123,
MATCH($A102,'KPI Analysis'!$AH$7:$AH$123,FALSE),
MATCH(X$8,'KPI Analysis'!$AH$7:$CM$7,FALSE)
)="A"),
INDEX('KPI Analysis'!$AH$7:$CM$123,MATCH($A102,'KPI Analysis'!$AH$7:$AH$123,FALSE),MATCH(X$8,'KPI Analysis'!$AH$7:$CM$7,FALSE)),"")</f>
        <v>A</v>
      </c>
      <c r="Y102" s="563">
        <f>IF(INDEX('KPI Analysis'!$CO$7:$EU$123,MATCH($A102,'KPI Analysis'!$CO$7:$CO$123,FALSE),MATCH(X$8,'KPI Analysis'!$CO$7:$EU$7,FALSE))="OD","OD",IFERROR(INDEX('KPI Analysis'!$EW$7:$HC$123,MATCH($A102,'KPI Analysis'!$EW$7:$EW$123,FALSE),MATCH(X$8,'KPI Analysis'!$EW$7:$HC$7,FALSE))/100,"OD"))</f>
        <v>0.93799999999999994</v>
      </c>
      <c r="Z102" s="596" t="s">
        <v>612</v>
      </c>
      <c r="AC102" s="648" t="s">
        <v>638</v>
      </c>
      <c r="AE102" s="538">
        <f>INDEX('KPI Analysis'!$CO$7:$EU$123,MATCH($A102,'KPI Analysis'!$CO$7:$CO$123,FALSE),MATCH(AE$8,'KPI Analysis'!$CO$7:$EU$7,FALSE))</f>
        <v>0.98736842105263156</v>
      </c>
      <c r="AF102" s="539">
        <f>INDEX('KPI Analysis'!$CO$7:$EU$123,MATCH($A102,'KPI Analysis'!$CO$7:$CO$123,FALSE),MATCH(AF$8,'KPI Analysis'!$CO$7:$EU$7,FALSE))</f>
        <v>0.98736842105263156</v>
      </c>
      <c r="AG102" s="539">
        <f>INDEX('KPI Analysis'!$CO$7:$EU$123,MATCH($A102,'KPI Analysis'!$CO$7:$CO$123,FALSE),MATCH(AG$8,'KPI Analysis'!$CO$7:$EU$7,FALSE))</f>
        <v>0.98736842105263156</v>
      </c>
      <c r="AH102" s="539">
        <f>INDEX('KPI Analysis'!$CO$7:$EU$123,MATCH($A102,'KPI Analysis'!$CO$7:$CO$123,FALSE),MATCH(AH$8,'KPI Analysis'!$CO$7:$EU$7,FALSE))</f>
        <v>0.98736842105263156</v>
      </c>
      <c r="AI102" s="539">
        <f>INDEX('KPI Analysis'!$CO$7:$EU$123,MATCH($A102,'KPI Analysis'!$CO$7:$CO$123,FALSE),MATCH(AI$8,'KPI Analysis'!$CO$7:$EU$7,FALSE))</f>
        <v>0.98736842105263156</v>
      </c>
    </row>
    <row r="103" spans="1:35" x14ac:dyDescent="0.3">
      <c r="A103" t="str">
        <f t="shared" si="0"/>
        <v>Procurement-KPI Q1</v>
      </c>
      <c r="B103" s="169" t="str">
        <f>+'KPI Stats'!G92</f>
        <v>Over</v>
      </c>
      <c r="C103" s="148" t="str">
        <f>+'KPI Stats'!C92</f>
        <v>KPI Q1</v>
      </c>
      <c r="F103" s="865" t="str">
        <f>+'KPI Stats'!$B$89</f>
        <v>Procurement</v>
      </c>
      <c r="G103" s="868" t="str">
        <f>+'KPI Stats'!$B$89</f>
        <v>Procurement</v>
      </c>
      <c r="H103" s="617" t="s">
        <v>526</v>
      </c>
      <c r="I103" s="465">
        <f>+'KPI Stats'!$F$89</f>
        <v>42</v>
      </c>
      <c r="J103" s="144" t="str">
        <f>+'KPI Stats'!D92</f>
        <v>Quality</v>
      </c>
      <c r="K103" s="144" t="str">
        <f>+'KPI Stats'!E92</f>
        <v>Cost of Quality - Raw materials - Quality Failures</v>
      </c>
      <c r="L103" s="145" t="str">
        <f>+'KPI Stats'!F92</f>
        <v>Count</v>
      </c>
      <c r="M103" s="512" t="s">
        <v>247</v>
      </c>
      <c r="P103" s="644" t="str">
        <f>IF(
OR(
INDEX('KPI Analysis'!$AH$7:$CM$123,
MATCH($A103,'KPI Analysis'!$AH$7:$AH$123,FALSE),
MATCH(P$8,'KPI Analysis'!$AH$7:$CM$7,FALSE)
)="R",
INDEX('KPI Analysis'!$AH$7:$CM$123,
MATCH($A103,'KPI Analysis'!$AH$7:$AH$123,FALSE),
MATCH(P$8,'KPI Analysis'!$AH$7:$CM$7,FALSE)
)="G",
INDEX('KPI Analysis'!$AH$7:$CM$123,
MATCH($A103,'KPI Analysis'!$AH$7:$AH$123,FALSE),
MATCH(P$8,'KPI Analysis'!$AH$7:$CM$7,FALSE)
)="A"),
INDEX('KPI Analysis'!$AH$7:$CM$123,MATCH($A103,'KPI Analysis'!$AH$7:$AH$123,FALSE),MATCH(P$8,'KPI Analysis'!$AH$7:$CM$7,FALSE)),"")</f>
        <v>G</v>
      </c>
      <c r="Q103" s="633">
        <f>INDEX('KPI Analysis'!$EW$7:$HC$123,MATCH($A103,'KPI Analysis'!$EW$7:$EW$123,FALSE),MATCH(P$8,'KPI Analysis'!$EW$7:$HC$7,FALSE))</f>
        <v>0</v>
      </c>
      <c r="R103" s="644" t="str">
        <f>IF(
OR(
INDEX('KPI Analysis'!$AH$7:$CM$123,
MATCH($A103,'KPI Analysis'!$AH$7:$AH$123,FALSE),
MATCH(R$8,'KPI Analysis'!$AH$7:$CM$7,FALSE)
)="R",
INDEX('KPI Analysis'!$AH$7:$CM$123,
MATCH($A103,'KPI Analysis'!$AH$7:$AH$123,FALSE),
MATCH(R$8,'KPI Analysis'!$AH$7:$CM$7,FALSE)
)="G",
INDEX('KPI Analysis'!$AH$7:$CM$123,
MATCH($A103,'KPI Analysis'!$AH$7:$AH$123,FALSE),
MATCH(R$8,'KPI Analysis'!$AH$7:$CM$7,FALSE)
)="A"),
INDEX('KPI Analysis'!$AH$7:$CM$123,MATCH($A103,'KPI Analysis'!$AH$7:$AH$123,FALSE),MATCH(R$8,'KPI Analysis'!$AH$7:$CM$7,FALSE)),"")</f>
        <v>G</v>
      </c>
      <c r="S103" s="633">
        <f>INDEX('KPI Analysis'!$EW$7:$HC$123,MATCH($A103,'KPI Analysis'!$EW$7:$EW$123,FALSE),MATCH(R$8,'KPI Analysis'!$EW$7:$HC$7,FALSE))</f>
        <v>0</v>
      </c>
      <c r="T103" s="644" t="str">
        <f>IF(
OR(
INDEX('KPI Analysis'!$AH$7:$CM$123,
MATCH($A103,'KPI Analysis'!$AH$7:$AH$123,FALSE),
MATCH(T$8,'KPI Analysis'!$AH$7:$CM$7,FALSE)
)="R",
INDEX('KPI Analysis'!$AH$7:$CM$123,
MATCH($A103,'KPI Analysis'!$AH$7:$AH$123,FALSE),
MATCH(T$8,'KPI Analysis'!$AH$7:$CM$7,FALSE)
)="G",
INDEX('KPI Analysis'!$AH$7:$CM$123,
MATCH($A103,'KPI Analysis'!$AH$7:$AH$123,FALSE),
MATCH(T$8,'KPI Analysis'!$AH$7:$CM$7,FALSE)
)="A"),
INDEX('KPI Analysis'!$AH$7:$CM$123,MATCH($A103,'KPI Analysis'!$AH$7:$AH$123,FALSE),MATCH(T$8,'KPI Analysis'!$AH$7:$CM$7,FALSE)),"")</f>
        <v>G</v>
      </c>
      <c r="U103" s="633">
        <f>INDEX('KPI Analysis'!$EW$7:$HC$123,MATCH($A103,'KPI Analysis'!$EW$7:$EW$123,FALSE),MATCH(T$8,'KPI Analysis'!$EW$7:$HC$7,FALSE))</f>
        <v>0</v>
      </c>
      <c r="V103" s="644" t="str">
        <f>IF(
OR(
INDEX('KPI Analysis'!$AH$7:$CM$123,
MATCH($A103,'KPI Analysis'!$AH$7:$AH$123,FALSE),
MATCH(V$8,'KPI Analysis'!$AH$7:$CM$7,FALSE)
)="R",
INDEX('KPI Analysis'!$AH$7:$CM$123,
MATCH($A103,'KPI Analysis'!$AH$7:$AH$123,FALSE),
MATCH(V$8,'KPI Analysis'!$AH$7:$CM$7,FALSE)
)="G",
INDEX('KPI Analysis'!$AH$7:$CM$123,
MATCH($A103,'KPI Analysis'!$AH$7:$AH$123,FALSE),
MATCH(V$8,'KPI Analysis'!$AH$7:$CM$7,FALSE)
)="A"),
INDEX('KPI Analysis'!$AH$7:$CM$123,MATCH($A103,'KPI Analysis'!$AH$7:$AH$123,FALSE),MATCH(V$8,'KPI Analysis'!$AH$7:$CM$7,FALSE)),"")</f>
        <v>G</v>
      </c>
      <c r="W103" s="633">
        <f>INDEX('KPI Analysis'!$EW$7:$HC$123,MATCH($A103,'KPI Analysis'!$EW$7:$EW$123,FALSE),MATCH(V$8,'KPI Analysis'!$EW$7:$HC$7,FALSE))</f>
        <v>0</v>
      </c>
      <c r="X103" s="644" t="str">
        <f>IF(
OR(
INDEX('KPI Analysis'!$AH$7:$CM$123,
MATCH($A103,'KPI Analysis'!$AH$7:$AH$123,FALSE),
MATCH(X$8,'KPI Analysis'!$AH$7:$CM$7,FALSE)
)="R",
INDEX('KPI Analysis'!$AH$7:$CM$123,
MATCH($A103,'KPI Analysis'!$AH$7:$AH$123,FALSE),
MATCH(X$8,'KPI Analysis'!$AH$7:$CM$7,FALSE)
)="G",
INDEX('KPI Analysis'!$AH$7:$CM$123,
MATCH($A103,'KPI Analysis'!$AH$7:$AH$123,FALSE),
MATCH(X$8,'KPI Analysis'!$AH$7:$CM$7,FALSE)
)="A"),
INDEX('KPI Analysis'!$AH$7:$CM$123,MATCH($A103,'KPI Analysis'!$AH$7:$AH$123,FALSE),MATCH(X$8,'KPI Analysis'!$AH$7:$CM$7,FALSE)),"")</f>
        <v>G</v>
      </c>
      <c r="Y103" s="633">
        <f>IF(INDEX('KPI Analysis'!$CO$7:$EU$123,MATCH($A103,'KPI Analysis'!$CO$7:$CO$123,FALSE),MATCH(X$8,'KPI Analysis'!$CO$7:$EU$7,FALSE))="OD","OD",INDEX('KPI Analysis'!$EW$7:$HC$123,MATCH($A103,'KPI Analysis'!$EW$7:$EW$123,FALSE),MATCH(X$8,'KPI Analysis'!$EW$7:$HC$7,FALSE)))</f>
        <v>0</v>
      </c>
      <c r="Z103" s="552" t="s">
        <v>619</v>
      </c>
      <c r="AC103" s="648" t="s">
        <v>638</v>
      </c>
      <c r="AE103" s="540">
        <f>INDEX('KPI Analysis'!$CO$7:$EU$123,MATCH($A103,'KPI Analysis'!$CO$7:$CO$123,FALSE),MATCH(AE$8,'KPI Analysis'!$CO$7:$EU$7,FALSE))</f>
        <v>0</v>
      </c>
      <c r="AF103" s="541">
        <f>INDEX('KPI Analysis'!$CO$7:$EU$123,MATCH($A103,'KPI Analysis'!$CO$7:$CO$123,FALSE),MATCH(AF$8,'KPI Analysis'!$CO$7:$EU$7,FALSE))</f>
        <v>0</v>
      </c>
      <c r="AG103" s="541">
        <f>INDEX('KPI Analysis'!$CO$7:$EU$123,MATCH($A103,'KPI Analysis'!$CO$7:$CO$123,FALSE),MATCH(AG$8,'KPI Analysis'!$CO$7:$EU$7,FALSE))</f>
        <v>0</v>
      </c>
      <c r="AH103" s="541">
        <f>INDEX('KPI Analysis'!$CO$7:$EU$123,MATCH($A103,'KPI Analysis'!$CO$7:$CO$123,FALSE),MATCH(AH$8,'KPI Analysis'!$CO$7:$EU$7,FALSE))</f>
        <v>0</v>
      </c>
      <c r="AI103" s="542">
        <f>INDEX('KPI Analysis'!$CO$7:$EU$123,MATCH($A103,'KPI Analysis'!$CO$7:$CO$123,FALSE),MATCH(AI$8,'KPI Analysis'!$CO$7:$EU$7,FALSE))</f>
        <v>0</v>
      </c>
    </row>
    <row r="104" spans="1:35" ht="15" thickBot="1" x14ac:dyDescent="0.35">
      <c r="A104" t="str">
        <f t="shared" si="0"/>
        <v>Procurement-KPI C1</v>
      </c>
      <c r="B104" s="170" t="str">
        <f>+'KPI Stats'!G93</f>
        <v>Under</v>
      </c>
      <c r="C104" s="149" t="str">
        <f>+'KPI Stats'!C93</f>
        <v>KPI C1</v>
      </c>
      <c r="F104" s="866" t="str">
        <f>+'KPI Stats'!$B$89</f>
        <v>Procurement</v>
      </c>
      <c r="G104" s="869" t="str">
        <f>+'KPI Stats'!$B$89</f>
        <v>Procurement</v>
      </c>
      <c r="H104" s="296" t="s">
        <v>526</v>
      </c>
      <c r="I104" s="398">
        <f>+'KPI Stats'!$F$89</f>
        <v>42</v>
      </c>
      <c r="J104" s="146" t="str">
        <f>+'KPI Stats'!D93</f>
        <v>Cost</v>
      </c>
      <c r="K104" s="146" t="str">
        <f>+'KPI Stats'!E93</f>
        <v>PPV - Cost differential between Std and Inv Cost</v>
      </c>
      <c r="L104" s="147" t="str">
        <f>+'KPI Stats'!F93</f>
        <v>£'s</v>
      </c>
      <c r="M104" s="585" t="s">
        <v>247</v>
      </c>
      <c r="P104" s="645" t="str">
        <f>IF(
OR(
INDEX('KPI Analysis'!$AH$7:$CM$123,
MATCH($A104,'KPI Analysis'!$AH$7:$AH$123,FALSE),
MATCH(P$8,'KPI Analysis'!$AH$7:$CM$7,FALSE)
)="R",
INDEX('KPI Analysis'!$AH$7:$CM$123,
MATCH($A104,'KPI Analysis'!$AH$7:$AH$123,FALSE),
MATCH(P$8,'KPI Analysis'!$AH$7:$CM$7,FALSE)
)="G",
INDEX('KPI Analysis'!$AH$7:$CM$123,
MATCH($A104,'KPI Analysis'!$AH$7:$AH$123,FALSE),
MATCH(P$8,'KPI Analysis'!$AH$7:$CM$7,FALSE)
)="A"),
INDEX('KPI Analysis'!$AH$7:$CM$123,MATCH($A104,'KPI Analysis'!$AH$7:$AH$123,FALSE),MATCH(P$8,'KPI Analysis'!$AH$7:$CM$7,FALSE)),"")</f>
        <v>G</v>
      </c>
      <c r="Q104" s="634">
        <f>INDEX('KPI Analysis'!$EW$7:$HC$123,MATCH($A104,'KPI Analysis'!$EW$7:$EW$123,FALSE),MATCH(P$8,'KPI Analysis'!$EW$7:$HC$7,FALSE))</f>
        <v>500</v>
      </c>
      <c r="R104" s="645" t="str">
        <f>IF(
OR(
INDEX('KPI Analysis'!$AH$7:$CM$123,
MATCH($A104,'KPI Analysis'!$AH$7:$AH$123,FALSE),
MATCH(R$8,'KPI Analysis'!$AH$7:$CM$7,FALSE)
)="R",
INDEX('KPI Analysis'!$AH$7:$CM$123,
MATCH($A104,'KPI Analysis'!$AH$7:$AH$123,FALSE),
MATCH(R$8,'KPI Analysis'!$AH$7:$CM$7,FALSE)
)="G",
INDEX('KPI Analysis'!$AH$7:$CM$123,
MATCH($A104,'KPI Analysis'!$AH$7:$AH$123,FALSE),
MATCH(R$8,'KPI Analysis'!$AH$7:$CM$7,FALSE)
)="A"),
INDEX('KPI Analysis'!$AH$7:$CM$123,MATCH($A104,'KPI Analysis'!$AH$7:$AH$123,FALSE),MATCH(R$8,'KPI Analysis'!$AH$7:$CM$7,FALSE)),"")</f>
        <v>G</v>
      </c>
      <c r="S104" s="634">
        <f>INDEX('KPI Analysis'!$EW$7:$HC$123,MATCH($A104,'KPI Analysis'!$EW$7:$EW$123,FALSE),MATCH(R$8,'KPI Analysis'!$EW$7:$HC$7,FALSE))</f>
        <v>500</v>
      </c>
      <c r="T104" s="645" t="str">
        <f>IF(
OR(
INDEX('KPI Analysis'!$AH$7:$CM$123,
MATCH($A104,'KPI Analysis'!$AH$7:$AH$123,FALSE),
MATCH(T$8,'KPI Analysis'!$AH$7:$CM$7,FALSE)
)="R",
INDEX('KPI Analysis'!$AH$7:$CM$123,
MATCH($A104,'KPI Analysis'!$AH$7:$AH$123,FALSE),
MATCH(T$8,'KPI Analysis'!$AH$7:$CM$7,FALSE)
)="G",
INDEX('KPI Analysis'!$AH$7:$CM$123,
MATCH($A104,'KPI Analysis'!$AH$7:$AH$123,FALSE),
MATCH(T$8,'KPI Analysis'!$AH$7:$CM$7,FALSE)
)="A"),
INDEX('KPI Analysis'!$AH$7:$CM$123,MATCH($A104,'KPI Analysis'!$AH$7:$AH$123,FALSE),MATCH(T$8,'KPI Analysis'!$AH$7:$CM$7,FALSE)),"")</f>
        <v>G</v>
      </c>
      <c r="U104" s="634">
        <f>INDEX('KPI Analysis'!$EW$7:$HC$123,MATCH($A104,'KPI Analysis'!$EW$7:$EW$123,FALSE),MATCH(T$8,'KPI Analysis'!$EW$7:$HC$7,FALSE))</f>
        <v>500</v>
      </c>
      <c r="V104" s="645" t="str">
        <f>IF(
OR(
INDEX('KPI Analysis'!$AH$7:$CM$123,
MATCH($A104,'KPI Analysis'!$AH$7:$AH$123,FALSE),
MATCH(V$8,'KPI Analysis'!$AH$7:$CM$7,FALSE)
)="R",
INDEX('KPI Analysis'!$AH$7:$CM$123,
MATCH($A104,'KPI Analysis'!$AH$7:$AH$123,FALSE),
MATCH(V$8,'KPI Analysis'!$AH$7:$CM$7,FALSE)
)="G",
INDEX('KPI Analysis'!$AH$7:$CM$123,
MATCH($A104,'KPI Analysis'!$AH$7:$AH$123,FALSE),
MATCH(V$8,'KPI Analysis'!$AH$7:$CM$7,FALSE)
)="A"),
INDEX('KPI Analysis'!$AH$7:$CM$123,MATCH($A104,'KPI Analysis'!$AH$7:$AH$123,FALSE),MATCH(V$8,'KPI Analysis'!$AH$7:$CM$7,FALSE)),"")</f>
        <v>G</v>
      </c>
      <c r="W104" s="634">
        <f>INDEX('KPI Analysis'!$EW$7:$HC$123,MATCH($A104,'KPI Analysis'!$EW$7:$EW$123,FALSE),MATCH(V$8,'KPI Analysis'!$EW$7:$HC$7,FALSE))</f>
        <v>500</v>
      </c>
      <c r="X104" s="645" t="str">
        <f>IF(
OR(
INDEX('KPI Analysis'!$AH$7:$CM$123,
MATCH($A104,'KPI Analysis'!$AH$7:$AH$123,FALSE),
MATCH(X$8,'KPI Analysis'!$AH$7:$CM$7,FALSE)
)="R",
INDEX('KPI Analysis'!$AH$7:$CM$123,
MATCH($A104,'KPI Analysis'!$AH$7:$AH$123,FALSE),
MATCH(X$8,'KPI Analysis'!$AH$7:$CM$7,FALSE)
)="G",
INDEX('KPI Analysis'!$AH$7:$CM$123,
MATCH($A104,'KPI Analysis'!$AH$7:$AH$123,FALSE),
MATCH(X$8,'KPI Analysis'!$AH$7:$CM$7,FALSE)
)="A"),
INDEX('KPI Analysis'!$AH$7:$CM$123,MATCH($A104,'KPI Analysis'!$AH$7:$AH$123,FALSE),MATCH(X$8,'KPI Analysis'!$AH$7:$CM$7,FALSE)),"")</f>
        <v>G</v>
      </c>
      <c r="Y104" s="634">
        <f>IF(INDEX('KPI Analysis'!$CO$7:$EU$123,MATCH($A104,'KPI Analysis'!$CO$7:$CO$123,FALSE),MATCH(X$8,'KPI Analysis'!$CO$7:$EU$7,FALSE))="OD","OD",INDEX('KPI Analysis'!$EW$7:$HC$123,MATCH($A104,'KPI Analysis'!$EW$7:$EW$123,FALSE),MATCH(X$8,'KPI Analysis'!$EW$7:$HC$7,FALSE)))</f>
        <v>500</v>
      </c>
      <c r="Z104" s="553" t="s">
        <v>620</v>
      </c>
      <c r="AC104" s="648" t="s">
        <v>638</v>
      </c>
      <c r="AE104" s="543">
        <f>INDEX('KPI Analysis'!$CO$7:$EU$123,MATCH($A104,'KPI Analysis'!$CO$7:$CO$123,FALSE),MATCH(AE$8,'KPI Analysis'!$CO$7:$EU$7,FALSE))</f>
        <v>1</v>
      </c>
      <c r="AF104" s="544">
        <f>INDEX('KPI Analysis'!$CO$7:$EU$123,MATCH($A104,'KPI Analysis'!$CO$7:$CO$123,FALSE),MATCH(AF$8,'KPI Analysis'!$CO$7:$EU$7,FALSE))</f>
        <v>1</v>
      </c>
      <c r="AG104" s="544">
        <f>INDEX('KPI Analysis'!$CO$7:$EU$123,MATCH($A104,'KPI Analysis'!$CO$7:$CO$123,FALSE),MATCH(AG$8,'KPI Analysis'!$CO$7:$EU$7,FALSE))</f>
        <v>1</v>
      </c>
      <c r="AH104" s="544">
        <f>INDEX('KPI Analysis'!$CO$7:$EU$123,MATCH($A104,'KPI Analysis'!$CO$7:$CO$123,FALSE),MATCH(AH$8,'KPI Analysis'!$CO$7:$EU$7,FALSE))</f>
        <v>1</v>
      </c>
      <c r="AI104" s="544">
        <f>INDEX('KPI Analysis'!$CO$7:$EU$123,MATCH($A104,'KPI Analysis'!$CO$7:$CO$123,FALSE),MATCH(AI$8,'KPI Analysis'!$CO$7:$EU$7,FALSE))</f>
        <v>1</v>
      </c>
    </row>
    <row r="105" spans="1:35" x14ac:dyDescent="0.3">
      <c r="H105"/>
    </row>
    <row r="106" spans="1:35" ht="15" thickBot="1" x14ac:dyDescent="0.35">
      <c r="H106"/>
    </row>
    <row r="107" spans="1:35" ht="40.200000000000003" customHeight="1" thickBot="1" x14ac:dyDescent="0.35">
      <c r="B107" s="166"/>
      <c r="C107" s="113" t="s">
        <v>125</v>
      </c>
      <c r="F107" s="495" t="str">
        <f t="shared" ref="F107:M107" si="3">+F$6</f>
        <v>Department</v>
      </c>
      <c r="G107" s="545" t="s">
        <v>442</v>
      </c>
      <c r="H107" s="496" t="str">
        <f t="shared" si="3"/>
        <v>Freq</v>
      </c>
      <c r="I107" s="497" t="str">
        <f t="shared" si="3"/>
        <v>Wk</v>
      </c>
      <c r="J107" s="497" t="str">
        <f t="shared" si="3"/>
        <v>Category</v>
      </c>
      <c r="K107" s="497" t="str">
        <f t="shared" si="3"/>
        <v>KPI</v>
      </c>
      <c r="L107" s="497" t="str">
        <f t="shared" si="3"/>
        <v>UOM</v>
      </c>
      <c r="M107" s="498" t="str">
        <f t="shared" si="3"/>
        <v>Shown</v>
      </c>
      <c r="P107" s="193" t="s">
        <v>508</v>
      </c>
      <c r="Q107" s="574"/>
      <c r="R107" s="574"/>
      <c r="S107" s="574"/>
      <c r="T107" s="574"/>
      <c r="U107" s="574"/>
      <c r="V107" s="574"/>
      <c r="W107" s="574"/>
      <c r="X107" s="574"/>
      <c r="Y107" s="575"/>
      <c r="AE107" s="220" t="str">
        <f>+AE$6</f>
        <v>Week KPI Calc</v>
      </c>
      <c r="AF107" s="220" t="str">
        <f>+AF$6</f>
        <v>Week KPI Calc</v>
      </c>
      <c r="AG107" s="220" t="str">
        <f>+AG$6</f>
        <v>Week KPI Calc</v>
      </c>
      <c r="AH107" s="220" t="str">
        <f>+AH$6</f>
        <v>Week KPI Calc</v>
      </c>
      <c r="AI107" s="220" t="str">
        <f>+AI$6</f>
        <v>Week KPI Calc</v>
      </c>
    </row>
    <row r="108" spans="1:35" ht="15" thickBot="1" x14ac:dyDescent="0.35">
      <c r="A108" s="870" t="s">
        <v>403</v>
      </c>
      <c r="B108" s="471"/>
      <c r="C108" s="473"/>
      <c r="F108" s="492" t="str">
        <f>+F$7</f>
        <v>Mth No</v>
      </c>
      <c r="G108" s="475"/>
      <c r="H108" s="474" t="str">
        <f>+H$7</f>
        <v>For Monthly KPIs</v>
      </c>
      <c r="I108" s="475"/>
      <c r="J108" s="474"/>
      <c r="K108" s="474"/>
      <c r="L108" s="476"/>
      <c r="M108" s="471"/>
      <c r="P108" s="568">
        <f>_xlfn.XLOOKUP('KPI Linked Table for Report'!P109,'KPI Analysis'!$CU$7:$EU$7,'KPI Analysis'!$CU$8:$EU$8)</f>
        <v>8</v>
      </c>
      <c r="Q108" s="569"/>
      <c r="R108" s="568">
        <f>_xlfn.XLOOKUP('KPI Linked Table for Report'!R109,'KPI Analysis'!$CU$7:$EU$7,'KPI Analysis'!$CU$8:$EU$8)</f>
        <v>8</v>
      </c>
      <c r="S108" s="569"/>
      <c r="T108" s="568">
        <f>_xlfn.XLOOKUP('KPI Linked Table for Report'!T109,'KPI Analysis'!$CU$7:$EU$7,'KPI Analysis'!$CU$8:$EU$8)</f>
        <v>9</v>
      </c>
      <c r="U108" s="569"/>
      <c r="V108" s="568">
        <f>_xlfn.XLOOKUP('KPI Linked Table for Report'!V109,'KPI Analysis'!$CU$7:$EU$7,'KPI Analysis'!$CU$8:$EU$8)</f>
        <v>9</v>
      </c>
      <c r="W108" s="569"/>
      <c r="X108" s="568">
        <f>_xlfn.XLOOKUP('KPI Linked Table for Report'!X109,'KPI Analysis'!$CU$7:$EU$7,'KPI Analysis'!$CU$8:$EU$8)</f>
        <v>9</v>
      </c>
      <c r="Y108" s="569"/>
      <c r="AE108" s="491">
        <f>+AE$7</f>
        <v>8</v>
      </c>
      <c r="AF108" s="491">
        <f>+AF$7</f>
        <v>8</v>
      </c>
      <c r="AG108" s="491">
        <f>+AG$7</f>
        <v>9</v>
      </c>
      <c r="AH108" s="491">
        <f>+AH$7</f>
        <v>9</v>
      </c>
      <c r="AI108" s="491">
        <f>+AI$7</f>
        <v>9</v>
      </c>
    </row>
    <row r="109" spans="1:35" x14ac:dyDescent="0.3">
      <c r="A109" s="870"/>
      <c r="B109" s="480"/>
      <c r="C109" s="477"/>
      <c r="F109" s="493" t="str">
        <f>+F$8</f>
        <v>Wk No</v>
      </c>
      <c r="G109" s="479"/>
      <c r="H109" s="478" t="str">
        <f>+H$8</f>
        <v>For Weekly KPI's</v>
      </c>
      <c r="I109" s="479"/>
      <c r="J109" s="478"/>
      <c r="K109" s="478"/>
      <c r="L109" s="480"/>
      <c r="M109" s="480"/>
      <c r="P109" s="570">
        <f>+P$8</f>
        <v>38</v>
      </c>
      <c r="Q109" s="571"/>
      <c r="R109" s="570">
        <f>+R$8</f>
        <v>39</v>
      </c>
      <c r="S109" s="571"/>
      <c r="T109" s="570">
        <f>+T$8</f>
        <v>40</v>
      </c>
      <c r="U109" s="571"/>
      <c r="V109" s="570">
        <f>+V$8</f>
        <v>41</v>
      </c>
      <c r="W109" s="571"/>
      <c r="X109" s="570">
        <f>+X$8</f>
        <v>42</v>
      </c>
      <c r="Y109" s="571"/>
      <c r="AE109" s="472">
        <f>+AE$8</f>
        <v>38</v>
      </c>
      <c r="AF109" s="472">
        <f>+AF$8</f>
        <v>39</v>
      </c>
      <c r="AG109" s="472">
        <f>+AG$8</f>
        <v>40</v>
      </c>
      <c r="AH109" s="472">
        <f>+AH$8</f>
        <v>41</v>
      </c>
      <c r="AI109" s="472">
        <f>+AI$8</f>
        <v>42</v>
      </c>
    </row>
    <row r="110" spans="1:35" s="203" customFormat="1" ht="15" thickBot="1" x14ac:dyDescent="0.35">
      <c r="A110" s="870"/>
      <c r="B110" s="484"/>
      <c r="C110" s="481"/>
      <c r="D110"/>
      <c r="E110"/>
      <c r="F110" s="494" t="str">
        <f>+F$9</f>
        <v>Date</v>
      </c>
      <c r="G110" s="483"/>
      <c r="H110" s="482" t="str">
        <f>+H$9</f>
        <v>Week Ending (Fri)</v>
      </c>
      <c r="I110" s="483"/>
      <c r="J110" s="482"/>
      <c r="K110" s="482"/>
      <c r="L110" s="484"/>
      <c r="M110" s="484"/>
      <c r="N110"/>
      <c r="O110"/>
      <c r="P110" s="572">
        <f>_xlfn.XLOOKUP(P109,EHS!$M$6:$BM$6,EHS!$M$7:$BM$7)</f>
        <v>45919</v>
      </c>
      <c r="Q110" s="573"/>
      <c r="R110" s="572">
        <f>_xlfn.XLOOKUP(R109,EHS!$M$6:$BM$6,EHS!$M$7:$BM$7)</f>
        <v>45926</v>
      </c>
      <c r="S110" s="573"/>
      <c r="T110" s="572">
        <f>_xlfn.XLOOKUP(T109,EHS!$M$6:$BM$6,EHS!$M$7:$BM$7)</f>
        <v>45933</v>
      </c>
      <c r="U110" s="573"/>
      <c r="V110" s="572">
        <f>_xlfn.XLOOKUP(V109,EHS!$M$6:$BM$6,EHS!$M$7:$BM$7)</f>
        <v>45940</v>
      </c>
      <c r="W110" s="573"/>
      <c r="X110" s="572">
        <f>_xlfn.XLOOKUP(X109,EHS!$M$6:$BM$6,EHS!$M$7:$BM$7)</f>
        <v>45947</v>
      </c>
      <c r="Y110" s="573"/>
      <c r="Z110"/>
      <c r="AA110"/>
      <c r="AB110"/>
      <c r="AE110" s="505">
        <f>+AE$9</f>
        <v>45919</v>
      </c>
      <c r="AF110" s="505">
        <f>+AF$9</f>
        <v>45926</v>
      </c>
      <c r="AG110" s="505">
        <f>+AG$9</f>
        <v>45933</v>
      </c>
      <c r="AH110" s="505">
        <f>+AH$9</f>
        <v>45940</v>
      </c>
      <c r="AI110" s="505">
        <f>+AI$9</f>
        <v>45947</v>
      </c>
    </row>
    <row r="111" spans="1:35" ht="15" thickBot="1" x14ac:dyDescent="0.35">
      <c r="H111"/>
    </row>
    <row r="112" spans="1:35" x14ac:dyDescent="0.3">
      <c r="A112" t="str">
        <f t="shared" si="0"/>
        <v>IT-KPI P1</v>
      </c>
      <c r="B112" s="168" t="str">
        <f>+'KPI Stats'!G96</f>
        <v>Undefined</v>
      </c>
      <c r="C112" s="141" t="str">
        <f>+'KPI Stats'!C96</f>
        <v>KPI P1</v>
      </c>
      <c r="F112" s="864" t="str">
        <f>+'KPI Stats'!B95</f>
        <v>IT</v>
      </c>
      <c r="G112" s="867" t="str">
        <f>+'KPI Stats'!C95</f>
        <v>Rhian Owen</v>
      </c>
      <c r="H112" s="616" t="s">
        <v>526</v>
      </c>
      <c r="I112" s="466">
        <f>+'KPI Stats'!F95</f>
        <v>42</v>
      </c>
      <c r="J112" s="142" t="str">
        <f>+'KPI Stats'!D96</f>
        <v>Productivity</v>
      </c>
      <c r="K112" s="142" t="str">
        <f>+'KPI Stats'!E96</f>
        <v>Downtime</v>
      </c>
      <c r="L112" s="143" t="str">
        <f>+'KPI Stats'!F96</f>
        <v>Undefined</v>
      </c>
      <c r="M112" s="135" t="s">
        <v>247</v>
      </c>
      <c r="P112" s="642" t="str">
        <f>IF(
OR(
INDEX('KPI Analysis'!$AH$7:$CM$123,
MATCH($A112,'KPI Analysis'!$AH$7:$AH$123,FALSE),
MATCH(P$8,'KPI Analysis'!$AH$7:$CM$7,FALSE)
)="R",
INDEX('KPI Analysis'!$AH$7:$CM$123,
MATCH($A112,'KPI Analysis'!$AH$7:$AH$123,FALSE),
MATCH(P$8,'KPI Analysis'!$AH$7:$CM$7,FALSE)
)="G",
INDEX('KPI Analysis'!$AH$7:$CM$123,
MATCH($A112,'KPI Analysis'!$AH$7:$AH$123,FALSE),
MATCH(P$8,'KPI Analysis'!$AH$7:$CM$7,FALSE)
)="A"),
INDEX('KPI Analysis'!$AH$7:$CM$123,MATCH($A112,'KPI Analysis'!$AH$7:$AH$123,FALSE),MATCH(P$8,'KPI Analysis'!$AH$7:$CM$7,FALSE)),"")</f>
        <v/>
      </c>
      <c r="Q112" s="635" t="str">
        <f>INDEX('KPI Analysis'!$EW$7:$HC$123,MATCH($A112,'KPI Analysis'!$EW$7:$EW$123,FALSE),MATCH(P$8,'KPI Analysis'!$EW$7:$HC$7,FALSE))</f>
        <v>Undefined</v>
      </c>
      <c r="R112" s="642" t="str">
        <f>IF(
OR(
INDEX('KPI Analysis'!$AH$7:$CM$123,
MATCH($A112,'KPI Analysis'!$AH$7:$AH$123,FALSE),
MATCH(R$8,'KPI Analysis'!$AH$7:$CM$7,FALSE)
)="R",
INDEX('KPI Analysis'!$AH$7:$CM$123,
MATCH($A112,'KPI Analysis'!$AH$7:$AH$123,FALSE),
MATCH(R$8,'KPI Analysis'!$AH$7:$CM$7,FALSE)
)="G",
INDEX('KPI Analysis'!$AH$7:$CM$123,
MATCH($A112,'KPI Analysis'!$AH$7:$AH$123,FALSE),
MATCH(R$8,'KPI Analysis'!$AH$7:$CM$7,FALSE)
)="A"),
INDEX('KPI Analysis'!$AH$7:$CM$123,MATCH($A112,'KPI Analysis'!$AH$7:$AH$123,FALSE),MATCH(R$8,'KPI Analysis'!$AH$7:$CM$7,FALSE)),"")</f>
        <v/>
      </c>
      <c r="S112" s="635" t="str">
        <f>INDEX('KPI Analysis'!$EW$7:$HC$123,MATCH($A112,'KPI Analysis'!$EW$7:$EW$123,FALSE),MATCH(R$8,'KPI Analysis'!$EW$7:$HC$7,FALSE))</f>
        <v>Undefined</v>
      </c>
      <c r="T112" s="642" t="str">
        <f>IF(
OR(
INDEX('KPI Analysis'!$AH$7:$CM$123,
MATCH($A112,'KPI Analysis'!$AH$7:$AH$123,FALSE),
MATCH(T$8,'KPI Analysis'!$AH$7:$CM$7,FALSE)
)="R",
INDEX('KPI Analysis'!$AH$7:$CM$123,
MATCH($A112,'KPI Analysis'!$AH$7:$AH$123,FALSE),
MATCH(T$8,'KPI Analysis'!$AH$7:$CM$7,FALSE)
)="G",
INDEX('KPI Analysis'!$AH$7:$CM$123,
MATCH($A112,'KPI Analysis'!$AH$7:$AH$123,FALSE),
MATCH(T$8,'KPI Analysis'!$AH$7:$CM$7,FALSE)
)="A"),
INDEX('KPI Analysis'!$AH$7:$CM$123,MATCH($A112,'KPI Analysis'!$AH$7:$AH$123,FALSE),MATCH(T$8,'KPI Analysis'!$AH$7:$CM$7,FALSE)),"")</f>
        <v/>
      </c>
      <c r="U112" s="635" t="str">
        <f>INDEX('KPI Analysis'!$EW$7:$HC$123,MATCH($A112,'KPI Analysis'!$EW$7:$EW$123,FALSE),MATCH(T$8,'KPI Analysis'!$EW$7:$HC$7,FALSE))</f>
        <v>Undefined</v>
      </c>
      <c r="V112" s="642" t="str">
        <f>IF(
OR(
INDEX('KPI Analysis'!$AH$7:$CM$123,
MATCH($A112,'KPI Analysis'!$AH$7:$AH$123,FALSE),
MATCH(V$8,'KPI Analysis'!$AH$7:$CM$7,FALSE)
)="R",
INDEX('KPI Analysis'!$AH$7:$CM$123,
MATCH($A112,'KPI Analysis'!$AH$7:$AH$123,FALSE),
MATCH(V$8,'KPI Analysis'!$AH$7:$CM$7,FALSE)
)="G",
INDEX('KPI Analysis'!$AH$7:$CM$123,
MATCH($A112,'KPI Analysis'!$AH$7:$AH$123,FALSE),
MATCH(V$8,'KPI Analysis'!$AH$7:$CM$7,FALSE)
)="A"),
INDEX('KPI Analysis'!$AH$7:$CM$123,MATCH($A112,'KPI Analysis'!$AH$7:$AH$123,FALSE),MATCH(V$8,'KPI Analysis'!$AH$7:$CM$7,FALSE)),"")</f>
        <v/>
      </c>
      <c r="W112" s="635" t="str">
        <f>INDEX('KPI Analysis'!$EW$7:$HC$123,MATCH($A112,'KPI Analysis'!$EW$7:$EW$123,FALSE),MATCH(V$8,'KPI Analysis'!$EW$7:$HC$7,FALSE))</f>
        <v>Undefined</v>
      </c>
      <c r="X112" s="642" t="str">
        <f>IF(
OR(
INDEX('KPI Analysis'!$AH$7:$CM$123,
MATCH($A112,'KPI Analysis'!$AH$7:$AH$123,FALSE),
MATCH(X$8,'KPI Analysis'!$AH$7:$CM$7,FALSE)
)="R",
INDEX('KPI Analysis'!$AH$7:$CM$123,
MATCH($A112,'KPI Analysis'!$AH$7:$AH$123,FALSE),
MATCH(X$8,'KPI Analysis'!$AH$7:$CM$7,FALSE)
)="G",
INDEX('KPI Analysis'!$AH$7:$CM$123,
MATCH($A112,'KPI Analysis'!$AH$7:$AH$123,FALSE),
MATCH(X$8,'KPI Analysis'!$AH$7:$CM$7,FALSE)
)="A"),
INDEX('KPI Analysis'!$AH$7:$CM$123,MATCH($A112,'KPI Analysis'!$AH$7:$AH$123,FALSE),MATCH(X$8,'KPI Analysis'!$AH$7:$CM$7,FALSE)),"")</f>
        <v/>
      </c>
      <c r="Y112" s="635" t="str">
        <f>IF(INDEX('KPI Analysis'!$CO$7:$EU$123,MATCH($A112,'KPI Analysis'!$CO$7:$CO$123,FALSE),MATCH(X$8,'KPI Analysis'!$CO$7:$EU$7,FALSE))="OD","OD",INDEX('KPI Analysis'!$EW$7:$HC$123,MATCH($A112,'KPI Analysis'!$EW$7:$EW$123,FALSE),MATCH(X$8,'KPI Analysis'!$EW$7:$HC$7,FALSE)))</f>
        <v>Undefined</v>
      </c>
      <c r="Z112" s="141" t="s">
        <v>538</v>
      </c>
      <c r="AC112" s="648" t="s">
        <v>638</v>
      </c>
      <c r="AE112" s="319" t="str">
        <f>INDEX('KPI Analysis'!$CO$7:$EU$123,MATCH($A112,'KPI Analysis'!$CO$7:$CO$123,FALSE),MATCH(AE$8,'KPI Analysis'!$CO$7:$EU$7,FALSE))</f>
        <v>Undefined</v>
      </c>
      <c r="AF112" s="319" t="str">
        <f>INDEX('KPI Analysis'!$CO$7:$EU$123,MATCH($A112,'KPI Analysis'!$CO$7:$CO$123,FALSE),MATCH(AF$8,'KPI Analysis'!$CO$7:$EU$7,FALSE))</f>
        <v>Undefined</v>
      </c>
      <c r="AG112" s="319" t="str">
        <f>INDEX('KPI Analysis'!$CO$7:$EU$123,MATCH($A112,'KPI Analysis'!$CO$7:$CO$123,FALSE),MATCH(AG$8,'KPI Analysis'!$CO$7:$EU$7,FALSE))</f>
        <v>Undefined</v>
      </c>
      <c r="AH112" s="319" t="str">
        <f>INDEX('KPI Analysis'!$CO$7:$EU$123,MATCH($A112,'KPI Analysis'!$CO$7:$CO$123,FALSE),MATCH(AH$8,'KPI Analysis'!$CO$7:$EU$7,FALSE))</f>
        <v>Undefined</v>
      </c>
      <c r="AI112" s="319" t="str">
        <f>INDEX('KPI Analysis'!$CO$7:$EU$123,MATCH($A112,'KPI Analysis'!$CO$7:$CO$123,FALSE),MATCH(AI$8,'KPI Analysis'!$CO$7:$EU$7,FALSE))</f>
        <v>Undefined</v>
      </c>
    </row>
    <row r="113" spans="1:35" x14ac:dyDescent="0.3">
      <c r="A113" t="str">
        <f t="shared" si="0"/>
        <v>IT-KPI D1</v>
      </c>
      <c r="B113" s="169" t="str">
        <f>+'KPI Stats'!G97</f>
        <v>Under</v>
      </c>
      <c r="C113" s="148" t="str">
        <f>+'KPI Stats'!C97</f>
        <v>KPI D1</v>
      </c>
      <c r="F113" s="865" t="str">
        <f>+'KPI Stats'!B95</f>
        <v>IT</v>
      </c>
      <c r="G113" s="868" t="str">
        <f>+'KPI Stats'!C95</f>
        <v>Rhian Owen</v>
      </c>
      <c r="H113" s="617" t="s">
        <v>526</v>
      </c>
      <c r="I113" s="465">
        <f>+'KPI Stats'!F95</f>
        <v>42</v>
      </c>
      <c r="J113" s="144" t="str">
        <f>+'KPI Stats'!D97</f>
        <v>Delivery</v>
      </c>
      <c r="K113" s="144" t="str">
        <f>+'KPI Stats'!E97</f>
        <v>Percentage of Tickets Closed on Time</v>
      </c>
      <c r="L113" s="145" t="str">
        <f>+'KPI Stats'!F97</f>
        <v>Percentage</v>
      </c>
      <c r="M113" s="137" t="s">
        <v>247</v>
      </c>
      <c r="P113" s="644" t="str">
        <f>IF(
OR(
INDEX('KPI Analysis'!$AH$7:$CM$123,
MATCH($A113,'KPI Analysis'!$AH$7:$AH$123,FALSE),
MATCH(P$8,'KPI Analysis'!$AH$7:$CM$7,FALSE)
)="R",
INDEX('KPI Analysis'!$AH$7:$CM$123,
MATCH($A113,'KPI Analysis'!$AH$7:$AH$123,FALSE),
MATCH(P$8,'KPI Analysis'!$AH$7:$CM$7,FALSE)
)="G",
INDEX('KPI Analysis'!$AH$7:$CM$123,
MATCH($A113,'KPI Analysis'!$AH$7:$AH$123,FALSE),
MATCH(P$8,'KPI Analysis'!$AH$7:$CM$7,FALSE)
)="A"),
INDEX('KPI Analysis'!$AH$7:$CM$123,MATCH($A113,'KPI Analysis'!$AH$7:$AH$123,FALSE),MATCH(P$8,'KPI Analysis'!$AH$7:$CM$7,FALSE)),"")</f>
        <v>G</v>
      </c>
      <c r="Q113" s="563">
        <f>IF(INDEX('KPI Analysis'!$CO$7:$EU$123,MATCH($A113,'KPI Analysis'!$CO$7:$CO$123,FALSE),MATCH(P$8,'KPI Analysis'!$CO$7:$EU$7,FALSE))="OD","OD",INDEX('KPI Analysis'!$EW$7:$HC$123,MATCH($A113,'KPI Analysis'!$EW$7:$EW$123,FALSE),MATCH(P$8,'KPI Analysis'!$EW$7:$HC$7,FALSE)))</f>
        <v>97</v>
      </c>
      <c r="R113" s="644" t="str">
        <f>IF(
OR(
INDEX('KPI Analysis'!$AH$7:$CM$123,
MATCH($A113,'KPI Analysis'!$AH$7:$AH$123,FALSE),
MATCH(R$8,'KPI Analysis'!$AH$7:$CM$7,FALSE)
)="R",
INDEX('KPI Analysis'!$AH$7:$CM$123,
MATCH($A113,'KPI Analysis'!$AH$7:$AH$123,FALSE),
MATCH(R$8,'KPI Analysis'!$AH$7:$CM$7,FALSE)
)="G",
INDEX('KPI Analysis'!$AH$7:$CM$123,
MATCH($A113,'KPI Analysis'!$AH$7:$AH$123,FALSE),
MATCH(R$8,'KPI Analysis'!$AH$7:$CM$7,FALSE)
)="A"),
INDEX('KPI Analysis'!$AH$7:$CM$123,MATCH($A113,'KPI Analysis'!$AH$7:$AH$123,FALSE),MATCH(R$8,'KPI Analysis'!$AH$7:$CM$7,FALSE)),"")</f>
        <v>G</v>
      </c>
      <c r="S113" s="563">
        <f>IF(INDEX('KPI Analysis'!$CO$7:$EU$123,MATCH($A113,'KPI Analysis'!$CO$7:$CO$123,FALSE),MATCH(R$8,'KPI Analysis'!$CO$7:$EU$7,FALSE))="OD","OD",INDEX('KPI Analysis'!$EW$7:$HC$123,MATCH($A113,'KPI Analysis'!$EW$7:$EW$123,FALSE),MATCH(R$8,'KPI Analysis'!$EW$7:$HC$7,FALSE)))</f>
        <v>0.97</v>
      </c>
      <c r="T113" s="644" t="str">
        <f>IF(
OR(
INDEX('KPI Analysis'!$AH$7:$CM$123,
MATCH($A113,'KPI Analysis'!$AH$7:$AH$123,FALSE),
MATCH(T$8,'KPI Analysis'!$AH$7:$CM$7,FALSE)
)="R",
INDEX('KPI Analysis'!$AH$7:$CM$123,
MATCH($A113,'KPI Analysis'!$AH$7:$AH$123,FALSE),
MATCH(T$8,'KPI Analysis'!$AH$7:$CM$7,FALSE)
)="G",
INDEX('KPI Analysis'!$AH$7:$CM$123,
MATCH($A113,'KPI Analysis'!$AH$7:$AH$123,FALSE),
MATCH(T$8,'KPI Analysis'!$AH$7:$CM$7,FALSE)
)="A"),
INDEX('KPI Analysis'!$AH$7:$CM$123,MATCH($A113,'KPI Analysis'!$AH$7:$AH$123,FALSE),MATCH(T$8,'KPI Analysis'!$AH$7:$CM$7,FALSE)),"")</f>
        <v>G</v>
      </c>
      <c r="U113" s="563">
        <f>IF(INDEX('KPI Analysis'!$CO$7:$EU$123,MATCH($A113,'KPI Analysis'!$CO$7:$CO$123,FALSE),MATCH(T$8,'KPI Analysis'!$CO$7:$EU$7,FALSE))="OD","OD",INDEX('KPI Analysis'!$EW$7:$HC$123,MATCH($A113,'KPI Analysis'!$EW$7:$EW$123,FALSE),MATCH(T$8,'KPI Analysis'!$EW$7:$HC$7,FALSE)))</f>
        <v>0.98</v>
      </c>
      <c r="V113" s="644" t="str">
        <f>IF(
OR(
INDEX('KPI Analysis'!$AH$7:$CM$123,
MATCH($A113,'KPI Analysis'!$AH$7:$AH$123,FALSE),
MATCH(V$8,'KPI Analysis'!$AH$7:$CM$7,FALSE)
)="R",
INDEX('KPI Analysis'!$AH$7:$CM$123,
MATCH($A113,'KPI Analysis'!$AH$7:$AH$123,FALSE),
MATCH(V$8,'KPI Analysis'!$AH$7:$CM$7,FALSE)
)="G",
INDEX('KPI Analysis'!$AH$7:$CM$123,
MATCH($A113,'KPI Analysis'!$AH$7:$AH$123,FALSE),
MATCH(V$8,'KPI Analysis'!$AH$7:$CM$7,FALSE)
)="A"),
INDEX('KPI Analysis'!$AH$7:$CM$123,MATCH($A113,'KPI Analysis'!$AH$7:$AH$123,FALSE),MATCH(V$8,'KPI Analysis'!$AH$7:$CM$7,FALSE)),"")</f>
        <v>G</v>
      </c>
      <c r="W113" s="563">
        <f>IF(INDEX('KPI Analysis'!$CO$7:$EU$123,MATCH($A113,'KPI Analysis'!$CO$7:$CO$123,FALSE),MATCH(V$8,'KPI Analysis'!$CO$7:$EU$7,FALSE))="OD","OD",INDEX('KPI Analysis'!$EW$7:$HC$123,MATCH($A113,'KPI Analysis'!$EW$7:$EW$123,FALSE),MATCH(V$8,'KPI Analysis'!$EW$7:$HC$7,FALSE)))</f>
        <v>0.97</v>
      </c>
      <c r="X113" s="644" t="str">
        <f>IF(
OR(
INDEX('KPI Analysis'!$AH$7:$CM$123,
MATCH($A113,'KPI Analysis'!$AH$7:$AH$123,FALSE),
MATCH(X$8,'KPI Analysis'!$AH$7:$CM$7,FALSE)
)="R",
INDEX('KPI Analysis'!$AH$7:$CM$123,
MATCH($A113,'KPI Analysis'!$AH$7:$AH$123,FALSE),
MATCH(X$8,'KPI Analysis'!$AH$7:$CM$7,FALSE)
)="G",
INDEX('KPI Analysis'!$AH$7:$CM$123,
MATCH($A113,'KPI Analysis'!$AH$7:$AH$123,FALSE),
MATCH(X$8,'KPI Analysis'!$AH$7:$CM$7,FALSE)
)="A"),
INDEX('KPI Analysis'!$AH$7:$CM$123,MATCH($A113,'KPI Analysis'!$AH$7:$AH$123,FALSE),MATCH(X$8,'KPI Analysis'!$AH$7:$CM$7,FALSE)),"")</f>
        <v/>
      </c>
      <c r="Y113" s="563" t="str">
        <f>IF(INDEX('KPI Analysis'!$CO$7:$EU$123,MATCH($A113,'KPI Analysis'!$CO$7:$CO$123,FALSE),MATCH(X$8,'KPI Analysis'!$CO$7:$EU$7,FALSE))="OD","OD",INDEX('KPI Analysis'!$EW$7:$HC$123,MATCH($A113,'KPI Analysis'!$EW$7:$EW$123,FALSE),MATCH(X$8,'KPI Analysis'!$EW$7:$HC$7,FALSE)))</f>
        <v>OD</v>
      </c>
      <c r="Z113" s="148" t="s">
        <v>631</v>
      </c>
      <c r="AC113" s="648" t="s">
        <v>638</v>
      </c>
      <c r="AE113" s="728">
        <f>INDEX('KPI Analysis'!$CO$7:$EU$123,MATCH($A113,'KPI Analysis'!$CO$7:$CO$123,FALSE),MATCH(AE$8,'KPI Analysis'!$CO$7:$EU$7,FALSE))</f>
        <v>102.10526315789474</v>
      </c>
      <c r="AF113" s="728">
        <f>INDEX('KPI Analysis'!$CO$7:$EU$123,MATCH($A113,'KPI Analysis'!$CO$7:$CO$123,FALSE),MATCH(AF$8,'KPI Analysis'!$CO$7:$EU$7,FALSE))</f>
        <v>1.0210526315789474</v>
      </c>
      <c r="AG113" s="728">
        <f>INDEX('KPI Analysis'!$CO$7:$EU$123,MATCH($A113,'KPI Analysis'!$CO$7:$CO$123,FALSE),MATCH(AG$8,'KPI Analysis'!$CO$7:$EU$7,FALSE))</f>
        <v>1.0315789473684212</v>
      </c>
      <c r="AH113" s="728">
        <f>INDEX('KPI Analysis'!$CO$7:$EU$123,MATCH($A113,'KPI Analysis'!$CO$7:$CO$123,FALSE),MATCH(AH$8,'KPI Analysis'!$CO$7:$EU$7,FALSE))</f>
        <v>1.0210526315789474</v>
      </c>
      <c r="AI113" s="728" t="str">
        <f>INDEX('KPI Analysis'!$CO$7:$EU$123,MATCH($A113,'KPI Analysis'!$CO$7:$CO$123,FALSE),MATCH(AI$8,'KPI Analysis'!$CO$7:$EU$7,FALSE))</f>
        <v>OD</v>
      </c>
    </row>
    <row r="114" spans="1:35" x14ac:dyDescent="0.3">
      <c r="A114" t="str">
        <f t="shared" si="0"/>
        <v>IT-KPI Q1</v>
      </c>
      <c r="B114" s="169" t="str">
        <f>+'KPI Stats'!G98</f>
        <v>Under</v>
      </c>
      <c r="C114" s="148" t="str">
        <f>+'KPI Stats'!C98</f>
        <v>KPI Q1</v>
      </c>
      <c r="F114" s="865" t="str">
        <f>+'KPI Stats'!B95</f>
        <v>IT</v>
      </c>
      <c r="G114" s="868" t="str">
        <f>+'KPI Stats'!C95</f>
        <v>Rhian Owen</v>
      </c>
      <c r="H114" s="617" t="s">
        <v>526</v>
      </c>
      <c r="I114" s="465">
        <f>+'KPI Stats'!F95</f>
        <v>42</v>
      </c>
      <c r="J114" s="144" t="str">
        <f>+'KPI Stats'!D98</f>
        <v>Quality</v>
      </c>
      <c r="K114" s="144" t="str">
        <f>+'KPI Stats'!E98</f>
        <v>Employee Satisfaction</v>
      </c>
      <c r="L114" s="145" t="str">
        <f>+'KPI Stats'!F98</f>
        <v>Percentage</v>
      </c>
      <c r="M114" s="137" t="s">
        <v>247</v>
      </c>
      <c r="P114" s="644" t="str">
        <f>IF(
OR(
INDEX('KPI Analysis'!$AH$7:$CM$123,
MATCH($A114,'KPI Analysis'!$AH$7:$AH$123,FALSE),
MATCH(P$8,'KPI Analysis'!$AH$7:$CM$7,FALSE)
)="R",
INDEX('KPI Analysis'!$AH$7:$CM$123,
MATCH($A114,'KPI Analysis'!$AH$7:$AH$123,FALSE),
MATCH(P$8,'KPI Analysis'!$AH$7:$CM$7,FALSE)
)="G",
INDEX('KPI Analysis'!$AH$7:$CM$123,
MATCH($A114,'KPI Analysis'!$AH$7:$AH$123,FALSE),
MATCH(P$8,'KPI Analysis'!$AH$7:$CM$7,FALSE)
)="A"),
INDEX('KPI Analysis'!$AH$7:$CM$123,MATCH($A114,'KPI Analysis'!$AH$7:$AH$123,FALSE),MATCH(P$8,'KPI Analysis'!$AH$7:$CM$7,FALSE)),"")</f>
        <v>G</v>
      </c>
      <c r="Q114" s="563">
        <f>IF(INDEX('KPI Analysis'!$CO$7:$EU$123,MATCH($A114,'KPI Analysis'!$CO$7:$CO$123,FALSE),MATCH(P$8,'KPI Analysis'!$CO$7:$EU$7,FALSE))="OD","OD",INDEX('KPI Analysis'!$EW$7:$HC$123,MATCH($A114,'KPI Analysis'!$EW$7:$EW$123,FALSE),MATCH(P$8,'KPI Analysis'!$EW$7:$HC$7,FALSE)))</f>
        <v>1</v>
      </c>
      <c r="R114" s="644" t="str">
        <f>IF(
OR(
INDEX('KPI Analysis'!$AH$7:$CM$123,
MATCH($A114,'KPI Analysis'!$AH$7:$AH$123,FALSE),
MATCH(R$8,'KPI Analysis'!$AH$7:$CM$7,FALSE)
)="R",
INDEX('KPI Analysis'!$AH$7:$CM$123,
MATCH($A114,'KPI Analysis'!$AH$7:$AH$123,FALSE),
MATCH(R$8,'KPI Analysis'!$AH$7:$CM$7,FALSE)
)="G",
INDEX('KPI Analysis'!$AH$7:$CM$123,
MATCH($A114,'KPI Analysis'!$AH$7:$AH$123,FALSE),
MATCH(R$8,'KPI Analysis'!$AH$7:$CM$7,FALSE)
)="A"),
INDEX('KPI Analysis'!$AH$7:$CM$123,MATCH($A114,'KPI Analysis'!$AH$7:$AH$123,FALSE),MATCH(R$8,'KPI Analysis'!$AH$7:$CM$7,FALSE)),"")</f>
        <v>G</v>
      </c>
      <c r="S114" s="563">
        <f>IF(INDEX('KPI Analysis'!$CO$7:$EU$123,MATCH($A114,'KPI Analysis'!$CO$7:$CO$123,FALSE),MATCH(R$8,'KPI Analysis'!$CO$7:$EU$7,FALSE))="OD","OD",INDEX('KPI Analysis'!$EW$7:$HC$123,MATCH($A114,'KPI Analysis'!$EW$7:$EW$123,FALSE),MATCH(R$8,'KPI Analysis'!$EW$7:$HC$7,FALSE)))</f>
        <v>1</v>
      </c>
      <c r="T114" s="644" t="str">
        <f>IF(
OR(
INDEX('KPI Analysis'!$AH$7:$CM$123,
MATCH($A114,'KPI Analysis'!$AH$7:$AH$123,FALSE),
MATCH(T$8,'KPI Analysis'!$AH$7:$CM$7,FALSE)
)="R",
INDEX('KPI Analysis'!$AH$7:$CM$123,
MATCH($A114,'KPI Analysis'!$AH$7:$AH$123,FALSE),
MATCH(T$8,'KPI Analysis'!$AH$7:$CM$7,FALSE)
)="G",
INDEX('KPI Analysis'!$AH$7:$CM$123,
MATCH($A114,'KPI Analysis'!$AH$7:$AH$123,FALSE),
MATCH(T$8,'KPI Analysis'!$AH$7:$CM$7,FALSE)
)="A"),
INDEX('KPI Analysis'!$AH$7:$CM$123,MATCH($A114,'KPI Analysis'!$AH$7:$AH$123,FALSE),MATCH(T$8,'KPI Analysis'!$AH$7:$CM$7,FALSE)),"")</f>
        <v>G</v>
      </c>
      <c r="U114" s="563">
        <f>IF(INDEX('KPI Analysis'!$CO$7:$EU$123,MATCH($A114,'KPI Analysis'!$CO$7:$CO$123,FALSE),MATCH(T$8,'KPI Analysis'!$CO$7:$EU$7,FALSE))="OD","OD",INDEX('KPI Analysis'!$EW$7:$HC$123,MATCH($A114,'KPI Analysis'!$EW$7:$EW$123,FALSE),MATCH(T$8,'KPI Analysis'!$EW$7:$HC$7,FALSE)))</f>
        <v>1</v>
      </c>
      <c r="V114" s="644" t="str">
        <f>IF(
OR(
INDEX('KPI Analysis'!$AH$7:$CM$123,
MATCH($A114,'KPI Analysis'!$AH$7:$AH$123,FALSE),
MATCH(V$8,'KPI Analysis'!$AH$7:$CM$7,FALSE)
)="R",
INDEX('KPI Analysis'!$AH$7:$CM$123,
MATCH($A114,'KPI Analysis'!$AH$7:$AH$123,FALSE),
MATCH(V$8,'KPI Analysis'!$AH$7:$CM$7,FALSE)
)="G",
INDEX('KPI Analysis'!$AH$7:$CM$123,
MATCH($A114,'KPI Analysis'!$AH$7:$AH$123,FALSE),
MATCH(V$8,'KPI Analysis'!$AH$7:$CM$7,FALSE)
)="A"),
INDEX('KPI Analysis'!$AH$7:$CM$123,MATCH($A114,'KPI Analysis'!$AH$7:$AH$123,FALSE),MATCH(V$8,'KPI Analysis'!$AH$7:$CM$7,FALSE)),"")</f>
        <v>G</v>
      </c>
      <c r="W114" s="563">
        <f>IF(INDEX('KPI Analysis'!$CO$7:$EU$123,MATCH($A114,'KPI Analysis'!$CO$7:$CO$123,FALSE),MATCH(V$8,'KPI Analysis'!$CO$7:$EU$7,FALSE))="OD","OD",INDEX('KPI Analysis'!$EW$7:$HC$123,MATCH($A114,'KPI Analysis'!$EW$7:$EW$123,FALSE),MATCH(V$8,'KPI Analysis'!$EW$7:$HC$7,FALSE)))</f>
        <v>1</v>
      </c>
      <c r="X114" s="644" t="str">
        <f>IF(
OR(
INDEX('KPI Analysis'!$AH$7:$CM$123,
MATCH($A114,'KPI Analysis'!$AH$7:$AH$123,FALSE),
MATCH(X$8,'KPI Analysis'!$AH$7:$CM$7,FALSE)
)="R",
INDEX('KPI Analysis'!$AH$7:$CM$123,
MATCH($A114,'KPI Analysis'!$AH$7:$AH$123,FALSE),
MATCH(X$8,'KPI Analysis'!$AH$7:$CM$7,FALSE)
)="G",
INDEX('KPI Analysis'!$AH$7:$CM$123,
MATCH($A114,'KPI Analysis'!$AH$7:$AH$123,FALSE),
MATCH(X$8,'KPI Analysis'!$AH$7:$CM$7,FALSE)
)="A"),
INDEX('KPI Analysis'!$AH$7:$CM$123,MATCH($A114,'KPI Analysis'!$AH$7:$AH$123,FALSE),MATCH(X$8,'KPI Analysis'!$AH$7:$CM$7,FALSE)),"")</f>
        <v/>
      </c>
      <c r="Y114" s="563" t="str">
        <f>IF(INDEX('KPI Analysis'!$CO$7:$EU$123,MATCH($A114,'KPI Analysis'!$CO$7:$CO$123,FALSE),MATCH(X$8,'KPI Analysis'!$CO$7:$EU$7,FALSE))="OD","OD",INDEX('KPI Analysis'!$EW$7:$HC$123,MATCH($A114,'KPI Analysis'!$EW$7:$EW$123,FALSE),MATCH(X$8,'KPI Analysis'!$EW$7:$HC$7,FALSE)))</f>
        <v>OD</v>
      </c>
      <c r="Z114" s="148" t="s">
        <v>632</v>
      </c>
      <c r="AC114" s="648" t="s">
        <v>638</v>
      </c>
      <c r="AE114" s="728">
        <f>INDEX('KPI Analysis'!$CO$7:$EU$123,MATCH($A114,'KPI Analysis'!$CO$7:$CO$123,FALSE),MATCH(AE$8,'KPI Analysis'!$CO$7:$EU$7,FALSE))</f>
        <v>1.4285714285714286</v>
      </c>
      <c r="AF114" s="728">
        <f>INDEX('KPI Analysis'!$CO$7:$EU$123,MATCH($A114,'KPI Analysis'!$CO$7:$CO$123,FALSE),MATCH(AF$8,'KPI Analysis'!$CO$7:$EU$7,FALSE))</f>
        <v>1.4285714285714286</v>
      </c>
      <c r="AG114" s="728">
        <f>INDEX('KPI Analysis'!$CO$7:$EU$123,MATCH($A114,'KPI Analysis'!$CO$7:$CO$123,FALSE),MATCH(AG$8,'KPI Analysis'!$CO$7:$EU$7,FALSE))</f>
        <v>1.4285714285714286</v>
      </c>
      <c r="AH114" s="728">
        <f>INDEX('KPI Analysis'!$CO$7:$EU$123,MATCH($A114,'KPI Analysis'!$CO$7:$CO$123,FALSE),MATCH(AH$8,'KPI Analysis'!$CO$7:$EU$7,FALSE))</f>
        <v>1.4285714285714286</v>
      </c>
      <c r="AI114" s="728" t="str">
        <f>INDEX('KPI Analysis'!$CO$7:$EU$123,MATCH($A114,'KPI Analysis'!$CO$7:$CO$123,FALSE),MATCH(AI$8,'KPI Analysis'!$CO$7:$EU$7,FALSE))</f>
        <v>OD</v>
      </c>
    </row>
    <row r="115" spans="1:35" ht="15" thickBot="1" x14ac:dyDescent="0.35">
      <c r="A115" t="str">
        <f t="shared" si="0"/>
        <v>IT-KPI C1</v>
      </c>
      <c r="B115" s="170" t="str">
        <f>+'KPI Stats'!G99</f>
        <v>Above Zero</v>
      </c>
      <c r="C115" s="149" t="str">
        <f>+'KPI Stats'!C99</f>
        <v>KPI C1</v>
      </c>
      <c r="F115" s="866" t="str">
        <f>+'KPI Stats'!B95</f>
        <v>IT</v>
      </c>
      <c r="G115" s="869" t="str">
        <f>+'KPI Stats'!C95</f>
        <v>Rhian Owen</v>
      </c>
      <c r="H115" s="296" t="s">
        <v>526</v>
      </c>
      <c r="I115" s="398">
        <f>+'KPI Stats'!F95</f>
        <v>42</v>
      </c>
      <c r="J115" s="146" t="str">
        <f>+'KPI Stats'!D99</f>
        <v>Cost</v>
      </c>
      <c r="K115" s="146" t="str">
        <f>+'KPI Stats'!E99</f>
        <v>Unbudgeted Spend</v>
      </c>
      <c r="L115" s="147" t="str">
        <f>+'KPI Stats'!F99</f>
        <v>£</v>
      </c>
      <c r="M115" s="140" t="s">
        <v>247</v>
      </c>
      <c r="P115" s="578" t="str">
        <f>IF(
OR(
INDEX('KPI Analysis'!$AH$7:$CM$123,
MATCH($A115,'KPI Analysis'!$AH$7:$AH$123,FALSE),
MATCH(P$8,'KPI Analysis'!$AH$7:$CM$7,FALSE)
)="R",
INDEX('KPI Analysis'!$AH$7:$CM$123,
MATCH($A115,'KPI Analysis'!$AH$7:$AH$123,FALSE),
MATCH(P$8,'KPI Analysis'!$AH$7:$CM$7,FALSE)
)="G",
INDEX('KPI Analysis'!$AH$7:$CM$123,
MATCH($A115,'KPI Analysis'!$AH$7:$AH$123,FALSE),
MATCH(P$8,'KPI Analysis'!$AH$7:$CM$7,FALSE)
)="A"),
INDEX('KPI Analysis'!$AH$7:$CM$123,MATCH($A115,'KPI Analysis'!$AH$7:$AH$123,FALSE),MATCH(P$8,'KPI Analysis'!$AH$7:$CM$7,FALSE)),"")</f>
        <v>R</v>
      </c>
      <c r="Q115" s="646">
        <f>IF(INDEX('KPI Analysis'!$CO$7:$EU$123,MATCH($A115,'KPI Analysis'!$CO$7:$CO$123,FALSE),MATCH(P$8,'KPI Analysis'!$CO$7:$EU$7,FALSE))="OD","OD",INDEX('KPI Analysis'!$EW$7:$HC$123,MATCH($A115,'KPI Analysis'!$EW$7:$EW$123,FALSE),MATCH(P$8,'KPI Analysis'!$EW$7:$HC$7,FALSE)))</f>
        <v>3192</v>
      </c>
      <c r="R115" s="645" t="str">
        <f>IF(
OR(
INDEX('KPI Analysis'!$AH$7:$CM$123,
MATCH($A115,'KPI Analysis'!$AH$7:$AH$123,FALSE),
MATCH(R$8,'KPI Analysis'!$AH$7:$CM$7,FALSE)
)="R",
INDEX('KPI Analysis'!$AH$7:$CM$123,
MATCH($A115,'KPI Analysis'!$AH$7:$AH$123,FALSE),
MATCH(R$8,'KPI Analysis'!$AH$7:$CM$7,FALSE)
)="G",
INDEX('KPI Analysis'!$AH$7:$CM$123,
MATCH($A115,'KPI Analysis'!$AH$7:$AH$123,FALSE),
MATCH(R$8,'KPI Analysis'!$AH$7:$CM$7,FALSE)
)="A"),
INDEX('KPI Analysis'!$AH$7:$CM$123,MATCH($A115,'KPI Analysis'!$AH$7:$AH$123,FALSE),MATCH(R$8,'KPI Analysis'!$AH$7:$CM$7,FALSE)),"")</f>
        <v>R</v>
      </c>
      <c r="S115" s="646">
        <f>IF(INDEX('KPI Analysis'!$CO$7:$EU$123,MATCH($A115,'KPI Analysis'!$CO$7:$CO$123,FALSE),MATCH(R$8,'KPI Analysis'!$CO$7:$EU$7,FALSE))="OD","OD",INDEX('KPI Analysis'!$EW$7:$HC$123,MATCH($A115,'KPI Analysis'!$EW$7:$EW$123,FALSE),MATCH(R$8,'KPI Analysis'!$EW$7:$HC$7,FALSE)))</f>
        <v>149</v>
      </c>
      <c r="T115" s="645" t="str">
        <f>IF(
OR(
INDEX('KPI Analysis'!$AH$7:$CM$123,
MATCH($A115,'KPI Analysis'!$AH$7:$AH$123,FALSE),
MATCH(T$8,'KPI Analysis'!$AH$7:$CM$7,FALSE)
)="R",
INDEX('KPI Analysis'!$AH$7:$CM$123,
MATCH($A115,'KPI Analysis'!$AH$7:$AH$123,FALSE),
MATCH(T$8,'KPI Analysis'!$AH$7:$CM$7,FALSE)
)="G",
INDEX('KPI Analysis'!$AH$7:$CM$123,
MATCH($A115,'KPI Analysis'!$AH$7:$AH$123,FALSE),
MATCH(T$8,'KPI Analysis'!$AH$7:$CM$7,FALSE)
)="A"),
INDEX('KPI Analysis'!$AH$7:$CM$123,MATCH($A115,'KPI Analysis'!$AH$7:$AH$123,FALSE),MATCH(T$8,'KPI Analysis'!$AH$7:$CM$7,FALSE)),"")</f>
        <v>R</v>
      </c>
      <c r="U115" s="646">
        <f>IF(INDEX('KPI Analysis'!$CO$7:$EU$123,MATCH($A115,'KPI Analysis'!$CO$7:$CO$123,FALSE),MATCH(T$8,'KPI Analysis'!$CO$7:$EU$7,FALSE))="OD","OD",INDEX('KPI Analysis'!$EW$7:$HC$123,MATCH($A115,'KPI Analysis'!$EW$7:$EW$123,FALSE),MATCH(T$8,'KPI Analysis'!$EW$7:$HC$7,FALSE)))</f>
        <v>2254</v>
      </c>
      <c r="V115" s="645" t="str">
        <f>IF(
OR(
INDEX('KPI Analysis'!$AH$7:$CM$123,
MATCH($A115,'KPI Analysis'!$AH$7:$AH$123,FALSE),
MATCH(V$8,'KPI Analysis'!$AH$7:$CM$7,FALSE)
)="R",
INDEX('KPI Analysis'!$AH$7:$CM$123,
MATCH($A115,'KPI Analysis'!$AH$7:$AH$123,FALSE),
MATCH(V$8,'KPI Analysis'!$AH$7:$CM$7,FALSE)
)="G",
INDEX('KPI Analysis'!$AH$7:$CM$123,
MATCH($A115,'KPI Analysis'!$AH$7:$AH$123,FALSE),
MATCH(V$8,'KPI Analysis'!$AH$7:$CM$7,FALSE)
)="A"),
INDEX('KPI Analysis'!$AH$7:$CM$123,MATCH($A115,'KPI Analysis'!$AH$7:$AH$123,FALSE),MATCH(V$8,'KPI Analysis'!$AH$7:$CM$7,FALSE)),"")</f>
        <v>G</v>
      </c>
      <c r="W115" s="646">
        <f>IF(INDEX('KPI Analysis'!$CO$7:$EU$123,MATCH($A115,'KPI Analysis'!$CO$7:$CO$123,FALSE),MATCH(V$8,'KPI Analysis'!$CO$7:$EU$7,FALSE))="OD","OD",INDEX('KPI Analysis'!$EW$7:$HC$123,MATCH($A115,'KPI Analysis'!$EW$7:$EW$123,FALSE),MATCH(V$8,'KPI Analysis'!$EW$7:$HC$7,FALSE)))</f>
        <v>0</v>
      </c>
      <c r="X115" s="645" t="str">
        <f>IF(
OR(
INDEX('KPI Analysis'!$AH$7:$CM$123,
MATCH($A115,'KPI Analysis'!$AH$7:$AH$123,FALSE),
MATCH(X$8,'KPI Analysis'!$AH$7:$CM$7,FALSE)
)="R",
INDEX('KPI Analysis'!$AH$7:$CM$123,
MATCH($A115,'KPI Analysis'!$AH$7:$AH$123,FALSE),
MATCH(X$8,'KPI Analysis'!$AH$7:$CM$7,FALSE)
)="G",
INDEX('KPI Analysis'!$AH$7:$CM$123,
MATCH($A115,'KPI Analysis'!$AH$7:$AH$123,FALSE),
MATCH(X$8,'KPI Analysis'!$AH$7:$CM$7,FALSE)
)="A"),
INDEX('KPI Analysis'!$AH$7:$CM$123,MATCH($A115,'KPI Analysis'!$AH$7:$AH$123,FALSE),MATCH(X$8,'KPI Analysis'!$AH$7:$CM$7,FALSE)),"")</f>
        <v/>
      </c>
      <c r="Y115" s="690" t="str">
        <f>IF(INDEX('KPI Analysis'!$CO$7:$EU$123,MATCH($A115,'KPI Analysis'!$CO$7:$CO$123,FALSE),MATCH(X$8,'KPI Analysis'!$CO$7:$EU$7,FALSE))="OD","OD",INDEX('KPI Analysis'!$EW$7:$HC$123,MATCH($A115,'KPI Analysis'!$EW$7:$EW$123,FALSE),MATCH(X$8,'KPI Analysis'!$EW$7:$HC$7,FALSE)))</f>
        <v>OD</v>
      </c>
      <c r="Z115" s="149" t="s">
        <v>672</v>
      </c>
      <c r="AC115" s="648" t="s">
        <v>638</v>
      </c>
      <c r="AE115" s="487">
        <f>INDEX('KPI Analysis'!$CO$7:$EU$123,MATCH($A115,'KPI Analysis'!$CO$7:$CO$123,FALSE),MATCH(AE$8,'KPI Analysis'!$CO$7:$EU$7,FALSE))</f>
        <v>3192</v>
      </c>
      <c r="AF115" s="487">
        <f>INDEX('KPI Analysis'!$CO$7:$EU$123,MATCH($A115,'KPI Analysis'!$CO$7:$CO$123,FALSE),MATCH(AF$8,'KPI Analysis'!$CO$7:$EU$7,FALSE))</f>
        <v>149</v>
      </c>
      <c r="AG115" s="487">
        <f>INDEX('KPI Analysis'!$CO$7:$EU$123,MATCH($A115,'KPI Analysis'!$CO$7:$CO$123,FALSE),MATCH(AG$8,'KPI Analysis'!$CO$7:$EU$7,FALSE))</f>
        <v>2254</v>
      </c>
      <c r="AH115" s="487">
        <f>INDEX('KPI Analysis'!$CO$7:$EU$123,MATCH($A115,'KPI Analysis'!$CO$7:$CO$123,FALSE),MATCH(AH$8,'KPI Analysis'!$CO$7:$EU$7,FALSE))</f>
        <v>0</v>
      </c>
      <c r="AI115" s="487" t="str">
        <f>INDEX('KPI Analysis'!$CO$7:$EU$123,MATCH($A115,'KPI Analysis'!$CO$7:$CO$123,FALSE),MATCH(AI$8,'KPI Analysis'!$CO$7:$EU$7,FALSE))</f>
        <v>OD</v>
      </c>
    </row>
    <row r="116" spans="1:35" ht="15.6" x14ac:dyDescent="0.3">
      <c r="H116"/>
      <c r="P116" s="604"/>
      <c r="X116" s="689"/>
    </row>
    <row r="117" spans="1:35" ht="15" thickBot="1" x14ac:dyDescent="0.35">
      <c r="H117"/>
    </row>
    <row r="118" spans="1:35" x14ac:dyDescent="0.3">
      <c r="A118" t="str">
        <f t="shared" si="0"/>
        <v>Marketing-KPI P1</v>
      </c>
      <c r="B118" s="168" t="str">
        <f>+'KPI Stats'!G102</f>
        <v>Under</v>
      </c>
      <c r="C118" s="141" t="str">
        <f>+'KPI Stats'!C102</f>
        <v>KPI P1</v>
      </c>
      <c r="F118" s="864" t="str">
        <f>+'KPI Stats'!B101</f>
        <v>Marketing</v>
      </c>
      <c r="G118" s="867" t="str">
        <f>+'KPI Stats'!C101</f>
        <v>Katherine Sanganee</v>
      </c>
      <c r="H118" s="616" t="s">
        <v>526</v>
      </c>
      <c r="I118" s="466">
        <f>+'KPI Stats'!F101</f>
        <v>42</v>
      </c>
      <c r="J118" s="142" t="str">
        <f>+'KPI Stats'!D102</f>
        <v>Productivity</v>
      </c>
      <c r="K118" s="142" t="str">
        <f>+'KPI Stats'!E102</f>
        <v>Tasks complete per week</v>
      </c>
      <c r="L118" s="143" t="str">
        <f>+'KPI Stats'!F102</f>
        <v>Count</v>
      </c>
      <c r="M118" s="511" t="s">
        <v>247</v>
      </c>
      <c r="P118" s="576" t="str">
        <f>INDEX('KPI Analysis'!$AH$7:$CM$123,MATCH($A118,'KPI Analysis'!$AH$7:$AH$123,FALSE),MATCH(P$8,'KPI Analysis'!$AH$7:$CM$7,FALSE))</f>
        <v>G</v>
      </c>
      <c r="Q118" s="631">
        <f>INDEX('KPI Analysis'!$EW$7:$HC$123,MATCH($A118,'KPI Analysis'!$EW$7:$EW$123,FALSE),MATCH(P$8,'KPI Analysis'!$EW$7:$HC$7,FALSE))</f>
        <v>11</v>
      </c>
      <c r="R118" s="579" t="str">
        <f>IF(INDEX('KPI Analysis'!$AH$7:$CM$123,MATCH($A118,'KPI Analysis'!$AH$7:$AH$123,FALSE),MATCH(R$8,'KPI Analysis'!$AH$7:$CM$7,FALSE))="OD","",INDEX('KPI Analysis'!$AH$7:$CM$123,MATCH($A118,'KPI Analysis'!$AH$7:$AH$123,FALSE),MATCH(R$8,'KPI Analysis'!$AH$7:$CM$7,FALSE)))</f>
        <v>G</v>
      </c>
      <c r="S118" s="631">
        <f>INDEX('KPI Analysis'!$EW$7:$HC$123,MATCH($A118,'KPI Analysis'!$EW$7:$EW$123,FALSE),MATCH(R$8,'KPI Analysis'!$EW$7:$HC$7,FALSE))</f>
        <v>6</v>
      </c>
      <c r="T118" s="579" t="str">
        <f>IF(INDEX('KPI Analysis'!$AH$7:$CM$123,MATCH($A118,'KPI Analysis'!$AH$7:$AH$123,FALSE),MATCH(T$8,'KPI Analysis'!$AH$7:$CM$7,FALSE))="OD","",INDEX('KPI Analysis'!$AH$7:$CM$123,MATCH($A118,'KPI Analysis'!$AH$7:$AH$123,FALSE),MATCH(T$8,'KPI Analysis'!$AH$7:$CM$7,FALSE)))</f>
        <v>G</v>
      </c>
      <c r="U118" s="631">
        <f>INDEX('KPI Analysis'!$EW$7:$HC$123,MATCH($A118,'KPI Analysis'!$EW$7:$EW$123,FALSE),MATCH(T$8,'KPI Analysis'!$EW$7:$HC$7,FALSE))</f>
        <v>9</v>
      </c>
      <c r="V118" s="579" t="str">
        <f>IF(INDEX('KPI Analysis'!$AH$7:$CM$123,MATCH($A118,'KPI Analysis'!$AH$7:$AH$123,FALSE),MATCH(V$8,'KPI Analysis'!$AH$7:$CM$7,FALSE))="OD","",INDEX('KPI Analysis'!$AH$7:$CM$123,MATCH($A118,'KPI Analysis'!$AH$7:$AH$123,FALSE),MATCH(V$8,'KPI Analysis'!$AH$7:$CM$7,FALSE)))</f>
        <v>G</v>
      </c>
      <c r="W118" s="631">
        <f>IF(INDEX('KPI Analysis'!$CO$7:$EU$123,MATCH($A118,'KPI Analysis'!$CO$7:$CO$123,FALSE),MATCH(V$8,'KPI Analysis'!$CO$7:$EU$7,FALSE))="OD","OD",INDEX('KPI Analysis'!$EW$7:$HC$123,MATCH($A118,'KPI Analysis'!$EW$7:$EW$123,FALSE),MATCH(V$8,'KPI Analysis'!$EW$7:$HC$7,FALSE)))</f>
        <v>9</v>
      </c>
      <c r="X118" s="579" t="str">
        <f>IF(INDEX('KPI Analysis'!$AH$7:$CM$123,MATCH($A118,'KPI Analysis'!$AH$7:$AH$123,FALSE),MATCH(X$8,'KPI Analysis'!$AH$7:$CM$7,FALSE))="OD","",INDEX('KPI Analysis'!$AH$7:$CM$123,MATCH($A118,'KPI Analysis'!$AH$7:$AH$123,FALSE),MATCH(X$8,'KPI Analysis'!$AH$7:$CM$7,FALSE)))</f>
        <v>G</v>
      </c>
      <c r="Y118" s="631">
        <f>IF(INDEX('KPI Analysis'!$CO$7:$EU$123,MATCH($A118,'KPI Analysis'!$CO$7:$CO$123,FALSE),MATCH(X$8,'KPI Analysis'!$CO$7:$EU$7,FALSE))="OD","OD",INDEX('KPI Analysis'!$EW$7:$HC$123,MATCH($A118,'KPI Analysis'!$EW$7:$EW$123,FALSE),MATCH(X$8,'KPI Analysis'!$EW$7:$HC$7,FALSE)))</f>
        <v>8</v>
      </c>
      <c r="Z118" s="141"/>
      <c r="AC118" s="648" t="s">
        <v>638</v>
      </c>
      <c r="AE118" s="522">
        <f>INDEX('KPI Analysis'!$CO$7:$EU$123,MATCH($A118,'KPI Analysis'!$CO$7:$CO$123,FALSE),MATCH(AE$8,'KPI Analysis'!$CO$7:$EU$7,FALSE))</f>
        <v>2.2000000000000002</v>
      </c>
      <c r="AF118" s="523">
        <f>INDEX('KPI Analysis'!$CO$7:$EU$123,MATCH($A118,'KPI Analysis'!$CO$7:$CO$123,FALSE),MATCH(AF$8,'KPI Analysis'!$CO$7:$EU$7,FALSE))</f>
        <v>1.2</v>
      </c>
      <c r="AG118" s="523">
        <f>INDEX('KPI Analysis'!$CO$7:$EU$123,MATCH($A118,'KPI Analysis'!$CO$7:$CO$123,FALSE),MATCH(AG$8,'KPI Analysis'!$CO$7:$EU$7,FALSE))</f>
        <v>2.25</v>
      </c>
      <c r="AH118" s="523">
        <f>INDEX('KPI Analysis'!$CO$7:$EU$123,MATCH($A118,'KPI Analysis'!$CO$7:$CO$123,FALSE),MATCH(AH$8,'KPI Analysis'!$CO$7:$EU$7,FALSE))</f>
        <v>2.25</v>
      </c>
      <c r="AI118" s="523">
        <f>INDEX('KPI Analysis'!$CO$7:$EU$123,MATCH($A118,'KPI Analysis'!$CO$7:$CO$123,FALSE),MATCH(AI$8,'KPI Analysis'!$CO$7:$EU$7,FALSE))</f>
        <v>1.6</v>
      </c>
    </row>
    <row r="119" spans="1:35" x14ac:dyDescent="0.3">
      <c r="A119" t="str">
        <f t="shared" si="0"/>
        <v>Marketing-KPI D1</v>
      </c>
      <c r="B119" s="169" t="str">
        <f>+'KPI Stats'!G103</f>
        <v>Under</v>
      </c>
      <c r="C119" s="148" t="str">
        <f>+'KPI Stats'!C103</f>
        <v>KPI D1</v>
      </c>
      <c r="F119" s="865" t="str">
        <f>+'KPI Stats'!B101</f>
        <v>Marketing</v>
      </c>
      <c r="G119" s="868" t="str">
        <f>+'KPI Stats'!C101</f>
        <v>Katherine Sanganee</v>
      </c>
      <c r="H119" s="617" t="s">
        <v>526</v>
      </c>
      <c r="I119" s="465">
        <f>+'KPI Stats'!F101</f>
        <v>42</v>
      </c>
      <c r="J119" s="144" t="str">
        <f>+'KPI Stats'!D103</f>
        <v>Delivery</v>
      </c>
      <c r="K119" s="144" t="str">
        <f>+'KPI Stats'!E103</f>
        <v>Tasks completed on Time</v>
      </c>
      <c r="L119" s="145" t="str">
        <f>+'KPI Stats'!F103</f>
        <v>Percentage</v>
      </c>
      <c r="M119" s="510" t="s">
        <v>247</v>
      </c>
      <c r="P119" s="577" t="str">
        <f>INDEX('KPI Analysis'!$AH$7:$CM$123,MATCH($A119,'KPI Analysis'!$AH$7:$AH$123,FALSE),MATCH(P$8,'KPI Analysis'!$AH$7:$CM$7,FALSE))</f>
        <v>G</v>
      </c>
      <c r="Q119" s="563">
        <f>INDEX('KPI Analysis'!$EW$7:$HC$123,MATCH($A119,'KPI Analysis'!$EW$7:$EW$123,FALSE),MATCH(P$8,'KPI Analysis'!$EW$7:$HC$7,FALSE))/100</f>
        <v>1</v>
      </c>
      <c r="R119" s="581" t="str">
        <f>IF(INDEX('KPI Analysis'!$AH$7:$CM$123,MATCH($A119,'KPI Analysis'!$AH$7:$AH$123,FALSE),MATCH(R$8,'KPI Analysis'!$AH$7:$CM$7,FALSE))="OD","",INDEX('KPI Analysis'!$AH$7:$CM$123,MATCH($A119,'KPI Analysis'!$AH$7:$AH$123,FALSE),MATCH(R$8,'KPI Analysis'!$AH$7:$CM$7,FALSE)))</f>
        <v>R</v>
      </c>
      <c r="S119" s="563">
        <f>INDEX('KPI Analysis'!$EW$7:$HC$123,MATCH($A119,'KPI Analysis'!$EW$7:$EW$123,FALSE),MATCH(R$8,'KPI Analysis'!$EW$7:$HC$7,FALSE))/100</f>
        <v>0.6</v>
      </c>
      <c r="T119" s="581" t="str">
        <f>IF(INDEX('KPI Analysis'!$AH$7:$CM$123,MATCH($A119,'KPI Analysis'!$AH$7:$AH$123,FALSE),MATCH(T$8,'KPI Analysis'!$AH$7:$CM$7,FALSE))="OD","",INDEX('KPI Analysis'!$AH$7:$CM$123,MATCH($A119,'KPI Analysis'!$AH$7:$AH$123,FALSE),MATCH(T$8,'KPI Analysis'!$AH$7:$CM$7,FALSE)))</f>
        <v>G</v>
      </c>
      <c r="U119" s="563">
        <f>INDEX('KPI Analysis'!$EW$7:$HC$123,MATCH($A119,'KPI Analysis'!$EW$7:$EW$123,FALSE),MATCH(T$8,'KPI Analysis'!$EW$7:$HC$7,FALSE))/100</f>
        <v>1</v>
      </c>
      <c r="V119" s="581" t="str">
        <f>IF(INDEX('KPI Analysis'!$AH$7:$CM$123,MATCH($A119,'KPI Analysis'!$AH$7:$AH$123,FALSE),MATCH(V$8,'KPI Analysis'!$AH$7:$CM$7,FALSE))="OD","",INDEX('KPI Analysis'!$AH$7:$CM$123,MATCH($A119,'KPI Analysis'!$AH$7:$AH$123,FALSE),MATCH(V$8,'KPI Analysis'!$AH$7:$CM$7,FALSE)))</f>
        <v>G</v>
      </c>
      <c r="W119" s="563">
        <f>IF(INDEX('KPI Analysis'!$CO$7:$EU$123,MATCH($A119,'KPI Analysis'!$CO$7:$CO$123,FALSE),MATCH(V$8,'KPI Analysis'!$CO$7:$EU$7,FALSE))="OD","OD",IFERROR(INDEX('KPI Analysis'!$EW$7:$HC$123,MATCH($A119,'KPI Analysis'!$EW$7:$EW$123,FALSE),MATCH(V$8,'KPI Analysis'!$EW$7:$HC$7,FALSE))/100,"OD"))</f>
        <v>1</v>
      </c>
      <c r="X119" s="581" t="str">
        <f>IF(INDEX('KPI Analysis'!$AH$7:$CM$123,MATCH($A119,'KPI Analysis'!$AH$7:$AH$123,FALSE),MATCH(X$8,'KPI Analysis'!$AH$7:$CM$7,FALSE))="OD","",INDEX('KPI Analysis'!$AH$7:$CM$123,MATCH($A119,'KPI Analysis'!$AH$7:$AH$123,FALSE),MATCH(X$8,'KPI Analysis'!$AH$7:$CM$7,FALSE)))</f>
        <v>G</v>
      </c>
      <c r="Y119" s="563">
        <f>IF(INDEX('KPI Analysis'!$CO$7:$EU$123,MATCH($A119,'KPI Analysis'!$CO$7:$CO$123,FALSE),MATCH(X$8,'KPI Analysis'!$CO$7:$EU$7,FALSE))="OD","OD",IFERROR(INDEX('KPI Analysis'!$EW$7:$HC$123,MATCH($A119,'KPI Analysis'!$EW$7:$EW$123,FALSE),MATCH(X$8,'KPI Analysis'!$EW$7:$HC$7,FALSE))/100,"OD"))</f>
        <v>1</v>
      </c>
      <c r="Z119" s="148"/>
      <c r="AC119" s="648" t="s">
        <v>638</v>
      </c>
      <c r="AE119" s="524">
        <f>INDEX('KPI Analysis'!$CO$7:$EU$123,MATCH($A119,'KPI Analysis'!$CO$7:$CO$123,FALSE),MATCH(AE$8,'KPI Analysis'!$CO$7:$EU$7,FALSE))</f>
        <v>1</v>
      </c>
      <c r="AF119" s="525">
        <f>INDEX('KPI Analysis'!$CO$7:$EU$123,MATCH($A119,'KPI Analysis'!$CO$7:$CO$123,FALSE),MATCH(AF$8,'KPI Analysis'!$CO$7:$EU$7,FALSE))</f>
        <v>0.6</v>
      </c>
      <c r="AG119" s="525">
        <f>INDEX('KPI Analysis'!$CO$7:$EU$123,MATCH($A119,'KPI Analysis'!$CO$7:$CO$123,FALSE),MATCH(AG$8,'KPI Analysis'!$CO$7:$EU$7,FALSE))</f>
        <v>1</v>
      </c>
      <c r="AH119" s="525">
        <f>INDEX('KPI Analysis'!$CO$7:$EU$123,MATCH($A119,'KPI Analysis'!$CO$7:$CO$123,FALSE),MATCH(AH$8,'KPI Analysis'!$CO$7:$EU$7,FALSE))</f>
        <v>1</v>
      </c>
      <c r="AI119" s="525">
        <f>INDEX('KPI Analysis'!$CO$7:$EU$123,MATCH($A119,'KPI Analysis'!$CO$7:$CO$123,FALSE),MATCH(AI$8,'KPI Analysis'!$CO$7:$EU$7,FALSE))</f>
        <v>1</v>
      </c>
    </row>
    <row r="120" spans="1:35" x14ac:dyDescent="0.3">
      <c r="A120" t="str">
        <f t="shared" ref="A120:A130" si="4">F120&amp;"-"&amp;C120</f>
        <v>Marketing-KPI Q1</v>
      </c>
      <c r="B120" s="169" t="str">
        <f>+'KPI Stats'!G104</f>
        <v>Above Zero</v>
      </c>
      <c r="C120" s="148" t="str">
        <f>+'KPI Stats'!C104</f>
        <v>KPI Q1</v>
      </c>
      <c r="F120" s="865" t="str">
        <f>+'KPI Stats'!B101</f>
        <v>Marketing</v>
      </c>
      <c r="G120" s="868" t="str">
        <f>+'KPI Stats'!C101</f>
        <v>Katherine Sanganee</v>
      </c>
      <c r="H120" s="617" t="s">
        <v>526</v>
      </c>
      <c r="I120" s="465">
        <f>+'KPI Stats'!F101</f>
        <v>42</v>
      </c>
      <c r="J120" s="144" t="str">
        <f>+'KPI Stats'!D104</f>
        <v>Quality</v>
      </c>
      <c r="K120" s="144" t="str">
        <f>+'KPI Stats'!E104</f>
        <v>Content Issues found</v>
      </c>
      <c r="L120" s="145" t="str">
        <f>+'KPI Stats'!F104</f>
        <v>Count</v>
      </c>
      <c r="M120" s="510" t="str">
        <f>INDEX('KPI Analysis'!$CO$7:$EU$123,MATCH($A120,'KPI Analysis'!$CO$7:$CO$123,FALSE),MATCH(M$8,'KPI Analysis'!$CO$7:$EU$7,FALSE))</f>
        <v>Act Result</v>
      </c>
      <c r="P120" s="577" t="str">
        <f>INDEX('KPI Analysis'!$AH$7:$CM$123,MATCH($A120,'KPI Analysis'!$AH$7:$AH$123,FALSE),MATCH(P$8,'KPI Analysis'!$AH$7:$CM$7,FALSE))</f>
        <v>G</v>
      </c>
      <c r="Q120" s="567">
        <f>INDEX('KPI Analysis'!$EW$7:$HC$123,MATCH($A120,'KPI Analysis'!$EW$7:$EW$123,FALSE),MATCH(P$8,'KPI Analysis'!$EW$7:$HC$7,FALSE))</f>
        <v>0</v>
      </c>
      <c r="R120" s="581" t="str">
        <f>IF(INDEX('KPI Analysis'!$AH$7:$CM$123,MATCH($A120,'KPI Analysis'!$AH$7:$AH$123,FALSE),MATCH(R$8,'KPI Analysis'!$AH$7:$CM$7,FALSE))="OD","",INDEX('KPI Analysis'!$AH$7:$CM$123,MATCH($A120,'KPI Analysis'!$AH$7:$AH$123,FALSE),MATCH(R$8,'KPI Analysis'!$AH$7:$CM$7,FALSE)))</f>
        <v>G</v>
      </c>
      <c r="S120" s="567">
        <f>INDEX('KPI Analysis'!$EW$7:$HC$123,MATCH($A120,'KPI Analysis'!$EW$7:$EW$123,FALSE),MATCH(R$8,'KPI Analysis'!$EW$7:$HC$7,FALSE))</f>
        <v>0</v>
      </c>
      <c r="T120" s="581" t="str">
        <f>IF(INDEX('KPI Analysis'!$AH$7:$CM$123,MATCH($A120,'KPI Analysis'!$AH$7:$AH$123,FALSE),MATCH(T$8,'KPI Analysis'!$AH$7:$CM$7,FALSE))="OD","",INDEX('KPI Analysis'!$AH$7:$CM$123,MATCH($A120,'KPI Analysis'!$AH$7:$AH$123,FALSE),MATCH(T$8,'KPI Analysis'!$AH$7:$CM$7,FALSE)))</f>
        <v>R</v>
      </c>
      <c r="U120" s="567">
        <f>INDEX('KPI Analysis'!$EW$7:$HC$123,MATCH($A120,'KPI Analysis'!$EW$7:$EW$123,FALSE),MATCH(T$8,'KPI Analysis'!$EW$7:$HC$7,FALSE))</f>
        <v>1</v>
      </c>
      <c r="V120" s="581" t="str">
        <f>IF(INDEX('KPI Analysis'!$AH$7:$CM$123,MATCH($A120,'KPI Analysis'!$AH$7:$AH$123,FALSE),MATCH(V$8,'KPI Analysis'!$AH$7:$CM$7,FALSE))="OD","",INDEX('KPI Analysis'!$AH$7:$CM$123,MATCH($A120,'KPI Analysis'!$AH$7:$AH$123,FALSE),MATCH(V$8,'KPI Analysis'!$AH$7:$CM$7,FALSE)))</f>
        <v>G</v>
      </c>
      <c r="W120" s="567">
        <f>IF(INDEX('KPI Analysis'!$CO$7:$EU$123,MATCH($A120,'KPI Analysis'!$CO$7:$CO$123,FALSE),MATCH(V$8,'KPI Analysis'!$CO$7:$EU$7,FALSE))="OD","OD",INDEX('KPI Analysis'!$EW$7:$HC$123,MATCH($A120,'KPI Analysis'!$EW$7:$EW$123,FALSE),MATCH(V$8,'KPI Analysis'!$EW$7:$HC$7,FALSE)))</f>
        <v>0</v>
      </c>
      <c r="X120" s="581" t="str">
        <f>IF(INDEX('KPI Analysis'!$AH$7:$CM$123,MATCH($A120,'KPI Analysis'!$AH$7:$AH$123,FALSE),MATCH(X$8,'KPI Analysis'!$AH$7:$CM$7,FALSE))="OD","",INDEX('KPI Analysis'!$AH$7:$CM$123,MATCH($A120,'KPI Analysis'!$AH$7:$AH$123,FALSE),MATCH(X$8,'KPI Analysis'!$AH$7:$CM$7,FALSE)))</f>
        <v>G</v>
      </c>
      <c r="Y120" s="567">
        <f>IF(INDEX('KPI Analysis'!$CO$7:$EU$123,MATCH($A120,'KPI Analysis'!$CO$7:$CO$123,FALSE),MATCH(X$8,'KPI Analysis'!$CO$7:$EU$7,FALSE))="OD","OD",INDEX('KPI Analysis'!$EW$7:$HC$123,MATCH($A120,'KPI Analysis'!$EW$7:$EW$123,FALSE),MATCH(X$8,'KPI Analysis'!$EW$7:$HC$7,FALSE)))</f>
        <v>0</v>
      </c>
      <c r="Z120" s="552" t="s">
        <v>619</v>
      </c>
      <c r="AC120" s="648" t="s">
        <v>638</v>
      </c>
      <c r="AE120" s="526">
        <f>INDEX('KPI Analysis'!$CO$7:$EU$123,MATCH($A120,'KPI Analysis'!$CO$7:$CO$123,FALSE),MATCH(AE$8,'KPI Analysis'!$CO$7:$EU$7,FALSE))</f>
        <v>0</v>
      </c>
      <c r="AF120" s="526">
        <f>INDEX('KPI Analysis'!$CO$7:$EU$123,MATCH($A120,'KPI Analysis'!$CO$7:$CO$123,FALSE),MATCH(AF$8,'KPI Analysis'!$CO$7:$EU$7,FALSE))</f>
        <v>0</v>
      </c>
      <c r="AG120" s="526">
        <f>INDEX('KPI Analysis'!$CO$7:$EU$123,MATCH($A120,'KPI Analysis'!$CO$7:$CO$123,FALSE),MATCH(AG$8,'KPI Analysis'!$CO$7:$EU$7,FALSE))</f>
        <v>1</v>
      </c>
      <c r="AH120" s="526">
        <f>INDEX('KPI Analysis'!$CO$7:$EU$123,MATCH($A120,'KPI Analysis'!$CO$7:$CO$123,FALSE),MATCH(AH$8,'KPI Analysis'!$CO$7:$EU$7,FALSE))</f>
        <v>0</v>
      </c>
      <c r="AI120" s="527">
        <f>INDEX('KPI Analysis'!$CO$7:$EU$123,MATCH($A120,'KPI Analysis'!$CO$7:$CO$123,FALSE),MATCH(AI$8,'KPI Analysis'!$CO$7:$EU$7,FALSE))</f>
        <v>0</v>
      </c>
    </row>
    <row r="121" spans="1:35" ht="15" thickBot="1" x14ac:dyDescent="0.35">
      <c r="A121" t="str">
        <f t="shared" si="4"/>
        <v>Marketing-KPI C1</v>
      </c>
      <c r="B121" s="170" t="str">
        <f>+'KPI Stats'!G105</f>
        <v>Over</v>
      </c>
      <c r="C121" s="149" t="str">
        <f>+'KPI Stats'!C105</f>
        <v>KPI C1</v>
      </c>
      <c r="F121" s="866" t="str">
        <f>+'KPI Stats'!B101</f>
        <v>Marketing</v>
      </c>
      <c r="G121" s="869" t="str">
        <f>+'KPI Stats'!C101</f>
        <v>Katherine Sanganee</v>
      </c>
      <c r="H121" s="296" t="s">
        <v>526</v>
      </c>
      <c r="I121" s="398">
        <f>+'KPI Stats'!F101</f>
        <v>42</v>
      </c>
      <c r="J121" s="146" t="str">
        <f>+'KPI Stats'!D105</f>
        <v>Cost</v>
      </c>
      <c r="K121" s="146" t="str">
        <f>+'KPI Stats'!E105</f>
        <v>Cost per Engagement for campaigns</v>
      </c>
      <c r="L121" s="147" t="str">
        <f>+'KPI Stats'!F105</f>
        <v>£'s</v>
      </c>
      <c r="M121" s="140" t="str">
        <f>INDEX('KPI Analysis'!$CO$7:$EU$123,MATCH($A121,'KPI Analysis'!$CO$7:$CO$123,FALSE),MATCH(M$8,'KPI Analysis'!$CO$7:$EU$7,FALSE))</f>
        <v>% of target</v>
      </c>
      <c r="P121" s="578" t="str">
        <f>INDEX('KPI Analysis'!$AH$7:$CM$123,MATCH($A121,'KPI Analysis'!$AH$7:$AH$123,FALSE),MATCH(P$8,'KPI Analysis'!$AH$7:$CM$7,FALSE))</f>
        <v>G</v>
      </c>
      <c r="Q121" s="636">
        <f>INDEX('KPI Analysis'!$CO$7:$EU$123,MATCH($A121,'KPI Analysis'!$CO$7:$CO$123,FALSE),MATCH(P$8,'KPI Analysis'!$CO$7:$EU$7,FALSE))</f>
        <v>1</v>
      </c>
      <c r="R121" s="578" t="str">
        <f>IF(INDEX('KPI Analysis'!$AH$7:$CM$123,MATCH($A121,'KPI Analysis'!$AH$7:$AH$123,FALSE),MATCH(R$8,'KPI Analysis'!$AH$7:$CM$7,FALSE))="OD","",INDEX('KPI Analysis'!$AH$7:$CM$123,MATCH($A121,'KPI Analysis'!$AH$7:$AH$123,FALSE),MATCH(R$8,'KPI Analysis'!$AH$7:$CM$7,FALSE)))</f>
        <v>G</v>
      </c>
      <c r="S121" s="636">
        <f>INDEX('KPI Analysis'!$CO$7:$EU$123,MATCH($A121,'KPI Analysis'!$CO$7:$CO$123,FALSE),MATCH(R$8,'KPI Analysis'!$CO$7:$EU$7,FALSE))</f>
        <v>1</v>
      </c>
      <c r="T121" s="578" t="str">
        <f>IF(INDEX('KPI Analysis'!$AH$7:$CM$123,MATCH($A121,'KPI Analysis'!$AH$7:$AH$123,FALSE),MATCH(T$8,'KPI Analysis'!$AH$7:$CM$7,FALSE))="OD","",INDEX('KPI Analysis'!$AH$7:$CM$123,MATCH($A121,'KPI Analysis'!$AH$7:$AH$123,FALSE),MATCH(T$8,'KPI Analysis'!$AH$7:$CM$7,FALSE)))</f>
        <v>G</v>
      </c>
      <c r="U121" s="636">
        <f>INDEX('KPI Analysis'!$CO$7:$EU$123,MATCH($A121,'KPI Analysis'!$CO$7:$CO$123,FALSE),MATCH(T$8,'KPI Analysis'!$CO$7:$EU$7,FALSE))</f>
        <v>1</v>
      </c>
      <c r="V121" s="578" t="str">
        <f>IF(INDEX('KPI Analysis'!$AH$7:$CM$123,MATCH($A121,'KPI Analysis'!$AH$7:$AH$123,FALSE),MATCH(V$8,'KPI Analysis'!$AH$7:$CM$7,FALSE))="OD","",INDEX('KPI Analysis'!$AH$7:$CM$123,MATCH($A121,'KPI Analysis'!$AH$7:$AH$123,FALSE),MATCH(V$8,'KPI Analysis'!$AH$7:$CM$7,FALSE)))</f>
        <v>G</v>
      </c>
      <c r="W121" s="636">
        <f>INDEX('KPI Analysis'!$CO$7:$EU$123,MATCH($A121,'KPI Analysis'!$CO$7:$CO$123,FALSE),MATCH(V$8,'KPI Analysis'!$CO$7:$EU$7,FALSE))</f>
        <v>1</v>
      </c>
      <c r="X121" s="578" t="str">
        <f>IF(INDEX('KPI Analysis'!$AH$7:$CM$123,MATCH($A121,'KPI Analysis'!$AH$7:$AH$123,FALSE),MATCH(X$8,'KPI Analysis'!$AH$7:$CM$7,FALSE))="OD","",INDEX('KPI Analysis'!$AH$7:$CM$123,MATCH($A121,'KPI Analysis'!$AH$7:$AH$123,FALSE),MATCH(X$8,'KPI Analysis'!$AH$7:$CM$7,FALSE)))</f>
        <v>G</v>
      </c>
      <c r="Y121" s="636">
        <f>INDEX('KPI Analysis'!$CO$7:$EU$123,MATCH($A121,'KPI Analysis'!$CO$7:$CO$123,FALSE),MATCH(X$8,'KPI Analysis'!$CO$7:$EU$7,FALSE))</f>
        <v>1</v>
      </c>
      <c r="Z121" s="149"/>
      <c r="AC121" s="648" t="s">
        <v>639</v>
      </c>
      <c r="AE121" s="528">
        <f>INDEX('KPI Analysis'!$CO$7:$EU$123,MATCH($A121,'KPI Analysis'!$CO$7:$CO$123,FALSE),MATCH(AE$8,'KPI Analysis'!$CO$7:$EU$7,FALSE))</f>
        <v>1</v>
      </c>
      <c r="AF121" s="528">
        <f>INDEX('KPI Analysis'!$CO$7:$EU$123,MATCH($A121,'KPI Analysis'!$CO$7:$CO$123,FALSE),MATCH(AF$8,'KPI Analysis'!$CO$7:$EU$7,FALSE))</f>
        <v>1</v>
      </c>
      <c r="AG121" s="528">
        <f>INDEX('KPI Analysis'!$CO$7:$EU$123,MATCH($A121,'KPI Analysis'!$CO$7:$CO$123,FALSE),MATCH(AG$8,'KPI Analysis'!$CO$7:$EU$7,FALSE))</f>
        <v>1</v>
      </c>
      <c r="AH121" s="528">
        <f>INDEX('KPI Analysis'!$CO$7:$EU$123,MATCH($A121,'KPI Analysis'!$CO$7:$CO$123,FALSE),MATCH(AH$8,'KPI Analysis'!$CO$7:$EU$7,FALSE))</f>
        <v>1</v>
      </c>
      <c r="AI121" s="529">
        <f>INDEX('KPI Analysis'!$CO$7:$EU$123,MATCH($A121,'KPI Analysis'!$CO$7:$CO$123,FALSE),MATCH(AI$8,'KPI Analysis'!$CO$7:$EU$7,FALSE))</f>
        <v>1</v>
      </c>
    </row>
    <row r="122" spans="1:35" x14ac:dyDescent="0.3">
      <c r="H122"/>
    </row>
    <row r="123" spans="1:35" ht="15" thickBot="1" x14ac:dyDescent="0.35">
      <c r="H123"/>
    </row>
    <row r="124" spans="1:35" ht="15" thickBot="1" x14ac:dyDescent="0.35">
      <c r="A124" t="str">
        <f>F124&amp;"-"&amp;C124</f>
        <v>Finance-KPI P1</v>
      </c>
      <c r="B124" s="417" t="s">
        <v>186</v>
      </c>
      <c r="C124" s="141" t="str">
        <f>+'KPI Stats'!C108</f>
        <v>KPI P1</v>
      </c>
      <c r="F124" s="864" t="str">
        <f>+'KPI Stats'!$B$107</f>
        <v>Finance</v>
      </c>
      <c r="G124" s="867" t="str">
        <f>+'KPI Stats'!$C$107</f>
        <v>Gethin Davies</v>
      </c>
      <c r="H124" s="620" t="s">
        <v>526</v>
      </c>
      <c r="I124" s="488">
        <f>+'KPI Stats'!F107</f>
        <v>42</v>
      </c>
      <c r="J124" s="415" t="str">
        <f>+'KPI Stats'!D108</f>
        <v>Productivity</v>
      </c>
      <c r="K124" s="415" t="str">
        <f>+'KPI Stats'!E108</f>
        <v>purchase ledger invoices posted (Target 2024 avg)</v>
      </c>
      <c r="L124" s="416" t="str">
        <f>+'KPI Stats'!F108</f>
        <v>Count</v>
      </c>
      <c r="M124" s="489" t="str">
        <f>INDEX('KPI Analysis'!$CO$7:$EU$123,MATCH($A124,'KPI Analysis'!$CO$7:$CO$123,FALSE),MATCH(M$8,'KPI Analysis'!$CO$7:$EU$7,FALSE))</f>
        <v>% of target</v>
      </c>
      <c r="P124" s="657" t="str">
        <f>INDEX('KPI Analysis'!$AH$7:$CM$123,MATCH($A124,'KPI Analysis'!$AH$7:$AH$123,FALSE),MATCH(P$8,'KPI Analysis'!$AH$7:$CM$7,FALSE))</f>
        <v>G</v>
      </c>
      <c r="Q124" s="658">
        <f>INDEX('KPI Analysis'!$CO$7:$EU$123,MATCH($A124,'KPI Analysis'!$CO$7:$CO$123,FALSE),MATCH(P$8,'KPI Analysis'!$CO$7:$EU$7,FALSE))</f>
        <v>1.9706680108494756</v>
      </c>
      <c r="R124" s="657" t="str">
        <f>INDEX('KPI Analysis'!$AH$7:$CM$123,MATCH($A124,'KPI Analysis'!$AH$7:$AH$123,FALSE),MATCH(R$8,'KPI Analysis'!$AH$7:$CM$7,FALSE))</f>
        <v>G</v>
      </c>
      <c r="S124" s="658">
        <f>INDEX('KPI Analysis'!$CO$7:$EU$123,MATCH($A124,'KPI Analysis'!$CO$7:$CO$123,FALSE),MATCH(R$8,'KPI Analysis'!$CO$7:$EU$7,FALSE))</f>
        <v>1.2835745661409952</v>
      </c>
      <c r="T124" s="657" t="str">
        <f>INDEX('KPI Analysis'!$AH$7:$CM$123,MATCH($A124,'KPI Analysis'!$AH$7:$AH$123,FALSE),MATCH(T$8,'KPI Analysis'!$AH$7:$CM$7,FALSE))</f>
        <v>G</v>
      </c>
      <c r="U124" s="658">
        <f>INDEX('KPI Analysis'!$CO$7:$EU$123,MATCH($A124,'KPI Analysis'!$CO$7:$CO$123,FALSE),MATCH(T$8,'KPI Analysis'!$CO$7:$EU$7,FALSE))</f>
        <v>1.1425553875327044</v>
      </c>
      <c r="V124" s="657" t="str">
        <f>INDEX('KPI Analysis'!$AH$7:$CM$123,MATCH($A124,'KPI Analysis'!$AH$7:$AH$123,FALSE),MATCH(V$8,'KPI Analysis'!$AH$7:$CM$7,FALSE))</f>
        <v>G</v>
      </c>
      <c r="W124" s="658">
        <f>INDEX('KPI Analysis'!$CO$7:$EU$123,MATCH($A124,'KPI Analysis'!$CO$7:$CO$123,FALSE),MATCH(V$8,'KPI Analysis'!$CO$7:$EU$7,FALSE))</f>
        <v>1.353784114639591</v>
      </c>
      <c r="X124" s="657" t="str">
        <f>INDEX('KPI Analysis'!$AH$7:$CM$123,MATCH($A124,'KPI Analysis'!$AH$7:$AH$123,FALSE),MATCH(X$8,'KPI Analysis'!$AH$7:$CM$7,FALSE))</f>
        <v>G</v>
      </c>
      <c r="Y124" s="658">
        <f>INDEX('KPI Analysis'!$CO$7:$EU$123,MATCH($A124,'KPI Analysis'!$CO$7:$CO$123,FALSE),MATCH(X$8,'KPI Analysis'!$CO$7:$EU$7,FALSE))</f>
        <v>1.4689997839706199</v>
      </c>
      <c r="Z124" s="141" t="s">
        <v>696</v>
      </c>
      <c r="AC124" s="648" t="s">
        <v>639</v>
      </c>
      <c r="AE124" s="503">
        <f>INDEX('KPI Analysis'!$CO$7:$EU$123,MATCH($A124,'KPI Analysis'!$CO$7:$CO$123,FALSE),MATCH(AE$8,'KPI Analysis'!$CO$7:$EU$7,FALSE))</f>
        <v>1.9706680108494756</v>
      </c>
      <c r="AF124" s="504">
        <f>INDEX('KPI Analysis'!$CO$7:$EU$123,MATCH($A124,'KPI Analysis'!$CO$7:$CO$123,FALSE),MATCH(AF$8,'KPI Analysis'!$CO$7:$EU$7,FALSE))</f>
        <v>1.2835745661409952</v>
      </c>
      <c r="AG124" s="504">
        <f>INDEX('KPI Analysis'!$CO$7:$EU$123,MATCH($A124,'KPI Analysis'!$CO$7:$CO$123,FALSE),MATCH(AG$8,'KPI Analysis'!$CO$7:$EU$7,FALSE))</f>
        <v>1.1425553875327044</v>
      </c>
      <c r="AH124" s="504">
        <f>INDEX('KPI Analysis'!$CO$7:$EU$123,MATCH($A124,'KPI Analysis'!$CO$7:$CO$123,FALSE),MATCH(AH$8,'KPI Analysis'!$CO$7:$EU$7,FALSE))</f>
        <v>1.353784114639591</v>
      </c>
      <c r="AI124" s="504">
        <f>INDEX('KPI Analysis'!$CO$7:$EU$123,MATCH($A124,'KPI Analysis'!$CO$7:$CO$123,FALSE),MATCH(AI$8,'KPI Analysis'!$CO$7:$EU$7,FALSE))</f>
        <v>1.4689997839706199</v>
      </c>
    </row>
    <row r="125" spans="1:35" x14ac:dyDescent="0.3">
      <c r="A125" t="str">
        <f>F124&amp;"-"&amp;C125</f>
        <v>Finance-KPI D1</v>
      </c>
      <c r="B125" s="169" t="s">
        <v>186</v>
      </c>
      <c r="C125" s="141" t="str">
        <f>+'KPI Stats'!C110</f>
        <v>KPI D1</v>
      </c>
      <c r="F125" s="865"/>
      <c r="G125" s="868"/>
      <c r="H125" s="530" t="s">
        <v>354</v>
      </c>
      <c r="I125" s="466">
        <f>+'KPI Stats'!$F$109</f>
        <v>9</v>
      </c>
      <c r="J125" s="142" t="str">
        <f>+'KPI Stats'!D110</f>
        <v>Delivery</v>
      </c>
      <c r="K125" s="142" t="str">
        <f>+'KPI Stats'!E110</f>
        <v>Creditor Days (Monthly only) - (Fav if paid promptly)</v>
      </c>
      <c r="L125" s="143" t="str">
        <f>+'KPI Stats'!F110</f>
        <v>Days</v>
      </c>
      <c r="M125" s="135" t="str">
        <f>INDEX('KPI Analysis'!$CO$7:$EU$123,MATCH($A125,'KPI Analysis'!$CO$7:$CO$123,FALSE),MATCH(M$8,'KPI Analysis'!$CO$7:$EU$7,FALSE))</f>
        <v>% of target</v>
      </c>
      <c r="P125" s="649" t="str">
        <f>INDEX('KPI Analysis'!$AH$7:$CM$123,MATCH($A125,'KPI Analysis'!$AH$7:$AH$123,FALSE),MATCH(P$8,'KPI Analysis'!$AH$7:$CM$7,FALSE))</f>
        <v>G</v>
      </c>
      <c r="Q125" s="858">
        <f>INDEX('KPI Analysis'!$CO$7:$EU$123,MATCH($A125,'KPI Analysis'!$CO$7:$CO$123,FALSE),MATCH(P$8,'KPI Analysis'!$CO$7:$EU$7,FALSE))</f>
        <v>1.0699347640676302</v>
      </c>
      <c r="R125" s="859"/>
      <c r="S125" s="859"/>
      <c r="T125" s="859"/>
      <c r="U125" s="860"/>
      <c r="V125" s="825" t="str">
        <f>IF(
OR(
INDEX('KPI Analysis'!$AH$7:$CM$123,
MATCH($A125,'KPI Analysis'!$AH$7:$AH$123,FALSE),
MATCH(X$8,'KPI Analysis'!$AH$7:$CM$7,FALSE)
)="R",
INDEX('KPI Analysis'!$AH$7:$CM$123,
MATCH($A125,'KPI Analysis'!$AH$7:$AH$123,FALSE),
MATCH(X$8,'KPI Analysis'!$AH$7:$CM$7,FALSE)
)="G",
INDEX('KPI Analysis'!$AH$7:$CM$123,
MATCH($A125,'KPI Analysis'!$AH$7:$AH$123,FALSE),
MATCH(X$8,'KPI Analysis'!$AH$7:$CM$7,FALSE)
)="A"),
INDEX('KPI Analysis'!$AH$7:$CM$123,MATCH($A125,'KPI Analysis'!$AH$7:$AH$123,FALSE),MATCH(X$8,'KPI Analysis'!$AH$7:$CM$7,FALSE)),"")</f>
        <v>G</v>
      </c>
      <c r="W125" s="849">
        <f>INDEX('KPI Analysis'!$CO$7:$EU$123,MATCH($A125,'KPI Analysis'!$CO$7:$CO$123,FALSE),MATCH(X$8,'KPI Analysis'!$CO$7:$EU$7,FALSE))</f>
        <v>1.0966810966810967</v>
      </c>
      <c r="X125" s="850"/>
      <c r="Y125" s="851"/>
      <c r="Z125" s="137" t="s">
        <v>653</v>
      </c>
      <c r="AC125" s="648" t="s">
        <v>644</v>
      </c>
      <c r="AD125" s="395"/>
      <c r="AE125" s="877">
        <f>INDEX('KPI Analysis'!$CO$7:$EU$123,MATCH($A125,'KPI Analysis'!$CO$7:$CO$123,FALSE),MATCH(AE$8,'KPI Analysis'!$CO$7:$EU$7,FALSE))</f>
        <v>1.0699347640676302</v>
      </c>
      <c r="AF125" s="879"/>
      <c r="AG125" s="877">
        <f>INDEX('KPI Analysis'!$CO$7:$EU$123,MATCH($A125,'KPI Analysis'!$CO$7:$CO$123,FALSE),MATCH(AI$8,'KPI Analysis'!$CO$7:$EU$7,FALSE))</f>
        <v>1.0966810966810967</v>
      </c>
      <c r="AH125" s="878"/>
      <c r="AI125" s="879"/>
    </row>
    <row r="126" spans="1:35" x14ac:dyDescent="0.3">
      <c r="A126" t="str">
        <f>F124&amp;"-"&amp;C126</f>
        <v>Finance-KPI D2</v>
      </c>
      <c r="B126" s="169" t="s">
        <v>185</v>
      </c>
      <c r="C126" s="148" t="str">
        <f>+'KPI Stats'!C111</f>
        <v>KPI D2</v>
      </c>
      <c r="F126" s="865"/>
      <c r="G126" s="868"/>
      <c r="H126" s="531" t="s">
        <v>354</v>
      </c>
      <c r="I126" s="465">
        <f>+'KPI Stats'!$F$109</f>
        <v>9</v>
      </c>
      <c r="J126" s="144" t="str">
        <f>+'KPI Stats'!D111</f>
        <v>Delivery</v>
      </c>
      <c r="K126" s="144" t="str">
        <f>+'KPI Stats'!E111</f>
        <v>Debtor Days (Monthly only)</v>
      </c>
      <c r="L126" s="145" t="str">
        <f>+'KPI Stats'!F111</f>
        <v>Days</v>
      </c>
      <c r="M126" s="137" t="str">
        <f>INDEX('KPI Analysis'!$CO$7:$EU$123,MATCH($A126,'KPI Analysis'!$CO$7:$CO$123,FALSE),MATCH(M$8,'KPI Analysis'!$CO$7:$EU$7,FALSE))</f>
        <v>% of target</v>
      </c>
      <c r="P126" s="737" t="str">
        <f>INDEX('KPI Analysis'!$AH$7:$CM$123,MATCH($A126,'KPI Analysis'!$AH$7:$AH$123,FALSE),MATCH(P$8,'KPI Analysis'!$AH$7:$CM$7,FALSE))</f>
        <v>G</v>
      </c>
      <c r="Q126" s="861">
        <f>INDEX('KPI Analysis'!$CO$7:$EU$123,MATCH($A126,'KPI Analysis'!$CO$7:$CO$123,FALSE),MATCH(P$8,'KPI Analysis'!$CO$7:$EU$7,FALSE))</f>
        <v>1.4902479396614565</v>
      </c>
      <c r="R126" s="862"/>
      <c r="S126" s="862"/>
      <c r="T126" s="862"/>
      <c r="U126" s="863"/>
      <c r="V126" s="814" t="str">
        <f>IF(
OR(
INDEX('KPI Analysis'!$AH$7:$CM$123,
MATCH($A126,'KPI Analysis'!$AH$7:$AH$123,FALSE),
MATCH(X$8,'KPI Analysis'!$AH$7:$CM$7,FALSE)
)="R",
INDEX('KPI Analysis'!$AH$7:$CM$123,
MATCH($A126,'KPI Analysis'!$AH$7:$AH$123,FALSE),
MATCH(X$8,'KPI Analysis'!$AH$7:$CM$7,FALSE)
)="G",
INDEX('KPI Analysis'!$AH$7:$CM$123,
MATCH($A126,'KPI Analysis'!$AH$7:$AH$123,FALSE),
MATCH(X$8,'KPI Analysis'!$AH$7:$CM$7,FALSE)
)="A"),
INDEX('KPI Analysis'!$AH$7:$CM$123,MATCH($A126,'KPI Analysis'!$AH$7:$AH$123,FALSE),MATCH(X$8,'KPI Analysis'!$AH$7:$CM$7,FALSE)),"")</f>
        <v>G</v>
      </c>
      <c r="W126" s="852">
        <f>INDEX('KPI Analysis'!$CO$7:$EU$123,MATCH($A126,'KPI Analysis'!$CO$7:$CO$123,FALSE),MATCH(X$8,'KPI Analysis'!$CO$7:$EU$7,FALSE))</f>
        <v>1.6917871424177178</v>
      </c>
      <c r="X126" s="853"/>
      <c r="Y126" s="854"/>
      <c r="Z126" s="137" t="s">
        <v>654</v>
      </c>
      <c r="AC126" s="648" t="s">
        <v>639</v>
      </c>
      <c r="AD126" s="395"/>
      <c r="AE126" s="887">
        <f>INDEX('KPI Analysis'!$CO$7:$EU$123,MATCH($A126,'KPI Analysis'!$CO$7:$CO$123,FALSE),MATCH(AE$8,'KPI Analysis'!$CO$7:$EU$7,FALSE))</f>
        <v>1.4902479396614565</v>
      </c>
      <c r="AF126" s="889"/>
      <c r="AG126" s="887">
        <f>INDEX('KPI Analysis'!$CO$7:$EU$123,MATCH($A126,'KPI Analysis'!$CO$7:$CO$123,FALSE),MATCH(AI$8,'KPI Analysis'!$CO$7:$EU$7,FALSE))</f>
        <v>1.6917871424177178</v>
      </c>
      <c r="AH126" s="888"/>
      <c r="AI126" s="889"/>
    </row>
    <row r="127" spans="1:35" ht="15" thickBot="1" x14ac:dyDescent="0.35">
      <c r="A127" t="str">
        <f>F124&amp;"-"&amp;C127</f>
        <v>Finance-KPI C1</v>
      </c>
      <c r="B127" s="170" t="s">
        <v>186</v>
      </c>
      <c r="C127" s="149" t="str">
        <f>+'KPI Stats'!C112</f>
        <v>KPI C1</v>
      </c>
      <c r="F127" s="866"/>
      <c r="G127" s="869"/>
      <c r="H127" s="532" t="s">
        <v>354</v>
      </c>
      <c r="I127" s="398">
        <f>+'KPI Stats'!$F$109</f>
        <v>9</v>
      </c>
      <c r="J127" s="146" t="str">
        <f>+'KPI Stats'!D112</f>
        <v>Cost</v>
      </c>
      <c r="K127" s="146" t="str">
        <f>+'KPI Stats'!E112</f>
        <v>Group Turnover per employee</v>
      </c>
      <c r="L127" s="147" t="str">
        <f>+'KPI Stats'!F112</f>
        <v>£'s</v>
      </c>
      <c r="M127" s="140" t="str">
        <f>INDEX('KPI Analysis'!$CO$7:$EU$123,MATCH($A127,'KPI Analysis'!$CO$7:$CO$123,FALSE),MATCH(M$8,'KPI Analysis'!$CO$7:$EU$7,FALSE))</f>
        <v>% of target</v>
      </c>
      <c r="P127" s="650" t="str">
        <f>IF(
OR(
INDEX('KPI Analysis'!$AH$7:$CM$123,
MATCH($A127,'KPI Analysis'!$AH$7:$AH$123,FALSE),
MATCH(P$8,'KPI Analysis'!$AH$7:$CM$7,FALSE)
)="R",
INDEX('KPI Analysis'!$AH$7:$CM$123,
MATCH($A127,'KPI Analysis'!$AH$7:$AH$123,FALSE),
MATCH(P$8,'KPI Analysis'!$AH$7:$CM$7,FALSE)
)="G",
INDEX('KPI Analysis'!$AH$7:$CM$123,
MATCH($A127,'KPI Analysis'!$AH$7:$AH$123,FALSE),
MATCH(P$8,'KPI Analysis'!$AH$7:$CM$7,FALSE)
)="A"),
INDEX('KPI Analysis'!$AH$7:$CM$123,MATCH($A127,'KPI Analysis'!$AH$7:$AH$123,FALSE),MATCH(P$8,'KPI Analysis'!$AH$7:$CM$7,FALSE)),"OD")</f>
        <v>R</v>
      </c>
      <c r="Q127" s="861">
        <f>INDEX('KPI Analysis'!$CO$7:$EU$123,MATCH($A127,'KPI Analysis'!$CO$7:$CO$123,FALSE),MATCH(P$8,'KPI Analysis'!$CO$7:$EU$7,FALSE))</f>
        <v>0.8827992119778032</v>
      </c>
      <c r="R127" s="862"/>
      <c r="S127" s="862"/>
      <c r="T127" s="862"/>
      <c r="U127" s="863"/>
      <c r="V127" s="818" t="str">
        <f>IF(
OR(
INDEX('KPI Analysis'!$AH$7:$CM$123,
MATCH($A127,'KPI Analysis'!$AH$7:$AH$123,FALSE),
MATCH(X$8,'KPI Analysis'!$AH$7:$CM$7,FALSE)
)="R",
INDEX('KPI Analysis'!$AH$7:$CM$123,
MATCH($A127,'KPI Analysis'!$AH$7:$AH$123,FALSE),
MATCH(X$8,'KPI Analysis'!$AH$7:$CM$7,FALSE)
)="G",
INDEX('KPI Analysis'!$AH$7:$CM$123,
MATCH($A127,'KPI Analysis'!$AH$7:$AH$123,FALSE),
MATCH(X$8,'KPI Analysis'!$AH$7:$CM$7,FALSE)
)="A"),
INDEX('KPI Analysis'!$AH$7:$CM$123,MATCH($A127,'KPI Analysis'!$AH$7:$AH$123,FALSE),MATCH(X$8,'KPI Analysis'!$AH$7:$CM$7,FALSE)),"")</f>
        <v>R</v>
      </c>
      <c r="W127" s="855">
        <f>INDEX('KPI Analysis'!$CO$7:$EU$123,MATCH($A127,'KPI Analysis'!$CO$7:$CO$123,FALSE),MATCH(X$8,'KPI Analysis'!$CO$7:$EU$7,FALSE))</f>
        <v>0.9243002544529263</v>
      </c>
      <c r="X127" s="856"/>
      <c r="Y127" s="857"/>
      <c r="Z127" s="140" t="s">
        <v>679</v>
      </c>
      <c r="AC127" s="648" t="s">
        <v>639</v>
      </c>
      <c r="AD127" s="395"/>
      <c r="AE127" s="882">
        <f>INDEX('KPI Analysis'!$CO$7:$EU$123,MATCH($A127,'KPI Analysis'!$CO$7:$CO$123,FALSE),MATCH(AE$8,'KPI Analysis'!$CO$7:$EU$7,FALSE))</f>
        <v>0.8827992119778032</v>
      </c>
      <c r="AF127" s="884"/>
      <c r="AG127" s="882">
        <f>INDEX('KPI Analysis'!$CO$7:$EU$123,MATCH($A127,'KPI Analysis'!$CO$7:$CO$123,FALSE),MATCH(AI$8,'KPI Analysis'!$CO$7:$EU$7,FALSE))</f>
        <v>0.9243002544529263</v>
      </c>
      <c r="AH127" s="883"/>
      <c r="AI127" s="884"/>
    </row>
    <row r="128" spans="1:35" x14ac:dyDescent="0.3">
      <c r="H128"/>
      <c r="P128" s="604"/>
    </row>
    <row r="129" spans="1:35" ht="15" thickBot="1" x14ac:dyDescent="0.35">
      <c r="H129"/>
    </row>
    <row r="130" spans="1:35" x14ac:dyDescent="0.3">
      <c r="A130" t="str">
        <f t="shared" si="4"/>
        <v>HR-KPI P1</v>
      </c>
      <c r="B130" s="168" t="str">
        <f>+'KPI Stats'!G115</f>
        <v>Over</v>
      </c>
      <c r="C130" s="141" t="str">
        <f>+'KPI Stats'!C115</f>
        <v>KPI P1</v>
      </c>
      <c r="F130" s="864" t="str">
        <f>+'KPI Stats'!$B$114</f>
        <v>HR</v>
      </c>
      <c r="G130" s="867" t="str">
        <f>+'KPI Stats'!$C$114</f>
        <v>Bethan Grant</v>
      </c>
      <c r="H130" s="530" t="s">
        <v>354</v>
      </c>
      <c r="I130" s="466">
        <f>+'KPI Stats'!$F$114</f>
        <v>9</v>
      </c>
      <c r="J130" s="142" t="str">
        <f>+'KPI Stats'!D115</f>
        <v>Productivity</v>
      </c>
      <c r="K130" s="142" t="str">
        <f>+'KPI Stats'!E115</f>
        <v>Employee Turnover %</v>
      </c>
      <c r="L130" s="143" t="str">
        <f>+'KPI Stats'!F115</f>
        <v>Percentage</v>
      </c>
      <c r="M130" s="511" t="s">
        <v>247</v>
      </c>
      <c r="P130" s="746" t="str">
        <f>INDEX('KPI Analysis'!$AH$7:$CM$123,MATCH($A130,'KPI Analysis'!$AH$7:$AH$123,FALSE),MATCH(P$8,'KPI Analysis'!$AH$7:$CM$7,FALSE))</f>
        <v>G</v>
      </c>
      <c r="Q130" s="858">
        <f>INDEX('KPI Analysis'!$EW$7:$HC$123,MATCH($A130,'KPI Analysis'!$EW$7:$EW$123,FALSE),MATCH((P$8-1),'KPI Analysis'!$EW$7:$HC$7,FALSE))</f>
        <v>5.2499999999999998E-2</v>
      </c>
      <c r="R130" s="859"/>
      <c r="S130" s="859"/>
      <c r="T130" s="859"/>
      <c r="U130" s="860"/>
      <c r="V130" s="746" t="str">
        <f>INDEX('KPI Analysis'!$AH$7:$CM$123,MATCH($A130,'KPI Analysis'!$AH$7:$AH$123,FALSE),MATCH(X$8,'KPI Analysis'!$AH$7:$CM$7,FALSE))</f>
        <v>G</v>
      </c>
      <c r="W130" s="902">
        <f>INDEX('KPI Analysis'!$EW$7:$HC$123,MATCH($A130,'KPI Analysis'!$EW$7:$EW$123,FALSE),MATCH(X$8,'KPI Analysis'!$EW$7:$HC$7,FALSE))</f>
        <v>5.8700000000000002E-2</v>
      </c>
      <c r="X130" s="903"/>
      <c r="Y130" s="904"/>
      <c r="Z130" s="135"/>
      <c r="AC130" s="648" t="s">
        <v>638</v>
      </c>
      <c r="AD130" s="395"/>
      <c r="AE130" s="877">
        <f>INDEX('KPI Analysis'!$CO$7:$EU$123,MATCH($A130,'KPI Analysis'!$CO$7:$CO$123,FALSE),MATCH(AE$8,'KPI Analysis'!$CO$7:$EU$7,FALSE))</f>
        <v>1.5238095238095239</v>
      </c>
      <c r="AF130" s="878"/>
      <c r="AG130" s="877">
        <f>INDEX('KPI Analysis'!$CO$7:$EU$123,MATCH($A130,'KPI Analysis'!$CO$7:$CO$123,FALSE),MATCH(AI$8,'KPI Analysis'!$CO$7:$EU$7,FALSE))</f>
        <v>1.5332197614991481</v>
      </c>
      <c r="AH130" s="878"/>
      <c r="AI130" s="879"/>
    </row>
    <row r="131" spans="1:35" x14ac:dyDescent="0.3">
      <c r="A131" t="str">
        <f>F130&amp;"-"&amp;C131</f>
        <v>HR-KPI P2</v>
      </c>
      <c r="B131" s="169" t="str">
        <f>+'KPI Stats'!G116</f>
        <v>Over</v>
      </c>
      <c r="C131" s="148" t="str">
        <f>+'KPI Stats'!C116</f>
        <v>KPI P2</v>
      </c>
      <c r="F131" s="865"/>
      <c r="G131" s="868"/>
      <c r="H131" s="531" t="s">
        <v>354</v>
      </c>
      <c r="I131" s="465">
        <f>+'KPI Stats'!$F$114</f>
        <v>9</v>
      </c>
      <c r="J131" s="144" t="str">
        <f>+'KPI Stats'!D116</f>
        <v>Productivity</v>
      </c>
      <c r="K131" s="144" t="str">
        <f>+'KPI Stats'!E116</f>
        <v>Group Absence %</v>
      </c>
      <c r="L131" s="145" t="str">
        <f>+'KPI Stats'!F116</f>
        <v>Percentage</v>
      </c>
      <c r="M131" s="510" t="s">
        <v>247</v>
      </c>
      <c r="P131" s="747" t="str">
        <f>INDEX('KPI Analysis'!$AH$7:$CM$123,MATCH($A131,'KPI Analysis'!$AH$7:$AH$123,FALSE),MATCH(P$8,'KPI Analysis'!$AH$7:$CM$7,FALSE))</f>
        <v>G</v>
      </c>
      <c r="Q131" s="861">
        <f>INDEX('KPI Analysis'!$EW$7:$HC$123,MATCH($A131,'KPI Analysis'!$EW$7:$EW$123,FALSE),MATCH((P$8-1),'KPI Analysis'!$EW$7:$HC$7,FALSE))</f>
        <v>2.1999999999999999E-2</v>
      </c>
      <c r="R131" s="862"/>
      <c r="S131" s="862"/>
      <c r="T131" s="862"/>
      <c r="U131" s="863"/>
      <c r="V131" s="747" t="str">
        <f>INDEX('KPI Analysis'!$AH$7:$CM$123,MATCH($A131,'KPI Analysis'!$AH$7:$AH$123,FALSE),MATCH(X$8,'KPI Analysis'!$AH$7:$CM$7,FALSE))</f>
        <v>G</v>
      </c>
      <c r="W131" s="905">
        <f>INDEX('KPI Analysis'!$EW$7:$HC$123,MATCH($A131,'KPI Analysis'!$EW$7:$EW$123,FALSE),MATCH(X$8,'KPI Analysis'!$EW$7:$HC$7,FALSE))</f>
        <v>2.3800000000000002E-2</v>
      </c>
      <c r="X131" s="906"/>
      <c r="Y131" s="907"/>
      <c r="Z131" s="137"/>
      <c r="AC131" s="648" t="s">
        <v>638</v>
      </c>
      <c r="AD131" s="395"/>
      <c r="AE131" s="887">
        <f>INDEX('KPI Analysis'!$CO$7:$EU$123,MATCH($A131,'KPI Analysis'!$CO$7:$CO$123,FALSE),MATCH(AE$8,'KPI Analysis'!$CO$7:$EU$7,FALSE))</f>
        <v>1.3636363636363638</v>
      </c>
      <c r="AF131" s="888"/>
      <c r="AG131" s="887">
        <f>INDEX('KPI Analysis'!$CO$7:$EU$123,MATCH($A131,'KPI Analysis'!$CO$7:$CO$123,FALSE),MATCH(AI$8,'KPI Analysis'!$CO$7:$EU$7,FALSE))</f>
        <v>1.2605042016806722</v>
      </c>
      <c r="AH131" s="888"/>
      <c r="AI131" s="889"/>
    </row>
    <row r="132" spans="1:35" x14ac:dyDescent="0.3">
      <c r="A132" t="str">
        <f>F130&amp;"-"&amp;C132</f>
        <v>HR-KPI D1</v>
      </c>
      <c r="B132" s="169" t="str">
        <f>+'KPI Stats'!G117</f>
        <v>Under</v>
      </c>
      <c r="C132" s="148" t="str">
        <f>+'KPI Stats'!C117</f>
        <v>KPI D1</v>
      </c>
      <c r="F132" s="865"/>
      <c r="G132" s="868"/>
      <c r="H132" s="531" t="s">
        <v>354</v>
      </c>
      <c r="I132" s="465">
        <f>+'KPI Stats'!$F$114</f>
        <v>9</v>
      </c>
      <c r="J132" s="144" t="str">
        <f>+'KPI Stats'!D117</f>
        <v>Delivery</v>
      </c>
      <c r="K132" s="144" t="str">
        <f>+'KPI Stats'!E117</f>
        <v>Development Plans actions against project plan</v>
      </c>
      <c r="L132" s="145" t="str">
        <f>+'KPI Stats'!F117</f>
        <v>Percentage</v>
      </c>
      <c r="M132" s="137" t="str">
        <f>INDEX('KPI Analysis'!$CO$7:$EU$123,MATCH($A132,'KPI Analysis'!$CO$7:$CO$123,FALSE),MATCH(M$8,'KPI Analysis'!$CO$7:$EU$7,FALSE))</f>
        <v>% of target</v>
      </c>
      <c r="P132" s="747" t="str">
        <f>INDEX('KPI Analysis'!$AH$7:$CM$123,MATCH($A132,'KPI Analysis'!$AH$7:$AH$123,FALSE),MATCH(P$8,'KPI Analysis'!$AH$7:$CM$7,FALSE))</f>
        <v>R</v>
      </c>
      <c r="Q132" s="893">
        <f>INDEX('KPI Analysis'!$CO$7:$EU$123,MATCH($A132,'KPI Analysis'!$CO$7:$CO$123,FALSE),MATCH((P$8-1),'KPI Analysis'!$CO$7:$EU$7,FALSE))</f>
        <v>0.75</v>
      </c>
      <c r="R132" s="894"/>
      <c r="S132" s="894"/>
      <c r="T132" s="894"/>
      <c r="U132" s="895"/>
      <c r="V132" s="747" t="str">
        <f>INDEX('KPI Analysis'!$AH$7:$CM$123,MATCH($A132,'KPI Analysis'!$AH$7:$AH$123,FALSE),MATCH(X$8,'KPI Analysis'!$AH$7:$CM$7,FALSE))</f>
        <v>R</v>
      </c>
      <c r="W132" s="905">
        <f>INDEX('KPI Analysis'!$CO$7:$EU$123,MATCH($A132,'KPI Analysis'!$CO$7:$CO$123,FALSE),MATCH(X$8,'KPI Analysis'!$CO$7:$EU$7,FALSE))</f>
        <v>0.85</v>
      </c>
      <c r="X132" s="906"/>
      <c r="Y132" s="907"/>
      <c r="Z132" s="137"/>
      <c r="AC132" s="648" t="s">
        <v>639</v>
      </c>
      <c r="AD132" s="395"/>
      <c r="AE132" s="887">
        <f>INDEX('KPI Analysis'!$CO$7:$EU$123,MATCH($A132,'KPI Analysis'!$CO$7:$CO$123,FALSE),MATCH(AE$8,'KPI Analysis'!$CO$7:$EU$7,FALSE))</f>
        <v>0.75</v>
      </c>
      <c r="AF132" s="888"/>
      <c r="AG132" s="887">
        <f>INDEX('KPI Analysis'!$CO$7:$EU$123,MATCH($A132,'KPI Analysis'!$CO$7:$CO$123,FALSE),MATCH(AI$8,'KPI Analysis'!$CO$7:$EU$7,FALSE))</f>
        <v>0.85</v>
      </c>
      <c r="AH132" s="888"/>
      <c r="AI132" s="889"/>
    </row>
    <row r="133" spans="1:35" x14ac:dyDescent="0.3">
      <c r="A133" t="str">
        <f>F130&amp;"-"&amp;C133</f>
        <v>HR-KPI D2</v>
      </c>
      <c r="B133" s="169" t="str">
        <f>+'KPI Stats'!G118</f>
        <v>Under</v>
      </c>
      <c r="C133" s="148" t="str">
        <f>+'KPI Stats'!C118</f>
        <v>KPI D2</v>
      </c>
      <c r="F133" s="865"/>
      <c r="G133" s="868"/>
      <c r="H133" s="531" t="s">
        <v>354</v>
      </c>
      <c r="I133" s="465">
        <f>+'KPI Stats'!$F$114</f>
        <v>9</v>
      </c>
      <c r="J133" s="144" t="str">
        <f>+'KPI Stats'!D118</f>
        <v>Delivery</v>
      </c>
      <c r="K133" s="144" t="str">
        <f>+'KPI Stats'!E118</f>
        <v>Review Complete actions against project plan</v>
      </c>
      <c r="L133" s="145" t="str">
        <f>+'KPI Stats'!F118</f>
        <v>Percentage</v>
      </c>
      <c r="M133" s="137" t="str">
        <f>INDEX('KPI Analysis'!$CO$7:$EU$123,MATCH($A133,'KPI Analysis'!$CO$7:$CO$123,FALSE),MATCH(M$8,'KPI Analysis'!$CO$7:$EU$7,FALSE))</f>
        <v>% of target</v>
      </c>
      <c r="P133" s="747" t="str">
        <f>INDEX('KPI Analysis'!$AH$7:$CM$123,MATCH($A133,'KPI Analysis'!$AH$7:$AH$123,FALSE),MATCH(P$8,'KPI Analysis'!$AH$7:$CM$7,FALSE))</f>
        <v>R</v>
      </c>
      <c r="Q133" s="893">
        <f>INDEX('KPI Analysis'!$CO$7:$EU$123,MATCH($A133,'KPI Analysis'!$CO$7:$CO$123,FALSE),MATCH((P$8-1),'KPI Analysis'!$CO$7:$EU$7,FALSE))</f>
        <v>0.6333333333333333</v>
      </c>
      <c r="R133" s="894"/>
      <c r="S133" s="894"/>
      <c r="T133" s="894"/>
      <c r="U133" s="895"/>
      <c r="V133" s="747" t="str">
        <f>INDEX('KPI Analysis'!$AH$7:$CM$123,MATCH($A133,'KPI Analysis'!$AH$7:$AH$123,FALSE),MATCH(X$8,'KPI Analysis'!$AH$7:$CM$7,FALSE))</f>
        <v>G</v>
      </c>
      <c r="W133" s="905">
        <f>INDEX('KPI Analysis'!$CO$7:$EU$123,MATCH($A133,'KPI Analysis'!$CO$7:$CO$123,FALSE),MATCH(X$8,'KPI Analysis'!$CO$7:$EU$7,FALSE))</f>
        <v>1.1111111111111112</v>
      </c>
      <c r="X133" s="906"/>
      <c r="Y133" s="907"/>
      <c r="Z133" s="137"/>
      <c r="AC133" s="648" t="s">
        <v>639</v>
      </c>
      <c r="AD133" s="395"/>
      <c r="AE133" s="887">
        <f>INDEX('KPI Analysis'!$CO$7:$EU$123,MATCH($A133,'KPI Analysis'!$CO$7:$CO$123,FALSE),MATCH(AE$8,'KPI Analysis'!$CO$7:$EU$7,FALSE))</f>
        <v>0.6333333333333333</v>
      </c>
      <c r="AF133" s="888"/>
      <c r="AG133" s="887">
        <f>INDEX('KPI Analysis'!$CO$7:$EU$123,MATCH($A133,'KPI Analysis'!$CO$7:$CO$123,FALSE),MATCH(AI$8,'KPI Analysis'!$CO$7:$EU$7,FALSE))</f>
        <v>1.1111111111111112</v>
      </c>
      <c r="AH133" s="888"/>
      <c r="AI133" s="889"/>
    </row>
    <row r="134" spans="1:35" ht="14.4" hidden="1" customHeight="1" outlineLevel="1" x14ac:dyDescent="0.3">
      <c r="A134" t="str">
        <f>F130&amp;"-"&amp;C134</f>
        <v>HR-KPI Q1</v>
      </c>
      <c r="B134" s="169" t="str">
        <f>+'KPI Stats'!G119</f>
        <v>Under</v>
      </c>
      <c r="C134" s="148" t="str">
        <f>+'KPI Stats'!C119</f>
        <v>KPI Q1</v>
      </c>
      <c r="F134" s="865"/>
      <c r="G134" s="868"/>
      <c r="H134" s="531" t="s">
        <v>354</v>
      </c>
      <c r="I134" s="465">
        <f>+'KPI Stats'!$F$114</f>
        <v>9</v>
      </c>
      <c r="J134" s="144" t="str">
        <f>+'KPI Stats'!D119</f>
        <v>Quality</v>
      </c>
      <c r="K134" s="144" t="str">
        <f>+'KPI Stats'!E119</f>
        <v>Management Feed Back Score</v>
      </c>
      <c r="L134" s="145" t="str">
        <f>+'KPI Stats'!F119</f>
        <v>Percentage</v>
      </c>
      <c r="M134" s="137" t="str">
        <f>INDEX('KPI Analysis'!$CO$7:$EU$123,MATCH($A134,'KPI Analysis'!$CO$7:$CO$123,FALSE),MATCH(M$8,'KPI Analysis'!$CO$7:$EU$7,FALSE))</f>
        <v>% of target</v>
      </c>
      <c r="P134" s="747" t="e">
        <f>INDEX('KPI Analysis'!$AH$7:$CM$123,MATCH($A134,'KPI Analysis'!$AH$7:$AH$123,FALSE),MATCH(AB$8,'KPI Analysis'!$AH$7:$CM$7,FALSE))</f>
        <v>#N/A</v>
      </c>
      <c r="Q134" s="740">
        <f>INDEX('KPI Analysis'!$CO$7:$EU$123,MATCH($A134,'KPI Analysis'!$CO$7:$CO$123,FALSE),MATCH((P$8-1),'KPI Analysis'!$CO$7:$EU$7,FALSE))</f>
        <v>0.80000000000000016</v>
      </c>
      <c r="R134" s="747" t="e">
        <f>INDEX('KPI Analysis'!$AH$7:$CM$123,MATCH($A134,'KPI Analysis'!$AH$7:$AH$123,FALSE),MATCH(AD$8,'KPI Analysis'!$AH$7:$CM$7,FALSE))</f>
        <v>#N/A</v>
      </c>
      <c r="S134" s="581">
        <f>INDEX('KPI Analysis'!$CO$7:$EU$123,MATCH($A134,'KPI Analysis'!$CO$7:$CO$123,FALSE),MATCH(X$8,'KPI Analysis'!$CO$7:$EU$7,FALSE))</f>
        <v>0.80000000000000016</v>
      </c>
      <c r="T134" s="741"/>
      <c r="U134" s="741"/>
      <c r="V134" s="835"/>
      <c r="W134" s="747"/>
      <c r="X134" s="741"/>
      <c r="Y134" s="837"/>
      <c r="Z134" s="137"/>
      <c r="AC134" s="648" t="s">
        <v>639</v>
      </c>
      <c r="AD134" s="395"/>
      <c r="AE134" s="887">
        <f>INDEX('KPI Analysis'!$CO$7:$EU$123,MATCH($A134,'KPI Analysis'!$CO$7:$CO$123,FALSE),MATCH(AE$8,'KPI Analysis'!$CO$7:$EU$7,FALSE))</f>
        <v>0.80000000000000016</v>
      </c>
      <c r="AF134" s="888"/>
      <c r="AG134" s="887">
        <f>INDEX('KPI Analysis'!$CO$7:$EU$123,MATCH($A134,'KPI Analysis'!$CO$7:$CO$123,FALSE),MATCH(AI$8,'KPI Analysis'!$CO$7:$EU$7,FALSE))</f>
        <v>0.80000000000000016</v>
      </c>
      <c r="AH134" s="888"/>
      <c r="AI134" s="889"/>
    </row>
    <row r="135" spans="1:35" ht="14.4" hidden="1" customHeight="1" outlineLevel="1" x14ac:dyDescent="0.3">
      <c r="A135" t="str">
        <f>F130&amp;"-"&amp;C135</f>
        <v>HR-KPI Q2</v>
      </c>
      <c r="B135" s="169" t="str">
        <f>+'KPI Stats'!G120</f>
        <v>Under</v>
      </c>
      <c r="C135" s="148" t="str">
        <f>+'KPI Stats'!C120</f>
        <v>KPI Q2</v>
      </c>
      <c r="F135" s="865"/>
      <c r="G135" s="868"/>
      <c r="H135" s="531" t="s">
        <v>354</v>
      </c>
      <c r="I135" s="465">
        <f>+'KPI Stats'!$F$114</f>
        <v>9</v>
      </c>
      <c r="J135" s="144" t="str">
        <f>+'KPI Stats'!D120</f>
        <v>Quality</v>
      </c>
      <c r="K135" s="144" t="str">
        <f>+'KPI Stats'!E120</f>
        <v>Avg Score Value</v>
      </c>
      <c r="L135" s="145" t="str">
        <f>+'KPI Stats'!F120</f>
        <v>Score</v>
      </c>
      <c r="M135" s="510" t="s">
        <v>247</v>
      </c>
      <c r="P135" s="747" t="e">
        <f>INDEX('KPI Analysis'!$AH$7:$CM$123,MATCH($A135,'KPI Analysis'!$AH$7:$AH$123,FALSE),MATCH(AB$8,'KPI Analysis'!$AH$7:$CM$7,FALSE))</f>
        <v>#N/A</v>
      </c>
      <c r="Q135" s="743">
        <f>INDEX('KPI Analysis'!$EW$7:$HC$123,MATCH($A135,'KPI Analysis'!$EW$7:$EW$123,FALSE),MATCH((P$8-1),'KPI Analysis'!$EW$7:$HC$7,FALSE))</f>
        <v>0</v>
      </c>
      <c r="R135" s="747" t="e">
        <f>INDEX('KPI Analysis'!$AH$7:$CM$123,MATCH($A135,'KPI Analysis'!$AH$7:$AH$123,FALSE),MATCH(AD$8,'KPI Analysis'!$AH$7:$CM$7,FALSE))</f>
        <v>#N/A</v>
      </c>
      <c r="S135" s="742">
        <f>INDEX('KPI Analysis'!$EW$7:$HC$123,MATCH($A135,'KPI Analysis'!$EW$7:$EW$123,FALSE),MATCH(X$8,'KPI Analysis'!$EW$7:$HC$7,FALSE))</f>
        <v>0</v>
      </c>
      <c r="T135" s="741"/>
      <c r="U135" s="741"/>
      <c r="V135" s="835"/>
      <c r="W135" s="836"/>
      <c r="X135" s="741"/>
      <c r="Y135" s="837"/>
      <c r="Z135" s="137"/>
      <c r="AC135" s="648" t="s">
        <v>638</v>
      </c>
      <c r="AD135" s="395"/>
      <c r="AE135" s="887" t="str">
        <f>INDEX('KPI Analysis'!$CO$7:$EU$123,MATCH($A135,'KPI Analysis'!$CO$7:$CO$123,FALSE),MATCH(AE$8,'KPI Analysis'!$CO$7:$EU$7,FALSE))</f>
        <v>OD</v>
      </c>
      <c r="AF135" s="888"/>
      <c r="AG135" s="887" t="str">
        <f>INDEX('KPI Analysis'!$CO$7:$EU$123,MATCH($A135,'KPI Analysis'!$CO$7:$CO$123,FALSE),MATCH(AI$8,'KPI Analysis'!$CO$7:$EU$7,FALSE))</f>
        <v>OD</v>
      </c>
      <c r="AH135" s="888"/>
      <c r="AI135" s="889"/>
    </row>
    <row r="136" spans="1:35" collapsed="1" x14ac:dyDescent="0.3">
      <c r="A136" t="str">
        <f>F130&amp;"-"&amp;C136</f>
        <v>HR-KPI C1</v>
      </c>
      <c r="B136" s="169" t="str">
        <f>+'KPI Stats'!G121</f>
        <v>Over</v>
      </c>
      <c r="C136" s="148" t="str">
        <f>+'KPI Stats'!C121</f>
        <v>KPI C1</v>
      </c>
      <c r="F136" s="865"/>
      <c r="G136" s="868"/>
      <c r="H136" s="531" t="s">
        <v>354</v>
      </c>
      <c r="I136" s="465">
        <f>+'KPI Stats'!$F$114</f>
        <v>9</v>
      </c>
      <c r="J136" s="144" t="str">
        <f>+'KPI Stats'!D121</f>
        <v>Cost</v>
      </c>
      <c r="K136" s="144" t="str">
        <f>+'KPI Stats'!E121</f>
        <v>Head Count - Heads</v>
      </c>
      <c r="L136" s="145" t="str">
        <f>+'KPI Stats'!F121</f>
        <v>Count</v>
      </c>
      <c r="M136" s="510" t="s">
        <v>247</v>
      </c>
      <c r="P136" s="747" t="str">
        <f>INDEX('KPI Analysis'!$AH$7:$CM$123,MATCH($A136,'KPI Analysis'!$AH$7:$AH$123,FALSE),MATCH(P$8,'KPI Analysis'!$AH$7:$CM$7,FALSE))</f>
        <v>A</v>
      </c>
      <c r="Q136" s="896">
        <f>INDEX('KPI Analysis'!$EW$7:$HC$123,MATCH($A136,'KPI Analysis'!$EW$7:$EW$123,FALSE),MATCH((P$8-1),'KPI Analysis'!$EW$7:$HC$7,FALSE))</f>
        <v>789</v>
      </c>
      <c r="R136" s="897"/>
      <c r="S136" s="897"/>
      <c r="T136" s="897"/>
      <c r="U136" s="898"/>
      <c r="V136" s="747" t="str">
        <f>INDEX('KPI Analysis'!$AH$7:$CM$123,MATCH($A136,'KPI Analysis'!$AH$7:$AH$123,FALSE),MATCH(X$8,'KPI Analysis'!$AH$7:$CM$7,FALSE))</f>
        <v>A</v>
      </c>
      <c r="W136" s="908">
        <f>INDEX('KPI Analysis'!$EW$7:$HC$123,MATCH($A136,'KPI Analysis'!$EW$7:$EW$123,FALSE),MATCH(X$8,'KPI Analysis'!$EW$7:$HC$7,FALSE))</f>
        <v>798</v>
      </c>
      <c r="X136" s="909"/>
      <c r="Y136" s="910"/>
      <c r="Z136" s="137" t="s">
        <v>627</v>
      </c>
      <c r="AC136" s="648" t="s">
        <v>638</v>
      </c>
      <c r="AD136" s="395"/>
      <c r="AE136" s="887">
        <f>INDEX('KPI Analysis'!$CO$7:$EU$123,MATCH($A136,'KPI Analysis'!$CO$7:$CO$123,FALSE),MATCH(AE$8,'KPI Analysis'!$CO$7:$EU$7,FALSE))</f>
        <v>0.96197718631178708</v>
      </c>
      <c r="AF136" s="888"/>
      <c r="AG136" s="887">
        <f>INDEX('KPI Analysis'!$CO$7:$EU$123,MATCH($A136,'KPI Analysis'!$CO$7:$CO$123,FALSE),MATCH(AI$8,'KPI Analysis'!$CO$7:$EU$7,FALSE))</f>
        <v>0.95112781954887216</v>
      </c>
      <c r="AH136" s="888"/>
      <c r="AI136" s="889"/>
    </row>
    <row r="137" spans="1:35" ht="15" thickBot="1" x14ac:dyDescent="0.35">
      <c r="A137" t="str">
        <f>F130&amp;"-"&amp;C137</f>
        <v>HR-KPI C2</v>
      </c>
      <c r="B137" s="170" t="str">
        <f>+'KPI Stats'!G122</f>
        <v>Under</v>
      </c>
      <c r="C137" s="149" t="str">
        <f>+'KPI Stats'!C122</f>
        <v>KPI C2</v>
      </c>
      <c r="F137" s="866"/>
      <c r="G137" s="869"/>
      <c r="H137" s="533" t="s">
        <v>354</v>
      </c>
      <c r="I137" s="398">
        <f>+'KPI Stats'!$F$114</f>
        <v>9</v>
      </c>
      <c r="J137" s="146" t="str">
        <f>+'KPI Stats'!D122</f>
        <v>Cost</v>
      </c>
      <c r="K137" s="146" t="str">
        <f>+'KPI Stats'!E122</f>
        <v>Job Evaluation Progress actions against project plan</v>
      </c>
      <c r="L137" s="147" t="str">
        <f>+'KPI Stats'!F122</f>
        <v>Percentage</v>
      </c>
      <c r="M137" s="140" t="str">
        <f>INDEX('KPI Analysis'!$CO$7:$EU$123,MATCH($A137,'KPI Analysis'!$CO$7:$CO$123,FALSE),MATCH(M$8,'KPI Analysis'!$CO$7:$EU$7,FALSE))</f>
        <v>% of target</v>
      </c>
      <c r="P137" s="739" t="str">
        <f>INDEX('KPI Analysis'!$AH$7:$CM$123,MATCH($A137,'KPI Analysis'!$AH$7:$AH$123,FALSE),MATCH(P$8,'KPI Analysis'!$AH$7:$CM$7,FALSE))</f>
        <v>R</v>
      </c>
      <c r="Q137" s="899">
        <f>INDEX('KPI Analysis'!$CO$7:$EU$123,MATCH($A137,'KPI Analysis'!$CO$7:$CO$123,FALSE),MATCH((P$8-1),'KPI Analysis'!$CO$7:$EU$7,FALSE))</f>
        <v>0.9</v>
      </c>
      <c r="R137" s="900"/>
      <c r="S137" s="900"/>
      <c r="T137" s="900"/>
      <c r="U137" s="901"/>
      <c r="V137" s="739" t="str">
        <f>INDEX('KPI Analysis'!$AH$7:$CM$123,MATCH($A137,'KPI Analysis'!$AH$7:$AH$123,FALSE),MATCH(X$8,'KPI Analysis'!$AH$7:$CM$7,FALSE))</f>
        <v>A</v>
      </c>
      <c r="W137" s="890">
        <f>INDEX('KPI Analysis'!$CO$7:$EU$123,MATCH($A137,'KPI Analysis'!$CO$7:$CO$123,FALSE),MATCH(X$8,'KPI Analysis'!$CO$7:$EU$7,FALSE))</f>
        <v>0.95</v>
      </c>
      <c r="X137" s="891"/>
      <c r="Y137" s="892"/>
      <c r="Z137" s="140"/>
      <c r="AC137" s="648" t="s">
        <v>639</v>
      </c>
      <c r="AD137" s="395"/>
      <c r="AE137" s="882">
        <f>INDEX('KPI Analysis'!$CO$7:$EU$123,MATCH($A137,'KPI Analysis'!$CO$7:$CO$123,FALSE),MATCH(AE$8,'KPI Analysis'!$CO$7:$EU$7,FALSE))</f>
        <v>0.9</v>
      </c>
      <c r="AF137" s="883"/>
      <c r="AG137" s="882">
        <f>INDEX('KPI Analysis'!$CO$7:$EU$123,MATCH($A137,'KPI Analysis'!$CO$7:$CO$123,FALSE),MATCH(AI$8,'KPI Analysis'!$CO$7:$EU$7,FALSE))</f>
        <v>0.95</v>
      </c>
      <c r="AH137" s="883"/>
      <c r="AI137" s="884"/>
    </row>
    <row r="138" spans="1:35" x14ac:dyDescent="0.3">
      <c r="I138" s="292"/>
    </row>
  </sheetData>
  <mergeCells count="92">
    <mergeCell ref="W137:Y137"/>
    <mergeCell ref="Q130:U130"/>
    <mergeCell ref="Q131:U131"/>
    <mergeCell ref="Q132:U132"/>
    <mergeCell ref="Q133:U133"/>
    <mergeCell ref="Q136:U136"/>
    <mergeCell ref="Q137:U137"/>
    <mergeCell ref="W130:Y130"/>
    <mergeCell ref="W131:Y131"/>
    <mergeCell ref="W132:Y132"/>
    <mergeCell ref="W133:Y133"/>
    <mergeCell ref="W136:Y136"/>
    <mergeCell ref="AG137:AI137"/>
    <mergeCell ref="AE134:AF134"/>
    <mergeCell ref="AG134:AI134"/>
    <mergeCell ref="AE135:AF135"/>
    <mergeCell ref="AG135:AI135"/>
    <mergeCell ref="AE136:AF136"/>
    <mergeCell ref="AG136:AI136"/>
    <mergeCell ref="AE137:AF137"/>
    <mergeCell ref="AG131:AI131"/>
    <mergeCell ref="AE132:AF132"/>
    <mergeCell ref="AG132:AI132"/>
    <mergeCell ref="AE133:AF133"/>
    <mergeCell ref="AG133:AI133"/>
    <mergeCell ref="AE131:AF131"/>
    <mergeCell ref="AG126:AI126"/>
    <mergeCell ref="AE127:AF127"/>
    <mergeCell ref="AG127:AI127"/>
    <mergeCell ref="AE130:AF130"/>
    <mergeCell ref="AG130:AI130"/>
    <mergeCell ref="AE126:AF126"/>
    <mergeCell ref="AG89:AI89"/>
    <mergeCell ref="AE92:AF92"/>
    <mergeCell ref="AG92:AI92"/>
    <mergeCell ref="AE125:AF125"/>
    <mergeCell ref="AG125:AI125"/>
    <mergeCell ref="AE91:AF91"/>
    <mergeCell ref="AG91:AI91"/>
    <mergeCell ref="AE90:AF90"/>
    <mergeCell ref="AG90:AI90"/>
    <mergeCell ref="AE89:AF89"/>
    <mergeCell ref="F52:F56"/>
    <mergeCell ref="G52:G56"/>
    <mergeCell ref="A7:A9"/>
    <mergeCell ref="F11:F15"/>
    <mergeCell ref="G11:G15"/>
    <mergeCell ref="F18:F21"/>
    <mergeCell ref="G18:G21"/>
    <mergeCell ref="F24:F28"/>
    <mergeCell ref="G24:G28"/>
    <mergeCell ref="F31:F34"/>
    <mergeCell ref="G31:G34"/>
    <mergeCell ref="A43:A45"/>
    <mergeCell ref="F47:F51"/>
    <mergeCell ref="G47:G51"/>
    <mergeCell ref="F57:F61"/>
    <mergeCell ref="G57:G61"/>
    <mergeCell ref="F64:F67"/>
    <mergeCell ref="G64:G67"/>
    <mergeCell ref="F70:F73"/>
    <mergeCell ref="G70:G73"/>
    <mergeCell ref="A77:A79"/>
    <mergeCell ref="F81:F84"/>
    <mergeCell ref="G81:G84"/>
    <mergeCell ref="F87:F92"/>
    <mergeCell ref="G87:G92"/>
    <mergeCell ref="A108:A110"/>
    <mergeCell ref="F112:F115"/>
    <mergeCell ref="G112:G115"/>
    <mergeCell ref="F118:F121"/>
    <mergeCell ref="G118:G121"/>
    <mergeCell ref="F95:F98"/>
    <mergeCell ref="G95:G98"/>
    <mergeCell ref="F101:F104"/>
    <mergeCell ref="G101:G104"/>
    <mergeCell ref="F130:F137"/>
    <mergeCell ref="G130:G137"/>
    <mergeCell ref="F124:F127"/>
    <mergeCell ref="G124:G127"/>
    <mergeCell ref="W125:Y125"/>
    <mergeCell ref="W126:Y126"/>
    <mergeCell ref="W127:Y127"/>
    <mergeCell ref="Q125:U125"/>
    <mergeCell ref="Q126:U126"/>
    <mergeCell ref="Q127:U127"/>
    <mergeCell ref="W87:Y87"/>
    <mergeCell ref="W88:Y88"/>
    <mergeCell ref="Q87:U87"/>
    <mergeCell ref="Q88:U88"/>
    <mergeCell ref="Q92:U92"/>
    <mergeCell ref="W92:Y92"/>
  </mergeCells>
  <conditionalFormatting sqref="A1 C2">
    <cfRule type="containsText" dxfId="666" priority="171" operator="containsText" text="Undefined">
      <formula>NOT(ISERROR(SEARCH("Undefined",A1)))</formula>
    </cfRule>
  </conditionalFormatting>
  <conditionalFormatting sqref="F93">
    <cfRule type="cellIs" dxfId="665" priority="357" operator="equal">
      <formula>"Undefined"</formula>
    </cfRule>
    <cfRule type="cellIs" dxfId="664" priority="358" operator="equal">
      <formula>"TBC"</formula>
    </cfRule>
    <cfRule type="cellIs" dxfId="663" priority="361" operator="equal">
      <formula>"A"</formula>
    </cfRule>
    <cfRule type="cellIs" dxfId="662" priority="359" operator="equal">
      <formula>"OD"</formula>
    </cfRule>
    <cfRule type="cellIs" dxfId="661" priority="360" operator="equal">
      <formula>"G"</formula>
    </cfRule>
    <cfRule type="cellIs" dxfId="660" priority="362" operator="equal">
      <formula>"R"</formula>
    </cfRule>
  </conditionalFormatting>
  <conditionalFormatting sqref="P11:P34 R11:R34 T11:T34 V11:V34 X11:X34 P36 R36 T36 V36 X36 T39:T86 X39:X86 V39:V127 P39:P137 T89:T91 X89:X91 T93:T124 X93:X124 X128:X129 V130:V133 V136:V137">
    <cfRule type="cellIs" dxfId="659" priority="101" operator="equal">
      <formula>"G"</formula>
    </cfRule>
    <cfRule type="cellIs" dxfId="658" priority="103" operator="equal">
      <formula>"R"</formula>
    </cfRule>
    <cfRule type="cellIs" dxfId="657" priority="102" operator="equal">
      <formula>"A"</formula>
    </cfRule>
  </conditionalFormatting>
  <conditionalFormatting sqref="P89:Y91 P11:Z34 P93:Z124 P92:Q92 P36:Z36 P87:Q88 R128:S129">
    <cfRule type="cellIs" dxfId="656" priority="382" operator="equal">
      <formula>"TBC"</formula>
    </cfRule>
    <cfRule type="cellIs" dxfId="655" priority="383" operator="equal">
      <formula>"OD"</formula>
    </cfRule>
    <cfRule type="cellIs" dxfId="654" priority="381" operator="equal">
      <formula>"Undefined"</formula>
    </cfRule>
  </conditionalFormatting>
  <conditionalFormatting sqref="Q11:Q34 Q36 Q39:Q137 W130:W133 W136:W137">
    <cfRule type="expression" dxfId="653" priority="388">
      <formula>$P11="R"</formula>
    </cfRule>
    <cfRule type="expression" dxfId="652" priority="386">
      <formula>$P11="G"</formula>
    </cfRule>
  </conditionalFormatting>
  <conditionalFormatting sqref="Q11:Q34 Q36 Q39:Q137 W131:W133 W136:W137">
    <cfRule type="expression" dxfId="651" priority="387">
      <formula>$P11="A"</formula>
    </cfRule>
  </conditionalFormatting>
  <conditionalFormatting sqref="Q87:Q88 S134:S135">
    <cfRule type="expression" dxfId="650" priority="3220">
      <formula>#REF!="G"</formula>
    </cfRule>
    <cfRule type="expression" dxfId="649" priority="3222">
      <formula>#REF!="A"</formula>
    </cfRule>
    <cfRule type="expression" dxfId="648" priority="3221">
      <formula>#REF!="R"</formula>
    </cfRule>
  </conditionalFormatting>
  <conditionalFormatting sqref="Q92">
    <cfRule type="expression" dxfId="647" priority="12">
      <formula>#REF!="A"</formula>
    </cfRule>
    <cfRule type="expression" dxfId="646" priority="11">
      <formula>#REF!="R"</formula>
    </cfRule>
    <cfRule type="expression" dxfId="645" priority="10">
      <formula>#REF!="G"</formula>
    </cfRule>
  </conditionalFormatting>
  <conditionalFormatting sqref="Q113:Q115">
    <cfRule type="expression" dxfId="644" priority="37">
      <formula>$R113="G"</formula>
    </cfRule>
    <cfRule type="expression" dxfId="643" priority="38">
      <formula>$R113="A"</formula>
    </cfRule>
    <cfRule type="expression" dxfId="642" priority="39">
      <formula>$R113="R"</formula>
    </cfRule>
  </conditionalFormatting>
  <conditionalFormatting sqref="R39:R86">
    <cfRule type="cellIs" dxfId="641" priority="46" operator="equal">
      <formula>"G"</formula>
    </cfRule>
    <cfRule type="cellIs" dxfId="640" priority="47" operator="equal">
      <formula>"A"</formula>
    </cfRule>
    <cfRule type="cellIs" dxfId="639" priority="48" operator="equal">
      <formula>"R"</formula>
    </cfRule>
  </conditionalFormatting>
  <conditionalFormatting sqref="R89:R91 R93:R124 R128:R129 R134:R135">
    <cfRule type="cellIs" dxfId="638" priority="122" operator="equal">
      <formula>"G"</formula>
    </cfRule>
    <cfRule type="cellIs" dxfId="637" priority="123" operator="equal">
      <formula>"A"</formula>
    </cfRule>
    <cfRule type="cellIs" dxfId="636" priority="124" operator="equal">
      <formula>"R"</formula>
    </cfRule>
  </conditionalFormatting>
  <conditionalFormatting sqref="S11:S34 S36 S39:S86 S93:S124 S128:S129">
    <cfRule type="expression" dxfId="635" priority="391">
      <formula>$R11="R"</formula>
    </cfRule>
    <cfRule type="expression" dxfId="634" priority="390">
      <formula>$R11="A"</formula>
    </cfRule>
  </conditionalFormatting>
  <conditionalFormatting sqref="S11:S34 S36 S93:S124 S128:S129 S39:S86">
    <cfRule type="expression" dxfId="633" priority="389">
      <formula>$R11="G"</formula>
    </cfRule>
  </conditionalFormatting>
  <conditionalFormatting sqref="S79">
    <cfRule type="expression" dxfId="632" priority="117">
      <formula>$P79="A"</formula>
    </cfRule>
    <cfRule type="expression" dxfId="631" priority="118">
      <formula>$P79="R"</formula>
    </cfRule>
    <cfRule type="expression" dxfId="630" priority="116">
      <formula>$P79="G"</formula>
    </cfRule>
  </conditionalFormatting>
  <conditionalFormatting sqref="S83">
    <cfRule type="expression" dxfId="629" priority="52">
      <formula>$R83="G"</formula>
    </cfRule>
    <cfRule type="expression" dxfId="628" priority="53">
      <formula>$R83="A"</formula>
    </cfRule>
    <cfRule type="expression" dxfId="627" priority="54">
      <formula>$R83="R"</formula>
    </cfRule>
  </conditionalFormatting>
  <conditionalFormatting sqref="S89:S91">
    <cfRule type="expression" dxfId="626" priority="290">
      <formula>$R89="R"</formula>
    </cfRule>
    <cfRule type="expression" dxfId="625" priority="289">
      <formula>$R89="A"</formula>
    </cfRule>
    <cfRule type="expression" dxfId="624" priority="288">
      <formula>$R89="G"</formula>
    </cfRule>
  </conditionalFormatting>
  <conditionalFormatting sqref="U11:U34">
    <cfRule type="expression" dxfId="623" priority="177">
      <formula>$T11="R"</formula>
    </cfRule>
    <cfRule type="expression" dxfId="622" priority="176">
      <formula>$T11="A"</formula>
    </cfRule>
    <cfRule type="expression" dxfId="621" priority="175">
      <formula>$T11="G"</formula>
    </cfRule>
  </conditionalFormatting>
  <conditionalFormatting sqref="U47:U73">
    <cfRule type="expression" dxfId="620" priority="172">
      <formula>$T47="G"</formula>
    </cfRule>
    <cfRule type="expression" dxfId="619" priority="173">
      <formula>$T47="A"</formula>
    </cfRule>
    <cfRule type="expression" dxfId="618" priority="174">
      <formula>$T47="R"</formula>
    </cfRule>
  </conditionalFormatting>
  <conditionalFormatting sqref="U83">
    <cfRule type="expression" dxfId="617" priority="49">
      <formula>$T83="G"</formula>
    </cfRule>
    <cfRule type="expression" dxfId="616" priority="50">
      <formula>$T83="A"</formula>
    </cfRule>
    <cfRule type="expression" dxfId="615" priority="51">
      <formula>$T83="R"</formula>
    </cfRule>
  </conditionalFormatting>
  <conditionalFormatting sqref="U89:U91">
    <cfRule type="expression" dxfId="614" priority="179">
      <formula>$T89="A"</formula>
    </cfRule>
    <cfRule type="expression" dxfId="613" priority="178">
      <formula>$T89="G"</formula>
    </cfRule>
    <cfRule type="expression" dxfId="612" priority="180">
      <formula>$T89="R"</formula>
    </cfRule>
  </conditionalFormatting>
  <conditionalFormatting sqref="U93:U124">
    <cfRule type="expression" dxfId="611" priority="393">
      <formula>$T93="A"</formula>
    </cfRule>
    <cfRule type="expression" dxfId="610" priority="394">
      <formula>$T93="R"</formula>
    </cfRule>
    <cfRule type="expression" dxfId="609" priority="392">
      <formula>$T93="G"</formula>
    </cfRule>
  </conditionalFormatting>
  <conditionalFormatting sqref="V87:W88">
    <cfRule type="cellIs" dxfId="608" priority="15" operator="equal">
      <formula>"OD"</formula>
    </cfRule>
    <cfRule type="cellIs" dxfId="607" priority="14" operator="equal">
      <formula>"TBC"</formula>
    </cfRule>
    <cfRule type="cellIs" dxfId="606" priority="13" operator="equal">
      <formula>"Undefined"</formula>
    </cfRule>
  </conditionalFormatting>
  <conditionalFormatting sqref="V92:W92">
    <cfRule type="cellIs" dxfId="605" priority="3" operator="equal">
      <formula>"OD"</formula>
    </cfRule>
    <cfRule type="cellIs" dxfId="604" priority="1" operator="equal">
      <formula>"Undefined"</formula>
    </cfRule>
    <cfRule type="cellIs" dxfId="603" priority="2" operator="equal">
      <formula>"TBC"</formula>
    </cfRule>
  </conditionalFormatting>
  <conditionalFormatting sqref="V125:W127 Z125:Z127 P125:Q137 X128:Z129 R134:S135">
    <cfRule type="cellIs" dxfId="602" priority="202" operator="equal">
      <formula>"Undefined"</formula>
    </cfRule>
    <cfRule type="cellIs" dxfId="601" priority="203" operator="equal">
      <formula>"TBC"</formula>
    </cfRule>
    <cfRule type="cellIs" dxfId="600" priority="204" operator="equal">
      <formula>"OD"</formula>
    </cfRule>
  </conditionalFormatting>
  <conditionalFormatting sqref="V130:W133 P39:Z86 Z130:Z137 P134:P135 V136:W137">
    <cfRule type="cellIs" dxfId="599" priority="106" operator="equal">
      <formula>"OD"</formula>
    </cfRule>
    <cfRule type="cellIs" dxfId="598" priority="105" operator="equal">
      <formula>"TBC"</formula>
    </cfRule>
    <cfRule type="cellIs" dxfId="597" priority="104" operator="equal">
      <formula>"Undefined"</formula>
    </cfRule>
  </conditionalFormatting>
  <conditionalFormatting sqref="W11:W34 W36 W39:W86 W93:W124 X105:Z105">
    <cfRule type="expression" dxfId="596" priority="398">
      <formula>$V11="G"</formula>
    </cfRule>
    <cfRule type="expression" dxfId="595" priority="397">
      <formula>$V11="R"</formula>
    </cfRule>
  </conditionalFormatting>
  <conditionalFormatting sqref="W87:W88">
    <cfRule type="expression" dxfId="594" priority="19">
      <formula>#REF!="G"</formula>
    </cfRule>
    <cfRule type="expression" dxfId="593" priority="20">
      <formula>#REF!="R"</formula>
    </cfRule>
    <cfRule type="expression" dxfId="592" priority="16">
      <formula>$P87="G"</formula>
    </cfRule>
    <cfRule type="expression" dxfId="591" priority="17">
      <formula>$P87="A"</formula>
    </cfRule>
    <cfRule type="expression" dxfId="590" priority="21">
      <formula>#REF!="A"</formula>
    </cfRule>
    <cfRule type="expression" dxfId="589" priority="18">
      <formula>$P87="R"</formula>
    </cfRule>
  </conditionalFormatting>
  <conditionalFormatting sqref="W89:W91">
    <cfRule type="expression" dxfId="588" priority="329">
      <formula>$V89="A"</formula>
    </cfRule>
    <cfRule type="expression" dxfId="587" priority="115">
      <formula>$X89="A"</formula>
    </cfRule>
    <cfRule type="expression" dxfId="586" priority="114">
      <formula>$X89="G"</formula>
    </cfRule>
    <cfRule type="expression" dxfId="585" priority="330">
      <formula>$V89="R"</formula>
    </cfRule>
    <cfRule type="expression" dxfId="584" priority="331">
      <formula>$V89="G"</formula>
    </cfRule>
    <cfRule type="expression" dxfId="583" priority="113">
      <formula>$X89="r"</formula>
    </cfRule>
  </conditionalFormatting>
  <conditionalFormatting sqref="W92">
    <cfRule type="expression" dxfId="582" priority="7">
      <formula>#REF!="G"</formula>
    </cfRule>
    <cfRule type="expression" dxfId="581" priority="6">
      <formula>$P92="R"</formula>
    </cfRule>
    <cfRule type="expression" dxfId="580" priority="8">
      <formula>#REF!="R"</formula>
    </cfRule>
    <cfRule type="expression" dxfId="579" priority="9">
      <formula>#REF!="A"</formula>
    </cfRule>
    <cfRule type="expression" dxfId="578" priority="5">
      <formula>$P92="A"</formula>
    </cfRule>
    <cfRule type="expression" dxfId="577" priority="4">
      <formula>$P92="G"</formula>
    </cfRule>
  </conditionalFormatting>
  <conditionalFormatting sqref="W118:W121">
    <cfRule type="expression" dxfId="576" priority="36">
      <formula>$X118="A"</formula>
    </cfRule>
    <cfRule type="expression" dxfId="575" priority="35">
      <formula>$X118="G"</formula>
    </cfRule>
    <cfRule type="expression" dxfId="574" priority="34">
      <formula>$X118="r"</formula>
    </cfRule>
  </conditionalFormatting>
  <conditionalFormatting sqref="W125:W127">
    <cfRule type="expression" dxfId="573" priority="3307">
      <formula>$V125="G"</formula>
    </cfRule>
    <cfRule type="expression" dxfId="572" priority="3306">
      <formula>$V125="r"</formula>
    </cfRule>
  </conditionalFormatting>
  <conditionalFormatting sqref="W130">
    <cfRule type="expression" dxfId="571" priority="98">
      <formula>$P130="A"</formula>
    </cfRule>
  </conditionalFormatting>
  <conditionalFormatting sqref="X105">
    <cfRule type="cellIs" dxfId="570" priority="344" operator="equal">
      <formula>"OD"</formula>
    </cfRule>
    <cfRule type="cellIs" dxfId="569" priority="343" operator="equal">
      <formula>"TBC"</formula>
    </cfRule>
    <cfRule type="cellIs" dxfId="568" priority="342" operator="equal">
      <formula>"Undefined"</formula>
    </cfRule>
  </conditionalFormatting>
  <conditionalFormatting sqref="X105:Z105 W11:W34 W36 W93:W127 W39:W86">
    <cfRule type="expression" dxfId="567" priority="395">
      <formula>$V11="A"</formula>
    </cfRule>
  </conditionalFormatting>
  <conditionalFormatting sqref="Y11:Y34 Y36 Y39:Y86 Y93:Y124">
    <cfRule type="expression" dxfId="566" priority="385">
      <formula>$X11="G"</formula>
    </cfRule>
  </conditionalFormatting>
  <conditionalFormatting sqref="Y11:Y34 Y36 Y93:Y124 Y39:Y86">
    <cfRule type="expression" dxfId="565" priority="384">
      <formula>$X11="r"</formula>
    </cfRule>
  </conditionalFormatting>
  <conditionalFormatting sqref="Y89:Y91">
    <cfRule type="expression" dxfId="564" priority="341">
      <formula>$X89="A"</formula>
    </cfRule>
    <cfRule type="expression" dxfId="563" priority="334">
      <formula>$X89="G"</formula>
    </cfRule>
    <cfRule type="expression" dxfId="562" priority="333">
      <formula>$X89="r"</formula>
    </cfRule>
  </conditionalFormatting>
  <conditionalFormatting sqref="Y93:Y124 Y11:Y34 Y36 Y39:Y86 Y128:Y129">
    <cfRule type="expression" dxfId="561" priority="399">
      <formula>$X11="A"</formula>
    </cfRule>
  </conditionalFormatting>
  <conditionalFormatting sqref="Y124">
    <cfRule type="expression" dxfId="560" priority="132">
      <formula>$X124="R"</formula>
    </cfRule>
    <cfRule type="expression" dxfId="559" priority="131">
      <formula>$X124="OD"</formula>
    </cfRule>
    <cfRule type="expression" dxfId="558" priority="3058">
      <formula>$X124="G"</formula>
    </cfRule>
    <cfRule type="expression" dxfId="557" priority="133">
      <formula>$X124="A"</formula>
    </cfRule>
  </conditionalFormatting>
  <conditionalFormatting sqref="Y128:Y129">
    <cfRule type="expression" dxfId="556" priority="3290">
      <formula>$X128="R"</formula>
    </cfRule>
    <cfRule type="expression" dxfId="555" priority="3291">
      <formula>$X128="G"</formula>
    </cfRule>
  </conditionalFormatting>
  <conditionalFormatting sqref="Z87:Z92">
    <cfRule type="cellIs" dxfId="554" priority="364" operator="equal">
      <formula>"TBC"</formula>
    </cfRule>
    <cfRule type="cellIs" dxfId="553" priority="365" operator="equal">
      <formula>"OD"</formula>
    </cfRule>
    <cfRule type="cellIs" dxfId="552" priority="363" operator="equal">
      <formula>"Undefined"</formula>
    </cfRule>
  </conditionalFormatting>
  <conditionalFormatting sqref="AE11:AI11 AE27:AI27 AE33:AI33 AE72:AH72 AE103:AI103 AE120:AI120">
    <cfRule type="cellIs" dxfId="551" priority="1013" operator="greaterThan">
      <formula>0</formula>
    </cfRule>
  </conditionalFormatting>
  <conditionalFormatting sqref="AE11:AI34 AE36:AI88 AE89:AE92 AG89:AG92 AE93:AI124 AE125:AE127 AG125:AG127 AE128:AI129 AE130:AE137 AG130:AG137">
    <cfRule type="containsText" dxfId="550" priority="1008" operator="containsText" text="OD">
      <formula>NOT(ISERROR(SEARCH("OD",AE11)))</formula>
    </cfRule>
    <cfRule type="containsBlanks" dxfId="549" priority="1009">
      <formula>LEN(TRIM(AE11))=0</formula>
    </cfRule>
    <cfRule type="containsText" dxfId="548" priority="1012" operator="containsText" text="Undefined">
      <formula>NOT(ISERROR(SEARCH("Undefined",AE11)))</formula>
    </cfRule>
    <cfRule type="containsText" dxfId="547" priority="1011" operator="containsText" text="Missed">
      <formula>NOT(ISERROR(SEARCH("Missed",AE11)))</formula>
    </cfRule>
    <cfRule type="containsText" dxfId="546" priority="1010" operator="containsText" text="TBC">
      <formula>NOT(ISERROR(SEARCH("TBC",AE11)))</formula>
    </cfRule>
  </conditionalFormatting>
  <conditionalFormatting sqref="AE11:AI34 AE46:AI75 AE93:AI106 AE111:AI124 AE36:AI41 AE80:AI88 AG89:AG92 AE125:AE127 AG125:AG127 AE128:AI129 AE130:AE137 AG130:AG137">
    <cfRule type="cellIs" dxfId="545" priority="1014" stopIfTrue="1" operator="equal">
      <formula>0</formula>
    </cfRule>
  </conditionalFormatting>
  <conditionalFormatting sqref="AE12:AI26 AE28:AI32 AE34:AI34 AE36:AI41 AE46:AI71 AE73:AI75 AE80:AI88 AG89:AG92 AE93:AI102 AE104:AI106 AE111:AI119 AE121:AI124 AE125:AE127 AG125:AG127 AE128:AI129 AE130:AE137 AG130:AG137">
    <cfRule type="cellIs" dxfId="544" priority="1015" operator="greaterThanOrEqual">
      <formula>1</formula>
    </cfRule>
    <cfRule type="cellIs" dxfId="543" priority="1016" operator="greaterThanOrEqual">
      <formula>0.95</formula>
    </cfRule>
    <cfRule type="cellIs" dxfId="542" priority="1017" operator="lessThan">
      <formula>0.95</formula>
    </cfRule>
  </conditionalFormatting>
  <pageMargins left="0.31496062992125984" right="0.31496062992125984" top="0.74803149606299213" bottom="0.74803149606299213" header="0.31496062992125984" footer="0.31496062992125984"/>
  <pageSetup paperSize="9" scale="60" fitToHeight="0" orientation="landscape" r:id="rId1"/>
  <headerFooter>
    <oddHeader>&amp;L&amp;16KPI Week 20 (16/05/2025)</oddHeader>
    <oddFooter>Page &amp;P of &amp;N</oddFooter>
  </headerFooter>
  <rowBreaks count="4" manualBreakCount="4">
    <brk id="5" max="16383" man="1"/>
    <brk id="39" max="16383" man="1"/>
    <brk id="75" max="16383" man="1"/>
    <brk id="106" max="16383" man="1"/>
  </rowBreaks>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413FBFC-2FDE-4EE0-8DDE-EA682EDB398B}">
          <x14:formula1>
            <xm:f>'Week No''s'!$B$3:$B$55</xm:f>
          </x14:formula1>
          <xm:sqref>C1</xm:sqref>
        </x14:dataValidation>
        <x14:dataValidation type="list" allowBlank="1" showInputMessage="1" showErrorMessage="1" xr:uid="{C8857E7E-D83A-4510-A268-1EB9303B0018}">
          <x14:formula1>
            <xm:f>'Week No''s'!$E$3:$E$14</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D384A-4863-4682-B332-963991AB7A7C}">
  <sheetPr>
    <tabColor rgb="FF00B050"/>
  </sheetPr>
  <dimension ref="A1:NY127"/>
  <sheetViews>
    <sheetView zoomScale="60" zoomScaleNormal="60" workbookViewId="0">
      <pane xSplit="9" ySplit="8" topLeftCell="J57" activePane="bottomRight" state="frozen"/>
      <selection pane="topRight" activeCell="J1" sqref="J1"/>
      <selection pane="bottomLeft" activeCell="A9" sqref="A9"/>
      <selection pane="bottomRight" activeCell="P90" sqref="P90"/>
    </sheetView>
  </sheetViews>
  <sheetFormatPr defaultRowHeight="14.4" outlineLevelCol="2" x14ac:dyDescent="0.3"/>
  <cols>
    <col min="1" max="1" width="24" customWidth="1"/>
    <col min="2" max="2" width="19.6640625" customWidth="1"/>
    <col min="4" max="4" width="15.33203125" customWidth="1"/>
    <col min="5" max="5" width="42.88671875" bestFit="1" customWidth="1"/>
    <col min="6" max="6" width="14" customWidth="1"/>
    <col min="7" max="7" width="12.6640625" customWidth="1"/>
    <col min="8" max="8" width="4.6640625" customWidth="1"/>
    <col min="9" max="9" width="13.6640625" customWidth="1"/>
    <col min="10" max="10" width="10.33203125" customWidth="1" outlineLevel="1"/>
    <col min="11" max="11" width="12.6640625" bestFit="1" customWidth="1" outlineLevel="1"/>
    <col min="12" max="12" width="12.44140625" customWidth="1" outlineLevel="1"/>
    <col min="13" max="13" width="14.88671875" customWidth="1" outlineLevel="1"/>
    <col min="14" max="14" width="3" customWidth="1"/>
    <col min="15" max="15" width="11.109375" customWidth="1"/>
    <col min="16" max="16" width="10.33203125" customWidth="1" outlineLevel="1"/>
    <col min="17" max="17" width="12.88671875" bestFit="1" customWidth="1" outlineLevel="1"/>
    <col min="18" max="18" width="14" bestFit="1" customWidth="1" outlineLevel="1"/>
    <col min="19" max="20" width="11.5546875" bestFit="1" customWidth="1" outlineLevel="1"/>
    <col min="21" max="21" width="18" style="292" customWidth="1" outlineLevel="1"/>
    <col min="22" max="22" width="4" customWidth="1"/>
    <col min="23" max="23" width="10.6640625" customWidth="1"/>
    <col min="24" max="24" width="10.33203125" customWidth="1" outlineLevel="1"/>
    <col min="25" max="25" width="14.6640625" customWidth="1" outlineLevel="1"/>
    <col min="26" max="26" width="12.6640625" customWidth="1" outlineLevel="1"/>
    <col min="27" max="27" width="10.6640625" customWidth="1" outlineLevel="1"/>
    <col min="28" max="28" width="15.6640625" customWidth="1" outlineLevel="1"/>
    <col min="29" max="29" width="10.33203125" hidden="1" customWidth="1" outlineLevel="2"/>
    <col min="30" max="30" width="12.33203125" hidden="1" customWidth="1" outlineLevel="2"/>
    <col min="31" max="31" width="11.6640625" hidden="1" customWidth="1" outlineLevel="2"/>
    <col min="32" max="32" width="10.6640625" hidden="1" customWidth="1" outlineLevel="2"/>
    <col min="33" max="33" width="7.33203125" customWidth="1" outlineLevel="1" collapsed="1"/>
    <col min="34" max="34" width="13.6640625" customWidth="1"/>
    <col min="36" max="36" width="15.33203125" customWidth="1"/>
    <col min="37" max="37" width="42.88671875" bestFit="1" customWidth="1"/>
    <col min="38" max="38" width="11.6640625" customWidth="1"/>
    <col min="39" max="39" width="9.6640625" customWidth="1" outlineLevel="1"/>
    <col min="40" max="91" width="10.6640625" customWidth="1" outlineLevel="1"/>
    <col min="92" max="92" width="8.6640625"/>
    <col min="93" max="93" width="13.6640625" customWidth="1"/>
    <col min="95" max="95" width="15.33203125" customWidth="1"/>
    <col min="96" max="96" width="31.33203125" customWidth="1"/>
    <col min="97" max="97" width="11.6640625" customWidth="1" outlineLevel="1"/>
    <col min="98" max="98" width="15.109375" customWidth="1" outlineLevel="1"/>
    <col min="99" max="110" width="14.5546875" customWidth="1" outlineLevel="1"/>
    <col min="111" max="124" width="10.6640625" customWidth="1" outlineLevel="1"/>
    <col min="125" max="127" width="19.109375" bestFit="1" customWidth="1" outlineLevel="1"/>
    <col min="128" max="151" width="10.6640625" customWidth="1" outlineLevel="1"/>
    <col min="152" max="152" width="8.6640625"/>
    <col min="153" max="153" width="17.6640625" customWidth="1"/>
    <col min="155" max="155" width="15.33203125" customWidth="1"/>
    <col min="156" max="156" width="42.88671875" bestFit="1" customWidth="1"/>
    <col min="157" max="157" width="11.6640625" customWidth="1" outlineLevel="1"/>
    <col min="158" max="158" width="14.6640625" customWidth="1" outlineLevel="1"/>
    <col min="159" max="159" width="9.6640625" customWidth="1" outlineLevel="1"/>
    <col min="160" max="211" width="10.6640625" customWidth="1" outlineLevel="1"/>
    <col min="212" max="212" width="10.6640625" customWidth="1"/>
    <col min="214" max="214" width="15.33203125" customWidth="1"/>
    <col min="215" max="215" width="42.88671875" bestFit="1" customWidth="1"/>
    <col min="216" max="216" width="11.6640625" customWidth="1" outlineLevel="1"/>
    <col min="217" max="217" width="14.6640625" customWidth="1" outlineLevel="1"/>
    <col min="218" max="218" width="9.6640625" customWidth="1" outlineLevel="1"/>
    <col min="219" max="270" width="10.6640625" customWidth="1" outlineLevel="1"/>
    <col min="271" max="271" width="8.6640625"/>
    <col min="274" max="274" width="15.33203125" customWidth="1"/>
    <col min="275" max="275" width="42.88671875" bestFit="1" customWidth="1"/>
    <col min="276" max="276" width="11.6640625" customWidth="1" outlineLevel="1"/>
    <col min="277" max="277" width="14.6640625" customWidth="1" outlineLevel="1"/>
    <col min="278" max="278" width="9.6640625" customWidth="1" outlineLevel="1"/>
    <col min="279" max="330" width="10.6640625" customWidth="1" outlineLevel="1"/>
    <col min="331" max="331" width="10.6640625" customWidth="1"/>
    <col min="333" max="333" width="15.33203125" customWidth="1"/>
    <col min="334" max="334" width="42.88671875" bestFit="1" customWidth="1"/>
    <col min="335" max="335" width="11.6640625" customWidth="1" outlineLevel="1"/>
    <col min="336" max="336" width="18" customWidth="1" outlineLevel="1"/>
    <col min="337" max="337" width="9.6640625" customWidth="1" outlineLevel="1"/>
    <col min="338" max="349" width="10.6640625" customWidth="1" outlineLevel="1"/>
    <col min="350" max="350" width="14.109375" customWidth="1" outlineLevel="1"/>
    <col min="351" max="351" width="11.33203125" customWidth="1" outlineLevel="1"/>
    <col min="352" max="389" width="10.6640625" customWidth="1" outlineLevel="1"/>
    <col min="390" max="390" width="8.6640625"/>
  </cols>
  <sheetData>
    <row r="1" spans="1:389" ht="21.6" thickBot="1" x14ac:dyDescent="0.45">
      <c r="B1" s="186" t="s">
        <v>199</v>
      </c>
      <c r="DO1" t="s">
        <v>583</v>
      </c>
    </row>
    <row r="2" spans="1:389" ht="30.45" customHeight="1" thickBot="1" x14ac:dyDescent="0.4">
      <c r="D2" s="349" t="s">
        <v>351</v>
      </c>
      <c r="E2" s="349"/>
      <c r="G2" s="112"/>
      <c r="I2" s="911" t="s">
        <v>278</v>
      </c>
      <c r="J2" s="111" t="s">
        <v>126</v>
      </c>
      <c r="K2" s="111"/>
      <c r="L2" s="111"/>
      <c r="M2" s="112">
        <f>+'KPI Linked Table for Report'!C1</f>
        <v>42</v>
      </c>
      <c r="O2" s="911" t="s">
        <v>276</v>
      </c>
      <c r="P2" s="111" t="s">
        <v>126</v>
      </c>
      <c r="Q2" s="111"/>
      <c r="R2" s="112">
        <f>+D3</f>
        <v>42</v>
      </c>
      <c r="S2" s="112"/>
      <c r="T2" s="112"/>
      <c r="W2" s="911" t="s">
        <v>277</v>
      </c>
      <c r="X2" s="111" t="s">
        <v>126</v>
      </c>
      <c r="Y2" s="111"/>
      <c r="Z2" s="111"/>
      <c r="AA2" s="112">
        <f>+M2</f>
        <v>42</v>
      </c>
      <c r="AC2" s="111" t="s">
        <v>126</v>
      </c>
      <c r="AD2" s="111"/>
      <c r="AE2" s="111"/>
      <c r="AF2" s="112">
        <f>+AA2-1</f>
        <v>41</v>
      </c>
      <c r="AI2" s="237" t="s">
        <v>264</v>
      </c>
      <c r="AJ2" s="238"/>
      <c r="AK2" s="239"/>
      <c r="AM2" s="237" t="s">
        <v>264</v>
      </c>
      <c r="AN2" s="238"/>
      <c r="AO2" s="239"/>
      <c r="CP2" s="237" t="s">
        <v>310</v>
      </c>
      <c r="CQ2" s="238"/>
      <c r="CR2" s="239"/>
      <c r="CU2" s="237" t="s">
        <v>310</v>
      </c>
      <c r="CV2" s="238"/>
      <c r="CW2" s="238"/>
      <c r="CX2" s="239"/>
      <c r="CZ2" s="395"/>
      <c r="DA2" s="395"/>
      <c r="DO2" t="s">
        <v>585</v>
      </c>
      <c r="EX2" s="237" t="s">
        <v>279</v>
      </c>
      <c r="EY2" s="238"/>
      <c r="EZ2" s="237"/>
      <c r="FC2" s="237" t="s">
        <v>279</v>
      </c>
      <c r="FD2" s="238"/>
      <c r="FE2" s="237"/>
      <c r="HE2" s="237" t="s">
        <v>280</v>
      </c>
      <c r="HF2" s="238"/>
      <c r="HG2" s="237"/>
      <c r="HJ2" s="237" t="s">
        <v>280</v>
      </c>
      <c r="HK2" s="238"/>
      <c r="HL2" s="237"/>
      <c r="JM2" s="237" t="s">
        <v>283</v>
      </c>
      <c r="JN2" s="238"/>
      <c r="JO2" s="237"/>
      <c r="JR2" s="237" t="s">
        <v>283</v>
      </c>
      <c r="JS2" s="238"/>
      <c r="JT2" s="237"/>
      <c r="LT2" s="237" t="s">
        <v>285</v>
      </c>
      <c r="LU2" s="238"/>
      <c r="LV2" s="237"/>
      <c r="LY2" s="237" t="s">
        <v>285</v>
      </c>
      <c r="LZ2" s="238"/>
      <c r="MA2" s="237"/>
    </row>
    <row r="3" spans="1:389" ht="15" thickBot="1" x14ac:dyDescent="0.35">
      <c r="A3">
        <f>28/12*3</f>
        <v>7</v>
      </c>
      <c r="B3" t="s">
        <v>193</v>
      </c>
      <c r="D3" s="382">
        <f>+'KPI Linked Table for Report'!C1</f>
        <v>42</v>
      </c>
      <c r="E3" t="s">
        <v>200</v>
      </c>
      <c r="F3" s="187">
        <f>_xlfn.XLOOKUP(D3,EHS!M6:BM6,EHS!M7:BM7)</f>
        <v>45947</v>
      </c>
      <c r="I3" s="912"/>
      <c r="O3" s="912"/>
      <c r="P3" t="s">
        <v>188</v>
      </c>
      <c r="R3">
        <f>+R2-0</f>
        <v>42</v>
      </c>
      <c r="W3" s="912"/>
      <c r="CQ3" t="s">
        <v>249</v>
      </c>
      <c r="CV3" t="s">
        <v>584</v>
      </c>
    </row>
    <row r="4" spans="1:389" ht="15" thickBot="1" x14ac:dyDescent="0.35">
      <c r="B4" t="s">
        <v>373</v>
      </c>
      <c r="D4" s="383"/>
      <c r="E4" s="382" t="str">
        <f>+'KPI Linked Table for Report'!A2</f>
        <v>Sep</v>
      </c>
      <c r="F4" s="362">
        <f>+'KPI Linked Table for Report'!C2</f>
        <v>9</v>
      </c>
      <c r="I4" s="913"/>
      <c r="M4">
        <f>+F4</f>
        <v>9</v>
      </c>
      <c r="O4" s="913"/>
      <c r="Q4">
        <f>+F4</f>
        <v>9</v>
      </c>
      <c r="R4" t="str">
        <f>_xlfn.XLOOKUP(S4,'Week No''s'!F:F,'Week No''s'!E:E,0)</f>
        <v>Sep</v>
      </c>
      <c r="S4" s="179">
        <f>+F4</f>
        <v>9</v>
      </c>
      <c r="W4" s="913"/>
      <c r="AA4">
        <f>+F4</f>
        <v>9</v>
      </c>
      <c r="CQ4" t="s">
        <v>250</v>
      </c>
    </row>
    <row r="5" spans="1:389" ht="38.700000000000003" customHeight="1" thickBot="1" x14ac:dyDescent="0.35">
      <c r="B5" s="113" t="s">
        <v>125</v>
      </c>
      <c r="C5" s="113" t="s">
        <v>190</v>
      </c>
      <c r="D5" s="113" t="s">
        <v>38</v>
      </c>
      <c r="E5" s="113" t="s">
        <v>39</v>
      </c>
      <c r="F5" s="113" t="s">
        <v>140</v>
      </c>
      <c r="G5" s="166"/>
      <c r="J5" s="175" t="s">
        <v>293</v>
      </c>
      <c r="K5" s="176"/>
      <c r="L5" s="176"/>
      <c r="M5" s="176"/>
      <c r="P5" s="175" t="s">
        <v>294</v>
      </c>
      <c r="Q5" s="176"/>
      <c r="R5" s="176"/>
      <c r="S5" s="176"/>
      <c r="T5" s="176"/>
      <c r="U5" s="290"/>
      <c r="X5" s="175" t="s">
        <v>307</v>
      </c>
      <c r="Y5" s="574"/>
      <c r="Z5" s="574"/>
      <c r="AA5" s="574"/>
      <c r="AB5" s="297" t="s">
        <v>309</v>
      </c>
      <c r="AC5" s="914" t="s">
        <v>308</v>
      </c>
      <c r="AD5" s="915"/>
      <c r="AE5" s="915"/>
      <c r="AF5" s="916"/>
      <c r="AI5" s="113" t="s">
        <v>190</v>
      </c>
      <c r="AJ5" s="113" t="s">
        <v>38</v>
      </c>
      <c r="AK5" s="113" t="s">
        <v>39</v>
      </c>
      <c r="AL5" s="113" t="s">
        <v>140</v>
      </c>
      <c r="AM5" s="193" t="s">
        <v>240</v>
      </c>
      <c r="AN5" s="193" t="s">
        <v>240</v>
      </c>
      <c r="AO5" s="193" t="s">
        <v>240</v>
      </c>
      <c r="AP5" s="193" t="s">
        <v>240</v>
      </c>
      <c r="AQ5" s="193" t="s">
        <v>240</v>
      </c>
      <c r="AR5" s="193" t="s">
        <v>240</v>
      </c>
      <c r="AS5" s="193" t="s">
        <v>240</v>
      </c>
      <c r="AT5" s="193" t="s">
        <v>240</v>
      </c>
      <c r="AU5" s="193" t="s">
        <v>240</v>
      </c>
      <c r="AV5" s="193" t="s">
        <v>240</v>
      </c>
      <c r="AW5" s="193" t="s">
        <v>240</v>
      </c>
      <c r="AX5" s="193" t="s">
        <v>240</v>
      </c>
      <c r="AY5" s="193" t="s">
        <v>240</v>
      </c>
      <c r="AZ5" s="193" t="s">
        <v>240</v>
      </c>
      <c r="BA5" s="193" t="s">
        <v>240</v>
      </c>
      <c r="BB5" s="193" t="s">
        <v>240</v>
      </c>
      <c r="BC5" s="193" t="s">
        <v>240</v>
      </c>
      <c r="BD5" s="193" t="s">
        <v>240</v>
      </c>
      <c r="BE5" s="193" t="s">
        <v>240</v>
      </c>
      <c r="BF5" s="193" t="s">
        <v>240</v>
      </c>
      <c r="BG5" s="193" t="s">
        <v>240</v>
      </c>
      <c r="BH5" s="193" t="s">
        <v>240</v>
      </c>
      <c r="BI5" s="193" t="s">
        <v>240</v>
      </c>
      <c r="BJ5" s="193" t="s">
        <v>240</v>
      </c>
      <c r="BK5" s="193" t="s">
        <v>240</v>
      </c>
      <c r="BL5" s="193" t="s">
        <v>240</v>
      </c>
      <c r="BM5" s="193" t="s">
        <v>240</v>
      </c>
      <c r="BN5" s="193" t="s">
        <v>240</v>
      </c>
      <c r="BO5" s="193" t="s">
        <v>240</v>
      </c>
      <c r="BP5" s="193" t="s">
        <v>240</v>
      </c>
      <c r="BQ5" s="193" t="s">
        <v>240</v>
      </c>
      <c r="BR5" s="193" t="s">
        <v>240</v>
      </c>
      <c r="BS5" s="193" t="s">
        <v>240</v>
      </c>
      <c r="BT5" s="193" t="s">
        <v>240</v>
      </c>
      <c r="BU5" s="193" t="s">
        <v>240</v>
      </c>
      <c r="BV5" s="193" t="s">
        <v>240</v>
      </c>
      <c r="BW5" s="193" t="s">
        <v>240</v>
      </c>
      <c r="BX5" s="193" t="s">
        <v>240</v>
      </c>
      <c r="BY5" s="193" t="s">
        <v>240</v>
      </c>
      <c r="BZ5" s="193" t="s">
        <v>240</v>
      </c>
      <c r="CA5" s="193" t="s">
        <v>240</v>
      </c>
      <c r="CB5" s="193" t="s">
        <v>240</v>
      </c>
      <c r="CC5" s="193" t="s">
        <v>240</v>
      </c>
      <c r="CD5" s="193" t="s">
        <v>240</v>
      </c>
      <c r="CE5" s="193" t="s">
        <v>240</v>
      </c>
      <c r="CF5" s="193" t="s">
        <v>240</v>
      </c>
      <c r="CG5" s="193" t="s">
        <v>240</v>
      </c>
      <c r="CH5" s="193" t="s">
        <v>240</v>
      </c>
      <c r="CI5" s="193" t="s">
        <v>240</v>
      </c>
      <c r="CJ5" s="193" t="s">
        <v>240</v>
      </c>
      <c r="CK5" s="193" t="s">
        <v>240</v>
      </c>
      <c r="CL5" s="193" t="s">
        <v>240</v>
      </c>
      <c r="CM5" s="220" t="s">
        <v>240</v>
      </c>
      <c r="CP5" s="113" t="s">
        <v>190</v>
      </c>
      <c r="CQ5" s="113" t="s">
        <v>241</v>
      </c>
      <c r="CR5" s="113" t="s">
        <v>39</v>
      </c>
      <c r="CS5" s="113" t="s">
        <v>140</v>
      </c>
      <c r="CT5" s="113" t="s">
        <v>140</v>
      </c>
      <c r="CU5" s="193" t="s">
        <v>508</v>
      </c>
      <c r="CV5" s="193" t="s">
        <v>508</v>
      </c>
      <c r="CW5" s="193" t="s">
        <v>508</v>
      </c>
      <c r="CX5" s="193" t="s">
        <v>508</v>
      </c>
      <c r="CY5" s="193" t="s">
        <v>508</v>
      </c>
      <c r="CZ5" s="193" t="s">
        <v>508</v>
      </c>
      <c r="DA5" s="193" t="s">
        <v>508</v>
      </c>
      <c r="DB5" s="193" t="s">
        <v>508</v>
      </c>
      <c r="DC5" s="193" t="s">
        <v>508</v>
      </c>
      <c r="DD5" s="193" t="s">
        <v>508</v>
      </c>
      <c r="DE5" s="193" t="s">
        <v>508</v>
      </c>
      <c r="DF5" s="193" t="s">
        <v>508</v>
      </c>
      <c r="DG5" s="193" t="s">
        <v>508</v>
      </c>
      <c r="DH5" s="193" t="s">
        <v>508</v>
      </c>
      <c r="DI5" s="193" t="s">
        <v>508</v>
      </c>
      <c r="DJ5" s="193" t="s">
        <v>508</v>
      </c>
      <c r="DK5" s="193" t="s">
        <v>508</v>
      </c>
      <c r="DL5" s="193" t="s">
        <v>508</v>
      </c>
      <c r="DM5" s="193" t="s">
        <v>508</v>
      </c>
      <c r="DN5" s="193" t="s">
        <v>508</v>
      </c>
      <c r="DO5" s="193" t="s">
        <v>508</v>
      </c>
      <c r="DP5" s="193" t="s">
        <v>508</v>
      </c>
      <c r="DQ5" s="193" t="s">
        <v>508</v>
      </c>
      <c r="DR5" s="193" t="s">
        <v>508</v>
      </c>
      <c r="DS5" s="193" t="s">
        <v>508</v>
      </c>
      <c r="DT5" s="193" t="s">
        <v>508</v>
      </c>
      <c r="DU5" s="193" t="s">
        <v>508</v>
      </c>
      <c r="DV5" s="193" t="s">
        <v>508</v>
      </c>
      <c r="DW5" s="193" t="s">
        <v>508</v>
      </c>
      <c r="DX5" s="193" t="s">
        <v>508</v>
      </c>
      <c r="DY5" s="193" t="s">
        <v>508</v>
      </c>
      <c r="DZ5" s="193" t="s">
        <v>508</v>
      </c>
      <c r="EA5" s="193" t="s">
        <v>508</v>
      </c>
      <c r="EB5" s="193" t="s">
        <v>508</v>
      </c>
      <c r="EC5" s="193" t="s">
        <v>508</v>
      </c>
      <c r="ED5" s="193" t="s">
        <v>508</v>
      </c>
      <c r="EE5" s="193" t="s">
        <v>508</v>
      </c>
      <c r="EF5" s="193" t="s">
        <v>508</v>
      </c>
      <c r="EG5" s="193" t="s">
        <v>508</v>
      </c>
      <c r="EH5" s="193" t="s">
        <v>508</v>
      </c>
      <c r="EI5" s="193" t="s">
        <v>508</v>
      </c>
      <c r="EJ5" s="193" t="s">
        <v>508</v>
      </c>
      <c r="EK5" s="193" t="s">
        <v>508</v>
      </c>
      <c r="EL5" s="193" t="s">
        <v>508</v>
      </c>
      <c r="EM5" s="193" t="s">
        <v>508</v>
      </c>
      <c r="EN5" s="193" t="s">
        <v>508</v>
      </c>
      <c r="EO5" s="193" t="s">
        <v>508</v>
      </c>
      <c r="EP5" s="193" t="s">
        <v>508</v>
      </c>
      <c r="EQ5" s="193" t="s">
        <v>508</v>
      </c>
      <c r="ER5" s="193" t="s">
        <v>508</v>
      </c>
      <c r="ES5" s="193" t="s">
        <v>508</v>
      </c>
      <c r="ET5" s="193" t="s">
        <v>508</v>
      </c>
      <c r="EU5" s="193" t="s">
        <v>508</v>
      </c>
      <c r="EX5" s="113" t="s">
        <v>190</v>
      </c>
      <c r="EY5" s="113" t="s">
        <v>38</v>
      </c>
      <c r="EZ5" s="113" t="s">
        <v>39</v>
      </c>
      <c r="FA5" s="113" t="s">
        <v>140</v>
      </c>
      <c r="FB5" s="113" t="s">
        <v>140</v>
      </c>
      <c r="FC5" s="193" t="s">
        <v>281</v>
      </c>
      <c r="FD5" s="193" t="s">
        <v>281</v>
      </c>
      <c r="FE5" s="193" t="s">
        <v>281</v>
      </c>
      <c r="FF5" s="193" t="s">
        <v>281</v>
      </c>
      <c r="FG5" s="193" t="s">
        <v>281</v>
      </c>
      <c r="FH5" s="193" t="s">
        <v>281</v>
      </c>
      <c r="FI5" s="193" t="s">
        <v>281</v>
      </c>
      <c r="FJ5" s="193" t="s">
        <v>281</v>
      </c>
      <c r="FK5" s="193" t="s">
        <v>281</v>
      </c>
      <c r="FL5" s="193" t="s">
        <v>281</v>
      </c>
      <c r="FM5" s="193" t="s">
        <v>281</v>
      </c>
      <c r="FN5" s="193" t="s">
        <v>281</v>
      </c>
      <c r="FO5" s="193" t="s">
        <v>281</v>
      </c>
      <c r="FP5" s="193" t="s">
        <v>281</v>
      </c>
      <c r="FQ5" s="193" t="s">
        <v>281</v>
      </c>
      <c r="FR5" s="193" t="s">
        <v>281</v>
      </c>
      <c r="FS5" s="193" t="s">
        <v>281</v>
      </c>
      <c r="FT5" s="193" t="s">
        <v>281</v>
      </c>
      <c r="FU5" s="193" t="s">
        <v>281</v>
      </c>
      <c r="FV5" s="193" t="s">
        <v>281</v>
      </c>
      <c r="FW5" s="193" t="s">
        <v>281</v>
      </c>
      <c r="FX5" s="193" t="s">
        <v>281</v>
      </c>
      <c r="FY5" s="193" t="s">
        <v>281</v>
      </c>
      <c r="FZ5" s="193" t="s">
        <v>281</v>
      </c>
      <c r="GA5" s="193" t="s">
        <v>281</v>
      </c>
      <c r="GB5" s="193" t="s">
        <v>281</v>
      </c>
      <c r="GC5" s="193" t="s">
        <v>281</v>
      </c>
      <c r="GD5" s="193" t="s">
        <v>281</v>
      </c>
      <c r="GE5" s="193" t="s">
        <v>281</v>
      </c>
      <c r="GF5" s="193" t="s">
        <v>281</v>
      </c>
      <c r="GG5" s="193" t="s">
        <v>281</v>
      </c>
      <c r="GH5" s="193" t="s">
        <v>281</v>
      </c>
      <c r="GI5" s="193" t="s">
        <v>281</v>
      </c>
      <c r="GJ5" s="193" t="s">
        <v>281</v>
      </c>
      <c r="GK5" s="193" t="s">
        <v>281</v>
      </c>
      <c r="GL5" s="193" t="s">
        <v>281</v>
      </c>
      <c r="GM5" s="193" t="s">
        <v>281</v>
      </c>
      <c r="GN5" s="193" t="s">
        <v>281</v>
      </c>
      <c r="GO5" s="193" t="s">
        <v>281</v>
      </c>
      <c r="GP5" s="193" t="s">
        <v>281</v>
      </c>
      <c r="GQ5" s="193" t="s">
        <v>281</v>
      </c>
      <c r="GR5" s="193" t="s">
        <v>281</v>
      </c>
      <c r="GS5" s="193" t="s">
        <v>281</v>
      </c>
      <c r="GT5" s="193" t="s">
        <v>281</v>
      </c>
      <c r="GU5" s="193" t="s">
        <v>281</v>
      </c>
      <c r="GV5" s="193" t="s">
        <v>281</v>
      </c>
      <c r="GW5" s="193" t="s">
        <v>281</v>
      </c>
      <c r="GX5" s="193" t="s">
        <v>281</v>
      </c>
      <c r="GY5" s="193" t="s">
        <v>281</v>
      </c>
      <c r="GZ5" s="193" t="s">
        <v>281</v>
      </c>
      <c r="HA5" s="193" t="s">
        <v>281</v>
      </c>
      <c r="HB5" s="193" t="s">
        <v>281</v>
      </c>
      <c r="HC5" s="193" t="s">
        <v>281</v>
      </c>
      <c r="HE5" s="113" t="s">
        <v>190</v>
      </c>
      <c r="HF5" s="113" t="s">
        <v>38</v>
      </c>
      <c r="HG5" s="113" t="s">
        <v>39</v>
      </c>
      <c r="HH5" s="113" t="s">
        <v>140</v>
      </c>
      <c r="HI5" s="113" t="s">
        <v>140</v>
      </c>
      <c r="HJ5" s="193" t="s">
        <v>282</v>
      </c>
      <c r="HK5" s="193" t="s">
        <v>282</v>
      </c>
      <c r="HL5" s="193" t="s">
        <v>282</v>
      </c>
      <c r="HM5" s="193" t="s">
        <v>282</v>
      </c>
      <c r="HN5" s="193" t="s">
        <v>282</v>
      </c>
      <c r="HO5" s="193" t="s">
        <v>282</v>
      </c>
      <c r="HP5" s="193" t="s">
        <v>282</v>
      </c>
      <c r="HQ5" s="193" t="s">
        <v>282</v>
      </c>
      <c r="HR5" s="193" t="s">
        <v>282</v>
      </c>
      <c r="HS5" s="193" t="s">
        <v>282</v>
      </c>
      <c r="HT5" s="193" t="s">
        <v>282</v>
      </c>
      <c r="HU5" s="193" t="s">
        <v>282</v>
      </c>
      <c r="HV5" s="193" t="s">
        <v>282</v>
      </c>
      <c r="HW5" s="193" t="s">
        <v>282</v>
      </c>
      <c r="HX5" s="193" t="s">
        <v>282</v>
      </c>
      <c r="HY5" s="193" t="s">
        <v>282</v>
      </c>
      <c r="HZ5" s="193" t="s">
        <v>282</v>
      </c>
      <c r="IA5" s="193" t="s">
        <v>282</v>
      </c>
      <c r="IB5" s="193" t="s">
        <v>282</v>
      </c>
      <c r="IC5" s="193" t="s">
        <v>282</v>
      </c>
      <c r="ID5" s="193" t="s">
        <v>282</v>
      </c>
      <c r="IE5" s="193" t="s">
        <v>282</v>
      </c>
      <c r="IF5" s="193" t="s">
        <v>282</v>
      </c>
      <c r="IG5" s="193" t="s">
        <v>282</v>
      </c>
      <c r="IH5" s="193" t="s">
        <v>282</v>
      </c>
      <c r="II5" s="193" t="s">
        <v>282</v>
      </c>
      <c r="IJ5" s="193" t="s">
        <v>282</v>
      </c>
      <c r="IK5" s="193" t="s">
        <v>282</v>
      </c>
      <c r="IL5" s="193" t="s">
        <v>282</v>
      </c>
      <c r="IM5" s="193" t="s">
        <v>282</v>
      </c>
      <c r="IN5" s="193" t="s">
        <v>282</v>
      </c>
      <c r="IO5" s="193" t="s">
        <v>282</v>
      </c>
      <c r="IP5" s="193" t="s">
        <v>282</v>
      </c>
      <c r="IQ5" s="193" t="s">
        <v>282</v>
      </c>
      <c r="IR5" s="193" t="s">
        <v>282</v>
      </c>
      <c r="IS5" s="193" t="s">
        <v>282</v>
      </c>
      <c r="IT5" s="193" t="s">
        <v>282</v>
      </c>
      <c r="IU5" s="193" t="s">
        <v>282</v>
      </c>
      <c r="IV5" s="193" t="s">
        <v>282</v>
      </c>
      <c r="IW5" s="193" t="s">
        <v>282</v>
      </c>
      <c r="IX5" s="193" t="s">
        <v>282</v>
      </c>
      <c r="IY5" s="193" t="s">
        <v>282</v>
      </c>
      <c r="IZ5" s="193" t="s">
        <v>282</v>
      </c>
      <c r="JA5" s="193" t="s">
        <v>282</v>
      </c>
      <c r="JB5" s="193" t="s">
        <v>282</v>
      </c>
      <c r="JC5" s="193" t="s">
        <v>282</v>
      </c>
      <c r="JD5" s="193" t="s">
        <v>282</v>
      </c>
      <c r="JE5" s="193" t="s">
        <v>282</v>
      </c>
      <c r="JF5" s="193" t="s">
        <v>282</v>
      </c>
      <c r="JG5" s="193" t="s">
        <v>282</v>
      </c>
      <c r="JH5" s="193" t="s">
        <v>282</v>
      </c>
      <c r="JI5" s="193" t="s">
        <v>282</v>
      </c>
      <c r="JJ5" s="193" t="s">
        <v>282</v>
      </c>
      <c r="JM5" s="113" t="s">
        <v>190</v>
      </c>
      <c r="JN5" s="113" t="s">
        <v>38</v>
      </c>
      <c r="JO5" s="113" t="s">
        <v>39</v>
      </c>
      <c r="JP5" s="113" t="s">
        <v>140</v>
      </c>
      <c r="JQ5" s="113" t="s">
        <v>140</v>
      </c>
      <c r="JR5" s="193" t="s">
        <v>289</v>
      </c>
      <c r="JS5" s="193" t="s">
        <v>289</v>
      </c>
      <c r="JT5" s="193" t="s">
        <v>289</v>
      </c>
      <c r="JU5" s="193" t="s">
        <v>289</v>
      </c>
      <c r="JV5" s="193" t="s">
        <v>289</v>
      </c>
      <c r="JW5" s="193" t="s">
        <v>289</v>
      </c>
      <c r="JX5" s="193" t="s">
        <v>289</v>
      </c>
      <c r="JY5" s="193" t="s">
        <v>289</v>
      </c>
      <c r="JZ5" s="193" t="s">
        <v>289</v>
      </c>
      <c r="KA5" s="193" t="s">
        <v>289</v>
      </c>
      <c r="KB5" s="193" t="s">
        <v>289</v>
      </c>
      <c r="KC5" s="193" t="s">
        <v>289</v>
      </c>
      <c r="KD5" s="193" t="s">
        <v>289</v>
      </c>
      <c r="KE5" s="193" t="s">
        <v>289</v>
      </c>
      <c r="KF5" s="193" t="s">
        <v>289</v>
      </c>
      <c r="KG5" s="193" t="s">
        <v>289</v>
      </c>
      <c r="KH5" s="193" t="s">
        <v>289</v>
      </c>
      <c r="KI5" s="193" t="s">
        <v>289</v>
      </c>
      <c r="KJ5" s="193" t="s">
        <v>289</v>
      </c>
      <c r="KK5" s="193" t="s">
        <v>289</v>
      </c>
      <c r="KL5" s="193" t="s">
        <v>289</v>
      </c>
      <c r="KM5" s="193" t="s">
        <v>289</v>
      </c>
      <c r="KN5" s="193" t="s">
        <v>289</v>
      </c>
      <c r="KO5" s="193" t="s">
        <v>289</v>
      </c>
      <c r="KP5" s="193" t="s">
        <v>289</v>
      </c>
      <c r="KQ5" s="193" t="s">
        <v>289</v>
      </c>
      <c r="KR5" s="193" t="s">
        <v>289</v>
      </c>
      <c r="KS5" s="193" t="s">
        <v>289</v>
      </c>
      <c r="KT5" s="193" t="s">
        <v>289</v>
      </c>
      <c r="KU5" s="193" t="s">
        <v>289</v>
      </c>
      <c r="KV5" s="193" t="s">
        <v>289</v>
      </c>
      <c r="KW5" s="193" t="s">
        <v>289</v>
      </c>
      <c r="KX5" s="193" t="s">
        <v>289</v>
      </c>
      <c r="KY5" s="193" t="s">
        <v>289</v>
      </c>
      <c r="KZ5" s="193" t="s">
        <v>289</v>
      </c>
      <c r="LA5" s="193" t="s">
        <v>289</v>
      </c>
      <c r="LB5" s="193" t="s">
        <v>289</v>
      </c>
      <c r="LC5" s="193" t="s">
        <v>289</v>
      </c>
      <c r="LD5" s="193" t="s">
        <v>289</v>
      </c>
      <c r="LE5" s="193" t="s">
        <v>289</v>
      </c>
      <c r="LF5" s="193" t="s">
        <v>289</v>
      </c>
      <c r="LG5" s="193" t="s">
        <v>289</v>
      </c>
      <c r="LH5" s="193" t="s">
        <v>289</v>
      </c>
      <c r="LI5" s="193" t="s">
        <v>289</v>
      </c>
      <c r="LJ5" s="193" t="s">
        <v>289</v>
      </c>
      <c r="LK5" s="193" t="s">
        <v>289</v>
      </c>
      <c r="LL5" s="193" t="s">
        <v>289</v>
      </c>
      <c r="LM5" s="193" t="s">
        <v>289</v>
      </c>
      <c r="LN5" s="193" t="s">
        <v>289</v>
      </c>
      <c r="LO5" s="193" t="s">
        <v>289</v>
      </c>
      <c r="LP5" s="193" t="s">
        <v>289</v>
      </c>
      <c r="LQ5" s="193" t="s">
        <v>289</v>
      </c>
      <c r="LR5" s="256" t="s">
        <v>289</v>
      </c>
      <c r="LT5" s="113" t="s">
        <v>190</v>
      </c>
      <c r="LU5" s="113" t="s">
        <v>38</v>
      </c>
      <c r="LV5" s="113" t="s">
        <v>39</v>
      </c>
      <c r="LW5" s="113" t="s">
        <v>140</v>
      </c>
      <c r="LX5" s="113" t="s">
        <v>140</v>
      </c>
      <c r="LY5" s="193" t="s">
        <v>290</v>
      </c>
      <c r="LZ5" s="193" t="s">
        <v>290</v>
      </c>
      <c r="MA5" s="193" t="s">
        <v>290</v>
      </c>
      <c r="MB5" s="193" t="s">
        <v>290</v>
      </c>
      <c r="MC5" s="193" t="s">
        <v>290</v>
      </c>
      <c r="MD5" s="193" t="s">
        <v>290</v>
      </c>
      <c r="ME5" s="193" t="s">
        <v>290</v>
      </c>
      <c r="MF5" s="193" t="s">
        <v>290</v>
      </c>
      <c r="MG5" s="193" t="s">
        <v>290</v>
      </c>
      <c r="MH5" s="193" t="s">
        <v>290</v>
      </c>
      <c r="MI5" s="193" t="s">
        <v>290</v>
      </c>
      <c r="MJ5" s="193" t="s">
        <v>290</v>
      </c>
      <c r="MK5" s="193" t="s">
        <v>290</v>
      </c>
      <c r="ML5" s="193" t="s">
        <v>290</v>
      </c>
      <c r="MM5" s="193" t="s">
        <v>290</v>
      </c>
      <c r="MN5" s="193" t="s">
        <v>290</v>
      </c>
      <c r="MO5" s="193" t="s">
        <v>290</v>
      </c>
      <c r="MP5" s="193" t="s">
        <v>290</v>
      </c>
      <c r="MQ5" s="193" t="s">
        <v>290</v>
      </c>
      <c r="MR5" s="193" t="s">
        <v>290</v>
      </c>
      <c r="MS5" s="193" t="s">
        <v>290</v>
      </c>
      <c r="MT5" s="193" t="s">
        <v>290</v>
      </c>
      <c r="MU5" s="193" t="s">
        <v>290</v>
      </c>
      <c r="MV5" s="193" t="s">
        <v>290</v>
      </c>
      <c r="MW5" s="193" t="s">
        <v>290</v>
      </c>
      <c r="MX5" s="193" t="s">
        <v>290</v>
      </c>
      <c r="MY5" s="193" t="s">
        <v>290</v>
      </c>
      <c r="MZ5" s="193" t="s">
        <v>290</v>
      </c>
      <c r="NA5" s="193" t="s">
        <v>290</v>
      </c>
      <c r="NB5" s="193" t="s">
        <v>290</v>
      </c>
      <c r="NC5" s="193" t="s">
        <v>290</v>
      </c>
      <c r="ND5" s="193" t="s">
        <v>290</v>
      </c>
      <c r="NE5" s="193" t="s">
        <v>290</v>
      </c>
      <c r="NF5" s="193" t="s">
        <v>290</v>
      </c>
      <c r="NG5" s="193" t="s">
        <v>290</v>
      </c>
      <c r="NH5" s="193" t="s">
        <v>290</v>
      </c>
      <c r="NI5" s="193" t="s">
        <v>290</v>
      </c>
      <c r="NJ5" s="193" t="s">
        <v>290</v>
      </c>
      <c r="NK5" s="193" t="s">
        <v>290</v>
      </c>
      <c r="NL5" s="193" t="s">
        <v>290</v>
      </c>
      <c r="NM5" s="193" t="s">
        <v>290</v>
      </c>
      <c r="NN5" s="193" t="s">
        <v>290</v>
      </c>
      <c r="NO5" s="193" t="s">
        <v>290</v>
      </c>
      <c r="NP5" s="193" t="s">
        <v>290</v>
      </c>
      <c r="NQ5" s="193" t="s">
        <v>290</v>
      </c>
      <c r="NR5" s="193" t="s">
        <v>290</v>
      </c>
      <c r="NS5" s="193" t="s">
        <v>290</v>
      </c>
      <c r="NT5" s="193" t="s">
        <v>290</v>
      </c>
      <c r="NU5" s="193" t="s">
        <v>290</v>
      </c>
      <c r="NV5" s="193" t="s">
        <v>290</v>
      </c>
      <c r="NW5" s="193" t="s">
        <v>290</v>
      </c>
      <c r="NX5" s="193" t="s">
        <v>290</v>
      </c>
      <c r="NY5" s="193" t="s">
        <v>290</v>
      </c>
    </row>
    <row r="6" spans="1:389" ht="73.2" customHeight="1" thickBot="1" x14ac:dyDescent="0.35">
      <c r="G6" s="351" t="s">
        <v>225</v>
      </c>
      <c r="J6" s="351" t="s">
        <v>187</v>
      </c>
      <c r="K6" s="352" t="s">
        <v>296</v>
      </c>
      <c r="L6" s="352" t="s">
        <v>297</v>
      </c>
      <c r="M6" s="351" t="s">
        <v>316</v>
      </c>
      <c r="P6" s="351" t="s">
        <v>187</v>
      </c>
      <c r="Q6" s="353" t="s">
        <v>296</v>
      </c>
      <c r="R6" s="354" t="s">
        <v>298</v>
      </c>
      <c r="S6" s="353" t="s">
        <v>299</v>
      </c>
      <c r="T6" s="354" t="s">
        <v>300</v>
      </c>
      <c r="U6" s="355" t="s">
        <v>301</v>
      </c>
      <c r="X6" s="351" t="s">
        <v>314</v>
      </c>
      <c r="Y6" s="132" t="s">
        <v>311</v>
      </c>
      <c r="Z6" s="132" t="s">
        <v>312</v>
      </c>
      <c r="AA6" s="132" t="s">
        <v>313</v>
      </c>
      <c r="AB6" s="215" t="s">
        <v>406</v>
      </c>
      <c r="AC6" s="131" t="s">
        <v>315</v>
      </c>
      <c r="AD6" s="132" t="s">
        <v>303</v>
      </c>
      <c r="AE6" s="132" t="s">
        <v>304</v>
      </c>
      <c r="AF6" s="258" t="s">
        <v>302</v>
      </c>
      <c r="AM6" s="131" t="s">
        <v>187</v>
      </c>
      <c r="AN6" s="195" t="s">
        <v>187</v>
      </c>
      <c r="AO6" s="195" t="s">
        <v>187</v>
      </c>
      <c r="AP6" s="195" t="s">
        <v>187</v>
      </c>
      <c r="AQ6" s="195" t="s">
        <v>187</v>
      </c>
      <c r="AR6" s="195" t="s">
        <v>187</v>
      </c>
      <c r="AS6" s="195" t="s">
        <v>187</v>
      </c>
      <c r="AT6" s="195" t="s">
        <v>187</v>
      </c>
      <c r="AU6" s="195" t="s">
        <v>187</v>
      </c>
      <c r="AV6" s="195" t="s">
        <v>187</v>
      </c>
      <c r="AW6" s="195" t="s">
        <v>187</v>
      </c>
      <c r="AX6" s="195" t="s">
        <v>187</v>
      </c>
      <c r="AY6" s="195" t="s">
        <v>187</v>
      </c>
      <c r="AZ6" s="195" t="s">
        <v>187</v>
      </c>
      <c r="BA6" s="195" t="s">
        <v>187</v>
      </c>
      <c r="BB6" s="195" t="s">
        <v>187</v>
      </c>
      <c r="BC6" s="195" t="s">
        <v>187</v>
      </c>
      <c r="BD6" s="195" t="s">
        <v>187</v>
      </c>
      <c r="BE6" s="195" t="s">
        <v>187</v>
      </c>
      <c r="BF6" s="195" t="s">
        <v>187</v>
      </c>
      <c r="BG6" s="195" t="s">
        <v>187</v>
      </c>
      <c r="BH6" s="195" t="s">
        <v>187</v>
      </c>
      <c r="BI6" s="195" t="s">
        <v>187</v>
      </c>
      <c r="BJ6" s="195" t="s">
        <v>187</v>
      </c>
      <c r="BK6" s="195" t="s">
        <v>187</v>
      </c>
      <c r="BL6" s="195" t="s">
        <v>187</v>
      </c>
      <c r="BM6" s="195" t="s">
        <v>187</v>
      </c>
      <c r="BN6" s="195" t="s">
        <v>187</v>
      </c>
      <c r="BO6" s="195" t="s">
        <v>187</v>
      </c>
      <c r="BP6" s="195" t="s">
        <v>187</v>
      </c>
      <c r="BQ6" s="195" t="s">
        <v>187</v>
      </c>
      <c r="BR6" s="195" t="s">
        <v>187</v>
      </c>
      <c r="BS6" s="195" t="s">
        <v>187</v>
      </c>
      <c r="BT6" s="195" t="s">
        <v>187</v>
      </c>
      <c r="BU6" s="195" t="s">
        <v>187</v>
      </c>
      <c r="BV6" s="195" t="s">
        <v>187</v>
      </c>
      <c r="BW6" s="195" t="s">
        <v>187</v>
      </c>
      <c r="BX6" s="195" t="s">
        <v>187</v>
      </c>
      <c r="BY6" s="195" t="s">
        <v>187</v>
      </c>
      <c r="BZ6" s="195" t="s">
        <v>187</v>
      </c>
      <c r="CA6" s="195" t="s">
        <v>187</v>
      </c>
      <c r="CB6" s="195" t="s">
        <v>187</v>
      </c>
      <c r="CC6" s="195" t="s">
        <v>187</v>
      </c>
      <c r="CD6" s="195" t="s">
        <v>187</v>
      </c>
      <c r="CE6" s="195" t="s">
        <v>187</v>
      </c>
      <c r="CF6" s="195" t="s">
        <v>187</v>
      </c>
      <c r="CG6" s="195" t="s">
        <v>187</v>
      </c>
      <c r="CH6" s="195" t="s">
        <v>187</v>
      </c>
      <c r="CI6" s="195" t="s">
        <v>187</v>
      </c>
      <c r="CJ6" s="195" t="s">
        <v>187</v>
      </c>
      <c r="CK6" s="195" t="s">
        <v>187</v>
      </c>
      <c r="CL6" s="195" t="s">
        <v>187</v>
      </c>
      <c r="CM6" s="221" t="s">
        <v>187</v>
      </c>
      <c r="CU6" s="131" t="s">
        <v>287</v>
      </c>
      <c r="CV6" s="131" t="s">
        <v>287</v>
      </c>
      <c r="CW6" s="131" t="s">
        <v>287</v>
      </c>
      <c r="CX6" s="131" t="s">
        <v>287</v>
      </c>
      <c r="CY6" s="131" t="s">
        <v>287</v>
      </c>
      <c r="CZ6" s="131" t="s">
        <v>287</v>
      </c>
      <c r="DA6" s="131" t="s">
        <v>287</v>
      </c>
      <c r="DB6" s="131" t="s">
        <v>287</v>
      </c>
      <c r="DC6" s="131" t="s">
        <v>287</v>
      </c>
      <c r="DD6" s="131" t="s">
        <v>287</v>
      </c>
      <c r="DE6" s="131" t="s">
        <v>287</v>
      </c>
      <c r="DF6" s="131" t="s">
        <v>287</v>
      </c>
      <c r="DG6" s="131" t="s">
        <v>287</v>
      </c>
      <c r="DH6" s="131" t="s">
        <v>287</v>
      </c>
      <c r="DI6" s="131" t="s">
        <v>287</v>
      </c>
      <c r="DJ6" s="131" t="s">
        <v>287</v>
      </c>
      <c r="DK6" s="131" t="s">
        <v>287</v>
      </c>
      <c r="DL6" s="131" t="s">
        <v>287</v>
      </c>
      <c r="DM6" s="131" t="s">
        <v>287</v>
      </c>
      <c r="DN6" s="131" t="s">
        <v>287</v>
      </c>
      <c r="DO6" s="131" t="s">
        <v>287</v>
      </c>
      <c r="DP6" s="131" t="s">
        <v>287</v>
      </c>
      <c r="DQ6" s="131" t="s">
        <v>287</v>
      </c>
      <c r="DR6" s="131" t="s">
        <v>287</v>
      </c>
      <c r="DS6" s="131" t="s">
        <v>287</v>
      </c>
      <c r="DT6" s="131" t="s">
        <v>287</v>
      </c>
      <c r="DU6" s="131" t="s">
        <v>287</v>
      </c>
      <c r="DV6" s="131" t="s">
        <v>287</v>
      </c>
      <c r="DW6" s="131" t="s">
        <v>287</v>
      </c>
      <c r="DX6" s="131" t="s">
        <v>287</v>
      </c>
      <c r="DY6" s="131" t="s">
        <v>287</v>
      </c>
      <c r="DZ6" s="131" t="s">
        <v>287</v>
      </c>
      <c r="EA6" s="131" t="s">
        <v>287</v>
      </c>
      <c r="EB6" s="131" t="s">
        <v>287</v>
      </c>
      <c r="EC6" s="131" t="s">
        <v>287</v>
      </c>
      <c r="ED6" s="131" t="s">
        <v>287</v>
      </c>
      <c r="EE6" s="131" t="s">
        <v>287</v>
      </c>
      <c r="EF6" s="131" t="s">
        <v>287</v>
      </c>
      <c r="EG6" s="131" t="s">
        <v>287</v>
      </c>
      <c r="EH6" s="131" t="s">
        <v>287</v>
      </c>
      <c r="EI6" s="131" t="s">
        <v>287</v>
      </c>
      <c r="EJ6" s="131" t="s">
        <v>287</v>
      </c>
      <c r="EK6" s="131" t="s">
        <v>287</v>
      </c>
      <c r="EL6" s="131" t="s">
        <v>287</v>
      </c>
      <c r="EM6" s="131" t="s">
        <v>287</v>
      </c>
      <c r="EN6" s="131" t="s">
        <v>287</v>
      </c>
      <c r="EO6" s="131" t="s">
        <v>287</v>
      </c>
      <c r="EP6" s="131" t="s">
        <v>287</v>
      </c>
      <c r="EQ6" s="131" t="s">
        <v>287</v>
      </c>
      <c r="ER6" s="131" t="s">
        <v>287</v>
      </c>
      <c r="ES6" s="131" t="s">
        <v>287</v>
      </c>
      <c r="ET6" s="131" t="s">
        <v>287</v>
      </c>
      <c r="EU6" s="167" t="s">
        <v>287</v>
      </c>
      <c r="FC6" s="131" t="s">
        <v>288</v>
      </c>
      <c r="FD6" s="131" t="s">
        <v>288</v>
      </c>
      <c r="FE6" s="131" t="s">
        <v>288</v>
      </c>
      <c r="FF6" s="131" t="s">
        <v>288</v>
      </c>
      <c r="FG6" s="131" t="s">
        <v>288</v>
      </c>
      <c r="FH6" s="131" t="s">
        <v>288</v>
      </c>
      <c r="FI6" s="131" t="s">
        <v>288</v>
      </c>
      <c r="FJ6" s="131" t="s">
        <v>288</v>
      </c>
      <c r="FK6" s="131" t="s">
        <v>288</v>
      </c>
      <c r="FL6" s="131" t="s">
        <v>288</v>
      </c>
      <c r="FM6" s="131" t="s">
        <v>288</v>
      </c>
      <c r="FN6" s="131" t="s">
        <v>288</v>
      </c>
      <c r="FO6" s="131" t="s">
        <v>288</v>
      </c>
      <c r="FP6" s="131" t="s">
        <v>288</v>
      </c>
      <c r="FQ6" s="131" t="s">
        <v>288</v>
      </c>
      <c r="FR6" s="131" t="s">
        <v>288</v>
      </c>
      <c r="FS6" s="131" t="s">
        <v>288</v>
      </c>
      <c r="FT6" s="131" t="s">
        <v>288</v>
      </c>
      <c r="FU6" s="131" t="s">
        <v>288</v>
      </c>
      <c r="FV6" s="131" t="s">
        <v>288</v>
      </c>
      <c r="FW6" s="131" t="s">
        <v>288</v>
      </c>
      <c r="FX6" s="131" t="s">
        <v>288</v>
      </c>
      <c r="FY6" s="131" t="s">
        <v>288</v>
      </c>
      <c r="FZ6" s="131" t="s">
        <v>288</v>
      </c>
      <c r="GA6" s="131" t="s">
        <v>288</v>
      </c>
      <c r="GB6" s="131" t="s">
        <v>288</v>
      </c>
      <c r="GC6" s="131" t="s">
        <v>288</v>
      </c>
      <c r="GD6" s="131" t="s">
        <v>288</v>
      </c>
      <c r="GE6" s="131" t="s">
        <v>288</v>
      </c>
      <c r="GF6" s="131" t="s">
        <v>288</v>
      </c>
      <c r="GG6" s="131" t="s">
        <v>288</v>
      </c>
      <c r="GH6" s="131" t="s">
        <v>288</v>
      </c>
      <c r="GI6" s="131" t="s">
        <v>288</v>
      </c>
      <c r="GJ6" s="131" t="s">
        <v>288</v>
      </c>
      <c r="GK6" s="131" t="s">
        <v>288</v>
      </c>
      <c r="GL6" s="131" t="s">
        <v>288</v>
      </c>
      <c r="GM6" s="131" t="s">
        <v>288</v>
      </c>
      <c r="GN6" s="131" t="s">
        <v>288</v>
      </c>
      <c r="GO6" s="131" t="s">
        <v>288</v>
      </c>
      <c r="GP6" s="131" t="s">
        <v>288</v>
      </c>
      <c r="GQ6" s="131" t="s">
        <v>288</v>
      </c>
      <c r="GR6" s="131" t="s">
        <v>288</v>
      </c>
      <c r="GS6" s="131" t="s">
        <v>288</v>
      </c>
      <c r="GT6" s="131" t="s">
        <v>288</v>
      </c>
      <c r="GU6" s="131" t="s">
        <v>288</v>
      </c>
      <c r="GV6" s="131" t="s">
        <v>288</v>
      </c>
      <c r="GW6" s="131" t="s">
        <v>288</v>
      </c>
      <c r="GX6" s="131" t="s">
        <v>288</v>
      </c>
      <c r="GY6" s="131" t="s">
        <v>288</v>
      </c>
      <c r="GZ6" s="131" t="s">
        <v>288</v>
      </c>
      <c r="HA6" s="131" t="s">
        <v>288</v>
      </c>
      <c r="HB6" s="131" t="s">
        <v>288</v>
      </c>
      <c r="HC6" s="131" t="s">
        <v>288</v>
      </c>
      <c r="HJ6" s="131" t="s">
        <v>282</v>
      </c>
      <c r="HK6" s="131" t="s">
        <v>282</v>
      </c>
      <c r="HL6" s="131" t="s">
        <v>282</v>
      </c>
      <c r="HM6" s="131" t="s">
        <v>282</v>
      </c>
      <c r="HN6" s="131" t="s">
        <v>282</v>
      </c>
      <c r="HO6" s="131" t="s">
        <v>282</v>
      </c>
      <c r="HP6" s="131" t="s">
        <v>282</v>
      </c>
      <c r="HQ6" s="131" t="s">
        <v>282</v>
      </c>
      <c r="HR6" s="131" t="s">
        <v>282</v>
      </c>
      <c r="HS6" s="131" t="s">
        <v>282</v>
      </c>
      <c r="HT6" s="131" t="s">
        <v>282</v>
      </c>
      <c r="HU6" s="131" t="s">
        <v>282</v>
      </c>
      <c r="HV6" s="131" t="s">
        <v>282</v>
      </c>
      <c r="HW6" s="131" t="s">
        <v>282</v>
      </c>
      <c r="HX6" s="131" t="s">
        <v>282</v>
      </c>
      <c r="HY6" s="131" t="s">
        <v>282</v>
      </c>
      <c r="HZ6" s="131" t="s">
        <v>282</v>
      </c>
      <c r="IA6" s="131" t="s">
        <v>282</v>
      </c>
      <c r="IB6" s="131" t="s">
        <v>282</v>
      </c>
      <c r="IC6" s="131" t="s">
        <v>282</v>
      </c>
      <c r="ID6" s="131" t="s">
        <v>282</v>
      </c>
      <c r="IE6" s="131" t="s">
        <v>282</v>
      </c>
      <c r="IF6" s="131" t="s">
        <v>282</v>
      </c>
      <c r="IG6" s="131" t="s">
        <v>282</v>
      </c>
      <c r="IH6" s="131" t="s">
        <v>282</v>
      </c>
      <c r="II6" s="131" t="s">
        <v>282</v>
      </c>
      <c r="IJ6" s="131" t="s">
        <v>282</v>
      </c>
      <c r="IK6" s="131" t="s">
        <v>282</v>
      </c>
      <c r="IL6" s="131" t="s">
        <v>282</v>
      </c>
      <c r="IM6" s="131" t="s">
        <v>282</v>
      </c>
      <c r="IN6" s="131" t="s">
        <v>282</v>
      </c>
      <c r="IO6" s="131" t="s">
        <v>282</v>
      </c>
      <c r="IP6" s="131" t="s">
        <v>282</v>
      </c>
      <c r="IQ6" s="131" t="s">
        <v>282</v>
      </c>
      <c r="IR6" s="131" t="s">
        <v>282</v>
      </c>
      <c r="IS6" s="131" t="s">
        <v>282</v>
      </c>
      <c r="IT6" s="131" t="s">
        <v>282</v>
      </c>
      <c r="IU6" s="131" t="s">
        <v>282</v>
      </c>
      <c r="IV6" s="131" t="s">
        <v>282</v>
      </c>
      <c r="IW6" s="131" t="s">
        <v>282</v>
      </c>
      <c r="IX6" s="131" t="s">
        <v>282</v>
      </c>
      <c r="IY6" s="131" t="s">
        <v>282</v>
      </c>
      <c r="IZ6" s="131" t="s">
        <v>282</v>
      </c>
      <c r="JA6" s="131" t="s">
        <v>282</v>
      </c>
      <c r="JB6" s="131" t="s">
        <v>282</v>
      </c>
      <c r="JC6" s="131" t="s">
        <v>282</v>
      </c>
      <c r="JD6" s="131" t="s">
        <v>282</v>
      </c>
      <c r="JE6" s="131" t="s">
        <v>282</v>
      </c>
      <c r="JF6" s="131" t="s">
        <v>282</v>
      </c>
      <c r="JG6" s="131" t="s">
        <v>282</v>
      </c>
      <c r="JH6" s="131" t="s">
        <v>282</v>
      </c>
      <c r="JI6" s="131" t="s">
        <v>282</v>
      </c>
      <c r="JJ6" s="131" t="s">
        <v>282</v>
      </c>
      <c r="JR6" s="257" t="s">
        <v>292</v>
      </c>
      <c r="JS6" s="257" t="s">
        <v>292</v>
      </c>
      <c r="JT6" s="257" t="s">
        <v>292</v>
      </c>
      <c r="JU6" s="257" t="s">
        <v>292</v>
      </c>
      <c r="JV6" s="257" t="s">
        <v>292</v>
      </c>
      <c r="JW6" s="257" t="s">
        <v>292</v>
      </c>
      <c r="JX6" s="257" t="s">
        <v>292</v>
      </c>
      <c r="JY6" s="257" t="s">
        <v>292</v>
      </c>
      <c r="JZ6" s="257" t="s">
        <v>292</v>
      </c>
      <c r="KA6" s="257" t="s">
        <v>292</v>
      </c>
      <c r="KB6" s="257" t="s">
        <v>292</v>
      </c>
      <c r="KC6" s="257" t="s">
        <v>292</v>
      </c>
      <c r="KD6" s="257" t="s">
        <v>292</v>
      </c>
      <c r="KE6" s="257" t="s">
        <v>292</v>
      </c>
      <c r="KF6" s="257" t="s">
        <v>292</v>
      </c>
      <c r="KG6" s="257" t="s">
        <v>292</v>
      </c>
      <c r="KH6" s="257" t="s">
        <v>292</v>
      </c>
      <c r="KI6" s="257" t="s">
        <v>292</v>
      </c>
      <c r="KJ6" s="257" t="s">
        <v>292</v>
      </c>
      <c r="KK6" s="257" t="s">
        <v>292</v>
      </c>
      <c r="KL6" s="257" t="s">
        <v>292</v>
      </c>
      <c r="KM6" s="257" t="s">
        <v>292</v>
      </c>
      <c r="KN6" s="257" t="s">
        <v>292</v>
      </c>
      <c r="KO6" s="257" t="s">
        <v>292</v>
      </c>
      <c r="KP6" s="257" t="s">
        <v>292</v>
      </c>
      <c r="KQ6" s="257" t="s">
        <v>292</v>
      </c>
      <c r="KR6" s="257" t="s">
        <v>292</v>
      </c>
      <c r="KS6" s="257" t="s">
        <v>292</v>
      </c>
      <c r="KT6" s="257" t="s">
        <v>292</v>
      </c>
      <c r="KU6" s="257" t="s">
        <v>292</v>
      </c>
      <c r="KV6" s="257" t="s">
        <v>292</v>
      </c>
      <c r="KW6" s="257" t="s">
        <v>292</v>
      </c>
      <c r="KX6" s="257" t="s">
        <v>292</v>
      </c>
      <c r="KY6" s="257" t="s">
        <v>292</v>
      </c>
      <c r="KZ6" s="257" t="s">
        <v>292</v>
      </c>
      <c r="LA6" s="257" t="s">
        <v>292</v>
      </c>
      <c r="LB6" s="257" t="s">
        <v>292</v>
      </c>
      <c r="LC6" s="257" t="s">
        <v>292</v>
      </c>
      <c r="LD6" s="257" t="s">
        <v>292</v>
      </c>
      <c r="LE6" s="257" t="s">
        <v>292</v>
      </c>
      <c r="LF6" s="257" t="s">
        <v>292</v>
      </c>
      <c r="LG6" s="257" t="s">
        <v>292</v>
      </c>
      <c r="LH6" s="257" t="s">
        <v>292</v>
      </c>
      <c r="LI6" s="257" t="s">
        <v>292</v>
      </c>
      <c r="LJ6" s="257" t="s">
        <v>292</v>
      </c>
      <c r="LK6" s="257" t="s">
        <v>292</v>
      </c>
      <c r="LL6" s="257" t="s">
        <v>292</v>
      </c>
      <c r="LM6" s="257" t="s">
        <v>292</v>
      </c>
      <c r="LN6" s="257" t="s">
        <v>292</v>
      </c>
      <c r="LO6" s="257" t="s">
        <v>292</v>
      </c>
      <c r="LP6" s="257" t="s">
        <v>292</v>
      </c>
      <c r="LQ6" s="257" t="s">
        <v>292</v>
      </c>
      <c r="LR6" s="257" t="s">
        <v>292</v>
      </c>
      <c r="LY6" s="131" t="s">
        <v>291</v>
      </c>
      <c r="LZ6" s="131" t="s">
        <v>291</v>
      </c>
      <c r="MA6" s="131" t="s">
        <v>291</v>
      </c>
      <c r="MB6" s="131" t="s">
        <v>291</v>
      </c>
      <c r="MC6" s="131" t="s">
        <v>291</v>
      </c>
      <c r="MD6" s="131" t="s">
        <v>291</v>
      </c>
      <c r="ME6" s="131" t="s">
        <v>291</v>
      </c>
      <c r="MF6" s="131" t="s">
        <v>291</v>
      </c>
      <c r="MG6" s="131" t="s">
        <v>291</v>
      </c>
      <c r="MH6" s="131" t="s">
        <v>291</v>
      </c>
      <c r="MI6" s="131" t="s">
        <v>291</v>
      </c>
      <c r="MJ6" s="131" t="s">
        <v>291</v>
      </c>
      <c r="MK6" s="131" t="s">
        <v>291</v>
      </c>
      <c r="ML6" s="131" t="s">
        <v>291</v>
      </c>
      <c r="MM6" s="131" t="s">
        <v>291</v>
      </c>
      <c r="MN6" s="131" t="s">
        <v>291</v>
      </c>
      <c r="MO6" s="131" t="s">
        <v>291</v>
      </c>
      <c r="MP6" s="131" t="s">
        <v>291</v>
      </c>
      <c r="MQ6" s="131" t="s">
        <v>291</v>
      </c>
      <c r="MR6" s="131" t="s">
        <v>291</v>
      </c>
      <c r="MS6" s="131" t="s">
        <v>291</v>
      </c>
      <c r="MT6" s="131" t="s">
        <v>291</v>
      </c>
      <c r="MU6" s="131" t="s">
        <v>291</v>
      </c>
      <c r="MV6" s="131" t="s">
        <v>291</v>
      </c>
      <c r="MW6" s="131" t="s">
        <v>291</v>
      </c>
      <c r="MX6" s="131" t="s">
        <v>291</v>
      </c>
      <c r="MY6" s="131" t="s">
        <v>291</v>
      </c>
      <c r="MZ6" s="131" t="s">
        <v>291</v>
      </c>
      <c r="NA6" s="131" t="s">
        <v>291</v>
      </c>
      <c r="NB6" s="131" t="s">
        <v>291</v>
      </c>
      <c r="NC6" s="131" t="s">
        <v>291</v>
      </c>
      <c r="ND6" s="131" t="s">
        <v>291</v>
      </c>
      <c r="NE6" s="131" t="s">
        <v>291</v>
      </c>
      <c r="NF6" s="131" t="s">
        <v>291</v>
      </c>
      <c r="NG6" s="131" t="s">
        <v>291</v>
      </c>
      <c r="NH6" s="131" t="s">
        <v>291</v>
      </c>
      <c r="NI6" s="131" t="s">
        <v>291</v>
      </c>
      <c r="NJ6" s="131" t="s">
        <v>291</v>
      </c>
      <c r="NK6" s="131" t="s">
        <v>291</v>
      </c>
      <c r="NL6" s="131" t="s">
        <v>291</v>
      </c>
      <c r="NM6" s="131" t="s">
        <v>291</v>
      </c>
      <c r="NN6" s="131" t="s">
        <v>291</v>
      </c>
      <c r="NO6" s="131" t="s">
        <v>291</v>
      </c>
      <c r="NP6" s="131" t="s">
        <v>291</v>
      </c>
      <c r="NQ6" s="131" t="s">
        <v>291</v>
      </c>
      <c r="NR6" s="131" t="s">
        <v>291</v>
      </c>
      <c r="NS6" s="131" t="s">
        <v>291</v>
      </c>
      <c r="NT6" s="131" t="s">
        <v>291</v>
      </c>
      <c r="NU6" s="131" t="s">
        <v>291</v>
      </c>
      <c r="NV6" s="131" t="s">
        <v>291</v>
      </c>
      <c r="NW6" s="131" t="s">
        <v>291</v>
      </c>
      <c r="NX6" s="131" t="s">
        <v>291</v>
      </c>
      <c r="NY6" s="131" t="s">
        <v>291</v>
      </c>
    </row>
    <row r="7" spans="1:389" x14ac:dyDescent="0.3">
      <c r="B7" s="356" t="s">
        <v>403</v>
      </c>
      <c r="C7" s="357"/>
      <c r="D7" s="357"/>
      <c r="E7" s="357" t="s">
        <v>402</v>
      </c>
      <c r="F7" s="357"/>
      <c r="G7" s="363"/>
      <c r="J7" s="356">
        <f>+M2</f>
        <v>42</v>
      </c>
      <c r="K7" s="357">
        <f>+M2</f>
        <v>42</v>
      </c>
      <c r="L7" s="357">
        <f>+M2</f>
        <v>42</v>
      </c>
      <c r="M7" s="363">
        <f>+M2</f>
        <v>42</v>
      </c>
      <c r="P7" s="356">
        <f>+R2</f>
        <v>42</v>
      </c>
      <c r="Q7" s="357">
        <f>+R2</f>
        <v>42</v>
      </c>
      <c r="R7" s="357">
        <f>+R3-1</f>
        <v>41</v>
      </c>
      <c r="S7" s="357">
        <f>+Q7</f>
        <v>42</v>
      </c>
      <c r="T7" s="357">
        <f>+R7</f>
        <v>41</v>
      </c>
      <c r="U7" s="358"/>
      <c r="X7" s="356">
        <f>+AA2</f>
        <v>42</v>
      </c>
      <c r="Y7" s="357">
        <f>+AA2</f>
        <v>42</v>
      </c>
      <c r="Z7" s="357">
        <f>+AA2</f>
        <v>42</v>
      </c>
      <c r="AA7" s="357">
        <f>+AA2</f>
        <v>42</v>
      </c>
      <c r="AB7" s="363"/>
      <c r="AC7">
        <f>+AF2</f>
        <v>41</v>
      </c>
      <c r="AD7">
        <f>+AF2</f>
        <v>41</v>
      </c>
      <c r="AE7">
        <f>+AF2</f>
        <v>41</v>
      </c>
      <c r="AF7">
        <f>+AF2</f>
        <v>41</v>
      </c>
      <c r="AL7" t="s">
        <v>126</v>
      </c>
      <c r="AM7">
        <v>1</v>
      </c>
      <c r="AN7" s="194">
        <v>2</v>
      </c>
      <c r="AO7" s="194">
        <v>3</v>
      </c>
      <c r="AP7" s="194">
        <v>4</v>
      </c>
      <c r="AQ7" s="194">
        <v>5</v>
      </c>
      <c r="AR7" s="194">
        <v>6</v>
      </c>
      <c r="AS7" s="194">
        <v>7</v>
      </c>
      <c r="AT7" s="194">
        <v>8</v>
      </c>
      <c r="AU7" s="194">
        <v>9</v>
      </c>
      <c r="AV7" s="194">
        <v>10</v>
      </c>
      <c r="AW7" s="194">
        <v>11</v>
      </c>
      <c r="AX7" s="194">
        <v>12</v>
      </c>
      <c r="AY7" s="194">
        <v>13</v>
      </c>
      <c r="AZ7" s="194">
        <v>14</v>
      </c>
      <c r="BA7" s="194">
        <v>15</v>
      </c>
      <c r="BB7" s="194">
        <v>16</v>
      </c>
      <c r="BC7" s="194">
        <v>17</v>
      </c>
      <c r="BD7" s="194">
        <v>18</v>
      </c>
      <c r="BE7" s="194">
        <v>19</v>
      </c>
      <c r="BF7" s="194">
        <v>20</v>
      </c>
      <c r="BG7" s="194">
        <v>21</v>
      </c>
      <c r="BH7" s="194">
        <v>22</v>
      </c>
      <c r="BI7" s="194">
        <v>23</v>
      </c>
      <c r="BJ7" s="194">
        <v>24</v>
      </c>
      <c r="BK7" s="194">
        <v>25</v>
      </c>
      <c r="BL7" s="194">
        <v>26</v>
      </c>
      <c r="BM7" s="194">
        <v>27</v>
      </c>
      <c r="BN7" s="194">
        <v>28</v>
      </c>
      <c r="BO7" s="194">
        <v>29</v>
      </c>
      <c r="BP7" s="194">
        <v>30</v>
      </c>
      <c r="BQ7" s="194">
        <v>31</v>
      </c>
      <c r="BR7" s="194">
        <v>32</v>
      </c>
      <c r="BS7" s="194">
        <v>33</v>
      </c>
      <c r="BT7" s="194">
        <v>34</v>
      </c>
      <c r="BU7" s="194">
        <v>35</v>
      </c>
      <c r="BV7" s="194">
        <v>36</v>
      </c>
      <c r="BW7" s="194">
        <v>37</v>
      </c>
      <c r="BX7" s="194">
        <v>38</v>
      </c>
      <c r="BY7" s="194">
        <v>39</v>
      </c>
      <c r="BZ7" s="194">
        <v>40</v>
      </c>
      <c r="CA7" s="194">
        <v>41</v>
      </c>
      <c r="CB7" s="194">
        <v>42</v>
      </c>
      <c r="CC7" s="194">
        <v>43</v>
      </c>
      <c r="CD7" s="194">
        <v>44</v>
      </c>
      <c r="CE7" s="194">
        <v>45</v>
      </c>
      <c r="CF7" s="194">
        <v>46</v>
      </c>
      <c r="CG7" s="194">
        <v>47</v>
      </c>
      <c r="CH7" s="194">
        <v>48</v>
      </c>
      <c r="CI7" s="194">
        <v>49</v>
      </c>
      <c r="CJ7" s="194">
        <v>50</v>
      </c>
      <c r="CK7" s="194">
        <v>51</v>
      </c>
      <c r="CL7" s="194">
        <v>52</v>
      </c>
      <c r="CM7" s="194">
        <v>53</v>
      </c>
      <c r="CS7" t="s">
        <v>242</v>
      </c>
      <c r="CT7" s="203" t="s">
        <v>2</v>
      </c>
      <c r="CU7">
        <v>1</v>
      </c>
      <c r="CV7" s="194">
        <v>2</v>
      </c>
      <c r="CW7" s="194">
        <v>3</v>
      </c>
      <c r="CX7" s="194">
        <v>4</v>
      </c>
      <c r="CY7" s="194">
        <v>5</v>
      </c>
      <c r="CZ7" s="194">
        <v>6</v>
      </c>
      <c r="DA7" s="194">
        <v>7</v>
      </c>
      <c r="DB7" s="194">
        <v>8</v>
      </c>
      <c r="DC7" s="194">
        <v>9</v>
      </c>
      <c r="DD7" s="194">
        <v>10</v>
      </c>
      <c r="DE7" s="194">
        <v>11</v>
      </c>
      <c r="DF7" s="194">
        <v>12</v>
      </c>
      <c r="DG7" s="194">
        <v>13</v>
      </c>
      <c r="DH7" s="194">
        <v>14</v>
      </c>
      <c r="DI7" s="194">
        <v>15</v>
      </c>
      <c r="DJ7" s="194">
        <v>16</v>
      </c>
      <c r="DK7" s="194">
        <v>17</v>
      </c>
      <c r="DL7" s="194">
        <v>18</v>
      </c>
      <c r="DM7" s="194">
        <v>19</v>
      </c>
      <c r="DN7" s="194">
        <v>20</v>
      </c>
      <c r="DO7" s="194">
        <v>21</v>
      </c>
      <c r="DP7" s="194">
        <v>22</v>
      </c>
      <c r="DQ7" s="194">
        <v>23</v>
      </c>
      <c r="DR7" s="194">
        <v>24</v>
      </c>
      <c r="DS7" s="194">
        <v>25</v>
      </c>
      <c r="DT7" s="194">
        <v>26</v>
      </c>
      <c r="DU7" s="194">
        <v>27</v>
      </c>
      <c r="DV7" s="194">
        <v>28</v>
      </c>
      <c r="DW7" s="194">
        <v>29</v>
      </c>
      <c r="DX7" s="194">
        <v>30</v>
      </c>
      <c r="DY7" s="194">
        <v>31</v>
      </c>
      <c r="DZ7" s="194">
        <v>32</v>
      </c>
      <c r="EA7" s="194">
        <v>33</v>
      </c>
      <c r="EB7" s="194">
        <v>34</v>
      </c>
      <c r="EC7" s="194">
        <v>35</v>
      </c>
      <c r="ED7" s="194">
        <v>36</v>
      </c>
      <c r="EE7" s="194">
        <v>37</v>
      </c>
      <c r="EF7" s="194">
        <v>38</v>
      </c>
      <c r="EG7" s="194">
        <v>39</v>
      </c>
      <c r="EH7" s="194">
        <v>40</v>
      </c>
      <c r="EI7" s="194">
        <v>41</v>
      </c>
      <c r="EJ7" s="194">
        <v>42</v>
      </c>
      <c r="EK7" s="194">
        <v>43</v>
      </c>
      <c r="EL7" s="194">
        <v>44</v>
      </c>
      <c r="EM7" s="194">
        <v>45</v>
      </c>
      <c r="EN7" s="194">
        <v>46</v>
      </c>
      <c r="EO7" s="194">
        <v>47</v>
      </c>
      <c r="EP7" s="194">
        <v>48</v>
      </c>
      <c r="EQ7" s="194">
        <v>49</v>
      </c>
      <c r="ER7" s="194">
        <v>50</v>
      </c>
      <c r="ES7" s="194">
        <v>51</v>
      </c>
      <c r="ET7" s="194">
        <v>52</v>
      </c>
      <c r="EU7" s="194">
        <v>53</v>
      </c>
      <c r="FA7" t="s">
        <v>126</v>
      </c>
      <c r="FC7">
        <v>1</v>
      </c>
      <c r="FD7" s="194">
        <v>2</v>
      </c>
      <c r="FE7" s="194">
        <v>3</v>
      </c>
      <c r="FF7" s="194">
        <v>4</v>
      </c>
      <c r="FG7" s="194">
        <v>5</v>
      </c>
      <c r="FH7" s="194">
        <v>6</v>
      </c>
      <c r="FI7" s="194">
        <v>7</v>
      </c>
      <c r="FJ7" s="194">
        <v>8</v>
      </c>
      <c r="FK7" s="194">
        <v>9</v>
      </c>
      <c r="FL7" s="194">
        <v>10</v>
      </c>
      <c r="FM7" s="194">
        <v>11</v>
      </c>
      <c r="FN7" s="194">
        <v>12</v>
      </c>
      <c r="FO7" s="194">
        <v>13</v>
      </c>
      <c r="FP7" s="194">
        <v>14</v>
      </c>
      <c r="FQ7" s="194">
        <v>15</v>
      </c>
      <c r="FR7" s="194">
        <v>16</v>
      </c>
      <c r="FS7" s="194">
        <v>17</v>
      </c>
      <c r="FT7" s="194">
        <v>18</v>
      </c>
      <c r="FU7" s="194">
        <v>19</v>
      </c>
      <c r="FV7" s="194">
        <v>20</v>
      </c>
      <c r="FW7" s="194">
        <v>21</v>
      </c>
      <c r="FX7" s="194">
        <v>22</v>
      </c>
      <c r="FY7" s="194">
        <v>23</v>
      </c>
      <c r="FZ7" s="194">
        <v>24</v>
      </c>
      <c r="GA7" s="194">
        <v>25</v>
      </c>
      <c r="GB7" s="194">
        <v>26</v>
      </c>
      <c r="GC7" s="194">
        <v>27</v>
      </c>
      <c r="GD7" s="194">
        <v>28</v>
      </c>
      <c r="GE7" s="194">
        <v>29</v>
      </c>
      <c r="GF7" s="194">
        <v>30</v>
      </c>
      <c r="GG7" s="194">
        <v>31</v>
      </c>
      <c r="GH7" s="194">
        <v>32</v>
      </c>
      <c r="GI7" s="194">
        <v>33</v>
      </c>
      <c r="GJ7" s="194">
        <v>34</v>
      </c>
      <c r="GK7" s="194">
        <v>35</v>
      </c>
      <c r="GL7" s="194">
        <v>36</v>
      </c>
      <c r="GM7" s="194">
        <v>37</v>
      </c>
      <c r="GN7" s="194">
        <v>38</v>
      </c>
      <c r="GO7" s="194">
        <v>39</v>
      </c>
      <c r="GP7" s="194">
        <v>40</v>
      </c>
      <c r="GQ7" s="194">
        <v>41</v>
      </c>
      <c r="GR7" s="194">
        <v>42</v>
      </c>
      <c r="GS7" s="194">
        <v>43</v>
      </c>
      <c r="GT7" s="194">
        <v>44</v>
      </c>
      <c r="GU7" s="194">
        <v>45</v>
      </c>
      <c r="GV7" s="194">
        <v>46</v>
      </c>
      <c r="GW7" s="194">
        <v>47</v>
      </c>
      <c r="GX7" s="194">
        <v>48</v>
      </c>
      <c r="GY7" s="194">
        <v>49</v>
      </c>
      <c r="GZ7" s="194">
        <v>50</v>
      </c>
      <c r="HA7" s="194">
        <v>51</v>
      </c>
      <c r="HB7" s="194">
        <v>52</v>
      </c>
      <c r="HC7" s="194">
        <v>53</v>
      </c>
      <c r="HH7" t="s">
        <v>126</v>
      </c>
      <c r="HJ7">
        <v>1</v>
      </c>
      <c r="HK7" s="194">
        <v>2</v>
      </c>
      <c r="HL7" s="194">
        <v>3</v>
      </c>
      <c r="HM7" s="194">
        <v>4</v>
      </c>
      <c r="HN7" s="194">
        <v>5</v>
      </c>
      <c r="HO7" s="194">
        <v>6</v>
      </c>
      <c r="HP7" s="194">
        <v>7</v>
      </c>
      <c r="HQ7" s="194">
        <v>8</v>
      </c>
      <c r="HR7" s="194">
        <v>9</v>
      </c>
      <c r="HS7" s="194">
        <v>10</v>
      </c>
      <c r="HT7" s="194">
        <v>11</v>
      </c>
      <c r="HU7" s="194">
        <v>12</v>
      </c>
      <c r="HV7" s="194">
        <v>13</v>
      </c>
      <c r="HW7" s="194">
        <v>14</v>
      </c>
      <c r="HX7" s="194">
        <v>15</v>
      </c>
      <c r="HY7" s="194">
        <v>16</v>
      </c>
      <c r="HZ7" s="194">
        <v>17</v>
      </c>
      <c r="IA7" s="194">
        <v>18</v>
      </c>
      <c r="IB7" s="194">
        <v>19</v>
      </c>
      <c r="IC7" s="194">
        <v>20</v>
      </c>
      <c r="ID7" s="194">
        <v>21</v>
      </c>
      <c r="IE7" s="194">
        <v>22</v>
      </c>
      <c r="IF7" s="194">
        <v>23</v>
      </c>
      <c r="IG7" s="194">
        <v>24</v>
      </c>
      <c r="IH7" s="194">
        <v>25</v>
      </c>
      <c r="II7" s="194">
        <v>26</v>
      </c>
      <c r="IJ7" s="194">
        <v>27</v>
      </c>
      <c r="IK7" s="194">
        <v>28</v>
      </c>
      <c r="IL7" s="194">
        <v>29</v>
      </c>
      <c r="IM7" s="194">
        <v>30</v>
      </c>
      <c r="IN7" s="194">
        <v>31</v>
      </c>
      <c r="IO7" s="194">
        <v>32</v>
      </c>
      <c r="IP7" s="194">
        <v>33</v>
      </c>
      <c r="IQ7" s="194">
        <v>34</v>
      </c>
      <c r="IR7" s="194">
        <v>35</v>
      </c>
      <c r="IS7" s="194">
        <v>36</v>
      </c>
      <c r="IT7" s="194">
        <v>37</v>
      </c>
      <c r="IU7" s="194">
        <v>38</v>
      </c>
      <c r="IV7" s="194">
        <v>39</v>
      </c>
      <c r="IW7" s="194">
        <v>40</v>
      </c>
      <c r="IX7" s="194">
        <v>41</v>
      </c>
      <c r="IY7" s="194">
        <v>42</v>
      </c>
      <c r="IZ7" s="194">
        <v>43</v>
      </c>
      <c r="JA7" s="194">
        <v>44</v>
      </c>
      <c r="JB7" s="194">
        <v>45</v>
      </c>
      <c r="JC7" s="194">
        <v>46</v>
      </c>
      <c r="JD7" s="194">
        <v>47</v>
      </c>
      <c r="JE7" s="194">
        <v>48</v>
      </c>
      <c r="JF7" s="194">
        <v>49</v>
      </c>
      <c r="JG7" s="194">
        <v>50</v>
      </c>
      <c r="JH7" s="194">
        <v>51</v>
      </c>
      <c r="JI7" s="194">
        <v>52</v>
      </c>
      <c r="JJ7" s="194">
        <v>53</v>
      </c>
      <c r="JP7" t="s">
        <v>126</v>
      </c>
      <c r="JR7">
        <v>1</v>
      </c>
      <c r="JS7" s="194">
        <v>2</v>
      </c>
      <c r="JT7" s="194">
        <v>3</v>
      </c>
      <c r="JU7" s="194">
        <v>4</v>
      </c>
      <c r="JV7" s="194">
        <v>5</v>
      </c>
      <c r="JW7" s="194">
        <v>6</v>
      </c>
      <c r="JX7" s="194">
        <v>7</v>
      </c>
      <c r="JY7" s="194">
        <v>8</v>
      </c>
      <c r="JZ7" s="194">
        <v>9</v>
      </c>
      <c r="KA7" s="194">
        <v>10</v>
      </c>
      <c r="KB7" s="194">
        <v>11</v>
      </c>
      <c r="KC7" s="194">
        <v>12</v>
      </c>
      <c r="KD7" s="194">
        <v>13</v>
      </c>
      <c r="KE7" s="194">
        <v>14</v>
      </c>
      <c r="KF7" s="194">
        <v>15</v>
      </c>
      <c r="KG7" s="194">
        <v>16</v>
      </c>
      <c r="KH7" s="194">
        <v>17</v>
      </c>
      <c r="KI7" s="194">
        <v>18</v>
      </c>
      <c r="KJ7" s="194">
        <v>19</v>
      </c>
      <c r="KK7" s="194">
        <v>20</v>
      </c>
      <c r="KL7" s="194">
        <v>21</v>
      </c>
      <c r="KM7" s="194">
        <v>22</v>
      </c>
      <c r="KN7" s="194">
        <v>23</v>
      </c>
      <c r="KO7" s="194">
        <v>24</v>
      </c>
      <c r="KP7" s="194">
        <v>25</v>
      </c>
      <c r="KQ7" s="194">
        <v>26</v>
      </c>
      <c r="KR7" s="194">
        <v>27</v>
      </c>
      <c r="KS7" s="194">
        <v>28</v>
      </c>
      <c r="KT7" s="194">
        <v>29</v>
      </c>
      <c r="KU7" s="194">
        <v>30</v>
      </c>
      <c r="KV7" s="194">
        <v>31</v>
      </c>
      <c r="KW7" s="194">
        <v>32</v>
      </c>
      <c r="KX7" s="194">
        <v>33</v>
      </c>
      <c r="KY7" s="194">
        <v>34</v>
      </c>
      <c r="KZ7" s="194">
        <v>35</v>
      </c>
      <c r="LA7" s="194">
        <v>36</v>
      </c>
      <c r="LB7" s="194">
        <v>37</v>
      </c>
      <c r="LC7" s="194">
        <v>38</v>
      </c>
      <c r="LD7" s="194">
        <v>39</v>
      </c>
      <c r="LE7" s="194">
        <v>40</v>
      </c>
      <c r="LF7" s="194">
        <v>41</v>
      </c>
      <c r="LG7" s="194">
        <v>42</v>
      </c>
      <c r="LH7" s="194">
        <v>43</v>
      </c>
      <c r="LI7" s="194">
        <v>44</v>
      </c>
      <c r="LJ7" s="194">
        <v>45</v>
      </c>
      <c r="LK7" s="194">
        <v>46</v>
      </c>
      <c r="LL7" s="194">
        <v>47</v>
      </c>
      <c r="LM7" s="194">
        <v>48</v>
      </c>
      <c r="LN7" s="194">
        <v>49</v>
      </c>
      <c r="LO7" s="194">
        <v>50</v>
      </c>
      <c r="LP7" s="194">
        <v>51</v>
      </c>
      <c r="LQ7" s="194">
        <v>52</v>
      </c>
      <c r="LR7" s="194">
        <v>53</v>
      </c>
      <c r="LW7" t="s">
        <v>126</v>
      </c>
      <c r="LY7">
        <v>1</v>
      </c>
      <c r="LZ7" s="194">
        <v>2</v>
      </c>
      <c r="MA7" s="194">
        <v>3</v>
      </c>
      <c r="MB7" s="194">
        <v>4</v>
      </c>
      <c r="MC7" s="194">
        <v>5</v>
      </c>
      <c r="MD7" s="194">
        <v>6</v>
      </c>
      <c r="ME7" s="194">
        <v>7</v>
      </c>
      <c r="MF7" s="194">
        <v>8</v>
      </c>
      <c r="MG7" s="194">
        <v>9</v>
      </c>
      <c r="MH7" s="194">
        <v>10</v>
      </c>
      <c r="MI7" s="194">
        <v>11</v>
      </c>
      <c r="MJ7" s="194">
        <v>12</v>
      </c>
      <c r="MK7" s="194">
        <v>13</v>
      </c>
      <c r="ML7" s="194">
        <v>14</v>
      </c>
      <c r="MM7" s="194">
        <v>15</v>
      </c>
      <c r="MN7" s="194">
        <v>16</v>
      </c>
      <c r="MO7" s="194">
        <v>17</v>
      </c>
      <c r="MP7" s="194">
        <v>18</v>
      </c>
      <c r="MQ7" s="194">
        <v>19</v>
      </c>
      <c r="MR7" s="194">
        <v>20</v>
      </c>
      <c r="MS7" s="194">
        <v>21</v>
      </c>
      <c r="MT7" s="194">
        <v>22</v>
      </c>
      <c r="MU7" s="194">
        <v>23</v>
      </c>
      <c r="MV7" s="194">
        <v>24</v>
      </c>
      <c r="MW7" s="194">
        <v>25</v>
      </c>
      <c r="MX7" s="194">
        <v>26</v>
      </c>
      <c r="MY7" s="194">
        <v>27</v>
      </c>
      <c r="MZ7" s="194">
        <v>28</v>
      </c>
      <c r="NA7" s="194">
        <v>29</v>
      </c>
      <c r="NB7" s="194">
        <v>30</v>
      </c>
      <c r="NC7" s="194">
        <v>31</v>
      </c>
      <c r="ND7" s="194">
        <v>32</v>
      </c>
      <c r="NE7" s="194">
        <v>33</v>
      </c>
      <c r="NF7" s="194">
        <v>34</v>
      </c>
      <c r="NG7" s="194">
        <v>35</v>
      </c>
      <c r="NH7" s="194">
        <v>36</v>
      </c>
      <c r="NI7" s="194">
        <v>37</v>
      </c>
      <c r="NJ7" s="194">
        <v>38</v>
      </c>
      <c r="NK7" s="194">
        <v>39</v>
      </c>
      <c r="NL7" s="194">
        <v>40</v>
      </c>
      <c r="NM7" s="194">
        <v>41</v>
      </c>
      <c r="NN7" s="194">
        <v>42</v>
      </c>
      <c r="NO7" s="194">
        <v>43</v>
      </c>
      <c r="NP7" s="194">
        <v>44</v>
      </c>
      <c r="NQ7" s="194">
        <v>45</v>
      </c>
      <c r="NR7" s="194">
        <v>46</v>
      </c>
      <c r="NS7" s="194">
        <v>47</v>
      </c>
      <c r="NT7" s="194">
        <v>48</v>
      </c>
      <c r="NU7" s="194">
        <v>49</v>
      </c>
      <c r="NV7" s="194">
        <v>50</v>
      </c>
      <c r="NW7" s="194">
        <v>51</v>
      </c>
      <c r="NX7" s="194">
        <v>52</v>
      </c>
      <c r="NY7" s="194">
        <v>53</v>
      </c>
    </row>
    <row r="8" spans="1:389" ht="15" thickBot="1" x14ac:dyDescent="0.35">
      <c r="B8" s="359"/>
      <c r="C8" s="360"/>
      <c r="D8" s="360"/>
      <c r="E8" s="360" t="s">
        <v>401</v>
      </c>
      <c r="F8" s="360"/>
      <c r="G8" s="364"/>
      <c r="J8" s="359">
        <f>+M4</f>
        <v>9</v>
      </c>
      <c r="K8" s="360">
        <f>+M4</f>
        <v>9</v>
      </c>
      <c r="L8" s="360">
        <f>+M4</f>
        <v>9</v>
      </c>
      <c r="M8" s="364">
        <f>+M4</f>
        <v>9</v>
      </c>
      <c r="P8" s="359">
        <f>+Q4</f>
        <v>9</v>
      </c>
      <c r="Q8" s="360">
        <f>+Q4</f>
        <v>9</v>
      </c>
      <c r="R8" s="360">
        <f>+S4</f>
        <v>9</v>
      </c>
      <c r="S8" s="360">
        <f>+Q8</f>
        <v>9</v>
      </c>
      <c r="T8" s="360">
        <f>+R8</f>
        <v>9</v>
      </c>
      <c r="U8" s="361"/>
      <c r="X8" s="359">
        <f>+AA4</f>
        <v>9</v>
      </c>
      <c r="Y8" s="360">
        <f>+AA4</f>
        <v>9</v>
      </c>
      <c r="Z8" s="360">
        <f>+AA4</f>
        <v>9</v>
      </c>
      <c r="AA8" s="360">
        <f>+AA4</f>
        <v>9</v>
      </c>
      <c r="AB8" s="364"/>
      <c r="AL8" t="s">
        <v>405</v>
      </c>
      <c r="AM8" s="349">
        <v>1</v>
      </c>
      <c r="AN8" s="349">
        <v>1</v>
      </c>
      <c r="AO8" s="349">
        <v>1</v>
      </c>
      <c r="AP8" s="349">
        <v>1</v>
      </c>
      <c r="AQ8" s="349">
        <v>1</v>
      </c>
      <c r="AR8" s="349">
        <v>2</v>
      </c>
      <c r="AS8" s="349">
        <v>2</v>
      </c>
      <c r="AT8" s="349">
        <v>2</v>
      </c>
      <c r="AU8" s="349">
        <v>2</v>
      </c>
      <c r="AV8" s="349">
        <v>3</v>
      </c>
      <c r="AW8" s="349">
        <v>3</v>
      </c>
      <c r="AX8" s="349">
        <v>3</v>
      </c>
      <c r="AY8" s="349">
        <v>3</v>
      </c>
      <c r="AZ8" s="349">
        <v>3</v>
      </c>
      <c r="BA8" s="349">
        <v>3</v>
      </c>
      <c r="BB8" s="349">
        <v>3</v>
      </c>
      <c r="BC8" s="349">
        <v>3</v>
      </c>
      <c r="BD8" s="349">
        <v>4</v>
      </c>
      <c r="BE8" s="349">
        <v>4</v>
      </c>
      <c r="BF8" s="349">
        <v>4</v>
      </c>
      <c r="BG8" s="349">
        <v>4</v>
      </c>
      <c r="BH8" s="349">
        <v>4</v>
      </c>
      <c r="BI8" s="349">
        <v>5</v>
      </c>
      <c r="BJ8" s="349">
        <v>5</v>
      </c>
      <c r="BK8" s="349">
        <v>5</v>
      </c>
      <c r="BL8" s="349">
        <v>5</v>
      </c>
      <c r="BM8" s="349">
        <v>6</v>
      </c>
      <c r="BN8" s="349">
        <v>6</v>
      </c>
      <c r="BO8" s="349">
        <v>6</v>
      </c>
      <c r="BP8" s="349">
        <v>6</v>
      </c>
      <c r="BQ8" s="349">
        <v>6</v>
      </c>
      <c r="BR8" s="349">
        <v>7</v>
      </c>
      <c r="BS8" s="349">
        <v>7</v>
      </c>
      <c r="BT8" s="349">
        <v>7</v>
      </c>
      <c r="BU8" s="349">
        <v>7</v>
      </c>
      <c r="BV8" s="349">
        <v>8</v>
      </c>
      <c r="BW8" s="349">
        <v>8</v>
      </c>
      <c r="BX8" s="349">
        <v>8</v>
      </c>
      <c r="BY8" s="349">
        <v>8</v>
      </c>
      <c r="BZ8" s="349">
        <v>9</v>
      </c>
      <c r="CA8" s="349">
        <v>9</v>
      </c>
      <c r="CB8" s="349">
        <v>9</v>
      </c>
      <c r="CC8" s="349">
        <v>9</v>
      </c>
      <c r="CD8" s="349">
        <v>9</v>
      </c>
      <c r="CE8" s="349">
        <v>10</v>
      </c>
      <c r="CF8" s="349">
        <v>10</v>
      </c>
      <c r="CG8" s="349">
        <v>10</v>
      </c>
      <c r="CH8" s="349">
        <v>10</v>
      </c>
      <c r="CI8" s="349">
        <v>11</v>
      </c>
      <c r="CJ8" s="349">
        <v>11</v>
      </c>
      <c r="CK8" s="349">
        <v>11</v>
      </c>
      <c r="CL8" s="349">
        <v>11</v>
      </c>
      <c r="CM8" s="349">
        <v>12</v>
      </c>
      <c r="CU8">
        <v>1</v>
      </c>
      <c r="CV8">
        <f>+AN8</f>
        <v>1</v>
      </c>
      <c r="CW8">
        <f t="shared" ref="CW8:EU8" si="0">+AO8</f>
        <v>1</v>
      </c>
      <c r="CX8">
        <f t="shared" si="0"/>
        <v>1</v>
      </c>
      <c r="CY8">
        <f t="shared" si="0"/>
        <v>1</v>
      </c>
      <c r="CZ8">
        <f t="shared" si="0"/>
        <v>2</v>
      </c>
      <c r="DA8">
        <f t="shared" si="0"/>
        <v>2</v>
      </c>
      <c r="DB8">
        <f t="shared" si="0"/>
        <v>2</v>
      </c>
      <c r="DC8">
        <f t="shared" si="0"/>
        <v>2</v>
      </c>
      <c r="DD8">
        <f t="shared" si="0"/>
        <v>3</v>
      </c>
      <c r="DE8">
        <f t="shared" si="0"/>
        <v>3</v>
      </c>
      <c r="DF8">
        <f t="shared" si="0"/>
        <v>3</v>
      </c>
      <c r="DG8">
        <f t="shared" si="0"/>
        <v>3</v>
      </c>
      <c r="DH8">
        <f t="shared" si="0"/>
        <v>3</v>
      </c>
      <c r="DI8">
        <f t="shared" si="0"/>
        <v>3</v>
      </c>
      <c r="DJ8">
        <f t="shared" si="0"/>
        <v>3</v>
      </c>
      <c r="DK8">
        <f t="shared" si="0"/>
        <v>3</v>
      </c>
      <c r="DL8">
        <f t="shared" si="0"/>
        <v>4</v>
      </c>
      <c r="DM8">
        <f t="shared" si="0"/>
        <v>4</v>
      </c>
      <c r="DN8">
        <f t="shared" si="0"/>
        <v>4</v>
      </c>
      <c r="DO8">
        <f t="shared" si="0"/>
        <v>4</v>
      </c>
      <c r="DP8">
        <f t="shared" si="0"/>
        <v>4</v>
      </c>
      <c r="DQ8">
        <f t="shared" si="0"/>
        <v>5</v>
      </c>
      <c r="DR8">
        <f t="shared" si="0"/>
        <v>5</v>
      </c>
      <c r="DS8">
        <f t="shared" si="0"/>
        <v>5</v>
      </c>
      <c r="DT8">
        <f t="shared" si="0"/>
        <v>5</v>
      </c>
      <c r="DU8">
        <f t="shared" si="0"/>
        <v>6</v>
      </c>
      <c r="DV8">
        <f t="shared" si="0"/>
        <v>6</v>
      </c>
      <c r="DW8">
        <f t="shared" si="0"/>
        <v>6</v>
      </c>
      <c r="DX8">
        <f t="shared" si="0"/>
        <v>6</v>
      </c>
      <c r="DY8">
        <f t="shared" si="0"/>
        <v>6</v>
      </c>
      <c r="DZ8">
        <f t="shared" si="0"/>
        <v>7</v>
      </c>
      <c r="EA8">
        <f t="shared" si="0"/>
        <v>7</v>
      </c>
      <c r="EB8">
        <f t="shared" si="0"/>
        <v>7</v>
      </c>
      <c r="EC8">
        <f t="shared" si="0"/>
        <v>7</v>
      </c>
      <c r="ED8">
        <f t="shared" si="0"/>
        <v>8</v>
      </c>
      <c r="EE8">
        <f t="shared" si="0"/>
        <v>8</v>
      </c>
      <c r="EF8">
        <f t="shared" si="0"/>
        <v>8</v>
      </c>
      <c r="EG8">
        <f t="shared" si="0"/>
        <v>8</v>
      </c>
      <c r="EH8">
        <f t="shared" si="0"/>
        <v>9</v>
      </c>
      <c r="EI8">
        <f t="shared" si="0"/>
        <v>9</v>
      </c>
      <c r="EJ8">
        <f t="shared" si="0"/>
        <v>9</v>
      </c>
      <c r="EK8">
        <f t="shared" si="0"/>
        <v>9</v>
      </c>
      <c r="EL8">
        <f t="shared" si="0"/>
        <v>9</v>
      </c>
      <c r="EM8">
        <f t="shared" si="0"/>
        <v>10</v>
      </c>
      <c r="EN8">
        <f t="shared" si="0"/>
        <v>10</v>
      </c>
      <c r="EO8">
        <f t="shared" si="0"/>
        <v>10</v>
      </c>
      <c r="EP8">
        <f t="shared" si="0"/>
        <v>10</v>
      </c>
      <c r="EQ8">
        <f t="shared" si="0"/>
        <v>11</v>
      </c>
      <c r="ER8">
        <f t="shared" si="0"/>
        <v>11</v>
      </c>
      <c r="ES8">
        <f t="shared" si="0"/>
        <v>11</v>
      </c>
      <c r="ET8">
        <f t="shared" si="0"/>
        <v>11</v>
      </c>
      <c r="EU8">
        <f t="shared" si="0"/>
        <v>12</v>
      </c>
      <c r="FA8" t="s">
        <v>405</v>
      </c>
      <c r="FC8">
        <f>+AM8</f>
        <v>1</v>
      </c>
      <c r="FD8">
        <f t="shared" ref="FD8:HC8" si="1">+AN8</f>
        <v>1</v>
      </c>
      <c r="FE8">
        <f t="shared" si="1"/>
        <v>1</v>
      </c>
      <c r="FF8">
        <f t="shared" si="1"/>
        <v>1</v>
      </c>
      <c r="FG8">
        <f t="shared" si="1"/>
        <v>1</v>
      </c>
      <c r="FH8">
        <f t="shared" si="1"/>
        <v>2</v>
      </c>
      <c r="FI8">
        <f t="shared" si="1"/>
        <v>2</v>
      </c>
      <c r="FJ8">
        <f t="shared" si="1"/>
        <v>2</v>
      </c>
      <c r="FK8">
        <f t="shared" si="1"/>
        <v>2</v>
      </c>
      <c r="FL8">
        <f t="shared" si="1"/>
        <v>3</v>
      </c>
      <c r="FM8">
        <f t="shared" si="1"/>
        <v>3</v>
      </c>
      <c r="FN8">
        <f t="shared" si="1"/>
        <v>3</v>
      </c>
      <c r="FO8">
        <f t="shared" si="1"/>
        <v>3</v>
      </c>
      <c r="FP8">
        <f t="shared" si="1"/>
        <v>3</v>
      </c>
      <c r="FQ8">
        <f t="shared" si="1"/>
        <v>3</v>
      </c>
      <c r="FR8">
        <f t="shared" si="1"/>
        <v>3</v>
      </c>
      <c r="FS8">
        <f t="shared" si="1"/>
        <v>3</v>
      </c>
      <c r="FT8">
        <f t="shared" si="1"/>
        <v>4</v>
      </c>
      <c r="FU8">
        <f t="shared" si="1"/>
        <v>4</v>
      </c>
      <c r="FV8">
        <f t="shared" si="1"/>
        <v>4</v>
      </c>
      <c r="FW8">
        <f t="shared" si="1"/>
        <v>4</v>
      </c>
      <c r="FX8">
        <f t="shared" si="1"/>
        <v>4</v>
      </c>
      <c r="FY8">
        <f t="shared" si="1"/>
        <v>5</v>
      </c>
      <c r="FZ8">
        <f t="shared" si="1"/>
        <v>5</v>
      </c>
      <c r="GA8">
        <f t="shared" si="1"/>
        <v>5</v>
      </c>
      <c r="GB8">
        <f t="shared" si="1"/>
        <v>5</v>
      </c>
      <c r="GC8">
        <f t="shared" si="1"/>
        <v>6</v>
      </c>
      <c r="GD8">
        <f t="shared" si="1"/>
        <v>6</v>
      </c>
      <c r="GE8">
        <f t="shared" si="1"/>
        <v>6</v>
      </c>
      <c r="GF8">
        <f t="shared" si="1"/>
        <v>6</v>
      </c>
      <c r="GG8">
        <f t="shared" si="1"/>
        <v>6</v>
      </c>
      <c r="GH8">
        <f t="shared" si="1"/>
        <v>7</v>
      </c>
      <c r="GI8">
        <f t="shared" si="1"/>
        <v>7</v>
      </c>
      <c r="GJ8">
        <f t="shared" si="1"/>
        <v>7</v>
      </c>
      <c r="GK8">
        <f t="shared" si="1"/>
        <v>7</v>
      </c>
      <c r="GL8">
        <f t="shared" si="1"/>
        <v>8</v>
      </c>
      <c r="GM8">
        <f t="shared" si="1"/>
        <v>8</v>
      </c>
      <c r="GN8">
        <f t="shared" si="1"/>
        <v>8</v>
      </c>
      <c r="GO8">
        <f t="shared" si="1"/>
        <v>8</v>
      </c>
      <c r="GP8">
        <f t="shared" si="1"/>
        <v>9</v>
      </c>
      <c r="GQ8">
        <f t="shared" si="1"/>
        <v>9</v>
      </c>
      <c r="GR8">
        <f t="shared" si="1"/>
        <v>9</v>
      </c>
      <c r="GS8">
        <f t="shared" si="1"/>
        <v>9</v>
      </c>
      <c r="GT8">
        <f t="shared" si="1"/>
        <v>9</v>
      </c>
      <c r="GU8">
        <f t="shared" si="1"/>
        <v>10</v>
      </c>
      <c r="GV8">
        <f t="shared" si="1"/>
        <v>10</v>
      </c>
      <c r="GW8">
        <f t="shared" si="1"/>
        <v>10</v>
      </c>
      <c r="GX8">
        <f t="shared" si="1"/>
        <v>10</v>
      </c>
      <c r="GY8">
        <f t="shared" si="1"/>
        <v>11</v>
      </c>
      <c r="GZ8">
        <f t="shared" si="1"/>
        <v>11</v>
      </c>
      <c r="HA8">
        <f t="shared" si="1"/>
        <v>11</v>
      </c>
      <c r="HB8">
        <f t="shared" si="1"/>
        <v>11</v>
      </c>
      <c r="HC8">
        <f t="shared" si="1"/>
        <v>12</v>
      </c>
      <c r="HH8" t="s">
        <v>405</v>
      </c>
      <c r="HJ8">
        <f>+AM8</f>
        <v>1</v>
      </c>
      <c r="HK8">
        <f t="shared" ref="HK8:JJ8" si="2">+AN8</f>
        <v>1</v>
      </c>
      <c r="HL8">
        <f t="shared" si="2"/>
        <v>1</v>
      </c>
      <c r="HM8">
        <f t="shared" si="2"/>
        <v>1</v>
      </c>
      <c r="HN8">
        <f t="shared" si="2"/>
        <v>1</v>
      </c>
      <c r="HO8">
        <f t="shared" si="2"/>
        <v>2</v>
      </c>
      <c r="HP8">
        <f t="shared" si="2"/>
        <v>2</v>
      </c>
      <c r="HQ8">
        <f t="shared" si="2"/>
        <v>2</v>
      </c>
      <c r="HR8">
        <f t="shared" si="2"/>
        <v>2</v>
      </c>
      <c r="HS8">
        <f t="shared" si="2"/>
        <v>3</v>
      </c>
      <c r="HT8">
        <f t="shared" si="2"/>
        <v>3</v>
      </c>
      <c r="HU8">
        <f t="shared" si="2"/>
        <v>3</v>
      </c>
      <c r="HV8">
        <f t="shared" si="2"/>
        <v>3</v>
      </c>
      <c r="HW8">
        <f t="shared" si="2"/>
        <v>3</v>
      </c>
      <c r="HX8">
        <f t="shared" si="2"/>
        <v>3</v>
      </c>
      <c r="HY8">
        <f t="shared" si="2"/>
        <v>3</v>
      </c>
      <c r="HZ8">
        <f t="shared" si="2"/>
        <v>3</v>
      </c>
      <c r="IA8">
        <f t="shared" si="2"/>
        <v>4</v>
      </c>
      <c r="IB8">
        <f t="shared" si="2"/>
        <v>4</v>
      </c>
      <c r="IC8">
        <f t="shared" si="2"/>
        <v>4</v>
      </c>
      <c r="ID8">
        <f t="shared" si="2"/>
        <v>4</v>
      </c>
      <c r="IE8">
        <f t="shared" si="2"/>
        <v>4</v>
      </c>
      <c r="IF8">
        <f t="shared" si="2"/>
        <v>5</v>
      </c>
      <c r="IG8">
        <f t="shared" si="2"/>
        <v>5</v>
      </c>
      <c r="IH8">
        <f t="shared" si="2"/>
        <v>5</v>
      </c>
      <c r="II8">
        <f t="shared" si="2"/>
        <v>5</v>
      </c>
      <c r="IJ8">
        <f t="shared" si="2"/>
        <v>6</v>
      </c>
      <c r="IK8">
        <f t="shared" si="2"/>
        <v>6</v>
      </c>
      <c r="IL8">
        <f t="shared" si="2"/>
        <v>6</v>
      </c>
      <c r="IM8">
        <f t="shared" si="2"/>
        <v>6</v>
      </c>
      <c r="IN8">
        <f t="shared" si="2"/>
        <v>6</v>
      </c>
      <c r="IO8">
        <f t="shared" si="2"/>
        <v>7</v>
      </c>
      <c r="IP8">
        <f t="shared" si="2"/>
        <v>7</v>
      </c>
      <c r="IQ8">
        <f t="shared" si="2"/>
        <v>7</v>
      </c>
      <c r="IR8">
        <f t="shared" si="2"/>
        <v>7</v>
      </c>
      <c r="IS8">
        <f t="shared" si="2"/>
        <v>8</v>
      </c>
      <c r="IT8">
        <f t="shared" si="2"/>
        <v>8</v>
      </c>
      <c r="IU8">
        <f t="shared" si="2"/>
        <v>8</v>
      </c>
      <c r="IV8">
        <f t="shared" si="2"/>
        <v>8</v>
      </c>
      <c r="IW8">
        <f t="shared" si="2"/>
        <v>9</v>
      </c>
      <c r="IX8">
        <f t="shared" si="2"/>
        <v>9</v>
      </c>
      <c r="IY8">
        <f t="shared" si="2"/>
        <v>9</v>
      </c>
      <c r="IZ8">
        <f t="shared" si="2"/>
        <v>9</v>
      </c>
      <c r="JA8">
        <f t="shared" si="2"/>
        <v>9</v>
      </c>
      <c r="JB8">
        <f t="shared" si="2"/>
        <v>10</v>
      </c>
      <c r="JC8">
        <f t="shared" si="2"/>
        <v>10</v>
      </c>
      <c r="JD8">
        <f t="shared" si="2"/>
        <v>10</v>
      </c>
      <c r="JE8">
        <f t="shared" si="2"/>
        <v>10</v>
      </c>
      <c r="JF8">
        <f t="shared" si="2"/>
        <v>11</v>
      </c>
      <c r="JG8">
        <f t="shared" si="2"/>
        <v>11</v>
      </c>
      <c r="JH8">
        <f t="shared" si="2"/>
        <v>11</v>
      </c>
      <c r="JI8">
        <f t="shared" si="2"/>
        <v>11</v>
      </c>
      <c r="JJ8">
        <f t="shared" si="2"/>
        <v>12</v>
      </c>
      <c r="JP8" t="s">
        <v>405</v>
      </c>
      <c r="JR8">
        <f>+AM8</f>
        <v>1</v>
      </c>
      <c r="JS8">
        <f t="shared" ref="JS8:LR8" si="3">+AN8</f>
        <v>1</v>
      </c>
      <c r="JT8">
        <f t="shared" si="3"/>
        <v>1</v>
      </c>
      <c r="JU8">
        <f t="shared" si="3"/>
        <v>1</v>
      </c>
      <c r="JV8">
        <f t="shared" si="3"/>
        <v>1</v>
      </c>
      <c r="JW8">
        <f t="shared" si="3"/>
        <v>2</v>
      </c>
      <c r="JX8">
        <f t="shared" si="3"/>
        <v>2</v>
      </c>
      <c r="JY8">
        <f t="shared" si="3"/>
        <v>2</v>
      </c>
      <c r="JZ8">
        <f t="shared" si="3"/>
        <v>2</v>
      </c>
      <c r="KA8">
        <f t="shared" si="3"/>
        <v>3</v>
      </c>
      <c r="KB8">
        <f t="shared" si="3"/>
        <v>3</v>
      </c>
      <c r="KC8">
        <f t="shared" si="3"/>
        <v>3</v>
      </c>
      <c r="KD8">
        <f t="shared" si="3"/>
        <v>3</v>
      </c>
      <c r="KE8">
        <f t="shared" si="3"/>
        <v>3</v>
      </c>
      <c r="KF8">
        <f t="shared" si="3"/>
        <v>3</v>
      </c>
      <c r="KG8">
        <f t="shared" si="3"/>
        <v>3</v>
      </c>
      <c r="KH8">
        <f t="shared" si="3"/>
        <v>3</v>
      </c>
      <c r="KI8">
        <f t="shared" si="3"/>
        <v>4</v>
      </c>
      <c r="KJ8">
        <f t="shared" si="3"/>
        <v>4</v>
      </c>
      <c r="KK8">
        <f t="shared" si="3"/>
        <v>4</v>
      </c>
      <c r="KL8">
        <f t="shared" si="3"/>
        <v>4</v>
      </c>
      <c r="KM8">
        <f t="shared" si="3"/>
        <v>4</v>
      </c>
      <c r="KN8">
        <f t="shared" si="3"/>
        <v>5</v>
      </c>
      <c r="KO8">
        <f t="shared" si="3"/>
        <v>5</v>
      </c>
      <c r="KP8">
        <f t="shared" si="3"/>
        <v>5</v>
      </c>
      <c r="KQ8">
        <f t="shared" si="3"/>
        <v>5</v>
      </c>
      <c r="KR8">
        <f t="shared" si="3"/>
        <v>6</v>
      </c>
      <c r="KS8">
        <f t="shared" si="3"/>
        <v>6</v>
      </c>
      <c r="KT8">
        <f t="shared" si="3"/>
        <v>6</v>
      </c>
      <c r="KU8">
        <f t="shared" si="3"/>
        <v>6</v>
      </c>
      <c r="KV8">
        <f t="shared" si="3"/>
        <v>6</v>
      </c>
      <c r="KW8">
        <f t="shared" si="3"/>
        <v>7</v>
      </c>
      <c r="KX8">
        <f t="shared" si="3"/>
        <v>7</v>
      </c>
      <c r="KY8">
        <f t="shared" si="3"/>
        <v>7</v>
      </c>
      <c r="KZ8">
        <f t="shared" si="3"/>
        <v>7</v>
      </c>
      <c r="LA8">
        <f t="shared" si="3"/>
        <v>8</v>
      </c>
      <c r="LB8">
        <f t="shared" si="3"/>
        <v>8</v>
      </c>
      <c r="LC8">
        <f t="shared" si="3"/>
        <v>8</v>
      </c>
      <c r="LD8">
        <f t="shared" si="3"/>
        <v>8</v>
      </c>
      <c r="LE8">
        <f t="shared" si="3"/>
        <v>9</v>
      </c>
      <c r="LF8">
        <f t="shared" si="3"/>
        <v>9</v>
      </c>
      <c r="LG8">
        <f t="shared" si="3"/>
        <v>9</v>
      </c>
      <c r="LH8">
        <f t="shared" si="3"/>
        <v>9</v>
      </c>
      <c r="LI8">
        <f t="shared" si="3"/>
        <v>9</v>
      </c>
      <c r="LJ8">
        <f t="shared" si="3"/>
        <v>10</v>
      </c>
      <c r="LK8">
        <f t="shared" si="3"/>
        <v>10</v>
      </c>
      <c r="LL8">
        <f t="shared" si="3"/>
        <v>10</v>
      </c>
      <c r="LM8">
        <f t="shared" si="3"/>
        <v>10</v>
      </c>
      <c r="LN8">
        <f t="shared" si="3"/>
        <v>11</v>
      </c>
      <c r="LO8">
        <f t="shared" si="3"/>
        <v>11</v>
      </c>
      <c r="LP8">
        <f t="shared" si="3"/>
        <v>11</v>
      </c>
      <c r="LQ8">
        <f t="shared" si="3"/>
        <v>11</v>
      </c>
      <c r="LR8">
        <f t="shared" si="3"/>
        <v>12</v>
      </c>
      <c r="LW8" t="s">
        <v>407</v>
      </c>
      <c r="LY8">
        <f>+AM8</f>
        <v>1</v>
      </c>
      <c r="LZ8">
        <f t="shared" ref="LZ8:NY8" si="4">+AN8</f>
        <v>1</v>
      </c>
      <c r="MA8">
        <f t="shared" si="4"/>
        <v>1</v>
      </c>
      <c r="MB8">
        <f t="shared" si="4"/>
        <v>1</v>
      </c>
      <c r="MC8">
        <f t="shared" si="4"/>
        <v>1</v>
      </c>
      <c r="MD8">
        <f t="shared" si="4"/>
        <v>2</v>
      </c>
      <c r="ME8">
        <f t="shared" si="4"/>
        <v>2</v>
      </c>
      <c r="MF8">
        <f t="shared" si="4"/>
        <v>2</v>
      </c>
      <c r="MG8">
        <f t="shared" si="4"/>
        <v>2</v>
      </c>
      <c r="MH8">
        <f t="shared" si="4"/>
        <v>3</v>
      </c>
      <c r="MI8">
        <f t="shared" si="4"/>
        <v>3</v>
      </c>
      <c r="MJ8">
        <f t="shared" si="4"/>
        <v>3</v>
      </c>
      <c r="MK8">
        <f t="shared" si="4"/>
        <v>3</v>
      </c>
      <c r="ML8">
        <f t="shared" si="4"/>
        <v>3</v>
      </c>
      <c r="MM8">
        <f t="shared" si="4"/>
        <v>3</v>
      </c>
      <c r="MN8">
        <f t="shared" si="4"/>
        <v>3</v>
      </c>
      <c r="MO8">
        <f t="shared" si="4"/>
        <v>3</v>
      </c>
      <c r="MP8">
        <f t="shared" si="4"/>
        <v>4</v>
      </c>
      <c r="MQ8">
        <f t="shared" si="4"/>
        <v>4</v>
      </c>
      <c r="MR8">
        <f t="shared" si="4"/>
        <v>4</v>
      </c>
      <c r="MS8">
        <f t="shared" si="4"/>
        <v>4</v>
      </c>
      <c r="MT8">
        <f t="shared" si="4"/>
        <v>4</v>
      </c>
      <c r="MU8">
        <f t="shared" si="4"/>
        <v>5</v>
      </c>
      <c r="MV8">
        <f t="shared" si="4"/>
        <v>5</v>
      </c>
      <c r="MW8">
        <f t="shared" si="4"/>
        <v>5</v>
      </c>
      <c r="MX8">
        <f t="shared" si="4"/>
        <v>5</v>
      </c>
      <c r="MY8">
        <f t="shared" si="4"/>
        <v>6</v>
      </c>
      <c r="MZ8">
        <f t="shared" si="4"/>
        <v>6</v>
      </c>
      <c r="NA8">
        <f t="shared" si="4"/>
        <v>6</v>
      </c>
      <c r="NB8">
        <f t="shared" si="4"/>
        <v>6</v>
      </c>
      <c r="NC8">
        <f t="shared" si="4"/>
        <v>6</v>
      </c>
      <c r="ND8">
        <f t="shared" si="4"/>
        <v>7</v>
      </c>
      <c r="NE8">
        <f t="shared" si="4"/>
        <v>7</v>
      </c>
      <c r="NF8">
        <f t="shared" si="4"/>
        <v>7</v>
      </c>
      <c r="NG8">
        <f t="shared" si="4"/>
        <v>7</v>
      </c>
      <c r="NH8">
        <f t="shared" si="4"/>
        <v>8</v>
      </c>
      <c r="NI8">
        <f t="shared" si="4"/>
        <v>8</v>
      </c>
      <c r="NJ8">
        <f t="shared" si="4"/>
        <v>8</v>
      </c>
      <c r="NK8">
        <f t="shared" si="4"/>
        <v>8</v>
      </c>
      <c r="NL8">
        <f t="shared" si="4"/>
        <v>9</v>
      </c>
      <c r="NM8">
        <f t="shared" si="4"/>
        <v>9</v>
      </c>
      <c r="NN8">
        <f t="shared" si="4"/>
        <v>9</v>
      </c>
      <c r="NO8">
        <f t="shared" si="4"/>
        <v>9</v>
      </c>
      <c r="NP8">
        <f t="shared" si="4"/>
        <v>9</v>
      </c>
      <c r="NQ8">
        <f t="shared" si="4"/>
        <v>10</v>
      </c>
      <c r="NR8">
        <f t="shared" si="4"/>
        <v>10</v>
      </c>
      <c r="NS8">
        <f t="shared" si="4"/>
        <v>10</v>
      </c>
      <c r="NT8">
        <f t="shared" si="4"/>
        <v>10</v>
      </c>
      <c r="NU8">
        <f t="shared" si="4"/>
        <v>11</v>
      </c>
      <c r="NV8">
        <f t="shared" si="4"/>
        <v>11</v>
      </c>
      <c r="NW8">
        <f t="shared" si="4"/>
        <v>11</v>
      </c>
      <c r="NX8">
        <f t="shared" si="4"/>
        <v>11</v>
      </c>
      <c r="NY8">
        <f t="shared" si="4"/>
        <v>12</v>
      </c>
    </row>
    <row r="9" spans="1:389" s="203" customFormat="1" ht="15" thickBot="1" x14ac:dyDescent="0.35">
      <c r="H9"/>
      <c r="I9"/>
      <c r="N9"/>
      <c r="O9"/>
      <c r="U9" s="293"/>
      <c r="W9"/>
      <c r="AL9" s="203" t="s">
        <v>239</v>
      </c>
      <c r="AM9" s="204">
        <f>_xlfn.XLOOKUP(AM7,EHS!$M$6:$BM$6,EHS!$M$7:$BM$7)</f>
        <v>45660</v>
      </c>
      <c r="AN9" s="204">
        <f>_xlfn.XLOOKUP(AN7,EHS!$M$6:$BM$6,EHS!$M$7:$BM$7)</f>
        <v>45667</v>
      </c>
      <c r="AO9" s="204">
        <f>_xlfn.XLOOKUP(AO7,EHS!$M$6:$BM$6,EHS!$M$7:$BM$7)</f>
        <v>45674</v>
      </c>
      <c r="AP9" s="204">
        <f>_xlfn.XLOOKUP(AP7,EHS!$M$6:$BM$6,EHS!$M$7:$BM$7)</f>
        <v>45681</v>
      </c>
      <c r="AQ9" s="204">
        <f>_xlfn.XLOOKUP(AQ7,EHS!$M$6:$BM$6,EHS!$M$7:$BM$7)</f>
        <v>45688</v>
      </c>
      <c r="AR9" s="204">
        <f>_xlfn.XLOOKUP(AR7,EHS!$M$6:$BM$6,EHS!$M$7:$BM$7)</f>
        <v>45695</v>
      </c>
      <c r="AS9" s="204">
        <f>_xlfn.XLOOKUP(AS7,EHS!$M$6:$BM$6,EHS!$M$7:$BM$7)</f>
        <v>45702</v>
      </c>
      <c r="AT9" s="204">
        <f>_xlfn.XLOOKUP(AT7,EHS!$M$6:$BM$6,EHS!$M$7:$BM$7)</f>
        <v>45709</v>
      </c>
      <c r="AU9" s="204">
        <f>_xlfn.XLOOKUP(AU7,EHS!$M$6:$BM$6,EHS!$M$7:$BM$7)</f>
        <v>45716</v>
      </c>
      <c r="AV9" s="204">
        <f>_xlfn.XLOOKUP(AV7,EHS!$M$6:$BM$6,EHS!$M$7:$BM$7)</f>
        <v>45723</v>
      </c>
      <c r="AW9" s="204">
        <f>_xlfn.XLOOKUP(AW7,EHS!$M$6:$BM$6,EHS!$M$7:$BM$7)</f>
        <v>45730</v>
      </c>
      <c r="AX9" s="204">
        <f>_xlfn.XLOOKUP(AX7,EHS!$M$6:$BM$6,EHS!$M$7:$BM$7)</f>
        <v>45737</v>
      </c>
      <c r="AY9" s="204">
        <f>_xlfn.XLOOKUP(AY7,EHS!$M$6:$BM$6,EHS!$M$7:$BM$7)</f>
        <v>45744</v>
      </c>
      <c r="AZ9" s="204">
        <f>_xlfn.XLOOKUP(AZ7,EHS!$M$6:$BM$6,EHS!$M$7:$BM$7)</f>
        <v>45751</v>
      </c>
      <c r="BA9" s="204">
        <f>_xlfn.XLOOKUP(BA7,EHS!$M$6:$BM$6,EHS!$M$7:$BM$7)</f>
        <v>45758</v>
      </c>
      <c r="BB9" s="204">
        <f>_xlfn.XLOOKUP(BB7,EHS!$M$6:$BM$6,EHS!$M$7:$BM$7)</f>
        <v>45765</v>
      </c>
      <c r="BC9" s="204">
        <f>_xlfn.XLOOKUP(BC7,EHS!$M$6:$BM$6,EHS!$M$7:$BM$7)</f>
        <v>45772</v>
      </c>
      <c r="BD9" s="204">
        <f>_xlfn.XLOOKUP(BD7,EHS!$M$6:$BM$6,EHS!$M$7:$BM$7)</f>
        <v>45779</v>
      </c>
      <c r="BE9" s="204">
        <f>_xlfn.XLOOKUP(BE7,EHS!$M$6:$BM$6,EHS!$M$7:$BM$7)</f>
        <v>45786</v>
      </c>
      <c r="BF9" s="204">
        <f>_xlfn.XLOOKUP(BF7,EHS!$M$6:$BM$6,EHS!$M$7:$BM$7)</f>
        <v>45793</v>
      </c>
      <c r="BG9" s="204">
        <f>_xlfn.XLOOKUP(BG7,EHS!$M$6:$BM$6,EHS!$M$7:$BM$7)</f>
        <v>45800</v>
      </c>
      <c r="BH9" s="204">
        <f>_xlfn.XLOOKUP(BH7,EHS!$M$6:$BM$6,EHS!$M$7:$BM$7)</f>
        <v>45807</v>
      </c>
      <c r="BI9" s="204">
        <f>_xlfn.XLOOKUP(BI7,EHS!$M$6:$BM$6,EHS!$M$7:$BM$7)</f>
        <v>45814</v>
      </c>
      <c r="BJ9" s="204">
        <f>_xlfn.XLOOKUP(BJ7,EHS!$M$6:$BM$6,EHS!$M$7:$BM$7)</f>
        <v>45821</v>
      </c>
      <c r="BK9" s="204">
        <f>_xlfn.XLOOKUP(BK7,EHS!$M$6:$BM$6,EHS!$M$7:$BM$7)</f>
        <v>45828</v>
      </c>
      <c r="BL9" s="204">
        <f>_xlfn.XLOOKUP(BL7,EHS!$M$6:$BM$6,EHS!$M$7:$BM$7)</f>
        <v>45835</v>
      </c>
      <c r="BM9" s="204">
        <f>_xlfn.XLOOKUP(BM7,EHS!$M$6:$BM$6,EHS!$M$7:$BM$7)</f>
        <v>45842</v>
      </c>
      <c r="BN9" s="204">
        <f>_xlfn.XLOOKUP(BN7,EHS!$M$6:$BM$6,EHS!$M$7:$BM$7)</f>
        <v>45849</v>
      </c>
      <c r="BO9" s="204">
        <f>_xlfn.XLOOKUP(BO7,EHS!$M$6:$BM$6,EHS!$M$7:$BM$7)</f>
        <v>45856</v>
      </c>
      <c r="BP9" s="204">
        <f>_xlfn.XLOOKUP(BP7,EHS!$M$6:$BM$6,EHS!$M$7:$BM$7)</f>
        <v>45863</v>
      </c>
      <c r="BQ9" s="204">
        <f>_xlfn.XLOOKUP(BQ7,EHS!$M$6:$BM$6,EHS!$M$7:$BM$7)</f>
        <v>45870</v>
      </c>
      <c r="BR9" s="204">
        <f>_xlfn.XLOOKUP(BR7,EHS!$M$6:$BM$6,EHS!$M$7:$BM$7)</f>
        <v>45877</v>
      </c>
      <c r="BS9" s="204">
        <f>_xlfn.XLOOKUP(BS7,EHS!$M$6:$BM$6,EHS!$M$7:$BM$7)</f>
        <v>45884</v>
      </c>
      <c r="BT9" s="204">
        <f>_xlfn.XLOOKUP(BT7,EHS!$M$6:$BM$6,EHS!$M$7:$BM$7)</f>
        <v>45891</v>
      </c>
      <c r="BU9" s="204">
        <f>_xlfn.XLOOKUP(BU7,EHS!$M$6:$BM$6,EHS!$M$7:$BM$7)</f>
        <v>45898</v>
      </c>
      <c r="BV9" s="204">
        <f>_xlfn.XLOOKUP(BV7,EHS!$M$6:$BM$6,EHS!$M$7:$BM$7)</f>
        <v>45905</v>
      </c>
      <c r="BW9" s="204">
        <f>_xlfn.XLOOKUP(BW7,EHS!$M$6:$BM$6,EHS!$M$7:$BM$7)</f>
        <v>45912</v>
      </c>
      <c r="BX9" s="204">
        <f>_xlfn.XLOOKUP(BX7,EHS!$M$6:$BM$6,EHS!$M$7:$BM$7)</f>
        <v>45919</v>
      </c>
      <c r="BY9" s="204">
        <f>_xlfn.XLOOKUP(BY7,EHS!$M$6:$BM$6,EHS!$M$7:$BM$7)</f>
        <v>45926</v>
      </c>
      <c r="BZ9" s="204">
        <f>_xlfn.XLOOKUP(BZ7,EHS!$M$6:$BM$6,EHS!$M$7:$BM$7)</f>
        <v>45933</v>
      </c>
      <c r="CA9" s="204">
        <f>_xlfn.XLOOKUP(CA7,EHS!$M$6:$BM$6,EHS!$M$7:$BM$7)</f>
        <v>45940</v>
      </c>
      <c r="CB9" s="204">
        <f>_xlfn.XLOOKUP(CB7,EHS!$M$6:$BM$6,EHS!$M$7:$BM$7)</f>
        <v>45947</v>
      </c>
      <c r="CC9" s="204">
        <f>_xlfn.XLOOKUP(CC7,EHS!$M$6:$BM$6,EHS!$M$7:$BM$7)</f>
        <v>45954</v>
      </c>
      <c r="CD9" s="204">
        <f>_xlfn.XLOOKUP(CD7,EHS!$M$6:$BM$6,EHS!$M$7:$BM$7)</f>
        <v>45961</v>
      </c>
      <c r="CE9" s="204">
        <f>_xlfn.XLOOKUP(CE7,EHS!$M$6:$BM$6,EHS!$M$7:$BM$7)</f>
        <v>45968</v>
      </c>
      <c r="CF9" s="204">
        <f>_xlfn.XLOOKUP(CF7,EHS!$M$6:$BM$6,EHS!$M$7:$BM$7)</f>
        <v>45975</v>
      </c>
      <c r="CG9" s="204">
        <f>_xlfn.XLOOKUP(CG7,EHS!$M$6:$BM$6,EHS!$M$7:$BM$7)</f>
        <v>45982</v>
      </c>
      <c r="CH9" s="204">
        <f>_xlfn.XLOOKUP(CH7,EHS!$M$6:$BM$6,EHS!$M$7:$BM$7)</f>
        <v>45989</v>
      </c>
      <c r="CI9" s="204">
        <f>_xlfn.XLOOKUP(CI7,EHS!$M$6:$BM$6,EHS!$M$7:$BM$7)</f>
        <v>45996</v>
      </c>
      <c r="CJ9" s="204">
        <f>_xlfn.XLOOKUP(CJ7,EHS!$M$6:$BM$6,EHS!$M$7:$BM$7)</f>
        <v>46003</v>
      </c>
      <c r="CK9" s="204">
        <f>_xlfn.XLOOKUP(CK7,EHS!$M$6:$BM$6,EHS!$M$7:$BM$7)</f>
        <v>46010</v>
      </c>
      <c r="CL9" s="204">
        <f>_xlfn.XLOOKUP(CL7,EHS!$M$6:$BM$6,EHS!$M$7:$BM$7)</f>
        <v>46017</v>
      </c>
      <c r="CM9" s="204">
        <f>_xlfn.XLOOKUP(CM7,EHS!$M$6:$BM$6,EHS!$M$7:$BM$7)</f>
        <v>46024</v>
      </c>
      <c r="CS9" s="203" t="s">
        <v>243</v>
      </c>
      <c r="CU9" s="204">
        <f>_xlfn.XLOOKUP(CU7,EHS!$M$6:$BM$6,EHS!$M$7:$BM$7)</f>
        <v>45660</v>
      </c>
      <c r="CV9" s="205">
        <f>_xlfn.XLOOKUP(CV7,EHS!$M$6:$BM$6,EHS!$M$7:$BM$7)</f>
        <v>45667</v>
      </c>
      <c r="CW9" s="205">
        <f>_xlfn.XLOOKUP(CW7,EHS!$M$6:$BM$6,EHS!$M$7:$BM$7)</f>
        <v>45674</v>
      </c>
      <c r="CX9" s="205">
        <f>_xlfn.XLOOKUP(CX7,EHS!$M$6:$BM$6,EHS!$M$7:$BM$7)</f>
        <v>45681</v>
      </c>
      <c r="CY9" s="205">
        <f>_xlfn.XLOOKUP(CY7,EHS!$M$6:$BM$6,EHS!$M$7:$BM$7)</f>
        <v>45688</v>
      </c>
      <c r="CZ9" s="205">
        <f>_xlfn.XLOOKUP(CZ7,EHS!$M$6:$BM$6,EHS!$M$7:$BM$7)</f>
        <v>45695</v>
      </c>
      <c r="DA9" s="205">
        <f>_xlfn.XLOOKUP(DA7,EHS!$M$6:$BM$6,EHS!$M$7:$BM$7)</f>
        <v>45702</v>
      </c>
      <c r="DB9" s="205">
        <f>_xlfn.XLOOKUP(DB7,EHS!$M$6:$BM$6,EHS!$M$7:$BM$7)</f>
        <v>45709</v>
      </c>
      <c r="DC9" s="205">
        <f>_xlfn.XLOOKUP(DC7,EHS!$M$6:$BM$6,EHS!$M$7:$BM$7)</f>
        <v>45716</v>
      </c>
      <c r="DD9" s="205">
        <f>_xlfn.XLOOKUP(DD7,EHS!$M$6:$BM$6,EHS!$M$7:$BM$7)</f>
        <v>45723</v>
      </c>
      <c r="DE9" s="205">
        <f>_xlfn.XLOOKUP(DE7,EHS!$M$6:$BM$6,EHS!$M$7:$BM$7)</f>
        <v>45730</v>
      </c>
      <c r="DF9" s="205">
        <f>_xlfn.XLOOKUP(DF7,EHS!$M$6:$BM$6,EHS!$M$7:$BM$7)</f>
        <v>45737</v>
      </c>
      <c r="DG9" s="205">
        <f>_xlfn.XLOOKUP(DG7,EHS!$M$6:$BM$6,EHS!$M$7:$BM$7)</f>
        <v>45744</v>
      </c>
      <c r="DH9" s="205">
        <f>_xlfn.XLOOKUP(DH7,EHS!$M$6:$BM$6,EHS!$M$7:$BM$7)</f>
        <v>45751</v>
      </c>
      <c r="DI9" s="205">
        <f>_xlfn.XLOOKUP(DI7,EHS!$M$6:$BM$6,EHS!$M$7:$BM$7)</f>
        <v>45758</v>
      </c>
      <c r="DJ9" s="205">
        <f>_xlfn.XLOOKUP(DJ7,EHS!$M$6:$BM$6,EHS!$M$7:$BM$7)</f>
        <v>45765</v>
      </c>
      <c r="DK9" s="205">
        <f>_xlfn.XLOOKUP(DK7,EHS!$M$6:$BM$6,EHS!$M$7:$BM$7)</f>
        <v>45772</v>
      </c>
      <c r="DL9" s="205">
        <f>_xlfn.XLOOKUP(DL7,EHS!$M$6:$BM$6,EHS!$M$7:$BM$7)</f>
        <v>45779</v>
      </c>
      <c r="DM9" s="205">
        <f>_xlfn.XLOOKUP(DM7,EHS!$M$6:$BM$6,EHS!$M$7:$BM$7)</f>
        <v>45786</v>
      </c>
      <c r="DN9" s="205">
        <f>_xlfn.XLOOKUP(DN7,EHS!$M$6:$BM$6,EHS!$M$7:$BM$7)</f>
        <v>45793</v>
      </c>
      <c r="DO9" s="205">
        <f>_xlfn.XLOOKUP(DO7,EHS!$M$6:$BM$6,EHS!$M$7:$BM$7)</f>
        <v>45800</v>
      </c>
      <c r="DP9" s="205">
        <f>_xlfn.XLOOKUP(DP7,EHS!$M$6:$BM$6,EHS!$M$7:$BM$7)</f>
        <v>45807</v>
      </c>
      <c r="DQ9" s="205">
        <f>_xlfn.XLOOKUP(DQ7,EHS!$M$6:$BM$6,EHS!$M$7:$BM$7)</f>
        <v>45814</v>
      </c>
      <c r="DR9" s="205">
        <f>_xlfn.XLOOKUP(DR7,EHS!$M$6:$BM$6,EHS!$M$7:$BM$7)</f>
        <v>45821</v>
      </c>
      <c r="DS9" s="205">
        <f>_xlfn.XLOOKUP(DS7,EHS!$M$6:$BM$6,EHS!$M$7:$BM$7)</f>
        <v>45828</v>
      </c>
      <c r="DT9" s="205">
        <f>_xlfn.XLOOKUP(DT7,EHS!$M$6:$BM$6,EHS!$M$7:$BM$7)</f>
        <v>45835</v>
      </c>
      <c r="DU9" s="205">
        <f>_xlfn.XLOOKUP(DU7,EHS!$M$6:$BM$6,EHS!$M$7:$BM$7)</f>
        <v>45842</v>
      </c>
      <c r="DV9" s="205">
        <f>_xlfn.XLOOKUP(DV7,EHS!$M$6:$BM$6,EHS!$M$7:$BM$7)</f>
        <v>45849</v>
      </c>
      <c r="DW9" s="205">
        <f>_xlfn.XLOOKUP(DW7,EHS!$M$6:$BM$6,EHS!$M$7:$BM$7)</f>
        <v>45856</v>
      </c>
      <c r="DX9" s="205">
        <f>_xlfn.XLOOKUP(DX7,EHS!$M$6:$BM$6,EHS!$M$7:$BM$7)</f>
        <v>45863</v>
      </c>
      <c r="DY9" s="205">
        <f>_xlfn.XLOOKUP(DY7,EHS!$M$6:$BM$6,EHS!$M$7:$BM$7)</f>
        <v>45870</v>
      </c>
      <c r="DZ9" s="205">
        <f>_xlfn.XLOOKUP(DZ7,EHS!$M$6:$BM$6,EHS!$M$7:$BM$7)</f>
        <v>45877</v>
      </c>
      <c r="EA9" s="205">
        <f>_xlfn.XLOOKUP(EA7,EHS!$M$6:$BM$6,EHS!$M$7:$BM$7)</f>
        <v>45884</v>
      </c>
      <c r="EB9" s="205">
        <f>_xlfn.XLOOKUP(EB7,EHS!$M$6:$BM$6,EHS!$M$7:$BM$7)</f>
        <v>45891</v>
      </c>
      <c r="EC9" s="205">
        <f>_xlfn.XLOOKUP(EC7,EHS!$M$6:$BM$6,EHS!$M$7:$BM$7)</f>
        <v>45898</v>
      </c>
      <c r="ED9" s="205">
        <f>_xlfn.XLOOKUP(ED7,EHS!$M$6:$BM$6,EHS!$M$7:$BM$7)</f>
        <v>45905</v>
      </c>
      <c r="EE9" s="205">
        <f>_xlfn.XLOOKUP(EE7,EHS!$M$6:$BM$6,EHS!$M$7:$BM$7)</f>
        <v>45912</v>
      </c>
      <c r="EF9" s="205">
        <f>_xlfn.XLOOKUP(EF7,EHS!$M$6:$BM$6,EHS!$M$7:$BM$7)</f>
        <v>45919</v>
      </c>
      <c r="EG9" s="205">
        <f>_xlfn.XLOOKUP(EG7,EHS!$M$6:$BM$6,EHS!$M$7:$BM$7)</f>
        <v>45926</v>
      </c>
      <c r="EH9" s="205">
        <f>_xlfn.XLOOKUP(EH7,EHS!$M$6:$BM$6,EHS!$M$7:$BM$7)</f>
        <v>45933</v>
      </c>
      <c r="EI9" s="205">
        <f>_xlfn.XLOOKUP(EI7,EHS!$M$6:$BM$6,EHS!$M$7:$BM$7)</f>
        <v>45940</v>
      </c>
      <c r="EJ9" s="205">
        <f>_xlfn.XLOOKUP(EJ7,EHS!$M$6:$BM$6,EHS!$M$7:$BM$7)</f>
        <v>45947</v>
      </c>
      <c r="EK9" s="205">
        <f>_xlfn.XLOOKUP(EK7,EHS!$M$6:$BM$6,EHS!$M$7:$BM$7)</f>
        <v>45954</v>
      </c>
      <c r="EL9" s="205">
        <f>_xlfn.XLOOKUP(EL7,EHS!$M$6:$BM$6,EHS!$M$7:$BM$7)</f>
        <v>45961</v>
      </c>
      <c r="EM9" s="205">
        <f>_xlfn.XLOOKUP(EM7,EHS!$M$6:$BM$6,EHS!$M$7:$BM$7)</f>
        <v>45968</v>
      </c>
      <c r="EN9" s="205">
        <f>_xlfn.XLOOKUP(EN7,EHS!$M$6:$BM$6,EHS!$M$7:$BM$7)</f>
        <v>45975</v>
      </c>
      <c r="EO9" s="205">
        <f>_xlfn.XLOOKUP(EO7,EHS!$M$6:$BM$6,EHS!$M$7:$BM$7)</f>
        <v>45982</v>
      </c>
      <c r="EP9" s="205">
        <f>_xlfn.XLOOKUP(EP7,EHS!$M$6:$BM$6,EHS!$M$7:$BM$7)</f>
        <v>45989</v>
      </c>
      <c r="EQ9" s="205">
        <f>_xlfn.XLOOKUP(EQ7,EHS!$M$6:$BM$6,EHS!$M$7:$BM$7)</f>
        <v>45996</v>
      </c>
      <c r="ER9" s="205">
        <f>_xlfn.XLOOKUP(ER7,EHS!$M$6:$BM$6,EHS!$M$7:$BM$7)</f>
        <v>46003</v>
      </c>
      <c r="ES9" s="205">
        <f>_xlfn.XLOOKUP(ES7,EHS!$M$6:$BM$6,EHS!$M$7:$BM$7)</f>
        <v>46010</v>
      </c>
      <c r="ET9" s="205">
        <f>_xlfn.XLOOKUP(ET7,EHS!$M$6:$BM$6,EHS!$M$7:$BM$7)</f>
        <v>46017</v>
      </c>
      <c r="EU9" s="205">
        <f>_xlfn.XLOOKUP(EU7,EHS!$M$6:$BM$6,EHS!$M$7:$BM$7)</f>
        <v>46024</v>
      </c>
      <c r="FA9" s="203" t="s">
        <v>239</v>
      </c>
      <c r="FC9" s="204">
        <f>_xlfn.XLOOKUP(FC7,EHS!$M$6:$BM$6,EHS!$M$7:$BM$7)</f>
        <v>45660</v>
      </c>
      <c r="FD9" s="205">
        <f>_xlfn.XLOOKUP(FD7,EHS!$M$6:$BM$6,EHS!$M$7:$BM$7)</f>
        <v>45667</v>
      </c>
      <c r="FE9" s="205">
        <f>_xlfn.XLOOKUP(FE7,EHS!$M$6:$BM$6,EHS!$M$7:$BM$7)</f>
        <v>45674</v>
      </c>
      <c r="FF9" s="205">
        <f>_xlfn.XLOOKUP(FF7,EHS!$M$6:$BM$6,EHS!$M$7:$BM$7)</f>
        <v>45681</v>
      </c>
      <c r="FG9" s="205">
        <f>_xlfn.XLOOKUP(FG7,EHS!$M$6:$BM$6,EHS!$M$7:$BM$7)</f>
        <v>45688</v>
      </c>
      <c r="FH9" s="205">
        <f>_xlfn.XLOOKUP(FH7,EHS!$M$6:$BM$6,EHS!$M$7:$BM$7)</f>
        <v>45695</v>
      </c>
      <c r="FI9" s="205">
        <f>_xlfn.XLOOKUP(FI7,EHS!$M$6:$BM$6,EHS!$M$7:$BM$7)</f>
        <v>45702</v>
      </c>
      <c r="FJ9" s="205">
        <f>_xlfn.XLOOKUP(FJ7,EHS!$M$6:$BM$6,EHS!$M$7:$BM$7)</f>
        <v>45709</v>
      </c>
      <c r="FK9" s="205">
        <f>_xlfn.XLOOKUP(FK7,EHS!$M$6:$BM$6,EHS!$M$7:$BM$7)</f>
        <v>45716</v>
      </c>
      <c r="FL9" s="205">
        <f>_xlfn.XLOOKUP(FL7,EHS!$M$6:$BM$6,EHS!$M$7:$BM$7)</f>
        <v>45723</v>
      </c>
      <c r="FM9" s="205">
        <f>_xlfn.XLOOKUP(FM7,EHS!$M$6:$BM$6,EHS!$M$7:$BM$7)</f>
        <v>45730</v>
      </c>
      <c r="FN9" s="205">
        <f>_xlfn.XLOOKUP(FN7,EHS!$M$6:$BM$6,EHS!$M$7:$BM$7)</f>
        <v>45737</v>
      </c>
      <c r="FO9" s="205">
        <f>_xlfn.XLOOKUP(FO7,EHS!$M$6:$BM$6,EHS!$M$7:$BM$7)</f>
        <v>45744</v>
      </c>
      <c r="FP9" s="205">
        <f>_xlfn.XLOOKUP(FP7,EHS!$M$6:$BM$6,EHS!$M$7:$BM$7)</f>
        <v>45751</v>
      </c>
      <c r="FQ9" s="205">
        <f>_xlfn.XLOOKUP(FQ7,EHS!$M$6:$BM$6,EHS!$M$7:$BM$7)</f>
        <v>45758</v>
      </c>
      <c r="FR9" s="205">
        <f>_xlfn.XLOOKUP(FR7,EHS!$M$6:$BM$6,EHS!$M$7:$BM$7)</f>
        <v>45765</v>
      </c>
      <c r="FS9" s="205">
        <f>_xlfn.XLOOKUP(FS7,EHS!$M$6:$BM$6,EHS!$M$7:$BM$7)</f>
        <v>45772</v>
      </c>
      <c r="FT9" s="205">
        <f>_xlfn.XLOOKUP(FT7,EHS!$M$6:$BM$6,EHS!$M$7:$BM$7)</f>
        <v>45779</v>
      </c>
      <c r="FU9" s="205">
        <f>_xlfn.XLOOKUP(FU7,EHS!$M$6:$BM$6,EHS!$M$7:$BM$7)</f>
        <v>45786</v>
      </c>
      <c r="FV9" s="205">
        <f>_xlfn.XLOOKUP(FV7,EHS!$M$6:$BM$6,EHS!$M$7:$BM$7)</f>
        <v>45793</v>
      </c>
      <c r="FW9" s="205">
        <f>_xlfn.XLOOKUP(FW7,EHS!$M$6:$BM$6,EHS!$M$7:$BM$7)</f>
        <v>45800</v>
      </c>
      <c r="FX9" s="205">
        <f>_xlfn.XLOOKUP(FX7,EHS!$M$6:$BM$6,EHS!$M$7:$BM$7)</f>
        <v>45807</v>
      </c>
      <c r="FY9" s="205">
        <f>_xlfn.XLOOKUP(FY7,EHS!$M$6:$BM$6,EHS!$M$7:$BM$7)</f>
        <v>45814</v>
      </c>
      <c r="FZ9" s="205">
        <f>_xlfn.XLOOKUP(FZ7,EHS!$M$6:$BM$6,EHS!$M$7:$BM$7)</f>
        <v>45821</v>
      </c>
      <c r="GA9" s="205">
        <f>_xlfn.XLOOKUP(GA7,EHS!$M$6:$BM$6,EHS!$M$7:$BM$7)</f>
        <v>45828</v>
      </c>
      <c r="GB9" s="205">
        <f>_xlfn.XLOOKUP(GB7,EHS!$M$6:$BM$6,EHS!$M$7:$BM$7)</f>
        <v>45835</v>
      </c>
      <c r="GC9" s="205">
        <f>_xlfn.XLOOKUP(GC7,EHS!$M$6:$BM$6,EHS!$M$7:$BM$7)</f>
        <v>45842</v>
      </c>
      <c r="GD9" s="205">
        <f>_xlfn.XLOOKUP(GD7,EHS!$M$6:$BM$6,EHS!$M$7:$BM$7)</f>
        <v>45849</v>
      </c>
      <c r="GE9" s="205">
        <f>_xlfn.XLOOKUP(GE7,EHS!$M$6:$BM$6,EHS!$M$7:$BM$7)</f>
        <v>45856</v>
      </c>
      <c r="GF9" s="205">
        <f>_xlfn.XLOOKUP(GF7,EHS!$M$6:$BM$6,EHS!$M$7:$BM$7)</f>
        <v>45863</v>
      </c>
      <c r="GG9" s="205">
        <f>_xlfn.XLOOKUP(GG7,EHS!$M$6:$BM$6,EHS!$M$7:$BM$7)</f>
        <v>45870</v>
      </c>
      <c r="GH9" s="205">
        <f>_xlfn.XLOOKUP(GH7,EHS!$M$6:$BM$6,EHS!$M$7:$BM$7)</f>
        <v>45877</v>
      </c>
      <c r="GI9" s="205">
        <f>_xlfn.XLOOKUP(GI7,EHS!$M$6:$BM$6,EHS!$M$7:$BM$7)</f>
        <v>45884</v>
      </c>
      <c r="GJ9" s="205">
        <f>_xlfn.XLOOKUP(GJ7,EHS!$M$6:$BM$6,EHS!$M$7:$BM$7)</f>
        <v>45891</v>
      </c>
      <c r="GK9" s="205">
        <f>_xlfn.XLOOKUP(GK7,EHS!$M$6:$BM$6,EHS!$M$7:$BM$7)</f>
        <v>45898</v>
      </c>
      <c r="GL9" s="205">
        <f>_xlfn.XLOOKUP(GL7,EHS!$M$6:$BM$6,EHS!$M$7:$BM$7)</f>
        <v>45905</v>
      </c>
      <c r="GM9" s="205">
        <f>_xlfn.XLOOKUP(GM7,EHS!$M$6:$BM$6,EHS!$M$7:$BM$7)</f>
        <v>45912</v>
      </c>
      <c r="GN9" s="205">
        <f>_xlfn.XLOOKUP(GN7,EHS!$M$6:$BM$6,EHS!$M$7:$BM$7)</f>
        <v>45919</v>
      </c>
      <c r="GO9" s="205">
        <f>_xlfn.XLOOKUP(GO7,EHS!$M$6:$BM$6,EHS!$M$7:$BM$7)</f>
        <v>45926</v>
      </c>
      <c r="GP9" s="205">
        <f>_xlfn.XLOOKUP(GP7,EHS!$M$6:$BM$6,EHS!$M$7:$BM$7)</f>
        <v>45933</v>
      </c>
      <c r="GQ9" s="205">
        <f>_xlfn.XLOOKUP(GQ7,EHS!$M$6:$BM$6,EHS!$M$7:$BM$7)</f>
        <v>45940</v>
      </c>
      <c r="GR9" s="205">
        <f>_xlfn.XLOOKUP(GR7,EHS!$M$6:$BM$6,EHS!$M$7:$BM$7)</f>
        <v>45947</v>
      </c>
      <c r="GS9" s="205">
        <f>_xlfn.XLOOKUP(GS7,EHS!$M$6:$BM$6,EHS!$M$7:$BM$7)</f>
        <v>45954</v>
      </c>
      <c r="GT9" s="205">
        <f>_xlfn.XLOOKUP(GT7,EHS!$M$6:$BM$6,EHS!$M$7:$BM$7)</f>
        <v>45961</v>
      </c>
      <c r="GU9" s="205">
        <f>_xlfn.XLOOKUP(GU7,EHS!$M$6:$BM$6,EHS!$M$7:$BM$7)</f>
        <v>45968</v>
      </c>
      <c r="GV9" s="205">
        <f>_xlfn.XLOOKUP(GV7,EHS!$M$6:$BM$6,EHS!$M$7:$BM$7)</f>
        <v>45975</v>
      </c>
      <c r="GW9" s="205">
        <f>_xlfn.XLOOKUP(GW7,EHS!$M$6:$BM$6,EHS!$M$7:$BM$7)</f>
        <v>45982</v>
      </c>
      <c r="GX9" s="205">
        <f>_xlfn.XLOOKUP(GX7,EHS!$M$6:$BM$6,EHS!$M$7:$BM$7)</f>
        <v>45989</v>
      </c>
      <c r="GY9" s="205">
        <f>_xlfn.XLOOKUP(GY7,EHS!$M$6:$BM$6,EHS!$M$7:$BM$7)</f>
        <v>45996</v>
      </c>
      <c r="GZ9" s="205">
        <f>_xlfn.XLOOKUP(GZ7,EHS!$M$6:$BM$6,EHS!$M$7:$BM$7)</f>
        <v>46003</v>
      </c>
      <c r="HA9" s="205">
        <f>_xlfn.XLOOKUP(HA7,EHS!$M$6:$BM$6,EHS!$M$7:$BM$7)</f>
        <v>46010</v>
      </c>
      <c r="HB9" s="205">
        <f>_xlfn.XLOOKUP(HB7,EHS!$M$6:$BM$6,EHS!$M$7:$BM$7)</f>
        <v>46017</v>
      </c>
      <c r="HC9" s="205">
        <f>_xlfn.XLOOKUP(HC7,EHS!$M$6:$BM$6,EHS!$M$7:$BM$7)</f>
        <v>46024</v>
      </c>
      <c r="HD9"/>
      <c r="HH9" s="203" t="s">
        <v>239</v>
      </c>
      <c r="HJ9" s="205">
        <f>_xlfn.XLOOKUP(HJ7,EHS!$M$6:$BM$6,EHS!$M$7:$BM$7)</f>
        <v>45660</v>
      </c>
      <c r="HK9" s="205">
        <f>_xlfn.XLOOKUP(HK7,EHS!$M$6:$BM$6,EHS!$M$7:$BM$7)</f>
        <v>45667</v>
      </c>
      <c r="HL9" s="205">
        <f>_xlfn.XLOOKUP(HL7,EHS!$M$6:$BM$6,EHS!$M$7:$BM$7)</f>
        <v>45674</v>
      </c>
      <c r="HM9" s="205">
        <f>_xlfn.XLOOKUP(HM7,EHS!$M$6:$BM$6,EHS!$M$7:$BM$7)</f>
        <v>45681</v>
      </c>
      <c r="HN9" s="205">
        <f>_xlfn.XLOOKUP(HN7,EHS!$M$6:$BM$6,EHS!$M$7:$BM$7)</f>
        <v>45688</v>
      </c>
      <c r="HO9" s="205">
        <f>_xlfn.XLOOKUP(HO7,EHS!$M$6:$BM$6,EHS!$M$7:$BM$7)</f>
        <v>45695</v>
      </c>
      <c r="HP9" s="205">
        <f>_xlfn.XLOOKUP(HP7,EHS!$M$6:$BM$6,EHS!$M$7:$BM$7)</f>
        <v>45702</v>
      </c>
      <c r="HQ9" s="205">
        <f>_xlfn.XLOOKUP(HQ7,EHS!$M$6:$BM$6,EHS!$M$7:$BM$7)</f>
        <v>45709</v>
      </c>
      <c r="HR9" s="205">
        <f>_xlfn.XLOOKUP(HR7,EHS!$M$6:$BM$6,EHS!$M$7:$BM$7)</f>
        <v>45716</v>
      </c>
      <c r="HS9" s="205">
        <f>_xlfn.XLOOKUP(HS7,EHS!$M$6:$BM$6,EHS!$M$7:$BM$7)</f>
        <v>45723</v>
      </c>
      <c r="HT9" s="205">
        <f>_xlfn.XLOOKUP(HT7,EHS!$M$6:$BM$6,EHS!$M$7:$BM$7)</f>
        <v>45730</v>
      </c>
      <c r="HU9" s="205">
        <f>_xlfn.XLOOKUP(HU7,EHS!$M$6:$BM$6,EHS!$M$7:$BM$7)</f>
        <v>45737</v>
      </c>
      <c r="HV9" s="205">
        <f>_xlfn.XLOOKUP(HV7,EHS!$M$6:$BM$6,EHS!$M$7:$BM$7)</f>
        <v>45744</v>
      </c>
      <c r="HW9" s="205">
        <f>_xlfn.XLOOKUP(HW7,EHS!$M$6:$BM$6,EHS!$M$7:$BM$7)</f>
        <v>45751</v>
      </c>
      <c r="HX9" s="205">
        <f>_xlfn.XLOOKUP(HX7,EHS!$M$6:$BM$6,EHS!$M$7:$BM$7)</f>
        <v>45758</v>
      </c>
      <c r="HY9" s="205">
        <f>_xlfn.XLOOKUP(HY7,EHS!$M$6:$BM$6,EHS!$M$7:$BM$7)</f>
        <v>45765</v>
      </c>
      <c r="HZ9" s="205">
        <f>_xlfn.XLOOKUP(HZ7,EHS!$M$6:$BM$6,EHS!$M$7:$BM$7)</f>
        <v>45772</v>
      </c>
      <c r="IA9" s="205">
        <f>_xlfn.XLOOKUP(IA7,EHS!$M$6:$BM$6,EHS!$M$7:$BM$7)</f>
        <v>45779</v>
      </c>
      <c r="IB9" s="205">
        <f>_xlfn.XLOOKUP(IB7,EHS!$M$6:$BM$6,EHS!$M$7:$BM$7)</f>
        <v>45786</v>
      </c>
      <c r="IC9" s="205">
        <f>_xlfn.XLOOKUP(IC7,EHS!$M$6:$BM$6,EHS!$M$7:$BM$7)</f>
        <v>45793</v>
      </c>
      <c r="ID9" s="205">
        <f>_xlfn.XLOOKUP(ID7,EHS!$M$6:$BM$6,EHS!$M$7:$BM$7)</f>
        <v>45800</v>
      </c>
      <c r="IE9" s="205">
        <f>_xlfn.XLOOKUP(IE7,EHS!$M$6:$BM$6,EHS!$M$7:$BM$7)</f>
        <v>45807</v>
      </c>
      <c r="IF9" s="205">
        <f>_xlfn.XLOOKUP(IF7,EHS!$M$6:$BM$6,EHS!$M$7:$BM$7)</f>
        <v>45814</v>
      </c>
      <c r="IG9" s="205">
        <f>_xlfn.XLOOKUP(IG7,EHS!$M$6:$BM$6,EHS!$M$7:$BM$7)</f>
        <v>45821</v>
      </c>
      <c r="IH9" s="205">
        <f>_xlfn.XLOOKUP(IH7,EHS!$M$6:$BM$6,EHS!$M$7:$BM$7)</f>
        <v>45828</v>
      </c>
      <c r="II9" s="205">
        <f>_xlfn.XLOOKUP(II7,EHS!$M$6:$BM$6,EHS!$M$7:$BM$7)</f>
        <v>45835</v>
      </c>
      <c r="IJ9" s="205">
        <f>_xlfn.XLOOKUP(IJ7,EHS!$M$6:$BM$6,EHS!$M$7:$BM$7)</f>
        <v>45842</v>
      </c>
      <c r="IK9" s="205">
        <f>_xlfn.XLOOKUP(IK7,EHS!$M$6:$BM$6,EHS!$M$7:$BM$7)</f>
        <v>45849</v>
      </c>
      <c r="IL9" s="205">
        <f>_xlfn.XLOOKUP(IL7,EHS!$M$6:$BM$6,EHS!$M$7:$BM$7)</f>
        <v>45856</v>
      </c>
      <c r="IM9" s="205">
        <f>_xlfn.XLOOKUP(IM7,EHS!$M$6:$BM$6,EHS!$M$7:$BM$7)</f>
        <v>45863</v>
      </c>
      <c r="IN9" s="205">
        <f>_xlfn.XLOOKUP(IN7,EHS!$M$6:$BM$6,EHS!$M$7:$BM$7)</f>
        <v>45870</v>
      </c>
      <c r="IO9" s="205">
        <f>_xlfn.XLOOKUP(IO7,EHS!$M$6:$BM$6,EHS!$M$7:$BM$7)</f>
        <v>45877</v>
      </c>
      <c r="IP9" s="205">
        <f>_xlfn.XLOOKUP(IP7,EHS!$M$6:$BM$6,EHS!$M$7:$BM$7)</f>
        <v>45884</v>
      </c>
      <c r="IQ9" s="205">
        <f>_xlfn.XLOOKUP(IQ7,EHS!$M$6:$BM$6,EHS!$M$7:$BM$7)</f>
        <v>45891</v>
      </c>
      <c r="IR9" s="205">
        <f>_xlfn.XLOOKUP(IR7,EHS!$M$6:$BM$6,EHS!$M$7:$BM$7)</f>
        <v>45898</v>
      </c>
      <c r="IS9" s="205">
        <f>_xlfn.XLOOKUP(IS7,EHS!$M$6:$BM$6,EHS!$M$7:$BM$7)</f>
        <v>45905</v>
      </c>
      <c r="IT9" s="205">
        <f>_xlfn.XLOOKUP(IT7,EHS!$M$6:$BM$6,EHS!$M$7:$BM$7)</f>
        <v>45912</v>
      </c>
      <c r="IU9" s="205">
        <f>_xlfn.XLOOKUP(IU7,EHS!$M$6:$BM$6,EHS!$M$7:$BM$7)</f>
        <v>45919</v>
      </c>
      <c r="IV9" s="205">
        <f>_xlfn.XLOOKUP(IV7,EHS!$M$6:$BM$6,EHS!$M$7:$BM$7)</f>
        <v>45926</v>
      </c>
      <c r="IW9" s="205">
        <f>_xlfn.XLOOKUP(IW7,EHS!$M$6:$BM$6,EHS!$M$7:$BM$7)</f>
        <v>45933</v>
      </c>
      <c r="IX9" s="205">
        <f>_xlfn.XLOOKUP(IX7,EHS!$M$6:$BM$6,EHS!$M$7:$BM$7)</f>
        <v>45940</v>
      </c>
      <c r="IY9" s="205">
        <f>_xlfn.XLOOKUP(IY7,EHS!$M$6:$BM$6,EHS!$M$7:$BM$7)</f>
        <v>45947</v>
      </c>
      <c r="IZ9" s="205">
        <f>_xlfn.XLOOKUP(IZ7,EHS!$M$6:$BM$6,EHS!$M$7:$BM$7)</f>
        <v>45954</v>
      </c>
      <c r="JA9" s="205">
        <f>_xlfn.XLOOKUP(JA7,EHS!$M$6:$BM$6,EHS!$M$7:$BM$7)</f>
        <v>45961</v>
      </c>
      <c r="JB9" s="205">
        <f>_xlfn.XLOOKUP(JB7,EHS!$M$6:$BM$6,EHS!$M$7:$BM$7)</f>
        <v>45968</v>
      </c>
      <c r="JC9" s="205">
        <f>_xlfn.XLOOKUP(JC7,EHS!$M$6:$BM$6,EHS!$M$7:$BM$7)</f>
        <v>45975</v>
      </c>
      <c r="JD9" s="205">
        <f>_xlfn.XLOOKUP(JD7,EHS!$M$6:$BM$6,EHS!$M$7:$BM$7)</f>
        <v>45982</v>
      </c>
      <c r="JE9" s="205">
        <f>_xlfn.XLOOKUP(JE7,EHS!$M$6:$BM$6,EHS!$M$7:$BM$7)</f>
        <v>45989</v>
      </c>
      <c r="JF9" s="205">
        <f>_xlfn.XLOOKUP(JF7,EHS!$M$6:$BM$6,EHS!$M$7:$BM$7)</f>
        <v>45996</v>
      </c>
      <c r="JG9" s="205">
        <f>_xlfn.XLOOKUP(JG7,EHS!$M$6:$BM$6,EHS!$M$7:$BM$7)</f>
        <v>46003</v>
      </c>
      <c r="JH9" s="205">
        <f>_xlfn.XLOOKUP(JH7,EHS!$M$6:$BM$6,EHS!$M$7:$BM$7)</f>
        <v>46010</v>
      </c>
      <c r="JI9" s="205">
        <f>_xlfn.XLOOKUP(JI7,EHS!$M$6:$BM$6,EHS!$M$7:$BM$7)</f>
        <v>46017</v>
      </c>
      <c r="JJ9" s="205">
        <f>_xlfn.XLOOKUP(JJ7,EHS!$M$6:$BM$6,EHS!$M$7:$BM$7)</f>
        <v>46024</v>
      </c>
      <c r="JP9" s="203" t="s">
        <v>239</v>
      </c>
      <c r="JR9" s="204">
        <f>_xlfn.XLOOKUP(JR7,EHS!$M$6:$BM$6,EHS!$M$7:$BM$7)</f>
        <v>45660</v>
      </c>
      <c r="JS9" s="205">
        <f>_xlfn.XLOOKUP(JS7,EHS!$M$6:$BM$6,EHS!$M$7:$BM$7)</f>
        <v>45667</v>
      </c>
      <c r="JT9" s="205">
        <f>_xlfn.XLOOKUP(JT7,EHS!$M$6:$BM$6,EHS!$M$7:$BM$7)</f>
        <v>45674</v>
      </c>
      <c r="JU9" s="205">
        <f>_xlfn.XLOOKUP(JU7,EHS!$M$6:$BM$6,EHS!$M$7:$BM$7)</f>
        <v>45681</v>
      </c>
      <c r="JV9" s="205">
        <f>_xlfn.XLOOKUP(JV7,EHS!$M$6:$BM$6,EHS!$M$7:$BM$7)</f>
        <v>45688</v>
      </c>
      <c r="JW9" s="205">
        <f>_xlfn.XLOOKUP(JW7,EHS!$M$6:$BM$6,EHS!$M$7:$BM$7)</f>
        <v>45695</v>
      </c>
      <c r="JX9" s="205">
        <f>_xlfn.XLOOKUP(JX7,EHS!$M$6:$BM$6,EHS!$M$7:$BM$7)</f>
        <v>45702</v>
      </c>
      <c r="JY9" s="205">
        <f>_xlfn.XLOOKUP(JY7,EHS!$M$6:$BM$6,EHS!$M$7:$BM$7)</f>
        <v>45709</v>
      </c>
      <c r="JZ9" s="205">
        <f>_xlfn.XLOOKUP(JZ7,EHS!$M$6:$BM$6,EHS!$M$7:$BM$7)</f>
        <v>45716</v>
      </c>
      <c r="KA9" s="205">
        <f>_xlfn.XLOOKUP(KA7,EHS!$M$6:$BM$6,EHS!$M$7:$BM$7)</f>
        <v>45723</v>
      </c>
      <c r="KB9" s="205">
        <f>_xlfn.XLOOKUP(KB7,EHS!$M$6:$BM$6,EHS!$M$7:$BM$7)</f>
        <v>45730</v>
      </c>
      <c r="KC9" s="205">
        <f>_xlfn.XLOOKUP(KC7,EHS!$M$6:$BM$6,EHS!$M$7:$BM$7)</f>
        <v>45737</v>
      </c>
      <c r="KD9" s="205">
        <f>_xlfn.XLOOKUP(KD7,EHS!$M$6:$BM$6,EHS!$M$7:$BM$7)</f>
        <v>45744</v>
      </c>
      <c r="KE9" s="205">
        <f>_xlfn.XLOOKUP(KE7,EHS!$M$6:$BM$6,EHS!$M$7:$BM$7)</f>
        <v>45751</v>
      </c>
      <c r="KF9" s="205">
        <f>_xlfn.XLOOKUP(KF7,EHS!$M$6:$BM$6,EHS!$M$7:$BM$7)</f>
        <v>45758</v>
      </c>
      <c r="KG9" s="205">
        <f>_xlfn.XLOOKUP(KG7,EHS!$M$6:$BM$6,EHS!$M$7:$BM$7)</f>
        <v>45765</v>
      </c>
      <c r="KH9" s="205">
        <f>_xlfn.XLOOKUP(KH7,EHS!$M$6:$BM$6,EHS!$M$7:$BM$7)</f>
        <v>45772</v>
      </c>
      <c r="KI9" s="205">
        <f>_xlfn.XLOOKUP(KI7,EHS!$M$6:$BM$6,EHS!$M$7:$BM$7)</f>
        <v>45779</v>
      </c>
      <c r="KJ9" s="205">
        <f>_xlfn.XLOOKUP(KJ7,EHS!$M$6:$BM$6,EHS!$M$7:$BM$7)</f>
        <v>45786</v>
      </c>
      <c r="KK9" s="205">
        <f>_xlfn.XLOOKUP(KK7,EHS!$M$6:$BM$6,EHS!$M$7:$BM$7)</f>
        <v>45793</v>
      </c>
      <c r="KL9" s="205">
        <f>_xlfn.XLOOKUP(KL7,EHS!$M$6:$BM$6,EHS!$M$7:$BM$7)</f>
        <v>45800</v>
      </c>
      <c r="KM9" s="205">
        <f>_xlfn.XLOOKUP(KM7,EHS!$M$6:$BM$6,EHS!$M$7:$BM$7)</f>
        <v>45807</v>
      </c>
      <c r="KN9" s="205">
        <f>_xlfn.XLOOKUP(KN7,EHS!$M$6:$BM$6,EHS!$M$7:$BM$7)</f>
        <v>45814</v>
      </c>
      <c r="KO9" s="205">
        <f>_xlfn.XLOOKUP(KO7,EHS!$M$6:$BM$6,EHS!$M$7:$BM$7)</f>
        <v>45821</v>
      </c>
      <c r="KP9" s="205">
        <f>_xlfn.XLOOKUP(KP7,EHS!$M$6:$BM$6,EHS!$M$7:$BM$7)</f>
        <v>45828</v>
      </c>
      <c r="KQ9" s="205">
        <f>_xlfn.XLOOKUP(KQ7,EHS!$M$6:$BM$6,EHS!$M$7:$BM$7)</f>
        <v>45835</v>
      </c>
      <c r="KR9" s="205">
        <f>_xlfn.XLOOKUP(KR7,EHS!$M$6:$BM$6,EHS!$M$7:$BM$7)</f>
        <v>45842</v>
      </c>
      <c r="KS9" s="205">
        <f>_xlfn.XLOOKUP(KS7,EHS!$M$6:$BM$6,EHS!$M$7:$BM$7)</f>
        <v>45849</v>
      </c>
      <c r="KT9" s="205">
        <f>_xlfn.XLOOKUP(KT7,EHS!$M$6:$BM$6,EHS!$M$7:$BM$7)</f>
        <v>45856</v>
      </c>
      <c r="KU9" s="205">
        <f>_xlfn.XLOOKUP(KU7,EHS!$M$6:$BM$6,EHS!$M$7:$BM$7)</f>
        <v>45863</v>
      </c>
      <c r="KV9" s="205">
        <f>_xlfn.XLOOKUP(KV7,EHS!$M$6:$BM$6,EHS!$M$7:$BM$7)</f>
        <v>45870</v>
      </c>
      <c r="KW9" s="205">
        <f>_xlfn.XLOOKUP(KW7,EHS!$M$6:$BM$6,EHS!$M$7:$BM$7)</f>
        <v>45877</v>
      </c>
      <c r="KX9" s="205">
        <f>_xlfn.XLOOKUP(KX7,EHS!$M$6:$BM$6,EHS!$M$7:$BM$7)</f>
        <v>45884</v>
      </c>
      <c r="KY9" s="205">
        <f>_xlfn.XLOOKUP(KY7,EHS!$M$6:$BM$6,EHS!$M$7:$BM$7)</f>
        <v>45891</v>
      </c>
      <c r="KZ9" s="205">
        <f>_xlfn.XLOOKUP(KZ7,EHS!$M$6:$BM$6,EHS!$M$7:$BM$7)</f>
        <v>45898</v>
      </c>
      <c r="LA9" s="205">
        <f>_xlfn.XLOOKUP(LA7,EHS!$M$6:$BM$6,EHS!$M$7:$BM$7)</f>
        <v>45905</v>
      </c>
      <c r="LB9" s="205">
        <f>_xlfn.XLOOKUP(LB7,EHS!$M$6:$BM$6,EHS!$M$7:$BM$7)</f>
        <v>45912</v>
      </c>
      <c r="LC9" s="205">
        <f>_xlfn.XLOOKUP(LC7,EHS!$M$6:$BM$6,EHS!$M$7:$BM$7)</f>
        <v>45919</v>
      </c>
      <c r="LD9" s="205">
        <f>_xlfn.XLOOKUP(LD7,EHS!$M$6:$BM$6,EHS!$M$7:$BM$7)</f>
        <v>45926</v>
      </c>
      <c r="LE9" s="205">
        <f>_xlfn.XLOOKUP(LE7,EHS!$M$6:$BM$6,EHS!$M$7:$BM$7)</f>
        <v>45933</v>
      </c>
      <c r="LF9" s="205">
        <f>_xlfn.XLOOKUP(LF7,EHS!$M$6:$BM$6,EHS!$M$7:$BM$7)</f>
        <v>45940</v>
      </c>
      <c r="LG9" s="205">
        <f>_xlfn.XLOOKUP(LG7,EHS!$M$6:$BM$6,EHS!$M$7:$BM$7)</f>
        <v>45947</v>
      </c>
      <c r="LH9" s="205">
        <f>_xlfn.XLOOKUP(LH7,EHS!$M$6:$BM$6,EHS!$M$7:$BM$7)</f>
        <v>45954</v>
      </c>
      <c r="LI9" s="205">
        <f>_xlfn.XLOOKUP(LI7,EHS!$M$6:$BM$6,EHS!$M$7:$BM$7)</f>
        <v>45961</v>
      </c>
      <c r="LJ9" s="205">
        <f>_xlfn.XLOOKUP(LJ7,EHS!$M$6:$BM$6,EHS!$M$7:$BM$7)</f>
        <v>45968</v>
      </c>
      <c r="LK9" s="205">
        <f>_xlfn.XLOOKUP(LK7,EHS!$M$6:$BM$6,EHS!$M$7:$BM$7)</f>
        <v>45975</v>
      </c>
      <c r="LL9" s="205">
        <f>_xlfn.XLOOKUP(LL7,EHS!$M$6:$BM$6,EHS!$M$7:$BM$7)</f>
        <v>45982</v>
      </c>
      <c r="LM9" s="205">
        <f>_xlfn.XLOOKUP(LM7,EHS!$M$6:$BM$6,EHS!$M$7:$BM$7)</f>
        <v>45989</v>
      </c>
      <c r="LN9" s="205">
        <f>_xlfn.XLOOKUP(LN7,EHS!$M$6:$BM$6,EHS!$M$7:$BM$7)</f>
        <v>45996</v>
      </c>
      <c r="LO9" s="205">
        <f>_xlfn.XLOOKUP(LO7,EHS!$M$6:$BM$6,EHS!$M$7:$BM$7)</f>
        <v>46003</v>
      </c>
      <c r="LP9" s="205">
        <f>_xlfn.XLOOKUP(LP7,EHS!$M$6:$BM$6,EHS!$M$7:$BM$7)</f>
        <v>46010</v>
      </c>
      <c r="LQ9" s="205">
        <f>_xlfn.XLOOKUP(LQ7,EHS!$M$6:$BM$6,EHS!$M$7:$BM$7)</f>
        <v>46017</v>
      </c>
      <c r="LR9" s="205">
        <f>_xlfn.XLOOKUP(LR7,EHS!$M$6:$BM$6,EHS!$M$7:$BM$7)</f>
        <v>46024</v>
      </c>
      <c r="LS9"/>
      <c r="LW9" s="203" t="s">
        <v>239</v>
      </c>
      <c r="LY9" s="204">
        <f>_xlfn.XLOOKUP(LY7,EHS!$M$6:$BM$6,EHS!$M$7:$BM$7)</f>
        <v>45660</v>
      </c>
      <c r="LZ9" s="204">
        <f>_xlfn.XLOOKUP(LZ7,EHS!$M$6:$BM$6,EHS!$M$7:$BM$7)</f>
        <v>45667</v>
      </c>
      <c r="MA9" s="204">
        <f>_xlfn.XLOOKUP(MA7,EHS!$M$6:$BM$6,EHS!$M$7:$BM$7)</f>
        <v>45674</v>
      </c>
      <c r="MB9" s="204">
        <f>_xlfn.XLOOKUP(MB7,EHS!$M$6:$BM$6,EHS!$M$7:$BM$7)</f>
        <v>45681</v>
      </c>
      <c r="MC9" s="204">
        <f>_xlfn.XLOOKUP(MC7,EHS!$M$6:$BM$6,EHS!$M$7:$BM$7)</f>
        <v>45688</v>
      </c>
      <c r="MD9" s="204">
        <f>_xlfn.XLOOKUP(MD7,EHS!$M$6:$BM$6,EHS!$M$7:$BM$7)</f>
        <v>45695</v>
      </c>
      <c r="ME9" s="204">
        <f>_xlfn.XLOOKUP(ME7,EHS!$M$6:$BM$6,EHS!$M$7:$BM$7)</f>
        <v>45702</v>
      </c>
      <c r="MF9" s="204">
        <f>_xlfn.XLOOKUP(MF7,EHS!$M$6:$BM$6,EHS!$M$7:$BM$7)</f>
        <v>45709</v>
      </c>
      <c r="MG9" s="204">
        <f>_xlfn.XLOOKUP(MG7,EHS!$M$6:$BM$6,EHS!$M$7:$BM$7)</f>
        <v>45716</v>
      </c>
      <c r="MH9" s="204">
        <f>_xlfn.XLOOKUP(MH7,EHS!$M$6:$BM$6,EHS!$M$7:$BM$7)</f>
        <v>45723</v>
      </c>
      <c r="MI9" s="204">
        <f>_xlfn.XLOOKUP(MI7,EHS!$M$6:$BM$6,EHS!$M$7:$BM$7)</f>
        <v>45730</v>
      </c>
      <c r="MJ9" s="204">
        <f>_xlfn.XLOOKUP(MJ7,EHS!$M$6:$BM$6,EHS!$M$7:$BM$7)</f>
        <v>45737</v>
      </c>
      <c r="MK9" s="204">
        <f>_xlfn.XLOOKUP(MK7,EHS!$M$6:$BM$6,EHS!$M$7:$BM$7)</f>
        <v>45744</v>
      </c>
      <c r="ML9" s="204">
        <f>_xlfn.XLOOKUP(ML7,EHS!$M$6:$BM$6,EHS!$M$7:$BM$7)</f>
        <v>45751</v>
      </c>
      <c r="MM9" s="204">
        <f>_xlfn.XLOOKUP(MM7,EHS!$M$6:$BM$6,EHS!$M$7:$BM$7)</f>
        <v>45758</v>
      </c>
      <c r="MN9" s="204">
        <f>_xlfn.XLOOKUP(MN7,EHS!$M$6:$BM$6,EHS!$M$7:$BM$7)</f>
        <v>45765</v>
      </c>
      <c r="MO9" s="204">
        <f>_xlfn.XLOOKUP(MO7,EHS!$M$6:$BM$6,EHS!$M$7:$BM$7)</f>
        <v>45772</v>
      </c>
      <c r="MP9" s="204">
        <f>_xlfn.XLOOKUP(MP7,EHS!$M$6:$BM$6,EHS!$M$7:$BM$7)</f>
        <v>45779</v>
      </c>
      <c r="MQ9" s="204">
        <f>_xlfn.XLOOKUP(MQ7,EHS!$M$6:$BM$6,EHS!$M$7:$BM$7)</f>
        <v>45786</v>
      </c>
      <c r="MR9" s="204">
        <f>_xlfn.XLOOKUP(MR7,EHS!$M$6:$BM$6,EHS!$M$7:$BM$7)</f>
        <v>45793</v>
      </c>
      <c r="MS9" s="204">
        <f>_xlfn.XLOOKUP(MS7,EHS!$M$6:$BM$6,EHS!$M$7:$BM$7)</f>
        <v>45800</v>
      </c>
      <c r="MT9" s="204">
        <f>_xlfn.XLOOKUP(MT7,EHS!$M$6:$BM$6,EHS!$M$7:$BM$7)</f>
        <v>45807</v>
      </c>
      <c r="MU9" s="204">
        <f>_xlfn.XLOOKUP(MU7,EHS!$M$6:$BM$6,EHS!$M$7:$BM$7)</f>
        <v>45814</v>
      </c>
      <c r="MV9" s="204">
        <f>_xlfn.XLOOKUP(MV7,EHS!$M$6:$BM$6,EHS!$M$7:$BM$7)</f>
        <v>45821</v>
      </c>
      <c r="MW9" s="204">
        <f>_xlfn.XLOOKUP(MW7,EHS!$M$6:$BM$6,EHS!$M$7:$BM$7)</f>
        <v>45828</v>
      </c>
      <c r="MX9" s="204">
        <f>_xlfn.XLOOKUP(MX7,EHS!$M$6:$BM$6,EHS!$M$7:$BM$7)</f>
        <v>45835</v>
      </c>
      <c r="MY9" s="204">
        <f>_xlfn.XLOOKUP(MY7,EHS!$M$6:$BM$6,EHS!$M$7:$BM$7)</f>
        <v>45842</v>
      </c>
      <c r="MZ9" s="204">
        <f>_xlfn.XLOOKUP(MZ7,EHS!$M$6:$BM$6,EHS!$M$7:$BM$7)</f>
        <v>45849</v>
      </c>
      <c r="NA9" s="204">
        <f>_xlfn.XLOOKUP(NA7,EHS!$M$6:$BM$6,EHS!$M$7:$BM$7)</f>
        <v>45856</v>
      </c>
      <c r="NB9" s="204">
        <f>_xlfn.XLOOKUP(NB7,EHS!$M$6:$BM$6,EHS!$M$7:$BM$7)</f>
        <v>45863</v>
      </c>
      <c r="NC9" s="204">
        <f>_xlfn.XLOOKUP(NC7,EHS!$M$6:$BM$6,EHS!$M$7:$BM$7)</f>
        <v>45870</v>
      </c>
      <c r="ND9" s="204">
        <f>_xlfn.XLOOKUP(ND7,EHS!$M$6:$BM$6,EHS!$M$7:$BM$7)</f>
        <v>45877</v>
      </c>
      <c r="NE9" s="204">
        <f>_xlfn.XLOOKUP(NE7,EHS!$M$6:$BM$6,EHS!$M$7:$BM$7)</f>
        <v>45884</v>
      </c>
      <c r="NF9" s="204">
        <f>_xlfn.XLOOKUP(NF7,EHS!$M$6:$BM$6,EHS!$M$7:$BM$7)</f>
        <v>45891</v>
      </c>
      <c r="NG9" s="204">
        <f>_xlfn.XLOOKUP(NG7,EHS!$M$6:$BM$6,EHS!$M$7:$BM$7)</f>
        <v>45898</v>
      </c>
      <c r="NH9" s="204">
        <f>_xlfn.XLOOKUP(NH7,EHS!$M$6:$BM$6,EHS!$M$7:$BM$7)</f>
        <v>45905</v>
      </c>
      <c r="NI9" s="204">
        <f>_xlfn.XLOOKUP(NI7,EHS!$M$6:$BM$6,EHS!$M$7:$BM$7)</f>
        <v>45912</v>
      </c>
      <c r="NJ9" s="204">
        <f>_xlfn.XLOOKUP(NJ7,EHS!$M$6:$BM$6,EHS!$M$7:$BM$7)</f>
        <v>45919</v>
      </c>
      <c r="NK9" s="204">
        <f>_xlfn.XLOOKUP(NK7,EHS!$M$6:$BM$6,EHS!$M$7:$BM$7)</f>
        <v>45926</v>
      </c>
      <c r="NL9" s="204">
        <f>_xlfn.XLOOKUP(NL7,EHS!$M$6:$BM$6,EHS!$M$7:$BM$7)</f>
        <v>45933</v>
      </c>
      <c r="NM9" s="204">
        <f>_xlfn.XLOOKUP(NM7,EHS!$M$6:$BM$6,EHS!$M$7:$BM$7)</f>
        <v>45940</v>
      </c>
      <c r="NN9" s="204">
        <f>_xlfn.XLOOKUP(NN7,EHS!$M$6:$BM$6,EHS!$M$7:$BM$7)</f>
        <v>45947</v>
      </c>
      <c r="NO9" s="204">
        <f>_xlfn.XLOOKUP(NO7,EHS!$M$6:$BM$6,EHS!$M$7:$BM$7)</f>
        <v>45954</v>
      </c>
      <c r="NP9" s="204">
        <f>_xlfn.XLOOKUP(NP7,EHS!$M$6:$BM$6,EHS!$M$7:$BM$7)</f>
        <v>45961</v>
      </c>
      <c r="NQ9" s="204">
        <f>_xlfn.XLOOKUP(NQ7,EHS!$M$6:$BM$6,EHS!$M$7:$BM$7)</f>
        <v>45968</v>
      </c>
      <c r="NR9" s="204">
        <f>_xlfn.XLOOKUP(NR7,EHS!$M$6:$BM$6,EHS!$M$7:$BM$7)</f>
        <v>45975</v>
      </c>
      <c r="NS9" s="204">
        <f>_xlfn.XLOOKUP(NS7,EHS!$M$6:$BM$6,EHS!$M$7:$BM$7)</f>
        <v>45982</v>
      </c>
      <c r="NT9" s="204">
        <f>_xlfn.XLOOKUP(NT7,EHS!$M$6:$BM$6,EHS!$M$7:$BM$7)</f>
        <v>45989</v>
      </c>
      <c r="NU9" s="204">
        <f>_xlfn.XLOOKUP(NU7,EHS!$M$6:$BM$6,EHS!$M$7:$BM$7)</f>
        <v>45996</v>
      </c>
      <c r="NV9" s="204">
        <f>_xlfn.XLOOKUP(NV7,EHS!$M$6:$BM$6,EHS!$M$7:$BM$7)</f>
        <v>46003</v>
      </c>
      <c r="NW9" s="204">
        <f>_xlfn.XLOOKUP(NW7,EHS!$M$6:$BM$6,EHS!$M$7:$BM$7)</f>
        <v>46010</v>
      </c>
      <c r="NX9" s="204">
        <f>_xlfn.XLOOKUP(NX7,EHS!$M$6:$BM$6,EHS!$M$7:$BM$7)</f>
        <v>46017</v>
      </c>
      <c r="NY9" s="204">
        <f>_xlfn.XLOOKUP(NY7,EHS!$M$6:$BM$6,EHS!$M$7:$BM$7)</f>
        <v>46024</v>
      </c>
    </row>
    <row r="10" spans="1:389" ht="29.4" thickBot="1" x14ac:dyDescent="0.35">
      <c r="B10" s="185" t="str">
        <f>+'KPI Stats'!B9</f>
        <v>EHS</v>
      </c>
      <c r="C10" s="133" t="str">
        <f>+'KPI Stats'!C9</f>
        <v>Neil Laing</v>
      </c>
      <c r="D10" s="134"/>
      <c r="E10" s="141" t="str">
        <f>+'KPI Stats'!E9</f>
        <v>Completed to Week</v>
      </c>
      <c r="F10" s="141">
        <f>+'KPI Stats'!F9</f>
        <v>42</v>
      </c>
      <c r="G10" s="365" t="s">
        <v>404</v>
      </c>
      <c r="J10" s="181" t="str">
        <f>+$B10&amp;" - 1 wk in arrears"</f>
        <v>EHS - 1 wk in arrears</v>
      </c>
      <c r="K10" s="181"/>
      <c r="L10" s="182"/>
      <c r="M10" s="183"/>
      <c r="P10" s="181" t="str">
        <f>+$B10&amp;" - 1 wk in arrears"</f>
        <v>EHS - 1 wk in arrears</v>
      </c>
      <c r="Q10" s="181"/>
      <c r="R10" s="182"/>
      <c r="S10" s="182"/>
      <c r="T10" s="182"/>
      <c r="U10" s="291"/>
      <c r="X10" s="181" t="str">
        <f>+$B10&amp;" - 1 wk in arrears"</f>
        <v>EHS - 1 wk in arrears</v>
      </c>
      <c r="Y10" s="181"/>
      <c r="Z10" s="182"/>
      <c r="AA10" s="182"/>
      <c r="AB10" s="183"/>
      <c r="AC10" s="181" t="str">
        <f>+$B10</f>
        <v>EHS</v>
      </c>
      <c r="AD10" s="181"/>
      <c r="AE10" s="182"/>
      <c r="AF10" s="183"/>
      <c r="AI10" s="191" t="str">
        <f>+B11</f>
        <v>Environment, Health and Safety</v>
      </c>
      <c r="AJ10" s="192"/>
      <c r="AK10" s="141" t="str">
        <f t="shared" ref="AK10:AL15" si="5">+E10</f>
        <v>Completed to Week</v>
      </c>
      <c r="AL10" s="141">
        <f t="shared" si="5"/>
        <v>42</v>
      </c>
      <c r="AM10" s="181" t="str">
        <f>+$B10</f>
        <v>EHS</v>
      </c>
      <c r="AN10" s="197" t="str">
        <f t="shared" ref="AN10:CM10" si="6">+$B10</f>
        <v>EHS</v>
      </c>
      <c r="AO10" s="181" t="str">
        <f t="shared" si="6"/>
        <v>EHS</v>
      </c>
      <c r="AP10" s="181" t="str">
        <f t="shared" si="6"/>
        <v>EHS</v>
      </c>
      <c r="AQ10" s="181" t="str">
        <f t="shared" si="6"/>
        <v>EHS</v>
      </c>
      <c r="AR10" s="181" t="str">
        <f t="shared" si="6"/>
        <v>EHS</v>
      </c>
      <c r="AS10" s="181" t="str">
        <f t="shared" si="6"/>
        <v>EHS</v>
      </c>
      <c r="AT10" s="181" t="str">
        <f t="shared" si="6"/>
        <v>EHS</v>
      </c>
      <c r="AU10" s="181" t="str">
        <f t="shared" si="6"/>
        <v>EHS</v>
      </c>
      <c r="AV10" s="181" t="str">
        <f t="shared" si="6"/>
        <v>EHS</v>
      </c>
      <c r="AW10" s="181" t="str">
        <f t="shared" si="6"/>
        <v>EHS</v>
      </c>
      <c r="AX10" s="181" t="str">
        <f t="shared" si="6"/>
        <v>EHS</v>
      </c>
      <c r="AY10" s="181" t="str">
        <f t="shared" si="6"/>
        <v>EHS</v>
      </c>
      <c r="AZ10" s="181" t="str">
        <f t="shared" si="6"/>
        <v>EHS</v>
      </c>
      <c r="BA10" s="181" t="str">
        <f t="shared" si="6"/>
        <v>EHS</v>
      </c>
      <c r="BB10" s="181" t="str">
        <f t="shared" si="6"/>
        <v>EHS</v>
      </c>
      <c r="BC10" s="181" t="str">
        <f t="shared" si="6"/>
        <v>EHS</v>
      </c>
      <c r="BD10" s="181" t="str">
        <f t="shared" si="6"/>
        <v>EHS</v>
      </c>
      <c r="BE10" s="181" t="str">
        <f t="shared" si="6"/>
        <v>EHS</v>
      </c>
      <c r="BF10" s="181" t="str">
        <f t="shared" si="6"/>
        <v>EHS</v>
      </c>
      <c r="BG10" s="181" t="str">
        <f t="shared" si="6"/>
        <v>EHS</v>
      </c>
      <c r="BH10" s="181" t="str">
        <f t="shared" si="6"/>
        <v>EHS</v>
      </c>
      <c r="BI10" s="181" t="str">
        <f t="shared" si="6"/>
        <v>EHS</v>
      </c>
      <c r="BJ10" s="181" t="str">
        <f t="shared" si="6"/>
        <v>EHS</v>
      </c>
      <c r="BK10" s="181" t="str">
        <f t="shared" si="6"/>
        <v>EHS</v>
      </c>
      <c r="BL10" s="181" t="str">
        <f t="shared" si="6"/>
        <v>EHS</v>
      </c>
      <c r="BM10" s="181" t="str">
        <f t="shared" si="6"/>
        <v>EHS</v>
      </c>
      <c r="BN10" s="181" t="str">
        <f t="shared" si="6"/>
        <v>EHS</v>
      </c>
      <c r="BO10" s="181" t="str">
        <f t="shared" si="6"/>
        <v>EHS</v>
      </c>
      <c r="BP10" s="181" t="str">
        <f t="shared" si="6"/>
        <v>EHS</v>
      </c>
      <c r="BQ10" s="181" t="str">
        <f t="shared" si="6"/>
        <v>EHS</v>
      </c>
      <c r="BR10" s="181" t="str">
        <f t="shared" si="6"/>
        <v>EHS</v>
      </c>
      <c r="BS10" s="181" t="str">
        <f t="shared" si="6"/>
        <v>EHS</v>
      </c>
      <c r="BT10" s="181" t="str">
        <f t="shared" si="6"/>
        <v>EHS</v>
      </c>
      <c r="BU10" s="181" t="str">
        <f t="shared" si="6"/>
        <v>EHS</v>
      </c>
      <c r="BV10" s="181" t="str">
        <f t="shared" si="6"/>
        <v>EHS</v>
      </c>
      <c r="BW10" s="181" t="str">
        <f t="shared" si="6"/>
        <v>EHS</v>
      </c>
      <c r="BX10" s="181" t="str">
        <f t="shared" si="6"/>
        <v>EHS</v>
      </c>
      <c r="BY10" s="181" t="str">
        <f t="shared" si="6"/>
        <v>EHS</v>
      </c>
      <c r="BZ10" s="181" t="str">
        <f t="shared" si="6"/>
        <v>EHS</v>
      </c>
      <c r="CA10" s="181" t="str">
        <f t="shared" si="6"/>
        <v>EHS</v>
      </c>
      <c r="CB10" s="181" t="str">
        <f t="shared" si="6"/>
        <v>EHS</v>
      </c>
      <c r="CC10" s="181" t="str">
        <f t="shared" si="6"/>
        <v>EHS</v>
      </c>
      <c r="CD10" s="181" t="str">
        <f t="shared" si="6"/>
        <v>EHS</v>
      </c>
      <c r="CE10" s="181" t="str">
        <f t="shared" si="6"/>
        <v>EHS</v>
      </c>
      <c r="CF10" s="181" t="str">
        <f t="shared" si="6"/>
        <v>EHS</v>
      </c>
      <c r="CG10" s="181" t="str">
        <f t="shared" si="6"/>
        <v>EHS</v>
      </c>
      <c r="CH10" s="181" t="str">
        <f t="shared" si="6"/>
        <v>EHS</v>
      </c>
      <c r="CI10" s="181" t="str">
        <f t="shared" si="6"/>
        <v>EHS</v>
      </c>
      <c r="CJ10" s="181" t="str">
        <f t="shared" si="6"/>
        <v>EHS</v>
      </c>
      <c r="CK10" s="181" t="str">
        <f t="shared" si="6"/>
        <v>EHS</v>
      </c>
      <c r="CL10" s="181" t="str">
        <f t="shared" si="6"/>
        <v>EHS</v>
      </c>
      <c r="CM10" s="181" t="str">
        <f t="shared" si="6"/>
        <v>EHS</v>
      </c>
      <c r="CP10" s="191" t="str">
        <f>+B11</f>
        <v>Environment, Health and Safety</v>
      </c>
      <c r="CQ10" s="192"/>
      <c r="CR10" s="141" t="str">
        <f t="shared" ref="CR10:CS15" si="7">+E10</f>
        <v>Completed to Week</v>
      </c>
      <c r="CS10" s="141">
        <f t="shared" si="7"/>
        <v>42</v>
      </c>
      <c r="CT10" s="351" t="str">
        <f>+G10</f>
        <v>1 week in Arrears</v>
      </c>
      <c r="CU10" s="322" t="str">
        <f>+$B10</f>
        <v>EHS</v>
      </c>
      <c r="CV10" s="181" t="str">
        <f t="shared" ref="CV10:EU10" si="8">+$B10</f>
        <v>EHS</v>
      </c>
      <c r="CW10" s="181" t="str">
        <f t="shared" si="8"/>
        <v>EHS</v>
      </c>
      <c r="CX10" s="181" t="str">
        <f t="shared" si="8"/>
        <v>EHS</v>
      </c>
      <c r="CY10" s="181" t="str">
        <f t="shared" si="8"/>
        <v>EHS</v>
      </c>
      <c r="CZ10" s="181" t="str">
        <f t="shared" si="8"/>
        <v>EHS</v>
      </c>
      <c r="DA10" s="181" t="str">
        <f t="shared" si="8"/>
        <v>EHS</v>
      </c>
      <c r="DB10" s="181" t="str">
        <f t="shared" si="8"/>
        <v>EHS</v>
      </c>
      <c r="DC10" s="181" t="str">
        <f t="shared" si="8"/>
        <v>EHS</v>
      </c>
      <c r="DD10" s="181" t="str">
        <f t="shared" si="8"/>
        <v>EHS</v>
      </c>
      <c r="DE10" s="181" t="str">
        <f t="shared" si="8"/>
        <v>EHS</v>
      </c>
      <c r="DF10" s="181" t="str">
        <f t="shared" si="8"/>
        <v>EHS</v>
      </c>
      <c r="DG10" s="181" t="str">
        <f t="shared" si="8"/>
        <v>EHS</v>
      </c>
      <c r="DH10" s="181" t="str">
        <f t="shared" si="8"/>
        <v>EHS</v>
      </c>
      <c r="DI10" s="181" t="str">
        <f t="shared" si="8"/>
        <v>EHS</v>
      </c>
      <c r="DJ10" s="181" t="str">
        <f t="shared" si="8"/>
        <v>EHS</v>
      </c>
      <c r="DK10" s="181" t="str">
        <f t="shared" si="8"/>
        <v>EHS</v>
      </c>
      <c r="DL10" s="181" t="str">
        <f t="shared" si="8"/>
        <v>EHS</v>
      </c>
      <c r="DM10" s="181" t="str">
        <f t="shared" si="8"/>
        <v>EHS</v>
      </c>
      <c r="DN10" s="181" t="str">
        <f t="shared" si="8"/>
        <v>EHS</v>
      </c>
      <c r="DO10" s="181" t="str">
        <f t="shared" si="8"/>
        <v>EHS</v>
      </c>
      <c r="DP10" s="181" t="str">
        <f t="shared" si="8"/>
        <v>EHS</v>
      </c>
      <c r="DQ10" s="181" t="str">
        <f t="shared" si="8"/>
        <v>EHS</v>
      </c>
      <c r="DR10" s="181" t="str">
        <f t="shared" si="8"/>
        <v>EHS</v>
      </c>
      <c r="DS10" s="181" t="str">
        <f t="shared" si="8"/>
        <v>EHS</v>
      </c>
      <c r="DT10" s="181" t="str">
        <f t="shared" si="8"/>
        <v>EHS</v>
      </c>
      <c r="DU10" s="181" t="str">
        <f t="shared" si="8"/>
        <v>EHS</v>
      </c>
      <c r="DV10" s="181" t="str">
        <f t="shared" si="8"/>
        <v>EHS</v>
      </c>
      <c r="DW10" s="181" t="str">
        <f t="shared" si="8"/>
        <v>EHS</v>
      </c>
      <c r="DX10" s="181" t="str">
        <f t="shared" si="8"/>
        <v>EHS</v>
      </c>
      <c r="DY10" s="181" t="str">
        <f t="shared" si="8"/>
        <v>EHS</v>
      </c>
      <c r="DZ10" s="181" t="str">
        <f t="shared" si="8"/>
        <v>EHS</v>
      </c>
      <c r="EA10" s="181" t="str">
        <f t="shared" si="8"/>
        <v>EHS</v>
      </c>
      <c r="EB10" s="181" t="str">
        <f t="shared" si="8"/>
        <v>EHS</v>
      </c>
      <c r="EC10" s="181" t="str">
        <f t="shared" si="8"/>
        <v>EHS</v>
      </c>
      <c r="ED10" s="181" t="str">
        <f t="shared" si="8"/>
        <v>EHS</v>
      </c>
      <c r="EE10" s="181" t="str">
        <f t="shared" si="8"/>
        <v>EHS</v>
      </c>
      <c r="EF10" s="181" t="str">
        <f t="shared" si="8"/>
        <v>EHS</v>
      </c>
      <c r="EG10" s="181" t="str">
        <f t="shared" si="8"/>
        <v>EHS</v>
      </c>
      <c r="EH10" s="181" t="str">
        <f t="shared" si="8"/>
        <v>EHS</v>
      </c>
      <c r="EI10" s="181" t="str">
        <f t="shared" si="8"/>
        <v>EHS</v>
      </c>
      <c r="EJ10" s="181" t="str">
        <f t="shared" si="8"/>
        <v>EHS</v>
      </c>
      <c r="EK10" s="181" t="str">
        <f t="shared" si="8"/>
        <v>EHS</v>
      </c>
      <c r="EL10" s="181" t="str">
        <f t="shared" si="8"/>
        <v>EHS</v>
      </c>
      <c r="EM10" s="181" t="str">
        <f t="shared" si="8"/>
        <v>EHS</v>
      </c>
      <c r="EN10" s="181" t="str">
        <f t="shared" si="8"/>
        <v>EHS</v>
      </c>
      <c r="EO10" s="181" t="str">
        <f t="shared" si="8"/>
        <v>EHS</v>
      </c>
      <c r="EP10" s="181" t="str">
        <f t="shared" si="8"/>
        <v>EHS</v>
      </c>
      <c r="EQ10" s="181" t="str">
        <f t="shared" si="8"/>
        <v>EHS</v>
      </c>
      <c r="ER10" s="181" t="str">
        <f t="shared" si="8"/>
        <v>EHS</v>
      </c>
      <c r="ES10" s="181" t="str">
        <f t="shared" si="8"/>
        <v>EHS</v>
      </c>
      <c r="ET10" s="181" t="str">
        <f t="shared" si="8"/>
        <v>EHS</v>
      </c>
      <c r="EU10" s="181" t="str">
        <f t="shared" si="8"/>
        <v>EHS</v>
      </c>
      <c r="EX10" s="191" t="str">
        <f t="shared" ref="EX10" si="9">+$B10</f>
        <v>EHS</v>
      </c>
      <c r="EY10" s="192"/>
      <c r="EZ10" s="141" t="str">
        <f t="shared" ref="EZ10:EZ15" si="10">+$E10</f>
        <v>Completed to Week</v>
      </c>
      <c r="FA10" s="141">
        <f t="shared" ref="FA10:FA15" si="11">+$F10</f>
        <v>42</v>
      </c>
      <c r="FB10" s="141"/>
      <c r="FC10" s="181" t="str">
        <f t="shared" ref="FC10:HC10" si="12">+$B10</f>
        <v>EHS</v>
      </c>
      <c r="FD10" s="181" t="str">
        <f t="shared" si="12"/>
        <v>EHS</v>
      </c>
      <c r="FE10" s="181" t="str">
        <f t="shared" si="12"/>
        <v>EHS</v>
      </c>
      <c r="FF10" s="181" t="str">
        <f t="shared" si="12"/>
        <v>EHS</v>
      </c>
      <c r="FG10" s="181" t="str">
        <f t="shared" si="12"/>
        <v>EHS</v>
      </c>
      <c r="FH10" s="181" t="str">
        <f t="shared" si="12"/>
        <v>EHS</v>
      </c>
      <c r="FI10" s="181" t="str">
        <f t="shared" si="12"/>
        <v>EHS</v>
      </c>
      <c r="FJ10" s="181" t="str">
        <f t="shared" si="12"/>
        <v>EHS</v>
      </c>
      <c r="FK10" s="181" t="str">
        <f t="shared" si="12"/>
        <v>EHS</v>
      </c>
      <c r="FL10" s="181" t="str">
        <f t="shared" si="12"/>
        <v>EHS</v>
      </c>
      <c r="FM10" s="181" t="str">
        <f t="shared" si="12"/>
        <v>EHS</v>
      </c>
      <c r="FN10" s="181" t="str">
        <f t="shared" si="12"/>
        <v>EHS</v>
      </c>
      <c r="FO10" s="181" t="str">
        <f t="shared" si="12"/>
        <v>EHS</v>
      </c>
      <c r="FP10" s="181" t="str">
        <f t="shared" si="12"/>
        <v>EHS</v>
      </c>
      <c r="FQ10" s="181" t="str">
        <f t="shared" si="12"/>
        <v>EHS</v>
      </c>
      <c r="FR10" s="181" t="str">
        <f t="shared" si="12"/>
        <v>EHS</v>
      </c>
      <c r="FS10" s="181" t="str">
        <f t="shared" si="12"/>
        <v>EHS</v>
      </c>
      <c r="FT10" s="181" t="str">
        <f t="shared" si="12"/>
        <v>EHS</v>
      </c>
      <c r="FU10" s="181" t="str">
        <f t="shared" si="12"/>
        <v>EHS</v>
      </c>
      <c r="FV10" s="181" t="str">
        <f t="shared" si="12"/>
        <v>EHS</v>
      </c>
      <c r="FW10" s="181" t="str">
        <f t="shared" si="12"/>
        <v>EHS</v>
      </c>
      <c r="FX10" s="181" t="str">
        <f t="shared" si="12"/>
        <v>EHS</v>
      </c>
      <c r="FY10" s="181" t="str">
        <f t="shared" si="12"/>
        <v>EHS</v>
      </c>
      <c r="FZ10" s="181" t="str">
        <f t="shared" si="12"/>
        <v>EHS</v>
      </c>
      <c r="GA10" s="181" t="str">
        <f t="shared" si="12"/>
        <v>EHS</v>
      </c>
      <c r="GB10" s="181" t="str">
        <f t="shared" si="12"/>
        <v>EHS</v>
      </c>
      <c r="GC10" s="181" t="str">
        <f t="shared" si="12"/>
        <v>EHS</v>
      </c>
      <c r="GD10" s="181" t="str">
        <f t="shared" si="12"/>
        <v>EHS</v>
      </c>
      <c r="GE10" s="181" t="str">
        <f t="shared" si="12"/>
        <v>EHS</v>
      </c>
      <c r="GF10" s="181" t="str">
        <f t="shared" si="12"/>
        <v>EHS</v>
      </c>
      <c r="GG10" s="181" t="str">
        <f t="shared" si="12"/>
        <v>EHS</v>
      </c>
      <c r="GH10" s="181" t="str">
        <f t="shared" si="12"/>
        <v>EHS</v>
      </c>
      <c r="GI10" s="181" t="str">
        <f t="shared" si="12"/>
        <v>EHS</v>
      </c>
      <c r="GJ10" s="181" t="str">
        <f t="shared" si="12"/>
        <v>EHS</v>
      </c>
      <c r="GK10" s="181" t="str">
        <f t="shared" si="12"/>
        <v>EHS</v>
      </c>
      <c r="GL10" s="181" t="str">
        <f t="shared" si="12"/>
        <v>EHS</v>
      </c>
      <c r="GM10" s="181" t="str">
        <f t="shared" si="12"/>
        <v>EHS</v>
      </c>
      <c r="GN10" s="181" t="str">
        <f t="shared" si="12"/>
        <v>EHS</v>
      </c>
      <c r="GO10" s="181" t="str">
        <f t="shared" si="12"/>
        <v>EHS</v>
      </c>
      <c r="GP10" s="181" t="str">
        <f t="shared" si="12"/>
        <v>EHS</v>
      </c>
      <c r="GQ10" s="181" t="str">
        <f t="shared" si="12"/>
        <v>EHS</v>
      </c>
      <c r="GR10" s="181" t="str">
        <f t="shared" si="12"/>
        <v>EHS</v>
      </c>
      <c r="GS10" s="181" t="str">
        <f t="shared" si="12"/>
        <v>EHS</v>
      </c>
      <c r="GT10" s="181" t="str">
        <f t="shared" si="12"/>
        <v>EHS</v>
      </c>
      <c r="GU10" s="181" t="str">
        <f t="shared" si="12"/>
        <v>EHS</v>
      </c>
      <c r="GV10" s="181" t="str">
        <f t="shared" si="12"/>
        <v>EHS</v>
      </c>
      <c r="GW10" s="181" t="str">
        <f t="shared" si="12"/>
        <v>EHS</v>
      </c>
      <c r="GX10" s="181" t="str">
        <f t="shared" si="12"/>
        <v>EHS</v>
      </c>
      <c r="GY10" s="181" t="str">
        <f t="shared" si="12"/>
        <v>EHS</v>
      </c>
      <c r="GZ10" s="181" t="str">
        <f t="shared" si="12"/>
        <v>EHS</v>
      </c>
      <c r="HA10" s="181" t="str">
        <f t="shared" si="12"/>
        <v>EHS</v>
      </c>
      <c r="HB10" s="181" t="str">
        <f t="shared" si="12"/>
        <v>EHS</v>
      </c>
      <c r="HC10" s="181" t="str">
        <f t="shared" si="12"/>
        <v>EHS</v>
      </c>
      <c r="HE10" s="191" t="str">
        <f>+$B10</f>
        <v>EHS</v>
      </c>
      <c r="HF10" s="192"/>
      <c r="HG10" s="141" t="str">
        <f t="shared" ref="HG10:HG15" si="13">+$E10</f>
        <v>Completed to Week</v>
      </c>
      <c r="HH10" s="141">
        <f t="shared" ref="HH10:HH15" si="14">+$F10</f>
        <v>42</v>
      </c>
      <c r="HI10" s="141"/>
      <c r="HJ10" s="181" t="str">
        <f>+$B10</f>
        <v>EHS</v>
      </c>
      <c r="HK10" s="197" t="str">
        <f t="shared" ref="HK10:JJ10" si="15">+$B10</f>
        <v>EHS</v>
      </c>
      <c r="HL10" s="181" t="str">
        <f t="shared" si="15"/>
        <v>EHS</v>
      </c>
      <c r="HM10" s="181" t="str">
        <f t="shared" si="15"/>
        <v>EHS</v>
      </c>
      <c r="HN10" s="181" t="str">
        <f t="shared" si="15"/>
        <v>EHS</v>
      </c>
      <c r="HO10" s="181" t="str">
        <f t="shared" si="15"/>
        <v>EHS</v>
      </c>
      <c r="HP10" s="181" t="str">
        <f t="shared" si="15"/>
        <v>EHS</v>
      </c>
      <c r="HQ10" s="181" t="str">
        <f t="shared" si="15"/>
        <v>EHS</v>
      </c>
      <c r="HR10" s="181" t="str">
        <f t="shared" si="15"/>
        <v>EHS</v>
      </c>
      <c r="HS10" s="181" t="str">
        <f t="shared" si="15"/>
        <v>EHS</v>
      </c>
      <c r="HT10" s="181" t="str">
        <f t="shared" si="15"/>
        <v>EHS</v>
      </c>
      <c r="HU10" s="181" t="str">
        <f t="shared" si="15"/>
        <v>EHS</v>
      </c>
      <c r="HV10" s="181" t="str">
        <f t="shared" si="15"/>
        <v>EHS</v>
      </c>
      <c r="HW10" s="181" t="str">
        <f t="shared" si="15"/>
        <v>EHS</v>
      </c>
      <c r="HX10" s="181" t="str">
        <f t="shared" si="15"/>
        <v>EHS</v>
      </c>
      <c r="HY10" s="181" t="str">
        <f t="shared" si="15"/>
        <v>EHS</v>
      </c>
      <c r="HZ10" s="181" t="str">
        <f t="shared" si="15"/>
        <v>EHS</v>
      </c>
      <c r="IA10" s="181" t="str">
        <f t="shared" si="15"/>
        <v>EHS</v>
      </c>
      <c r="IB10" s="181" t="str">
        <f t="shared" si="15"/>
        <v>EHS</v>
      </c>
      <c r="IC10" s="181" t="str">
        <f t="shared" si="15"/>
        <v>EHS</v>
      </c>
      <c r="ID10" s="181" t="str">
        <f t="shared" si="15"/>
        <v>EHS</v>
      </c>
      <c r="IE10" s="181" t="str">
        <f t="shared" si="15"/>
        <v>EHS</v>
      </c>
      <c r="IF10" s="181" t="str">
        <f t="shared" si="15"/>
        <v>EHS</v>
      </c>
      <c r="IG10" s="181" t="str">
        <f t="shared" si="15"/>
        <v>EHS</v>
      </c>
      <c r="IH10" s="181" t="str">
        <f t="shared" si="15"/>
        <v>EHS</v>
      </c>
      <c r="II10" s="181" t="str">
        <f t="shared" si="15"/>
        <v>EHS</v>
      </c>
      <c r="IJ10" s="181" t="str">
        <f t="shared" si="15"/>
        <v>EHS</v>
      </c>
      <c r="IK10" s="181" t="str">
        <f t="shared" si="15"/>
        <v>EHS</v>
      </c>
      <c r="IL10" s="181" t="str">
        <f t="shared" si="15"/>
        <v>EHS</v>
      </c>
      <c r="IM10" s="181" t="str">
        <f t="shared" si="15"/>
        <v>EHS</v>
      </c>
      <c r="IN10" s="181" t="str">
        <f t="shared" si="15"/>
        <v>EHS</v>
      </c>
      <c r="IO10" s="181" t="str">
        <f t="shared" si="15"/>
        <v>EHS</v>
      </c>
      <c r="IP10" s="181" t="str">
        <f t="shared" si="15"/>
        <v>EHS</v>
      </c>
      <c r="IQ10" s="181" t="str">
        <f t="shared" si="15"/>
        <v>EHS</v>
      </c>
      <c r="IR10" s="181" t="str">
        <f t="shared" si="15"/>
        <v>EHS</v>
      </c>
      <c r="IS10" s="181" t="str">
        <f t="shared" si="15"/>
        <v>EHS</v>
      </c>
      <c r="IT10" s="181" t="str">
        <f t="shared" si="15"/>
        <v>EHS</v>
      </c>
      <c r="IU10" s="181" t="str">
        <f t="shared" si="15"/>
        <v>EHS</v>
      </c>
      <c r="IV10" s="181" t="str">
        <f t="shared" si="15"/>
        <v>EHS</v>
      </c>
      <c r="IW10" s="181" t="str">
        <f t="shared" si="15"/>
        <v>EHS</v>
      </c>
      <c r="IX10" s="181" t="str">
        <f t="shared" si="15"/>
        <v>EHS</v>
      </c>
      <c r="IY10" s="181" t="str">
        <f t="shared" si="15"/>
        <v>EHS</v>
      </c>
      <c r="IZ10" s="181" t="str">
        <f t="shared" si="15"/>
        <v>EHS</v>
      </c>
      <c r="JA10" s="181" t="str">
        <f t="shared" si="15"/>
        <v>EHS</v>
      </c>
      <c r="JB10" s="181" t="str">
        <f t="shared" si="15"/>
        <v>EHS</v>
      </c>
      <c r="JC10" s="181" t="str">
        <f t="shared" si="15"/>
        <v>EHS</v>
      </c>
      <c r="JD10" s="181" t="str">
        <f t="shared" si="15"/>
        <v>EHS</v>
      </c>
      <c r="JE10" s="181" t="str">
        <f t="shared" si="15"/>
        <v>EHS</v>
      </c>
      <c r="JF10" s="181" t="str">
        <f t="shared" si="15"/>
        <v>EHS</v>
      </c>
      <c r="JG10" s="181" t="str">
        <f t="shared" si="15"/>
        <v>EHS</v>
      </c>
      <c r="JH10" s="181" t="str">
        <f t="shared" si="15"/>
        <v>EHS</v>
      </c>
      <c r="JI10" s="181" t="str">
        <f t="shared" si="15"/>
        <v>EHS</v>
      </c>
      <c r="JJ10" s="181" t="str">
        <f t="shared" si="15"/>
        <v>EHS</v>
      </c>
      <c r="JM10" s="191" t="str">
        <f t="shared" ref="JM10" si="16">+$B10</f>
        <v>EHS</v>
      </c>
      <c r="JN10" s="192"/>
      <c r="JO10" s="141" t="str">
        <f t="shared" ref="JO10:JO15" si="17">+$E10</f>
        <v>Completed to Week</v>
      </c>
      <c r="JP10" s="141">
        <f t="shared" ref="JP10:JP15" si="18">+$F10</f>
        <v>42</v>
      </c>
      <c r="JQ10" s="141"/>
      <c r="JR10" s="181" t="str">
        <f t="shared" ref="JR10:LR10" si="19">+$B10</f>
        <v>EHS</v>
      </c>
      <c r="JS10" s="181" t="str">
        <f t="shared" si="19"/>
        <v>EHS</v>
      </c>
      <c r="JT10" s="181" t="str">
        <f t="shared" si="19"/>
        <v>EHS</v>
      </c>
      <c r="JU10" s="181" t="str">
        <f t="shared" si="19"/>
        <v>EHS</v>
      </c>
      <c r="JV10" s="181" t="str">
        <f t="shared" si="19"/>
        <v>EHS</v>
      </c>
      <c r="JW10" s="181" t="str">
        <f t="shared" si="19"/>
        <v>EHS</v>
      </c>
      <c r="JX10" s="181" t="str">
        <f t="shared" si="19"/>
        <v>EHS</v>
      </c>
      <c r="JY10" s="181" t="str">
        <f t="shared" si="19"/>
        <v>EHS</v>
      </c>
      <c r="JZ10" s="181" t="str">
        <f t="shared" si="19"/>
        <v>EHS</v>
      </c>
      <c r="KA10" s="181" t="str">
        <f t="shared" si="19"/>
        <v>EHS</v>
      </c>
      <c r="KB10" s="181" t="str">
        <f t="shared" si="19"/>
        <v>EHS</v>
      </c>
      <c r="KC10" s="181" t="str">
        <f t="shared" si="19"/>
        <v>EHS</v>
      </c>
      <c r="KD10" s="181" t="str">
        <f t="shared" si="19"/>
        <v>EHS</v>
      </c>
      <c r="KE10" s="181" t="str">
        <f t="shared" si="19"/>
        <v>EHS</v>
      </c>
      <c r="KF10" s="181" t="str">
        <f t="shared" si="19"/>
        <v>EHS</v>
      </c>
      <c r="KG10" s="181" t="str">
        <f t="shared" si="19"/>
        <v>EHS</v>
      </c>
      <c r="KH10" s="181" t="str">
        <f t="shared" si="19"/>
        <v>EHS</v>
      </c>
      <c r="KI10" s="181" t="str">
        <f t="shared" si="19"/>
        <v>EHS</v>
      </c>
      <c r="KJ10" s="181" t="str">
        <f t="shared" si="19"/>
        <v>EHS</v>
      </c>
      <c r="KK10" s="181" t="str">
        <f t="shared" si="19"/>
        <v>EHS</v>
      </c>
      <c r="KL10" s="181" t="str">
        <f t="shared" si="19"/>
        <v>EHS</v>
      </c>
      <c r="KM10" s="181" t="str">
        <f t="shared" si="19"/>
        <v>EHS</v>
      </c>
      <c r="KN10" s="181" t="str">
        <f t="shared" si="19"/>
        <v>EHS</v>
      </c>
      <c r="KO10" s="181" t="str">
        <f t="shared" si="19"/>
        <v>EHS</v>
      </c>
      <c r="KP10" s="181" t="str">
        <f t="shared" si="19"/>
        <v>EHS</v>
      </c>
      <c r="KQ10" s="181" t="str">
        <f t="shared" si="19"/>
        <v>EHS</v>
      </c>
      <c r="KR10" s="181" t="str">
        <f t="shared" si="19"/>
        <v>EHS</v>
      </c>
      <c r="KS10" s="181" t="str">
        <f t="shared" si="19"/>
        <v>EHS</v>
      </c>
      <c r="KT10" s="181" t="str">
        <f t="shared" si="19"/>
        <v>EHS</v>
      </c>
      <c r="KU10" s="181" t="str">
        <f t="shared" si="19"/>
        <v>EHS</v>
      </c>
      <c r="KV10" s="181" t="str">
        <f t="shared" si="19"/>
        <v>EHS</v>
      </c>
      <c r="KW10" s="181" t="str">
        <f t="shared" si="19"/>
        <v>EHS</v>
      </c>
      <c r="KX10" s="181" t="str">
        <f t="shared" si="19"/>
        <v>EHS</v>
      </c>
      <c r="KY10" s="181" t="str">
        <f t="shared" si="19"/>
        <v>EHS</v>
      </c>
      <c r="KZ10" s="181" t="str">
        <f t="shared" si="19"/>
        <v>EHS</v>
      </c>
      <c r="LA10" s="181" t="str">
        <f t="shared" si="19"/>
        <v>EHS</v>
      </c>
      <c r="LB10" s="181" t="str">
        <f t="shared" si="19"/>
        <v>EHS</v>
      </c>
      <c r="LC10" s="181" t="str">
        <f t="shared" si="19"/>
        <v>EHS</v>
      </c>
      <c r="LD10" s="181" t="str">
        <f t="shared" si="19"/>
        <v>EHS</v>
      </c>
      <c r="LE10" s="181" t="str">
        <f t="shared" si="19"/>
        <v>EHS</v>
      </c>
      <c r="LF10" s="181" t="str">
        <f t="shared" si="19"/>
        <v>EHS</v>
      </c>
      <c r="LG10" s="181" t="str">
        <f t="shared" si="19"/>
        <v>EHS</v>
      </c>
      <c r="LH10" s="181" t="str">
        <f t="shared" si="19"/>
        <v>EHS</v>
      </c>
      <c r="LI10" s="181" t="str">
        <f t="shared" si="19"/>
        <v>EHS</v>
      </c>
      <c r="LJ10" s="181" t="str">
        <f t="shared" si="19"/>
        <v>EHS</v>
      </c>
      <c r="LK10" s="181" t="str">
        <f t="shared" si="19"/>
        <v>EHS</v>
      </c>
      <c r="LL10" s="181" t="str">
        <f t="shared" si="19"/>
        <v>EHS</v>
      </c>
      <c r="LM10" s="181" t="str">
        <f t="shared" si="19"/>
        <v>EHS</v>
      </c>
      <c r="LN10" s="181" t="str">
        <f t="shared" si="19"/>
        <v>EHS</v>
      </c>
      <c r="LO10" s="181" t="str">
        <f t="shared" si="19"/>
        <v>EHS</v>
      </c>
      <c r="LP10" s="181" t="str">
        <f t="shared" si="19"/>
        <v>EHS</v>
      </c>
      <c r="LQ10" s="181" t="str">
        <f t="shared" si="19"/>
        <v>EHS</v>
      </c>
      <c r="LR10" s="181" t="str">
        <f t="shared" si="19"/>
        <v>EHS</v>
      </c>
      <c r="LT10" s="191" t="str">
        <f>+$B10</f>
        <v>EHS</v>
      </c>
      <c r="LU10" s="192"/>
      <c r="LV10" s="141" t="str">
        <f t="shared" ref="LV10:LV15" si="20">+$E10</f>
        <v>Completed to Week</v>
      </c>
      <c r="LW10" s="141">
        <f t="shared" ref="LW10:LW15" si="21">+$F10</f>
        <v>42</v>
      </c>
      <c r="LX10" s="141"/>
      <c r="LY10" s="181" t="str">
        <f>+$B10</f>
        <v>EHS</v>
      </c>
      <c r="LZ10" s="197" t="str">
        <f t="shared" ref="LZ10:NY10" si="22">+$B10</f>
        <v>EHS</v>
      </c>
      <c r="MA10" s="181" t="str">
        <f t="shared" si="22"/>
        <v>EHS</v>
      </c>
      <c r="MB10" s="181" t="str">
        <f t="shared" si="22"/>
        <v>EHS</v>
      </c>
      <c r="MC10" s="181" t="str">
        <f t="shared" si="22"/>
        <v>EHS</v>
      </c>
      <c r="MD10" s="181" t="str">
        <f t="shared" si="22"/>
        <v>EHS</v>
      </c>
      <c r="ME10" s="181" t="str">
        <f t="shared" si="22"/>
        <v>EHS</v>
      </c>
      <c r="MF10" s="181" t="str">
        <f t="shared" si="22"/>
        <v>EHS</v>
      </c>
      <c r="MG10" s="181" t="str">
        <f t="shared" si="22"/>
        <v>EHS</v>
      </c>
      <c r="MH10" s="181" t="str">
        <f t="shared" si="22"/>
        <v>EHS</v>
      </c>
      <c r="MI10" s="181" t="str">
        <f t="shared" si="22"/>
        <v>EHS</v>
      </c>
      <c r="MJ10" s="181" t="str">
        <f t="shared" si="22"/>
        <v>EHS</v>
      </c>
      <c r="MK10" s="181" t="str">
        <f t="shared" si="22"/>
        <v>EHS</v>
      </c>
      <c r="ML10" s="181" t="str">
        <f t="shared" si="22"/>
        <v>EHS</v>
      </c>
      <c r="MM10" s="181" t="str">
        <f t="shared" si="22"/>
        <v>EHS</v>
      </c>
      <c r="MN10" s="181" t="str">
        <f t="shared" si="22"/>
        <v>EHS</v>
      </c>
      <c r="MO10" s="181" t="str">
        <f t="shared" si="22"/>
        <v>EHS</v>
      </c>
      <c r="MP10" s="181" t="str">
        <f t="shared" si="22"/>
        <v>EHS</v>
      </c>
      <c r="MQ10" s="181" t="str">
        <f t="shared" si="22"/>
        <v>EHS</v>
      </c>
      <c r="MR10" s="181" t="str">
        <f t="shared" si="22"/>
        <v>EHS</v>
      </c>
      <c r="MS10" s="181" t="str">
        <f t="shared" si="22"/>
        <v>EHS</v>
      </c>
      <c r="MT10" s="181" t="str">
        <f t="shared" si="22"/>
        <v>EHS</v>
      </c>
      <c r="MU10" s="181" t="str">
        <f t="shared" si="22"/>
        <v>EHS</v>
      </c>
      <c r="MV10" s="181" t="str">
        <f t="shared" si="22"/>
        <v>EHS</v>
      </c>
      <c r="MW10" s="181" t="str">
        <f t="shared" si="22"/>
        <v>EHS</v>
      </c>
      <c r="MX10" s="181" t="str">
        <f t="shared" si="22"/>
        <v>EHS</v>
      </c>
      <c r="MY10" s="181" t="str">
        <f t="shared" si="22"/>
        <v>EHS</v>
      </c>
      <c r="MZ10" s="181" t="str">
        <f t="shared" si="22"/>
        <v>EHS</v>
      </c>
      <c r="NA10" s="181" t="str">
        <f t="shared" si="22"/>
        <v>EHS</v>
      </c>
      <c r="NB10" s="181" t="str">
        <f t="shared" si="22"/>
        <v>EHS</v>
      </c>
      <c r="NC10" s="181" t="str">
        <f t="shared" si="22"/>
        <v>EHS</v>
      </c>
      <c r="ND10" s="181" t="str">
        <f t="shared" si="22"/>
        <v>EHS</v>
      </c>
      <c r="NE10" s="181" t="str">
        <f t="shared" si="22"/>
        <v>EHS</v>
      </c>
      <c r="NF10" s="181" t="str">
        <f t="shared" si="22"/>
        <v>EHS</v>
      </c>
      <c r="NG10" s="181" t="str">
        <f t="shared" si="22"/>
        <v>EHS</v>
      </c>
      <c r="NH10" s="181" t="str">
        <f t="shared" si="22"/>
        <v>EHS</v>
      </c>
      <c r="NI10" s="181" t="str">
        <f t="shared" si="22"/>
        <v>EHS</v>
      </c>
      <c r="NJ10" s="181" t="str">
        <f t="shared" si="22"/>
        <v>EHS</v>
      </c>
      <c r="NK10" s="181" t="str">
        <f t="shared" si="22"/>
        <v>EHS</v>
      </c>
      <c r="NL10" s="181" t="str">
        <f t="shared" si="22"/>
        <v>EHS</v>
      </c>
      <c r="NM10" s="181" t="str">
        <f t="shared" si="22"/>
        <v>EHS</v>
      </c>
      <c r="NN10" s="181" t="str">
        <f t="shared" si="22"/>
        <v>EHS</v>
      </c>
      <c r="NO10" s="181" t="str">
        <f t="shared" si="22"/>
        <v>EHS</v>
      </c>
      <c r="NP10" s="181" t="str">
        <f t="shared" si="22"/>
        <v>EHS</v>
      </c>
      <c r="NQ10" s="181" t="str">
        <f t="shared" si="22"/>
        <v>EHS</v>
      </c>
      <c r="NR10" s="181" t="str">
        <f t="shared" si="22"/>
        <v>EHS</v>
      </c>
      <c r="NS10" s="181" t="str">
        <f t="shared" si="22"/>
        <v>EHS</v>
      </c>
      <c r="NT10" s="181" t="str">
        <f t="shared" si="22"/>
        <v>EHS</v>
      </c>
      <c r="NU10" s="181" t="str">
        <f t="shared" si="22"/>
        <v>EHS</v>
      </c>
      <c r="NV10" s="181" t="str">
        <f t="shared" si="22"/>
        <v>EHS</v>
      </c>
      <c r="NW10" s="181" t="str">
        <f t="shared" si="22"/>
        <v>EHS</v>
      </c>
      <c r="NX10" s="181" t="str">
        <f t="shared" si="22"/>
        <v>EHS</v>
      </c>
      <c r="NY10" s="181" t="str">
        <f t="shared" si="22"/>
        <v>EHS</v>
      </c>
    </row>
    <row r="11" spans="1:389" x14ac:dyDescent="0.3">
      <c r="A11" t="str">
        <f>$B$10&amp;"-"&amp;C11</f>
        <v>EHS-KPI P1</v>
      </c>
      <c r="B11" s="917" t="str">
        <f>+'KPI Stats'!B10</f>
        <v>Environment, Health and Safety</v>
      </c>
      <c r="C11" s="133" t="str">
        <f>+'KPI Stats'!C10</f>
        <v>KPI P1</v>
      </c>
      <c r="D11" s="142" t="str">
        <f>+'KPI Stats'!D10</f>
        <v>Productivity</v>
      </c>
      <c r="E11" s="142" t="str">
        <f>+'KPI Stats'!E10</f>
        <v>Lost Working Days</v>
      </c>
      <c r="F11" s="143" t="str">
        <f>+'KPI Stats'!F10</f>
        <v>Lost Days</v>
      </c>
      <c r="G11" s="168" t="str">
        <f>+'KPI Stats'!G10</f>
        <v>Above Zero</v>
      </c>
      <c r="J11" s="159" t="str">
        <f>_xlfn.XLOOKUP((J$7-0),$AM$7:$CM$7,$AM11:$CM11,,FALSE)</f>
        <v>G</v>
      </c>
      <c r="K11" s="262">
        <f>_xlfn.XLOOKUP((K$7-0),$FC$7:$HC$7,$FC11:$HC11,,FALSE)</f>
        <v>0</v>
      </c>
      <c r="L11" s="268">
        <f>_xlfn.XLOOKUP((L$7-0),$HJ$7:$JJ$7,$HJ11:$JJ11,,FALSE)</f>
        <v>0</v>
      </c>
      <c r="M11" s="366" t="s">
        <v>295</v>
      </c>
      <c r="P11" s="159" t="str">
        <f>_xlfn.XLOOKUP((P$7-1),$AM$7:$CM$7,$AM11:$CM11,,FALSE)</f>
        <v>G</v>
      </c>
      <c r="Q11" s="262">
        <f t="shared" ref="Q11:R15" si="23">_xlfn.XLOOKUP((Q$7-0),$FC$7:$HC$7,$FC11:$HC11,FALSE)</f>
        <v>0</v>
      </c>
      <c r="R11" s="277">
        <f t="shared" si="23"/>
        <v>0</v>
      </c>
      <c r="S11" s="368" t="s">
        <v>295</v>
      </c>
      <c r="T11" s="369" t="s">
        <v>295</v>
      </c>
      <c r="U11" s="294" t="str">
        <f>IF(F10&lt;$R$2,"Not Complete",IF(Q11=R11,"Same − ",IF($G11="Over",IF(Q11&lt;R11,"Better ↑","Worse ↓"),IF($G11="Under",IF(Q11&gt;R11,"Better ↑","Worse ↓"),"err"))))</f>
        <v xml:space="preserve">Same − </v>
      </c>
      <c r="X11" s="159" t="str">
        <f t="shared" ref="X11:X15" si="24">IF(Y11="","",IF(Y11="Blank","",IF(AND(G11="above zero",Y11&gt;0),"R",IF(AA11&gt;1,"G",IF(AA11&gt;0.95,"A","R")))))</f>
        <v>R</v>
      </c>
      <c r="Y11" s="262">
        <f>_xlfn.XLOOKUP((Y$7-0),$JR$7:$LR$7,$JR11:$LR11,FALSE)</f>
        <v>0.65853658536585369</v>
      </c>
      <c r="Z11" s="277">
        <f>_xlfn.XLOOKUP((Z$7-0),$LY$7:$NY$7,$LY11:$NY11,FALSE)</f>
        <v>0</v>
      </c>
      <c r="AA11" s="368" t="s">
        <v>295</v>
      </c>
      <c r="AB11" s="294" t="str">
        <f>IF(F10&lt;($R$2-1),"TBC",IF(Y11=Z11,"Same −",IF($G11="Over",IF(Z11&lt;Y11,"Better ↑ ","Worse ↓ "),IF($G11="Under",IF(Y11&gt;Z11,"Better ↑ ","Worse ↓ "),IF(G11="Above Zero",IF(Y11&lt;Z11,"Better ↑","Worse ↓"),"err")))))</f>
        <v>Worse ↓</v>
      </c>
      <c r="AC11" s="159" t="str">
        <f>IF(AND(G11="above adero",AD11&gt;0),"R",IF(AF11&gt;1,"G",IF(AF11&gt;0.95,"A","R")))</f>
        <v>G</v>
      </c>
      <c r="AD11" s="262">
        <f>_xlfn.XLOOKUP(AD$7,$JR$7:$LR$7,$JR11:$LR11,FALSE)</f>
        <v>0.67500000000000004</v>
      </c>
      <c r="AE11" s="277">
        <f>_xlfn.XLOOKUP(AE$7,$LY$7:$NY$7,$LY11:$NY11,FALSE)</f>
        <v>0</v>
      </c>
      <c r="AF11" s="271" t="s">
        <v>295</v>
      </c>
      <c r="AH11" s="465" t="str">
        <f>+$A11</f>
        <v>EHS-KPI P1</v>
      </c>
      <c r="AI11" s="133" t="str">
        <f t="shared" ref="AI11:AJ15" si="25">+C11</f>
        <v>KPI P1</v>
      </c>
      <c r="AJ11" s="142" t="str">
        <f t="shared" si="25"/>
        <v>Productivity</v>
      </c>
      <c r="AK11" s="142" t="str">
        <f t="shared" si="5"/>
        <v>Lost Working Days</v>
      </c>
      <c r="AL11" s="143" t="str">
        <f t="shared" si="5"/>
        <v>Lost Days</v>
      </c>
      <c r="AM11" s="159" t="str">
        <f>IF(AM$7&gt;$D$3,"",_xlfn.XLOOKUP(AM$7,EHS!$M$6:$BM$6,EHS!$M$10:$BM$10))</f>
        <v>Blank</v>
      </c>
      <c r="AN11" s="198" t="str">
        <f>IF(AN$7&gt;$D$3,"",_xlfn.XLOOKUP(AN$7,EHS!$M$6:$BM$6,EHS!$M$10:$BM$10))</f>
        <v>G</v>
      </c>
      <c r="AO11" s="159" t="str">
        <f>IF(AO$7&gt;$D$3,"",_xlfn.XLOOKUP(AO$7,EHS!$M$6:$BM$6,EHS!$M$10:$BM$10))</f>
        <v>G</v>
      </c>
      <c r="AP11" s="159" t="str">
        <f>IF(AP$7&gt;$D$3,"",_xlfn.XLOOKUP(AP$7,EHS!$M$6:$BM$6,EHS!$M$10:$BM$10))</f>
        <v>G</v>
      </c>
      <c r="AQ11" s="159" t="str">
        <f>IF(AQ$7&gt;$D$3,"",_xlfn.XLOOKUP(AQ$7,EHS!$M$6:$BM$6,EHS!$M$10:$BM$10))</f>
        <v>G</v>
      </c>
      <c r="AR11" s="159" t="str">
        <f>IF(AR$7&gt;$D$3,"",_xlfn.XLOOKUP(AR$7,EHS!$M$6:$BM$6,EHS!$M$10:$BM$10))</f>
        <v>G</v>
      </c>
      <c r="AS11" s="159" t="str">
        <f>IF(AS$7&gt;$D$3,"",_xlfn.XLOOKUP(AS$7,EHS!$M$6:$BM$6,EHS!$M$10:$BM$10))</f>
        <v>G</v>
      </c>
      <c r="AT11" s="159" t="str">
        <f>IF(AT$7&gt;$D$3,"",_xlfn.XLOOKUP(AT$7,EHS!$M$6:$BM$6,EHS!$M$10:$BM$10))</f>
        <v>R</v>
      </c>
      <c r="AU11" s="159" t="str">
        <f>IF(AU$7&gt;$D$3,"",_xlfn.XLOOKUP(AU$7,EHS!$M$6:$BM$6,EHS!$M$10:$BM$10))</f>
        <v>G</v>
      </c>
      <c r="AV11" s="159" t="str">
        <f>IF(AV$7&gt;$D$3,"",_xlfn.XLOOKUP(AV$7,EHS!$M$6:$BM$6,EHS!$M$10:$BM$10))</f>
        <v>G</v>
      </c>
      <c r="AW11" s="159" t="str">
        <f>IF(AW$7&gt;$D$3,"",_xlfn.XLOOKUP(AW$7,EHS!$M$6:$BM$6,EHS!$M$10:$BM$10))</f>
        <v>G</v>
      </c>
      <c r="AX11" s="159" t="str">
        <f>IF(AX$7&gt;$D$3,"",_xlfn.XLOOKUP(AX$7,EHS!$M$6:$BM$6,EHS!$M$10:$BM$10))</f>
        <v>G</v>
      </c>
      <c r="AY11" s="159" t="str">
        <f>IF(AY$7&gt;$D$3,"",_xlfn.XLOOKUP(AY$7,EHS!$M$6:$BM$6,EHS!$M$10:$BM$10))</f>
        <v>G</v>
      </c>
      <c r="AZ11" s="159" t="str">
        <f>IF(AZ$7&gt;$D$3,"",_xlfn.XLOOKUP(AZ$7,EHS!$M$6:$BM$6,EHS!$M$10:$BM$10))</f>
        <v>G</v>
      </c>
      <c r="BA11" s="159" t="str">
        <f>IF(BA$7&gt;$D$3,"",_xlfn.XLOOKUP(BA$7,EHS!$M$6:$BM$6,EHS!$M$10:$BM$10))</f>
        <v>G</v>
      </c>
      <c r="BB11" s="159" t="str">
        <f>IF(BB$7&gt;$D$3,"",_xlfn.XLOOKUP(BB$7,EHS!$M$6:$BM$6,EHS!$M$10:$BM$10))</f>
        <v>G</v>
      </c>
      <c r="BC11" s="159" t="str">
        <f>IF(BC$7&gt;$D$3,"",_xlfn.XLOOKUP(BC$7,EHS!$M$6:$BM$6,EHS!$M$10:$BM$10))</f>
        <v>G</v>
      </c>
      <c r="BD11" s="159" t="str">
        <f>IF(BD$7&gt;$D$3,"",_xlfn.XLOOKUP(BD$7,EHS!$M$6:$BM$6,EHS!$M$10:$BM$10))</f>
        <v>G</v>
      </c>
      <c r="BE11" s="159" t="str">
        <f>IF(BE$7&gt;$D$3,"",_xlfn.XLOOKUP(BE$7,EHS!$M$6:$BM$6,EHS!$M$10:$BM$10))</f>
        <v>G</v>
      </c>
      <c r="BF11" s="159" t="str">
        <f>IF(BF$7&gt;$D$3,"",_xlfn.XLOOKUP(BF$7,EHS!$M$6:$BM$6,EHS!$M$10:$BM$10))</f>
        <v>G</v>
      </c>
      <c r="BG11" s="159" t="str">
        <f>IF(BG$7&gt;$D$3,"",_xlfn.XLOOKUP(BG$7,EHS!$M$6:$BM$6,EHS!$M$10:$BM$10))</f>
        <v>G</v>
      </c>
      <c r="BH11" s="159" t="str">
        <f>IF(BH$7&gt;$D$3,"",_xlfn.XLOOKUP(BH$7,EHS!$M$6:$BM$6,EHS!$M$10:$BM$10))</f>
        <v>G</v>
      </c>
      <c r="BI11" s="159" t="str">
        <f>IF(BI$7&gt;$D$3,"",_xlfn.XLOOKUP(BI$7,EHS!$M$6:$BM$6,EHS!$M$10:$BM$10))</f>
        <v>R</v>
      </c>
      <c r="BJ11" s="159" t="str">
        <f>IF(BJ$7&gt;$D$3,"",_xlfn.XLOOKUP(BJ$7,EHS!$M$6:$BM$6,EHS!$M$10:$BM$10))</f>
        <v>R</v>
      </c>
      <c r="BK11" s="159" t="str">
        <f>IF(BK$7&gt;$D$3,"",_xlfn.XLOOKUP(BK$7,EHS!$M$6:$BM$6,EHS!$M$10:$BM$10))</f>
        <v>R</v>
      </c>
      <c r="BL11" s="159" t="str">
        <f>IF(BL$7&gt;$D$3,"",_xlfn.XLOOKUP(BL$7,EHS!$M$6:$BM$6,EHS!$M$10:$BM$10))</f>
        <v>R</v>
      </c>
      <c r="BM11" s="159" t="str">
        <f>IF(BM$7&gt;$D$3,"",_xlfn.XLOOKUP(BM$7,EHS!$M$6:$BM$6,EHS!$M$10:$BM$10))</f>
        <v>R</v>
      </c>
      <c r="BN11" s="159" t="str">
        <f>IF(BN$7&gt;$D$3,"",_xlfn.XLOOKUP(BN$7,EHS!$M$6:$BM$6,EHS!$M$10:$BM$10))</f>
        <v>R</v>
      </c>
      <c r="BO11" s="159" t="str">
        <f>IF(BO$7&gt;$D$3,"",_xlfn.XLOOKUP(BO$7,EHS!$M$6:$BM$6,EHS!$M$10:$BM$10))</f>
        <v>G</v>
      </c>
      <c r="BP11" s="159" t="str">
        <f>IF(BP$7&gt;$D$3,"",_xlfn.XLOOKUP(BP$7,EHS!$M$6:$BM$6,EHS!$M$10:$BM$10))</f>
        <v>G</v>
      </c>
      <c r="BQ11" s="159" t="str">
        <f>IF(BQ$7&gt;$D$3,"",_xlfn.XLOOKUP(BQ$7,EHS!$M$6:$BM$6,EHS!$M$10:$BM$10))</f>
        <v>G</v>
      </c>
      <c r="BR11" s="159" t="str">
        <f>IF(BR$7&gt;$D$3,"",_xlfn.XLOOKUP(BR$7,EHS!$M$6:$BM$6,EHS!$M$10:$BM$10))</f>
        <v>G</v>
      </c>
      <c r="BS11" s="159" t="str">
        <f>IF(BS$7&gt;$D$3,"",_xlfn.XLOOKUP(BS$7,EHS!$M$6:$BM$6,EHS!$M$10:$BM$10))</f>
        <v>G</v>
      </c>
      <c r="BT11" s="159" t="str">
        <f>IF(BT$7&gt;$D$3,"",_xlfn.XLOOKUP(BT$7,EHS!$M$6:$BM$6,EHS!$M$10:$BM$10))</f>
        <v>G</v>
      </c>
      <c r="BU11" s="159" t="str">
        <f>IF(BU$7&gt;$D$3,"",_xlfn.XLOOKUP(BU$7,EHS!$M$6:$BM$6,EHS!$M$10:$BM$10))</f>
        <v>G</v>
      </c>
      <c r="BV11" s="159" t="str">
        <f>IF(BV$7&gt;$D$3,"",_xlfn.XLOOKUP(BV$7,EHS!$M$6:$BM$6,EHS!$M$10:$BM$10))</f>
        <v>G</v>
      </c>
      <c r="BW11" s="159" t="str">
        <f>IF(BW$7&gt;$D$3,"",_xlfn.XLOOKUP(BW$7,EHS!$M$6:$BM$6,EHS!$M$10:$BM$10))</f>
        <v>G</v>
      </c>
      <c r="BX11" s="159" t="str">
        <f>IF(BX$7&gt;$D$3,"",_xlfn.XLOOKUP(BX$7,EHS!$M$6:$BM$6,EHS!$M$10:$BM$10))</f>
        <v>G</v>
      </c>
      <c r="BY11" s="159" t="str">
        <f>IF(BY$7&gt;$D$3,"",_xlfn.XLOOKUP(BY$7,EHS!$M$6:$BM$6,EHS!$M$10:$BM$10))</f>
        <v>G</v>
      </c>
      <c r="BZ11" s="159" t="str">
        <f>IF(BZ$7&gt;$D$3,"",_xlfn.XLOOKUP(BZ$7,EHS!$M$6:$BM$6,EHS!$M$10:$BM$10))</f>
        <v>G</v>
      </c>
      <c r="CA11" s="159" t="str">
        <f>IF(CA$7&gt;$D$3,"",_xlfn.XLOOKUP(CA$7,EHS!$M$6:$BM$6,EHS!$M$10:$BM$10))</f>
        <v>G</v>
      </c>
      <c r="CB11" s="159" t="str">
        <f>IF(CB$7&gt;$D$3,"",_xlfn.XLOOKUP(CB$7,EHS!$M$6:$BM$6,EHS!$M$10:$BM$10))</f>
        <v>G</v>
      </c>
      <c r="CC11" s="159" t="str">
        <f>IF(CC$7&gt;$D$3,"",_xlfn.XLOOKUP(CC$7,EHS!$M$6:$BM$6,EHS!$M$10:$BM$10))</f>
        <v/>
      </c>
      <c r="CD11" s="159" t="str">
        <f>IF(CD$7&gt;$D$3,"",_xlfn.XLOOKUP(CD$7,EHS!$M$6:$BM$6,EHS!$M$10:$BM$10))</f>
        <v/>
      </c>
      <c r="CE11" s="159" t="str">
        <f>IF(CE$7&gt;$D$3,"",_xlfn.XLOOKUP(CE$7,EHS!$M$6:$BM$6,EHS!$M$10:$BM$10))</f>
        <v/>
      </c>
      <c r="CF11" s="159" t="str">
        <f>IF(CF$7&gt;$D$3,"",_xlfn.XLOOKUP(CF$7,EHS!$M$6:$BM$6,EHS!$M$10:$BM$10))</f>
        <v/>
      </c>
      <c r="CG11" s="159" t="str">
        <f>IF(CG$7&gt;$D$3,"",_xlfn.XLOOKUP(CG$7,EHS!$M$6:$BM$6,EHS!$M$10:$BM$10))</f>
        <v/>
      </c>
      <c r="CH11" s="159" t="str">
        <f>IF(CH$7&gt;$D$3,"",_xlfn.XLOOKUP(CH$7,EHS!$M$6:$BM$6,EHS!$M$10:$BM$10))</f>
        <v/>
      </c>
      <c r="CI11" s="159" t="str">
        <f>IF(CI$7&gt;$D$3,"",_xlfn.XLOOKUP(CI$7,EHS!$M$6:$BM$6,EHS!$M$10:$BM$10))</f>
        <v/>
      </c>
      <c r="CJ11" s="159" t="str">
        <f>IF(CJ$7&gt;$D$3,"",_xlfn.XLOOKUP(CJ$7,EHS!$M$6:$BM$6,EHS!$M$10:$BM$10))</f>
        <v/>
      </c>
      <c r="CK11" s="159" t="str">
        <f>IF(CK$7&gt;$D$3,"",_xlfn.XLOOKUP(CK$7,EHS!$M$6:$BM$6,EHS!$M$10:$BM$10))</f>
        <v/>
      </c>
      <c r="CL11" s="159" t="str">
        <f>IF(CL$7&gt;$D$3,"",_xlfn.XLOOKUP(CL$7,EHS!$M$6:$BM$6,EHS!$M$10:$BM$10))</f>
        <v/>
      </c>
      <c r="CM11" s="159" t="str">
        <f>IF(CM$7&gt;$D$3,"",_xlfn.XLOOKUP(CM$7,EHS!$M$6:$BM$6,EHS!$M$10:$BM$10))</f>
        <v/>
      </c>
      <c r="CO11" s="465" t="str">
        <f>+$A11</f>
        <v>EHS-KPI P1</v>
      </c>
      <c r="CP11" s="133" t="str">
        <f t="shared" ref="CP11:CQ15" si="26">+C11</f>
        <v>KPI P1</v>
      </c>
      <c r="CQ11" s="142" t="str">
        <f t="shared" si="26"/>
        <v>Productivity</v>
      </c>
      <c r="CR11" s="142" t="str">
        <f t="shared" si="7"/>
        <v>Lost Working Days</v>
      </c>
      <c r="CS11" s="143" t="str">
        <f t="shared" si="7"/>
        <v>Lost Days</v>
      </c>
      <c r="CT11" s="206" t="s">
        <v>247</v>
      </c>
      <c r="CU11" s="159" t="str">
        <f>IF(CU$7&gt;$D$3,"",_xlfn.XLOOKUP(CU$7,EHS!$M$6:$BM$6,EHS!$M$10:$BM$10))</f>
        <v>Blank</v>
      </c>
      <c r="CV11" s="758">
        <f>IFERROR(IF(CV$7&gt;$D$3,"",IF(AN11="OD","OD",IF(AN11="Missed","Missed",IF(AN11="TBC","TBC",IF(AN11="Undefined","Undefined",_xlfn.XLOOKUP(CV$7,EHS!$M$6:$BM$6,EHS!$M$9:$BM$9)))))),0)</f>
        <v>0</v>
      </c>
      <c r="CW11" s="759">
        <f>IFERROR(IF(CW$7&gt;$D$3,"",IF(AO11="OD","OD",IF(AO11="Missed","Missed",IF(AO11="TBC","TBC",IF(AO11="Undefined","Undefined",_xlfn.XLOOKUP(CW$7,EHS!$M$6:$BM$6,EHS!$M$9:$BM$9)))))),0)</f>
        <v>0</v>
      </c>
      <c r="CX11" s="759">
        <f>IFERROR(IF(CX$7&gt;$D$3,"",IF(AP11="OD","OD",IF(AP11="Missed","Missed",IF(AP11="TBC","TBC",IF(AP11="Undefined","Undefined",_xlfn.XLOOKUP(CX$7,EHS!$M$6:$BM$6,EHS!$M$9:$BM$9)))))),0)</f>
        <v>0</v>
      </c>
      <c r="CY11" s="759">
        <f>IFERROR(IF(CY$7&gt;$D$3,"",IF(AQ11="OD","OD",IF(AQ11="Missed","Missed",IF(AQ11="TBC","TBC",IF(AQ11="Undefined","Undefined",_xlfn.XLOOKUP(CY$7,EHS!$M$6:$BM$6,EHS!$M$9:$BM$9)))))),0)</f>
        <v>0</v>
      </c>
      <c r="CZ11" s="759">
        <f>IFERROR(IF(CZ$7&gt;$D$3,"",IF(AR11="OD","OD",IF(AR11="Missed","Missed",IF(AR11="TBC","TBC",IF(AR11="Undefined","Undefined",_xlfn.XLOOKUP(CZ$7,EHS!$M$6:$BM$6,EHS!$M$9:$BM$9)))))),0)</f>
        <v>0</v>
      </c>
      <c r="DA11" s="759">
        <f>IFERROR(IF(DA$7&gt;$D$3,"",IF(AS11="OD","OD",IF(AS11="Missed","Missed",IF(AS11="TBC","TBC",IF(AS11="Undefined","Undefined",_xlfn.XLOOKUP(DA$7,EHS!$M$6:$BM$6,EHS!$M$9:$BM$9)))))),0)</f>
        <v>0</v>
      </c>
      <c r="DB11" s="759">
        <f>IFERROR(IF(DB$7&gt;$D$3,"",IF(AT11="OD","OD",IF(AT11="Missed","Missed",IF(AT11="TBC","TBC",IF(AT11="Undefined","Undefined",_xlfn.XLOOKUP(DB$7,EHS!$M$6:$BM$6,EHS!$M$9:$BM$9)))))),0)</f>
        <v>2</v>
      </c>
      <c r="DC11" s="759">
        <f>IFERROR(IF(DC$7&gt;$D$3,"",IF(AU11="OD","OD",IF(AU11="Missed","Missed",IF(AU11="TBC","TBC",IF(AU11="Undefined","Undefined",_xlfn.XLOOKUP(DC$7,EHS!$M$6:$BM$6,EHS!$M$9:$BM$9)))))),0)</f>
        <v>0</v>
      </c>
      <c r="DD11" s="759">
        <f>IFERROR(IF(DD$7&gt;$D$3,"",IF(AV11="OD","OD",IF(AV11="Missed","Missed",IF(AV11="TBC","TBC",IF(AV11="Undefined","Undefined",_xlfn.XLOOKUP(DD$7,EHS!$M$6:$BM$6,EHS!$M$9:$BM$9)))))),0)</f>
        <v>0</v>
      </c>
      <c r="DE11" s="759">
        <f>IFERROR(IF(DE$7&gt;$D$3,"",IF(AW11="OD","OD",IF(AW11="Missed","Missed",IF(AW11="TBC","TBC",IF(AW11="Undefined","Undefined",_xlfn.XLOOKUP(DE$7,EHS!$M$6:$BM$6,EHS!$M$9:$BM$9)))))),0)</f>
        <v>0</v>
      </c>
      <c r="DF11" s="759">
        <f>IFERROR(IF(DF$7&gt;$D$3,"",IF(AX11="OD","OD",IF(AX11="Missed","Missed",IF(AX11="TBC","TBC",IF(AX11="Undefined","Undefined",_xlfn.XLOOKUP(DF$7,EHS!$M$6:$BM$6,EHS!$M$9:$BM$9)))))),0)</f>
        <v>0</v>
      </c>
      <c r="DG11" s="759">
        <f>IFERROR(IF(DG$7&gt;$D$3,"",IF(AY11="OD","OD",IF(AY11="Missed","Missed",IF(AY11="TBC","TBC",IF(AY11="Undefined","Undefined",_xlfn.XLOOKUP(DG$7,EHS!$M$6:$BM$6,EHS!$M$9:$BM$9)))))),0)</f>
        <v>0</v>
      </c>
      <c r="DH11" s="759">
        <f>IFERROR(IF(DH$7&gt;$D$3,"",IF(AZ11="OD","OD",IF(AZ11="Missed","Missed",IF(AZ11="TBC","TBC",IF(AZ11="Undefined","Undefined",_xlfn.XLOOKUP(DH$7,EHS!$M$6:$BM$6,EHS!$M$9:$BM$9)))))),0)</f>
        <v>0</v>
      </c>
      <c r="DI11" s="759">
        <f>IFERROR(IF(DI$7&gt;$D$3,"",IF(BA11="OD","OD",IF(BA11="Missed","Missed",IF(BA11="TBC","TBC",IF(BA11="Undefined","Undefined",_xlfn.XLOOKUP(DI$7,EHS!$M$6:$BM$6,EHS!$M$9:$BM$9)))))),0)</f>
        <v>0</v>
      </c>
      <c r="DJ11" s="759">
        <f>IFERROR(IF(DJ$7&gt;$D$3,"",IF(BB11="OD","OD",IF(BB11="Missed","Missed",IF(BB11="TBC","TBC",IF(BB11="Undefined","Undefined",_xlfn.XLOOKUP(DJ$7,EHS!$M$6:$BM$6,EHS!$M$9:$BM$9)))))),0)</f>
        <v>0</v>
      </c>
      <c r="DK11" s="759">
        <f>IFERROR(IF(DK$7&gt;$D$3,"",IF(BC11="OD","OD",IF(BC11="Missed","Missed",IF(BC11="TBC","TBC",IF(BC11="Undefined","Undefined",_xlfn.XLOOKUP(DK$7,EHS!$M$6:$BM$6,EHS!$M$9:$BM$9)))))),0)</f>
        <v>0</v>
      </c>
      <c r="DL11" s="759">
        <f>IFERROR(IF(DL$7&gt;$D$3,"",IF(BD11="OD","OD",IF(BD11="Missed","Missed",IF(BD11="TBC","TBC",IF(BD11="Undefined","Undefined",_xlfn.XLOOKUP(DL$7,EHS!$M$6:$BM$6,EHS!$M$9:$BM$9)))))),0)</f>
        <v>0</v>
      </c>
      <c r="DM11" s="759">
        <f>IFERROR(IF(DM$7&gt;$D$3,"",IF(BE11="OD","OD",IF(BE11="Missed","Missed",IF(BE11="TBC","TBC",IF(BE11="Undefined","Undefined",_xlfn.XLOOKUP(DM$7,EHS!$M$6:$BM$6,EHS!$M$9:$BM$9)))))),0)</f>
        <v>0</v>
      </c>
      <c r="DN11" s="759">
        <f>IFERROR(IF(DN$7&gt;$D$3,"",IF(BF11="OD","OD",IF(BF11="Missed","Missed",IF(BF11="TBC","TBC",IF(BF11="Undefined","Undefined",_xlfn.XLOOKUP(DN$7,EHS!$M$6:$BM$6,EHS!$M$9:$BM$9)))))),0)</f>
        <v>0</v>
      </c>
      <c r="DO11" s="759">
        <f>IFERROR(IF(DO$7&gt;$D$3,"",IF(BG11="OD","OD",IF(BG11="Missed","Missed",IF(BG11="TBC","TBC",IF(BG11="Undefined","Undefined",_xlfn.XLOOKUP(DO$7,EHS!$M$6:$BM$6,EHS!$M$9:$BM$9)))))),0)</f>
        <v>0</v>
      </c>
      <c r="DP11" s="759">
        <f>IFERROR(IF(DP$7&gt;$D$3,"",IF(BH11="OD","OD",IF(BH11="Missed","Missed",IF(BH11="TBC","TBC",IF(BH11="Undefined","Undefined",_xlfn.XLOOKUP(DP$7,EHS!$M$6:$BM$6,EHS!$M$9:$BM$9)))))),0)</f>
        <v>0</v>
      </c>
      <c r="DQ11" s="759">
        <f>IFERROR(IF(DQ$7&gt;$D$3,"",IF(BI11="OD","OD",IF(BI11="Missed","Missed",IF(BI11="TBC","TBC",IF(BI11="Undefined","Undefined",_xlfn.XLOOKUP(DQ$7,EHS!$M$6:$BM$6,EHS!$M$9:$BM$9)))))),0)</f>
        <v>2</v>
      </c>
      <c r="DR11" s="759">
        <f>IFERROR(IF(DR$7&gt;$D$3,"",IF(BJ11="OD","OD",IF(BJ11="Missed","Missed",IF(BJ11="TBC","TBC",IF(BJ11="Undefined","Undefined",_xlfn.XLOOKUP(DR$7,EHS!$M$6:$BM$6,EHS!$M$9:$BM$9)))))),0)</f>
        <v>5</v>
      </c>
      <c r="DS11" s="759">
        <f>IFERROR(IF(DS$7&gt;$D$3,"",IF(BK11="OD","OD",IF(BK11="Missed","Missed",IF(BK11="TBC","TBC",IF(BK11="Undefined","Undefined",_xlfn.XLOOKUP(DS$7,EHS!$M$6:$BM$6,EHS!$M$9:$BM$9)))))),0)</f>
        <v>5</v>
      </c>
      <c r="DT11" s="759">
        <f>IFERROR(IF(DT$7&gt;$D$3,"",IF(BL11="OD","OD",IF(BL11="Missed","Missed",IF(BL11="TBC","TBC",IF(BL11="Undefined","Undefined",_xlfn.XLOOKUP(DT$7,EHS!$M$6:$BM$6,EHS!$M$9:$BM$9)))))),0)</f>
        <v>5</v>
      </c>
      <c r="DU11" s="759">
        <f>IFERROR(IF(DU$7&gt;$D$3,"",IF(BM11="OD","OD",IF(BM11="Missed","Missed",IF(BM11="TBC","TBC",IF(BM11="Undefined","Undefined",_xlfn.XLOOKUP(DU$7,EHS!$M$6:$BM$6,EHS!$M$9:$BM$9)))))),0)</f>
        <v>5</v>
      </c>
      <c r="DV11" s="759">
        <f>IFERROR(IF(DV$7&gt;$D$3,"",IF(BN11="OD","OD",IF(BN11="Missed","Missed",IF(BN11="TBC","TBC",IF(BN11="Undefined","Undefined",_xlfn.XLOOKUP(DV$7,EHS!$M$6:$BM$6,EHS!$M$9:$BM$9)))))),0)</f>
        <v>3</v>
      </c>
      <c r="DW11" s="759">
        <f>IFERROR(IF(DW$7&gt;$D$3,"",IF(BO11="OD","OD",IF(BO11="Missed","Missed",IF(BO11="TBC","TBC",IF(BO11="Undefined","Undefined",_xlfn.XLOOKUP(DW$7,EHS!$M$6:$BM$6,EHS!$M$9:$BM$9)))))),0)</f>
        <v>0</v>
      </c>
      <c r="DX11" s="759">
        <f>IFERROR(IF(DX$7&gt;$D$3,"",IF(BP11="OD","OD",IF(BP11="Missed","Missed",IF(BP11="TBC","TBC",IF(BP11="Undefined","Undefined",_xlfn.XLOOKUP(DX$7,EHS!$M$6:$BM$6,EHS!$M$9:$BM$9)))))),0)</f>
        <v>0</v>
      </c>
      <c r="DY11" s="759">
        <f>IFERROR(IF(DY$7&gt;$D$3,"",IF(BQ11="OD","OD",IF(BQ11="Missed","Missed",IF(BQ11="TBC","TBC",IF(BQ11="Undefined","Undefined",_xlfn.XLOOKUP(DY$7,EHS!$M$6:$BM$6,EHS!$M$9:$BM$9)))))),0)</f>
        <v>0</v>
      </c>
      <c r="DZ11" s="759">
        <f>IFERROR(IF(DZ$7&gt;$D$3,"",IF(BR11="OD","OD",IF(BR11="Missed","Missed",IF(BR11="TBC","TBC",IF(BR11="Undefined","Undefined",_xlfn.XLOOKUP(DZ$7,EHS!$M$6:$BM$6,EHS!$M$9:$BM$9)))))),0)</f>
        <v>0</v>
      </c>
      <c r="EA11" s="759">
        <f>IFERROR(IF(EA$7&gt;$D$3,"",IF(BS11="OD","OD",IF(BS11="Missed","Missed",IF(BS11="TBC","TBC",IF(BS11="Undefined","Undefined",_xlfn.XLOOKUP(EA$7,EHS!$M$6:$BM$6,EHS!$M$9:$BM$9)))))),0)</f>
        <v>0</v>
      </c>
      <c r="EB11" s="759">
        <f>IFERROR(IF(EB$7&gt;$D$3,"",IF(BT11="OD","OD",IF(BT11="Missed","Missed",IF(BT11="TBC","TBC",IF(BT11="Undefined","Undefined",_xlfn.XLOOKUP(EB$7,EHS!$M$6:$BM$6,EHS!$M$9:$BM$9)))))),0)</f>
        <v>0</v>
      </c>
      <c r="EC11" s="759">
        <f>IFERROR(IF(EC$7&gt;$D$3,"",IF(BU11="OD","OD",IF(BU11="Missed","Missed",IF(BU11="TBC","TBC",IF(BU11="Undefined","Undefined",_xlfn.XLOOKUP(EC$7,EHS!$M$6:$BM$6,EHS!$M$9:$BM$9)))))),0)</f>
        <v>0</v>
      </c>
      <c r="ED11" s="759">
        <f>IFERROR(IF(ED$7&gt;$D$3,"",IF(BV11="OD","OD",IF(BV11="Missed","Missed",IF(BV11="TBC","TBC",IF(BV11="Undefined","Undefined",_xlfn.XLOOKUP(ED$7,EHS!$M$6:$BM$6,EHS!$M$9:$BM$9)))))),0)</f>
        <v>0</v>
      </c>
      <c r="EE11" s="759">
        <f>IFERROR(IF(EE$7&gt;$D$3,"",IF(BW11="OD","OD",IF(BW11="Missed","Missed",IF(BW11="TBC","TBC",IF(BW11="Undefined","Undefined",_xlfn.XLOOKUP(EE$7,EHS!$M$6:$BM$6,EHS!$M$9:$BM$9)))))),0)</f>
        <v>0</v>
      </c>
      <c r="EF11" s="759">
        <f>IFERROR(IF(EF$7&gt;$D$3,"",IF(BX11="OD","OD",IF(BX11="Missed","Missed",IF(BX11="TBC","TBC",IF(BX11="Undefined","Undefined",_xlfn.XLOOKUP(EF$7,EHS!$M$6:$BM$6,EHS!$M$9:$BM$9)))))),0)</f>
        <v>0</v>
      </c>
      <c r="EG11" s="759">
        <f>IFERROR(IF(EG$7&gt;$D$3,"",IF(BY11="OD","OD",IF(BY11="Missed","Missed",IF(BY11="TBC","TBC",IF(BY11="Undefined","Undefined",_xlfn.XLOOKUP(EG$7,EHS!$M$6:$BM$6,EHS!$M$9:$BM$9)))))),0)</f>
        <v>0</v>
      </c>
      <c r="EH11" s="759">
        <f>IFERROR(IF(EH$7&gt;$D$3,"",IF(BZ11="OD","OD",IF(BZ11="Missed","Missed",IF(BZ11="TBC","TBC",IF(BZ11="Undefined","Undefined",_xlfn.XLOOKUP(EH$7,EHS!$M$6:$BM$6,EHS!$M$9:$BM$9)))))),0)</f>
        <v>0</v>
      </c>
      <c r="EI11" s="759">
        <f>IFERROR(IF(EI$7&gt;$D$3,"",IF(CA11="OD","OD",IF(CA11="Missed","Missed",IF(CA11="TBC","TBC",IF(CA11="Undefined","Undefined",_xlfn.XLOOKUP(EI$7,EHS!$M$6:$BM$6,EHS!$M$9:$BM$9)))))),0)</f>
        <v>0</v>
      </c>
      <c r="EJ11" s="759">
        <f>IFERROR(IF(EJ$7&gt;$D$3,"",IF(CB11="OD","OD",IF(CB11="Missed","Missed",IF(CB11="TBC","TBC",IF(CB11="Undefined","Undefined",_xlfn.XLOOKUP(EJ$7,EHS!$M$6:$BM$6,EHS!$M$9:$BM$9)))))),0)</f>
        <v>0</v>
      </c>
      <c r="EK11" s="759" t="str">
        <f>IFERROR(IF(EK$7&gt;$D$3,"",IF(CC11="OD","OD",IF(CC11="Missed","Missed",IF(CC11="TBC","TBC",IF(CC11="Undefined","Undefined",_xlfn.XLOOKUP(EK$7,EHS!$M$6:$BM$6,EHS!$M$9:$BM$9)))))),0)</f>
        <v/>
      </c>
      <c r="EL11" s="759" t="str">
        <f>IFERROR(IF(EL$7&gt;$D$3,"",IF(CD11="OD","OD",IF(CD11="Missed","Missed",IF(CD11="TBC","TBC",IF(CD11="Undefined","Undefined",_xlfn.XLOOKUP(EL$7,EHS!$M$6:$BM$6,EHS!$M$9:$BM$9)))))),0)</f>
        <v/>
      </c>
      <c r="EM11" s="759" t="str">
        <f>IFERROR(IF(EM$7&gt;$D$3,"",IF(CE11="OD","OD",IF(CE11="Missed","Missed",IF(CE11="TBC","TBC",IF(CE11="Undefined","Undefined",_xlfn.XLOOKUP(EM$7,EHS!$M$6:$BM$6,EHS!$M$9:$BM$9)))))),0)</f>
        <v/>
      </c>
      <c r="EN11" s="759" t="str">
        <f>IFERROR(IF(EN$7&gt;$D$3,"",IF(CF11="OD","OD",IF(CF11="Missed","Missed",IF(CF11="TBC","TBC",IF(CF11="Undefined","Undefined",_xlfn.XLOOKUP(EN$7,EHS!$M$6:$BM$6,EHS!$M$9:$BM$9)))))),0)</f>
        <v/>
      </c>
      <c r="EO11" s="759" t="str">
        <f>IFERROR(IF(EO$7&gt;$D$3,"",IF(CG11="OD","OD",IF(CG11="Missed","Missed",IF(CG11="TBC","TBC",IF(CG11="Undefined","Undefined",_xlfn.XLOOKUP(EO$7,EHS!$M$6:$BM$6,EHS!$M$9:$BM$9)))))),0)</f>
        <v/>
      </c>
      <c r="EP11" s="759" t="str">
        <f>IFERROR(IF(EP$7&gt;$D$3,"",IF(CH11="OD","OD",IF(CH11="Missed","Missed",IF(CH11="TBC","TBC",IF(CH11="Undefined","Undefined",_xlfn.XLOOKUP(EP$7,EHS!$M$6:$BM$6,EHS!$M$9:$BM$9)))))),0)</f>
        <v/>
      </c>
      <c r="EQ11" s="759" t="str">
        <f>IFERROR(IF(EQ$7&gt;$D$3,"",IF(CI11="OD","OD",IF(CI11="Missed","Missed",IF(CI11="TBC","TBC",IF(CI11="Undefined","Undefined",_xlfn.XLOOKUP(EQ$7,EHS!$M$6:$BM$6,EHS!$M$9:$BM$9)))))),0)</f>
        <v/>
      </c>
      <c r="ER11" s="759" t="str">
        <f>IFERROR(IF(ER$7&gt;$D$3,"",IF(CJ11="OD","OD",IF(CJ11="Missed","Missed",IF(CJ11="TBC","TBC",IF(CJ11="Undefined","Undefined",_xlfn.XLOOKUP(ER$7,EHS!$M$6:$BM$6,EHS!$M$9:$BM$9)))))),0)</f>
        <v/>
      </c>
      <c r="ES11" s="759" t="str">
        <f>IFERROR(IF(ES$7&gt;$D$3,"",IF(CK11="OD","OD",IF(CK11="Missed","Missed",IF(CK11="TBC","TBC",IF(CK11="Undefined","Undefined",_xlfn.XLOOKUP(ES$7,EHS!$M$6:$BM$6,EHS!$M$9:$BM$9)))))),0)</f>
        <v/>
      </c>
      <c r="ET11" s="759" t="str">
        <f>IFERROR(IF(ET$7&gt;$D$3,"",IF(CL11="OD","OD",IF(CL11="Missed","Missed",IF(CL11="TBC","TBC",IF(CL11="Undefined","Undefined",_xlfn.XLOOKUP(ET$7,EHS!$M$6:$BM$6,EHS!$M$9:$BM$9)))))),0)</f>
        <v/>
      </c>
      <c r="EU11" s="758" t="str">
        <f>IFERROR(IF(EU$7&gt;$D$3,"",IF(CM11="OD","OD",IF(CM11="Missed","Missed",IF(CM11="TBC","TBC",IF(CM11="Undefined","Undefined",_xlfn.XLOOKUP(EU$7,EHS!$M$6:$BM$6,EHS!$M$9:$BM$9)))))),0)</f>
        <v/>
      </c>
      <c r="EW11" s="465" t="str">
        <f>+$A11</f>
        <v>EHS-KPI P1</v>
      </c>
      <c r="EX11" s="133" t="str">
        <f>+$C11</f>
        <v>KPI P1</v>
      </c>
      <c r="EY11" s="142" t="str">
        <f>+$D11</f>
        <v>Productivity</v>
      </c>
      <c r="EZ11" s="142" t="str">
        <f t="shared" si="10"/>
        <v>Lost Working Days</v>
      </c>
      <c r="FA11" s="143" t="str">
        <f t="shared" si="11"/>
        <v>Lost Days</v>
      </c>
      <c r="FB11" s="143" t="s">
        <v>251</v>
      </c>
      <c r="FC11" s="222" t="str">
        <f>IF(FC$7&gt;$D$3,"",IF($FA10&lt;FC$7,"OD",_xlfn.XLOOKUP(FC$7,EHS!$M$6:$BM$6,EHS!$M$9:$BM$9)))</f>
        <v>Blank</v>
      </c>
      <c r="FD11" s="222">
        <f>IF(FD$7&gt;$D$3,"",IF($FA10&lt;FD$7,"OD",_xlfn.XLOOKUP(FD$7,EHS!$M$6:$BM$6,EHS!$M$9:$BM$9)))</f>
        <v>0</v>
      </c>
      <c r="FE11" s="222">
        <f>IF(FE$7&gt;$D$3,"",IF($FA10&lt;FE$7,"OD",_xlfn.XLOOKUP(FE$7,EHS!$M$6:$BM$6,EHS!$M$9:$BM$9)))</f>
        <v>0</v>
      </c>
      <c r="FF11" s="222">
        <f>IF(FF$7&gt;$D$3,"",IF($FA10&lt;FF$7,"OD",_xlfn.XLOOKUP(FF$7,EHS!$M$6:$BM$6,EHS!$M$9:$BM$9)))</f>
        <v>0</v>
      </c>
      <c r="FG11" s="222">
        <f>IF(FG$7&gt;$D$3,"",IF($FA10&lt;FG$7,"OD",_xlfn.XLOOKUP(FG$7,EHS!$M$6:$BM$6,EHS!$M$9:$BM$9)))</f>
        <v>0</v>
      </c>
      <c r="FH11" s="222">
        <f>IF(FH$7&gt;$D$3,"",IF($FA10&lt;FH$7,"OD",_xlfn.XLOOKUP(FH$7,EHS!$M$6:$BM$6,EHS!$M$9:$BM$9)))</f>
        <v>0</v>
      </c>
      <c r="FI11" s="222">
        <f>IF(FI$7&gt;$D$3,"",IF($FA10&lt;FI$7,"OD",_xlfn.XLOOKUP(FI$7,EHS!$M$6:$BM$6,EHS!$M$9:$BM$9)))</f>
        <v>0</v>
      </c>
      <c r="FJ11" s="222">
        <f>IF(FJ$7&gt;$D$3,"",IF($FA10&lt;FJ$7,"OD",_xlfn.XLOOKUP(FJ$7,EHS!$M$6:$BM$6,EHS!$M$9:$BM$9)))</f>
        <v>2</v>
      </c>
      <c r="FK11" s="222">
        <f>IF(FK$7&gt;$D$3,"",IF($FA10&lt;FK$7,"OD",_xlfn.XLOOKUP(FK$7,EHS!$M$6:$BM$6,EHS!$M$9:$BM$9)))</f>
        <v>0</v>
      </c>
      <c r="FL11" s="222">
        <f>IF(FL$7&gt;$D$3,"",IF($FA10&lt;FL$7,"OD",_xlfn.XLOOKUP(FL$7,EHS!$M$6:$BM$6,EHS!$M$9:$BM$9)))</f>
        <v>0</v>
      </c>
      <c r="FM11" s="222">
        <f>IF(FM$7&gt;$D$3,"",IF($FA10&lt;FM$7,"OD",_xlfn.XLOOKUP(FM$7,EHS!$M$6:$BM$6,EHS!$M$9:$BM$9)))</f>
        <v>0</v>
      </c>
      <c r="FN11" s="222">
        <f>IF(FN$7&gt;$D$3,"",IF($FA10&lt;FN$7,"OD",_xlfn.XLOOKUP(FN$7,EHS!$M$6:$BM$6,EHS!$M$9:$BM$9)))</f>
        <v>0</v>
      </c>
      <c r="FO11" s="222">
        <f>IF(FO$7&gt;$D$3,"",IF($FA10&lt;FO$7,"OD",_xlfn.XLOOKUP(FO$7,EHS!$M$6:$BM$6,EHS!$M$9:$BM$9)))</f>
        <v>0</v>
      </c>
      <c r="FP11" s="222">
        <f>IF(FP$7&gt;$D$3,"",IF($FA10&lt;FP$7,"OD",_xlfn.XLOOKUP(FP$7,EHS!$M$6:$BM$6,EHS!$M$9:$BM$9)))</f>
        <v>0</v>
      </c>
      <c r="FQ11" s="222">
        <f>IF(FQ$7&gt;$D$3,"",IF($FA10&lt;FQ$7,"OD",_xlfn.XLOOKUP(FQ$7,EHS!$M$6:$BM$6,EHS!$M$9:$BM$9)))</f>
        <v>0</v>
      </c>
      <c r="FR11" s="222">
        <f>IF(FR$7&gt;$D$3,"",IF($FA10&lt;FR$7,"OD",_xlfn.XLOOKUP(FR$7,EHS!$M$6:$BM$6,EHS!$M$9:$BM$9)))</f>
        <v>0</v>
      </c>
      <c r="FS11" s="222">
        <f>IF(FS$7&gt;$D$3,"",IF($FA10&lt;FS$7,"OD",_xlfn.XLOOKUP(FS$7,EHS!$M$6:$BM$6,EHS!$M$9:$BM$9)))</f>
        <v>0</v>
      </c>
      <c r="FT11" s="222">
        <f>IF(FT$7&gt;$D$3,"",IF($FA10&lt;FT$7,"OD",_xlfn.XLOOKUP(FT$7,EHS!$M$6:$BM$6,EHS!$M$9:$BM$9)))</f>
        <v>0</v>
      </c>
      <c r="FU11" s="222">
        <f>IF(FU$7&gt;$D$3,"",IF($FA10&lt;FU$7,"OD",_xlfn.XLOOKUP(FU$7,EHS!$M$6:$BM$6,EHS!$M$9:$BM$9)))</f>
        <v>0</v>
      </c>
      <c r="FV11" s="222">
        <f>IF(FV$7&gt;$D$3,"",IF($FA10&lt;FV$7,"OD",_xlfn.XLOOKUP(FV$7,EHS!$M$6:$BM$6,EHS!$M$9:$BM$9)))</f>
        <v>0</v>
      </c>
      <c r="FW11" s="222">
        <f>IF(FW$7&gt;$D$3,"",IF($FA10&lt;FW$7,"OD",_xlfn.XLOOKUP(FW$7,EHS!$M$6:$BM$6,EHS!$M$9:$BM$9)))</f>
        <v>0</v>
      </c>
      <c r="FX11" s="222">
        <f>IF(FX$7&gt;$D$3,"",IF($FA10&lt;FX$7,"OD",_xlfn.XLOOKUP(FX$7,EHS!$M$6:$BM$6,EHS!$M$9:$BM$9)))</f>
        <v>0</v>
      </c>
      <c r="FY11" s="222">
        <f>IF(FY$7&gt;$D$3,"",IF($FA10&lt;FY$7,"OD",_xlfn.XLOOKUP(FY$7,EHS!$M$6:$BM$6,EHS!$M$9:$BM$9)))</f>
        <v>2</v>
      </c>
      <c r="FZ11" s="222">
        <f>IF(FZ$7&gt;$D$3,"",IF($FA10&lt;FZ$7,"OD",_xlfn.XLOOKUP(FZ$7,EHS!$M$6:$BM$6,EHS!$M$9:$BM$9)))</f>
        <v>5</v>
      </c>
      <c r="GA11" s="222">
        <f>IF(GA$7&gt;$D$3,"",IF($FA10&lt;GA$7,"OD",_xlfn.XLOOKUP(GA$7,EHS!$M$6:$BM$6,EHS!$M$9:$BM$9)))</f>
        <v>5</v>
      </c>
      <c r="GB11" s="222">
        <f>IF(GB$7&gt;$D$3,"",IF($FA10&lt;GB$7,"OD",_xlfn.XLOOKUP(GB$7,EHS!$M$6:$BM$6,EHS!$M$9:$BM$9)))</f>
        <v>5</v>
      </c>
      <c r="GC11" s="222">
        <f>IF(GC$7&gt;$D$3,"",IF($FA10&lt;GC$7,"OD",_xlfn.XLOOKUP(GC$7,EHS!$M$6:$BM$6,EHS!$M$9:$BM$9)))</f>
        <v>5</v>
      </c>
      <c r="GD11" s="222">
        <f>IF(GD$7&gt;$D$3,"",IF($FA10&lt;GD$7,"OD",_xlfn.XLOOKUP(GD$7,EHS!$M$6:$BM$6,EHS!$M$9:$BM$9)))</f>
        <v>3</v>
      </c>
      <c r="GE11" s="222">
        <f>IF(GE$7&gt;$D$3,"",IF($FA10&lt;GE$7,"OD",_xlfn.XLOOKUP(GE$7,EHS!$M$6:$BM$6,EHS!$M$9:$BM$9)))</f>
        <v>0</v>
      </c>
      <c r="GF11" s="222">
        <f>IF(GF$7&gt;$D$3,"",IF($FA10&lt;GF$7,"OD",_xlfn.XLOOKUP(GF$7,EHS!$M$6:$BM$6,EHS!$M$9:$BM$9)))</f>
        <v>0</v>
      </c>
      <c r="GG11" s="222">
        <f>IF(GG$7&gt;$D$3,"",IF($FA10&lt;GG$7,"OD",_xlfn.XLOOKUP(GG$7,EHS!$M$6:$BM$6,EHS!$M$9:$BM$9)))</f>
        <v>0</v>
      </c>
      <c r="GH11" s="222">
        <f>IF(GH$7&gt;$D$3,"",IF($FA10&lt;GH$7,"OD",_xlfn.XLOOKUP(GH$7,EHS!$M$6:$BM$6,EHS!$M$9:$BM$9)))</f>
        <v>0</v>
      </c>
      <c r="GI11" s="222">
        <f>IF(GI$7&gt;$D$3,"",IF($FA10&lt;GI$7,"OD",_xlfn.XLOOKUP(GI$7,EHS!$M$6:$BM$6,EHS!$M$9:$BM$9)))</f>
        <v>0</v>
      </c>
      <c r="GJ11" s="222">
        <f>IF(GJ$7&gt;$D$3,"",IF($FA10&lt;GJ$7,"OD",_xlfn.XLOOKUP(GJ$7,EHS!$M$6:$BM$6,EHS!$M$9:$BM$9)))</f>
        <v>0</v>
      </c>
      <c r="GK11" s="222">
        <f>IF(GK$7&gt;$D$3,"",IF($FA10&lt;GK$7,"OD",_xlfn.XLOOKUP(GK$7,EHS!$M$6:$BM$6,EHS!$M$9:$BM$9)))</f>
        <v>0</v>
      </c>
      <c r="GL11" s="222">
        <f>IF(GL$7&gt;$D$3,"",IF($FA10&lt;GL$7,"OD",_xlfn.XLOOKUP(GL$7,EHS!$M$6:$BM$6,EHS!$M$9:$BM$9)))</f>
        <v>0</v>
      </c>
      <c r="GM11" s="222">
        <f>IF(GM$7&gt;$D$3,"",IF($FA10&lt;GM$7,"OD",_xlfn.XLOOKUP(GM$7,EHS!$M$6:$BM$6,EHS!$M$9:$BM$9)))</f>
        <v>0</v>
      </c>
      <c r="GN11" s="222">
        <f>IF(GN$7&gt;$D$3,"",IF($FA10&lt;GN$7,"OD",_xlfn.XLOOKUP(GN$7,EHS!$M$6:$BM$6,EHS!$M$9:$BM$9)))</f>
        <v>0</v>
      </c>
      <c r="GO11" s="222">
        <f>IF(GO$7&gt;$D$3,"",IF($FA10&lt;GO$7,"OD",_xlfn.XLOOKUP(GO$7,EHS!$M$6:$BM$6,EHS!$M$9:$BM$9)))</f>
        <v>0</v>
      </c>
      <c r="GP11" s="222">
        <f>IF(GP$7&gt;$D$3,"",IF($FA10&lt;GP$7,"OD",_xlfn.XLOOKUP(GP$7,EHS!$M$6:$BM$6,EHS!$M$9:$BM$9)))</f>
        <v>0</v>
      </c>
      <c r="GQ11" s="222">
        <f>IF(GQ$7&gt;$D$3,"",IF($FA10&lt;GQ$7,"OD",_xlfn.XLOOKUP(GQ$7,EHS!$M$6:$BM$6,EHS!$M$9:$BM$9)))</f>
        <v>0</v>
      </c>
      <c r="GR11" s="222">
        <f>IF(GR$7&gt;$D$3,"",IF($FA10&lt;GR$7,"OD",_xlfn.XLOOKUP(GR$7,EHS!$M$6:$BM$6,EHS!$M$9:$BM$9)))</f>
        <v>0</v>
      </c>
      <c r="GS11" s="222" t="str">
        <f>IF(GS$7&gt;$D$3,"",IF($FA10&lt;GS$7,"OD",_xlfn.XLOOKUP(GS$7,EHS!$M$6:$BM$6,EHS!$M$9:$BM$9)))</f>
        <v/>
      </c>
      <c r="GT11" s="222" t="str">
        <f>IF(GT$7&gt;$D$3,"",IF($FA10&lt;GT$7,"OD",_xlfn.XLOOKUP(GT$7,EHS!$M$6:$BM$6,EHS!$M$9:$BM$9)))</f>
        <v/>
      </c>
      <c r="GU11" s="222" t="str">
        <f>IF(GU$7&gt;$D$3,"",IF($FA10&lt;GU$7,"OD",_xlfn.XLOOKUP(GU$7,EHS!$M$6:$BM$6,EHS!$M$9:$BM$9)))</f>
        <v/>
      </c>
      <c r="GV11" s="222" t="str">
        <f>IF(GV$7&gt;$D$3,"",IF($FA10&lt;GV$7,"OD",_xlfn.XLOOKUP(GV$7,EHS!$M$6:$BM$6,EHS!$M$9:$BM$9)))</f>
        <v/>
      </c>
      <c r="GW11" s="222" t="str">
        <f>IF(GW$7&gt;$D$3,"",IF($FA10&lt;GW$7,"OD",_xlfn.XLOOKUP(GW$7,EHS!$M$6:$BM$6,EHS!$M$9:$BM$9)))</f>
        <v/>
      </c>
      <c r="GX11" s="222" t="str">
        <f>IF(GX$7&gt;$D$3,"",IF($FA10&lt;GX$7,"OD",_xlfn.XLOOKUP(GX$7,EHS!$M$6:$BM$6,EHS!$M$9:$BM$9)))</f>
        <v/>
      </c>
      <c r="GY11" s="222" t="str">
        <f>IF(GY$7&gt;$D$3,"",IF($FA10&lt;GY$7,"OD",_xlfn.XLOOKUP(GY$7,EHS!$M$6:$BM$6,EHS!$M$9:$BM$9)))</f>
        <v/>
      </c>
      <c r="GZ11" s="222" t="str">
        <f>IF(GZ$7&gt;$D$3,"",IF($FA10&lt;GZ$7,"OD",_xlfn.XLOOKUP(GZ$7,EHS!$M$6:$BM$6,EHS!$M$9:$BM$9)))</f>
        <v/>
      </c>
      <c r="HA11" s="222" t="str">
        <f>IF(HA$7&gt;$D$3,"",IF($FA10&lt;HA$7,"OD",_xlfn.XLOOKUP(HA$7,EHS!$M$6:$BM$6,EHS!$M$9:$BM$9)))</f>
        <v/>
      </c>
      <c r="HB11" s="222" t="str">
        <f>IF(HB$7&gt;$D$3,"",IF($FA10&lt;HB$7,"OD",_xlfn.XLOOKUP(HB$7,EHS!$M$6:$BM$6,EHS!$M$9:$BM$9)))</f>
        <v/>
      </c>
      <c r="HC11" s="222" t="str">
        <f>IF(HC$7&gt;$D$3,"",IF($FA10&lt;HC$7,"OD",_xlfn.XLOOKUP(HC$7,EHS!$M$6:$BM$6,EHS!$M$9:$BM$9)))</f>
        <v/>
      </c>
      <c r="HE11" s="133" t="str">
        <f>+$C11</f>
        <v>KPI P1</v>
      </c>
      <c r="HF11" s="142" t="str">
        <f>+$D11</f>
        <v>Productivity</v>
      </c>
      <c r="HG11" s="142" t="str">
        <f t="shared" si="13"/>
        <v>Lost Working Days</v>
      </c>
      <c r="HH11" s="143" t="str">
        <f t="shared" si="14"/>
        <v>Lost Days</v>
      </c>
      <c r="HI11" s="143" t="s">
        <v>44</v>
      </c>
      <c r="HJ11" s="222" t="str">
        <f>IF(HJ$7&gt;$D$3,"",IF($FA10&lt;HJ$7,"OD",_xlfn.XLOOKUP(HJ$7,EHS!$M$6:$BM$6,EHS!$M$8:$BM$8)))</f>
        <v>Blank</v>
      </c>
      <c r="HK11" s="222">
        <f>IF(HK$7&gt;$D$3,"",IF($FA10&lt;HK$7,"OD",_xlfn.XLOOKUP(HK$7,EHS!$M$6:$BM$6,EHS!$M$8:$BM$8)))</f>
        <v>0</v>
      </c>
      <c r="HL11" s="225">
        <f>IF(HL$7&gt;$D$3,"",IF($FA10&lt;HL$7,"OD",_xlfn.XLOOKUP(HL$7,EHS!$M$6:$BM$6,EHS!$M$8:$BM$8)))</f>
        <v>0</v>
      </c>
      <c r="HM11" s="225">
        <f>IF(HM$7&gt;$D$3,"",IF($FA10&lt;HM$7,"OD",_xlfn.XLOOKUP(HM$7,EHS!$M$6:$BM$6,EHS!$M$8:$BM$8)))</f>
        <v>0</v>
      </c>
      <c r="HN11" s="225">
        <f>IF(HN$7&gt;$D$3,"",IF($FA10&lt;HN$7,"OD",_xlfn.XLOOKUP(HN$7,EHS!$M$6:$BM$6,EHS!$M$8:$BM$8)))</f>
        <v>0</v>
      </c>
      <c r="HO11" s="225">
        <f>IF(HO$7&gt;$D$3,"",IF($FA10&lt;HO$7,"OD",_xlfn.XLOOKUP(HO$7,EHS!$M$6:$BM$6,EHS!$M$8:$BM$8)))</f>
        <v>0</v>
      </c>
      <c r="HP11" s="225">
        <f>IF(HP$7&gt;$D$3,"",IF($FA10&lt;HP$7,"OD",_xlfn.XLOOKUP(HP$7,EHS!$M$6:$BM$6,EHS!$M$8:$BM$8)))</f>
        <v>0</v>
      </c>
      <c r="HQ11" s="225">
        <f>IF(HQ$7&gt;$D$3,"",IF($FA10&lt;HQ$7,"OD",_xlfn.XLOOKUP(HQ$7,EHS!$M$6:$BM$6,EHS!$M$8:$BM$8)))</f>
        <v>0</v>
      </c>
      <c r="HR11" s="225">
        <f>IF(HR$7&gt;$D$3,"",IF($FA10&lt;HR$7,"OD",_xlfn.XLOOKUP(HR$7,EHS!$M$6:$BM$6,EHS!$M$8:$BM$8)))</f>
        <v>0</v>
      </c>
      <c r="HS11" s="225">
        <f>IF(HS$7&gt;$D$3,"",IF($FA10&lt;HS$7,"OD",_xlfn.XLOOKUP(HS$7,EHS!$M$6:$BM$6,EHS!$M$8:$BM$8)))</f>
        <v>0</v>
      </c>
      <c r="HT11" s="225">
        <f>IF(HT$7&gt;$D$3,"",IF($FA10&lt;HT$7,"OD",_xlfn.XLOOKUP(HT$7,EHS!$M$6:$BM$6,EHS!$M$8:$BM$8)))</f>
        <v>0</v>
      </c>
      <c r="HU11" s="225">
        <f>IF(HU$7&gt;$D$3,"",IF($FA10&lt;HU$7,"OD",_xlfn.XLOOKUP(HU$7,EHS!$M$6:$BM$6,EHS!$M$8:$BM$8)))</f>
        <v>0</v>
      </c>
      <c r="HV11" s="225">
        <f>IF(HV$7&gt;$D$3,"",IF($FA10&lt;HV$7,"OD",_xlfn.XLOOKUP(HV$7,EHS!$M$6:$BM$6,EHS!$M$8:$BM$8)))</f>
        <v>0</v>
      </c>
      <c r="HW11" s="225">
        <f>IF(HW$7&gt;$D$3,"",IF($FA10&lt;HW$7,"OD",_xlfn.XLOOKUP(HW$7,EHS!$M$6:$BM$6,EHS!$M$8:$BM$8)))</f>
        <v>0</v>
      </c>
      <c r="HX11" s="225">
        <f>IF(HX$7&gt;$D$3,"",IF($FA10&lt;HX$7,"OD",_xlfn.XLOOKUP(HX$7,EHS!$M$6:$BM$6,EHS!$M$8:$BM$8)))</f>
        <v>0</v>
      </c>
      <c r="HY11" s="225">
        <f>IF(HY$7&gt;$D$3,"",IF($FA10&lt;HY$7,"OD",_xlfn.XLOOKUP(HY$7,EHS!$M$6:$BM$6,EHS!$M$8:$BM$8)))</f>
        <v>0</v>
      </c>
      <c r="HZ11" s="225">
        <f>IF(HZ$7&gt;$D$3,"",IF($FA10&lt;HZ$7,"OD",_xlfn.XLOOKUP(HZ$7,EHS!$M$6:$BM$6,EHS!$M$8:$BM$8)))</f>
        <v>0</v>
      </c>
      <c r="IA11" s="225">
        <f>IF(IA$7&gt;$D$3,"",IF($FA10&lt;IA$7,"OD",_xlfn.XLOOKUP(IA$7,EHS!$M$6:$BM$6,EHS!$M$8:$BM$8)))</f>
        <v>0</v>
      </c>
      <c r="IB11" s="225">
        <f>IF(IB$7&gt;$D$3,"",IF($FA10&lt;IB$7,"OD",_xlfn.XLOOKUP(IB$7,EHS!$M$6:$BM$6,EHS!$M$8:$BM$8)))</f>
        <v>0</v>
      </c>
      <c r="IC11" s="225">
        <f>IF(IC$7&gt;$D$3,"",IF($FA10&lt;IC$7,"OD",_xlfn.XLOOKUP(IC$7,EHS!$M$6:$BM$6,EHS!$M$8:$BM$8)))</f>
        <v>0</v>
      </c>
      <c r="ID11" s="225">
        <f>IF(ID$7&gt;$D$3,"",IF($FA10&lt;ID$7,"OD",_xlfn.XLOOKUP(ID$7,EHS!$M$6:$BM$6,EHS!$M$8:$BM$8)))</f>
        <v>0</v>
      </c>
      <c r="IE11" s="225">
        <f>IF(IE$7&gt;$D$3,"",IF($FA10&lt;IE$7,"OD",_xlfn.XLOOKUP(IE$7,EHS!$M$6:$BM$6,EHS!$M$8:$BM$8)))</f>
        <v>0</v>
      </c>
      <c r="IF11" s="225">
        <f>IF(IF$7&gt;$D$3,"",IF($FA10&lt;IF$7,"OD",_xlfn.XLOOKUP(IF$7,EHS!$M$6:$BM$6,EHS!$M$8:$BM$8)))</f>
        <v>0</v>
      </c>
      <c r="IG11" s="225">
        <f>IF(IG$7&gt;$D$3,"",IF($FA10&lt;IG$7,"OD",_xlfn.XLOOKUP(IG$7,EHS!$M$6:$BM$6,EHS!$M$8:$BM$8)))</f>
        <v>0</v>
      </c>
      <c r="IH11" s="225">
        <f>IF(IH$7&gt;$D$3,"",IF($FA10&lt;IH$7,"OD",_xlfn.XLOOKUP(IH$7,EHS!$M$6:$BM$6,EHS!$M$8:$BM$8)))</f>
        <v>0</v>
      </c>
      <c r="II11" s="225">
        <f>IF(II$7&gt;$D$3,"",IF($FA10&lt;II$7,"OD",_xlfn.XLOOKUP(II$7,EHS!$M$6:$BM$6,EHS!$M$8:$BM$8)))</f>
        <v>0</v>
      </c>
      <c r="IJ11" s="225">
        <f>IF(IJ$7&gt;$D$3,"",IF($FA10&lt;IJ$7,"OD",_xlfn.XLOOKUP(IJ$7,EHS!$M$6:$BM$6,EHS!$M$8:$BM$8)))</f>
        <v>0</v>
      </c>
      <c r="IK11" s="225">
        <f>IF(IK$7&gt;$D$3,"",IF($FA10&lt;IK$7,"OD",_xlfn.XLOOKUP(IK$7,EHS!$M$6:$BM$6,EHS!$M$8:$BM$8)))</f>
        <v>0</v>
      </c>
      <c r="IL11" s="225">
        <f>IF(IL$7&gt;$D$3,"",IF($FA10&lt;IL$7,"OD",_xlfn.XLOOKUP(IL$7,EHS!$M$6:$BM$6,EHS!$M$8:$BM$8)))</f>
        <v>0</v>
      </c>
      <c r="IM11" s="225">
        <f>IF(IM$7&gt;$D$3,"",IF($FA10&lt;IM$7,"OD",_xlfn.XLOOKUP(IM$7,EHS!$M$6:$BM$6,EHS!$M$8:$BM$8)))</f>
        <v>0</v>
      </c>
      <c r="IN11" s="225">
        <f>IF(IN$7&gt;$D$3,"",IF($FA10&lt;IN$7,"OD",_xlfn.XLOOKUP(IN$7,EHS!$M$6:$BM$6,EHS!$M$8:$BM$8)))</f>
        <v>0</v>
      </c>
      <c r="IO11" s="225">
        <f>IF(IO$7&gt;$D$3,"",IF($FA10&lt;IO$7,"OD",_xlfn.XLOOKUP(IO$7,EHS!$M$6:$BM$6,EHS!$M$8:$BM$8)))</f>
        <v>0</v>
      </c>
      <c r="IP11" s="225">
        <f>IF(IP$7&gt;$D$3,"",IF($FA10&lt;IP$7,"OD",_xlfn.XLOOKUP(IP$7,EHS!$M$6:$BM$6,EHS!$M$8:$BM$8)))</f>
        <v>0</v>
      </c>
      <c r="IQ11" s="225">
        <f>IF(IQ$7&gt;$D$3,"",IF($FA10&lt;IQ$7,"OD",_xlfn.XLOOKUP(IQ$7,EHS!$M$6:$BM$6,EHS!$M$8:$BM$8)))</f>
        <v>0</v>
      </c>
      <c r="IR11" s="225">
        <f>IF(IR$7&gt;$D$3,"",IF($FA10&lt;IR$7,"OD",_xlfn.XLOOKUP(IR$7,EHS!$M$6:$BM$6,EHS!$M$8:$BM$8)))</f>
        <v>0</v>
      </c>
      <c r="IS11" s="225">
        <f>IF(IS$7&gt;$D$3,"",IF($FA10&lt;IS$7,"OD",_xlfn.XLOOKUP(IS$7,EHS!$M$6:$BM$6,EHS!$M$8:$BM$8)))</f>
        <v>0</v>
      </c>
      <c r="IT11" s="225">
        <f>IF(IT$7&gt;$D$3,"",IF($FA10&lt;IT$7,"OD",_xlfn.XLOOKUP(IT$7,EHS!$M$6:$BM$6,EHS!$M$8:$BM$8)))</f>
        <v>0</v>
      </c>
      <c r="IU11" s="225">
        <f>IF(IU$7&gt;$D$3,"",IF($FA10&lt;IU$7,"OD",_xlfn.XLOOKUP(IU$7,EHS!$M$6:$BM$6,EHS!$M$8:$BM$8)))</f>
        <v>0</v>
      </c>
      <c r="IV11" s="225">
        <f>IF(IV$7&gt;$D$3,"",IF($FA10&lt;IV$7,"OD",_xlfn.XLOOKUP(IV$7,EHS!$M$6:$BM$6,EHS!$M$8:$BM$8)))</f>
        <v>0</v>
      </c>
      <c r="IW11" s="225">
        <f>IF(IW$7&gt;$D$3,"",IF($FA10&lt;IW$7,"OD",_xlfn.XLOOKUP(IW$7,EHS!$M$6:$BM$6,EHS!$M$8:$BM$8)))</f>
        <v>0</v>
      </c>
      <c r="IX11" s="225">
        <f>IF(IX$7&gt;$D$3,"",IF($FA10&lt;IX$7,"OD",_xlfn.XLOOKUP(IX$7,EHS!$M$6:$BM$6,EHS!$M$8:$BM$8)))</f>
        <v>0</v>
      </c>
      <c r="IY11" s="225">
        <f>IF(IY$7&gt;$D$3,"",IF($FA10&lt;IY$7,"OD",_xlfn.XLOOKUP(IY$7,EHS!$M$6:$BM$6,EHS!$M$8:$BM$8)))</f>
        <v>0</v>
      </c>
      <c r="IZ11" s="225" t="str">
        <f>IF(IZ$7&gt;$D$3,"",IF($FA10&lt;IZ$7,"OD",_xlfn.XLOOKUP(IZ$7,EHS!$M$6:$BM$6,EHS!$M$8:$BM$8)))</f>
        <v/>
      </c>
      <c r="JA11" s="225" t="str">
        <f>IF(JA$7&gt;$D$3,"",IF($FA10&lt;JA$7,"OD",_xlfn.XLOOKUP(JA$7,EHS!$M$6:$BM$6,EHS!$M$8:$BM$8)))</f>
        <v/>
      </c>
      <c r="JB11" s="225" t="str">
        <f>IF(JB$7&gt;$D$3,"",IF($FA10&lt;JB$7,"OD",_xlfn.XLOOKUP(JB$7,EHS!$M$6:$BM$6,EHS!$M$8:$BM$8)))</f>
        <v/>
      </c>
      <c r="JC11" s="225" t="str">
        <f>IF(JC$7&gt;$D$3,"",IF($FA10&lt;JC$7,"OD",_xlfn.XLOOKUP(JC$7,EHS!$M$6:$BM$6,EHS!$M$8:$BM$8)))</f>
        <v/>
      </c>
      <c r="JD11" s="225" t="str">
        <f>IF(JD$7&gt;$D$3,"",IF($FA10&lt;JD$7,"OD",_xlfn.XLOOKUP(JD$7,EHS!$M$6:$BM$6,EHS!$M$8:$BM$8)))</f>
        <v/>
      </c>
      <c r="JE11" s="225" t="str">
        <f>IF(JE$7&gt;$D$3,"",IF($FA10&lt;JE$7,"OD",_xlfn.XLOOKUP(JE$7,EHS!$M$6:$BM$6,EHS!$M$8:$BM$8)))</f>
        <v/>
      </c>
      <c r="JF11" s="225" t="str">
        <f>IF(JF$7&gt;$D$3,"",IF($FA10&lt;JF$7,"OD",_xlfn.XLOOKUP(JF$7,EHS!$M$6:$BM$6,EHS!$M$8:$BM$8)))</f>
        <v/>
      </c>
      <c r="JG11" s="225" t="str">
        <f>IF(JG$7&gt;$D$3,"",IF($FA10&lt;JG$7,"OD",_xlfn.XLOOKUP(JG$7,EHS!$M$6:$BM$6,EHS!$M$8:$BM$8)))</f>
        <v/>
      </c>
      <c r="JH11" s="225" t="str">
        <f>IF(JH$7&gt;$D$3,"",IF($FA10&lt;JH$7,"OD",_xlfn.XLOOKUP(JH$7,EHS!$M$6:$BM$6,EHS!$M$8:$BM$8)))</f>
        <v/>
      </c>
      <c r="JI11" s="225" t="str">
        <f>IF(JI$7&gt;$D$3,"",IF($FA10&lt;JI$7,"OD",_xlfn.XLOOKUP(JI$7,EHS!$M$6:$BM$6,EHS!$M$8:$BM$8)))</f>
        <v/>
      </c>
      <c r="JJ11" s="225" t="str">
        <f>IF(JJ$7&gt;$D$3,"",IF($FA10&lt;JJ$7,"OD",_xlfn.XLOOKUP(JJ$7,EHS!$M$6:$BM$6,EHS!$M$8:$BM$8)))</f>
        <v/>
      </c>
      <c r="JM11" s="133" t="str">
        <f>+$C11</f>
        <v>KPI P1</v>
      </c>
      <c r="JN11" s="142" t="str">
        <f>+$D11</f>
        <v>Productivity</v>
      </c>
      <c r="JO11" s="142" t="str">
        <f t="shared" si="17"/>
        <v>Lost Working Days</v>
      </c>
      <c r="JP11" s="143" t="str">
        <f t="shared" si="18"/>
        <v>Lost Days</v>
      </c>
      <c r="JQ11" s="143" t="s">
        <v>284</v>
      </c>
      <c r="JR11" s="225" t="str">
        <f>IFERROR(AVERAGE(FC11:$FC11),"")</f>
        <v/>
      </c>
      <c r="JS11" s="225">
        <f>IFERROR(AVERAGE($FC11:FD11),"")</f>
        <v>0</v>
      </c>
      <c r="JT11" s="225">
        <f>IFERROR(AVERAGE($FC11:FE11),"")</f>
        <v>0</v>
      </c>
      <c r="JU11" s="225">
        <f>IFERROR(AVERAGE($FC11:FF11),"")</f>
        <v>0</v>
      </c>
      <c r="JV11" s="225">
        <f>IFERROR(AVERAGE($FC11:FG11),"")</f>
        <v>0</v>
      </c>
      <c r="JW11" s="225">
        <f>IFERROR(AVERAGE($FC11:FH11),"")</f>
        <v>0</v>
      </c>
      <c r="JX11" s="225">
        <f>IFERROR(AVERAGE($FC11:FI11),"")</f>
        <v>0</v>
      </c>
      <c r="JY11" s="225">
        <f>IFERROR(AVERAGE($FC11:FJ11),"")</f>
        <v>0.2857142857142857</v>
      </c>
      <c r="JZ11" s="225">
        <f>IFERROR(AVERAGE($FC11:FK11),"")</f>
        <v>0.25</v>
      </c>
      <c r="KA11" s="225">
        <f>IFERROR(AVERAGE($FC11:FL11),"")</f>
        <v>0.22222222222222221</v>
      </c>
      <c r="KB11" s="225">
        <f>IFERROR(AVERAGE($FC11:FM11),"")</f>
        <v>0.2</v>
      </c>
      <c r="KC11" s="225">
        <f>IFERROR(AVERAGE($FC11:FN11),"")</f>
        <v>0.18181818181818182</v>
      </c>
      <c r="KD11" s="225">
        <f>IFERROR(AVERAGE($FC11:FO11),"")</f>
        <v>0.16666666666666666</v>
      </c>
      <c r="KE11" s="225">
        <f>IFERROR(AVERAGE($FC11:FP11),"")</f>
        <v>0.15384615384615385</v>
      </c>
      <c r="KF11" s="225">
        <f>IFERROR(AVERAGE($FC11:FQ11),"")</f>
        <v>0.14285714285714285</v>
      </c>
      <c r="KG11" s="225">
        <f>IFERROR(AVERAGE($FC11:FR11),"")</f>
        <v>0.13333333333333333</v>
      </c>
      <c r="KH11" s="225">
        <f>IFERROR(AVERAGE($FC11:FS11),"")</f>
        <v>0.125</v>
      </c>
      <c r="KI11" s="225">
        <f>IFERROR(AVERAGE($FC11:FT11),"")</f>
        <v>0.11764705882352941</v>
      </c>
      <c r="KJ11" s="225">
        <f>IFERROR(AVERAGE($FC11:FU11),"")</f>
        <v>0.1111111111111111</v>
      </c>
      <c r="KK11" s="225">
        <f>IFERROR(AVERAGE($FC11:FV11),"")</f>
        <v>0.10526315789473684</v>
      </c>
      <c r="KL11" s="225">
        <f>IFERROR(AVERAGE($FC11:FW11),"")</f>
        <v>0.1</v>
      </c>
      <c r="KM11" s="225">
        <f>IFERROR(AVERAGE($FC11:FX11),"")</f>
        <v>9.5238095238095233E-2</v>
      </c>
      <c r="KN11" s="225">
        <f>IFERROR(AVERAGE($FC11:FY11),"")</f>
        <v>0.18181818181818182</v>
      </c>
      <c r="KO11" s="225">
        <f>IFERROR(AVERAGE($FC11:FZ11),"")</f>
        <v>0.39130434782608697</v>
      </c>
      <c r="KP11" s="225">
        <f>IFERROR(AVERAGE($FC11:GA11),"")</f>
        <v>0.58333333333333337</v>
      </c>
      <c r="KQ11" s="225">
        <f>IFERROR(AVERAGE($FC11:GB11),"")</f>
        <v>0.76</v>
      </c>
      <c r="KR11" s="225">
        <f>IFERROR(AVERAGE($FC11:GC11),"")</f>
        <v>0.92307692307692313</v>
      </c>
      <c r="KS11" s="225">
        <f>IFERROR(AVERAGE($FC11:GD11),"")</f>
        <v>1</v>
      </c>
      <c r="KT11" s="225">
        <f>IFERROR(AVERAGE($FC11:GE11),"")</f>
        <v>0.9642857142857143</v>
      </c>
      <c r="KU11" s="225">
        <f>IFERROR(AVERAGE($FC11:GF11),"")</f>
        <v>0.93103448275862066</v>
      </c>
      <c r="KV11" s="225">
        <f>IFERROR(AVERAGE($FC11:GG11),"")</f>
        <v>0.9</v>
      </c>
      <c r="KW11" s="225">
        <f>IFERROR(AVERAGE($FC11:GH11),"")</f>
        <v>0.87096774193548387</v>
      </c>
      <c r="KX11" s="225">
        <f>IFERROR(AVERAGE($FC11:GI11),"")</f>
        <v>0.84375</v>
      </c>
      <c r="KY11" s="225">
        <f>IFERROR(AVERAGE($FC11:GJ11),"")</f>
        <v>0.81818181818181823</v>
      </c>
      <c r="KZ11" s="225">
        <f>IFERROR(AVERAGE($FC11:GK11),"")</f>
        <v>0.79411764705882348</v>
      </c>
      <c r="LA11" s="225">
        <f>IFERROR(AVERAGE($FC11:GL11),"")</f>
        <v>0.77142857142857146</v>
      </c>
      <c r="LB11" s="225">
        <f>IFERROR(AVERAGE($FC11:GM11),"")</f>
        <v>0.75</v>
      </c>
      <c r="LC11" s="225">
        <f>IFERROR(AVERAGE($FC11:GN11),"")</f>
        <v>0.72972972972972971</v>
      </c>
      <c r="LD11" s="225">
        <f>IFERROR(AVERAGE($FC11:GO11),"")</f>
        <v>0.71052631578947367</v>
      </c>
      <c r="LE11" s="225">
        <f>IFERROR(AVERAGE($FC11:GP11),"")</f>
        <v>0.69230769230769229</v>
      </c>
      <c r="LF11" s="225">
        <f>IFERROR(AVERAGE($FC11:GQ11),"")</f>
        <v>0.67500000000000004</v>
      </c>
      <c r="LG11" s="225">
        <f>IFERROR(AVERAGE($FC11:GR11),"")</f>
        <v>0.65853658536585369</v>
      </c>
      <c r="LH11" s="225">
        <f>IFERROR(AVERAGE($FC11:GS11),"")</f>
        <v>0.65853658536585369</v>
      </c>
      <c r="LI11" s="225">
        <f>IFERROR(AVERAGE($FC11:GT11),"")</f>
        <v>0.65853658536585369</v>
      </c>
      <c r="LJ11" s="225">
        <f>IFERROR(AVERAGE($FC11:GU11),"")</f>
        <v>0.65853658536585369</v>
      </c>
      <c r="LK11" s="225">
        <f>IFERROR(AVERAGE($FC11:GV11),"")</f>
        <v>0.65853658536585369</v>
      </c>
      <c r="LL11" s="225">
        <f>IFERROR(AVERAGE($FC11:GW11),"")</f>
        <v>0.65853658536585369</v>
      </c>
      <c r="LM11" s="225">
        <f>IFERROR(AVERAGE($FC11:GX11),"")</f>
        <v>0.65853658536585369</v>
      </c>
      <c r="LN11" s="225">
        <f>IFERROR(AVERAGE($FC11:GY11),"")</f>
        <v>0.65853658536585369</v>
      </c>
      <c r="LO11" s="225">
        <f>IFERROR(AVERAGE($FC11:GZ11),"")</f>
        <v>0.65853658536585369</v>
      </c>
      <c r="LP11" s="225">
        <f>IFERROR(AVERAGE($FC11:HA11),"")</f>
        <v>0.65853658536585369</v>
      </c>
      <c r="LQ11" s="225">
        <f>IFERROR(AVERAGE($FC11:HB11),"")</f>
        <v>0.65853658536585369</v>
      </c>
      <c r="LR11" s="225">
        <f>IFERROR(AVERAGE($FC11:HC11),"")</f>
        <v>0.65853658536585369</v>
      </c>
      <c r="LT11" s="133" t="str">
        <f>+$C11</f>
        <v>KPI P1</v>
      </c>
      <c r="LU11" s="142" t="str">
        <f>+$D11</f>
        <v>Productivity</v>
      </c>
      <c r="LV11" s="142" t="str">
        <f t="shared" si="20"/>
        <v>Lost Working Days</v>
      </c>
      <c r="LW11" s="143" t="str">
        <f t="shared" si="21"/>
        <v>Lost Days</v>
      </c>
      <c r="LX11" s="143" t="s">
        <v>285</v>
      </c>
      <c r="LY11" s="222" t="str">
        <f>IFERROR(AVERAGE($HJ11:HJ11),"")</f>
        <v/>
      </c>
      <c r="LZ11" s="222">
        <f>IFERROR(IF(LAD$7&gt;$D$3,"",AVERAGE($HJ11:HK11)),"")</f>
        <v>0</v>
      </c>
      <c r="MA11" s="222">
        <f>IFERROR(IF(MA$7&gt;$D$3,"",AVERAGE($HJ11:HL11)),"")</f>
        <v>0</v>
      </c>
      <c r="MB11" s="222">
        <f>IFERROR(IF(MB$7&gt;$D$3,"",AVERAGE($HJ11:HM11)),"")</f>
        <v>0</v>
      </c>
      <c r="MC11" s="222">
        <f>IFERROR(IF(MC$7&gt;$D$3,"",AVERAGE($HJ11:HN11)),"")</f>
        <v>0</v>
      </c>
      <c r="MD11" s="222">
        <f>IFERROR(IF(MD$7&gt;$D$3,"",AVERAGE($HJ11:HO11)),"")</f>
        <v>0</v>
      </c>
      <c r="ME11" s="222">
        <f>IFERROR(IF(ME$7&gt;$D$3,"",AVERAGE($HJ11:HP11)),"")</f>
        <v>0</v>
      </c>
      <c r="MF11" s="222">
        <f>IFERROR(IF(MF$7&gt;$D$3,"",AVERAGE($HJ11:HQ11)),"")</f>
        <v>0</v>
      </c>
      <c r="MG11" s="222">
        <f>IFERROR(IF(MG$7&gt;$D$3,"",AVERAGE($HJ11:HR11)),"")</f>
        <v>0</v>
      </c>
      <c r="MH11" s="222">
        <f>IFERROR(IF(MH$7&gt;$D$3,"",AVERAGE($HJ11:HS11)),"")</f>
        <v>0</v>
      </c>
      <c r="MI11" s="222">
        <f>IFERROR(IF(MI$7&gt;$D$3,"",AVERAGE($HJ11:HT11)),"")</f>
        <v>0</v>
      </c>
      <c r="MJ11" s="222">
        <f>IFERROR(IF(MJ$7&gt;$D$3,"",AVERAGE($HJ11:HU11)),"")</f>
        <v>0</v>
      </c>
      <c r="MK11" s="222">
        <f>IFERROR(IF(MK$7&gt;$D$3,"",AVERAGE($HJ11:HV11)),"")</f>
        <v>0</v>
      </c>
      <c r="ML11" s="222">
        <f>IFERROR(IF(ML$7&gt;$D$3,"",AVERAGE($HJ11:HW11)),"")</f>
        <v>0</v>
      </c>
      <c r="MM11" s="222">
        <f>IFERROR(IF(MM$7&gt;$D$3,"",AVERAGE($HJ11:HX11)),"")</f>
        <v>0</v>
      </c>
      <c r="MN11" s="222">
        <f>IFERROR(IF(MN$7&gt;$D$3,"",AVERAGE($HJ11:HY11)),"")</f>
        <v>0</v>
      </c>
      <c r="MO11" s="222">
        <f>IFERROR(IF(MO$7&gt;$D$3,"",AVERAGE($HJ11:HZ11)),"")</f>
        <v>0</v>
      </c>
      <c r="MP11" s="222">
        <f>IFERROR(IF(MP$7&gt;$D$3,"",AVERAGE($HJ11:IA11)),"")</f>
        <v>0</v>
      </c>
      <c r="MQ11" s="222">
        <f>IFERROR(IF(MQ$7&gt;$D$3,"",AVERAGE($HJ11:IB11)),"")</f>
        <v>0</v>
      </c>
      <c r="MR11" s="222">
        <f>IFERROR(IF(MR$7&gt;$D$3,"",AVERAGE($HJ11:IC11)),"")</f>
        <v>0</v>
      </c>
      <c r="MS11" s="222">
        <f>IFERROR(IF(MS$7&gt;$D$3,"",AVERAGE($HJ11:ID11)),"")</f>
        <v>0</v>
      </c>
      <c r="MT11" s="222">
        <f>IFERROR(IF(MT$7&gt;$D$3,"",AVERAGE($HJ11:IE11)),"")</f>
        <v>0</v>
      </c>
      <c r="MU11" s="222">
        <f>IFERROR(IF(MU$7&gt;$D$3,"",AVERAGE($HJ11:IF11)),"")</f>
        <v>0</v>
      </c>
      <c r="MV11" s="222">
        <f>IFERROR(IF(MV$7&gt;$D$3,"",AVERAGE($HJ11:IG11)),"")</f>
        <v>0</v>
      </c>
      <c r="MW11" s="222">
        <f>IFERROR(IF(MW$7&gt;$D$3,"",AVERAGE($HJ11:IH11)),"")</f>
        <v>0</v>
      </c>
      <c r="MX11" s="222">
        <f>IFERROR(IF(MX$7&gt;$D$3,"",AVERAGE($HJ11:II11)),"")</f>
        <v>0</v>
      </c>
      <c r="MY11" s="222">
        <f>IFERROR(IF(MY$7&gt;$D$3,"",AVERAGE($HJ11:IJ11)),"")</f>
        <v>0</v>
      </c>
      <c r="MZ11" s="222">
        <f>IFERROR(IF(MZ$7&gt;$D$3,"",AVERAGE($HJ11:IK11)),"")</f>
        <v>0</v>
      </c>
      <c r="NA11" s="222">
        <f>IFERROR(IF(NA$7&gt;$D$3,"",AVERAGE($HJ11:IL11)),"")</f>
        <v>0</v>
      </c>
      <c r="NB11" s="222">
        <f>IFERROR(IF(NB$7&gt;$D$3,"",AVERAGE($HJ11:IM11)),"")</f>
        <v>0</v>
      </c>
      <c r="NC11" s="222">
        <f>IFERROR(IF(NC$7&gt;$D$3,"",AVERAGE($HJ11:IN11)),"")</f>
        <v>0</v>
      </c>
      <c r="ND11" s="222">
        <f>IFERROR(IF(ND$7&gt;$D$3,"",AVERAGE($HJ11:IO11)),"")</f>
        <v>0</v>
      </c>
      <c r="NE11" s="222">
        <f>IFERROR(IF(NE$7&gt;$D$3,"",AVERAGE($HJ11:IP11)),"")</f>
        <v>0</v>
      </c>
      <c r="NF11" s="222">
        <f>IFERROR(IF(NF$7&gt;$D$3,"",AVERAGE($HJ11:IQ11)),"")</f>
        <v>0</v>
      </c>
      <c r="NG11" s="222">
        <f>IFERROR(IF(NG$7&gt;$D$3,"",AVERAGE($HJ11:IR11)),"")</f>
        <v>0</v>
      </c>
      <c r="NH11" s="222">
        <f>IFERROR(IF(NH$7&gt;$D$3,"",AVERAGE($HJ11:IS11)),"")</f>
        <v>0</v>
      </c>
      <c r="NI11" s="222">
        <f>IFERROR(IF(NI$7&gt;$D$3,"",AVERAGE($HJ11:IT11)),"")</f>
        <v>0</v>
      </c>
      <c r="NJ11" s="222">
        <f>IFERROR(IF(NJ$7&gt;$D$3,"",AVERAGE($HJ11:IU11)),"")</f>
        <v>0</v>
      </c>
      <c r="NK11" s="222">
        <f>IFERROR(IF(NK$7&gt;$D$3,"",AVERAGE($HJ11:IV11)),"")</f>
        <v>0</v>
      </c>
      <c r="NL11" s="222">
        <f>IFERROR(IF(NL$7&gt;$D$3,"",AVERAGE($HJ11:IW11)),"")</f>
        <v>0</v>
      </c>
      <c r="NM11" s="222">
        <f>IFERROR(IF(NM$7&gt;$D$3,"",AVERAGE($HJ11:IX11)),"")</f>
        <v>0</v>
      </c>
      <c r="NN11" s="222">
        <f>IFERROR(IF(NN$7&gt;$D$3,"",AVERAGE($HJ11:IY11)),"")</f>
        <v>0</v>
      </c>
      <c r="NO11" s="222" t="str">
        <f>IFERROR(IF(NO$7&gt;$D$3,"",AVERAGE($HJ11:IZ11)),"")</f>
        <v/>
      </c>
      <c r="NP11" s="222" t="str">
        <f>IFERROR(IF(NP$7&gt;$D$3,"",AVERAGE($HJ11:JA11)),"")</f>
        <v/>
      </c>
      <c r="NQ11" s="222" t="str">
        <f>IFERROR(IF(NQ$7&gt;$D$3,"",AVERAGE($HJ11:JB11)),"")</f>
        <v/>
      </c>
      <c r="NR11" s="222" t="str">
        <f>IFERROR(IF(NR$7&gt;$D$3,"",AVERAGE($HJ11:JC11)),"")</f>
        <v/>
      </c>
      <c r="NS11" s="222" t="str">
        <f>IFERROR(IF(NS$7&gt;$D$3,"",AVERAGE($HJ11:JD11)),"")</f>
        <v/>
      </c>
      <c r="NT11" s="222" t="str">
        <f>IFERROR(IF(NT$7&gt;$D$3,"",AVERAGE($HJ11:JE11)),"")</f>
        <v/>
      </c>
      <c r="NU11" s="222" t="str">
        <f>IFERROR(IF(NU$7&gt;$D$3,"",AVERAGE($HJ11:JF11)),"")</f>
        <v/>
      </c>
      <c r="NV11" s="222" t="str">
        <f>IFERROR(IF(NV$7&gt;$D$3,"",AVERAGE($HJ11:JG11)),"")</f>
        <v/>
      </c>
      <c r="NW11" s="222" t="str">
        <f>IFERROR(IF(NW$7&gt;$D$3,"",AVERAGE($HJ11:JH11)),"")</f>
        <v/>
      </c>
      <c r="NX11" s="222" t="str">
        <f>IFERROR(IF(NX$7&gt;$D$3,"",AVERAGE($HJ11:JI11)),"")</f>
        <v/>
      </c>
      <c r="NY11" s="222" t="str">
        <f>IFERROR(IF(NY$7&gt;$D$3,"",AVERAGE($HJ11:JJ11)),"")</f>
        <v/>
      </c>
    </row>
    <row r="12" spans="1:389" x14ac:dyDescent="0.3">
      <c r="A12" t="str">
        <f>$B$10&amp;"-"&amp;C12</f>
        <v>EHS-KPI D1</v>
      </c>
      <c r="B12" s="918">
        <f>+'KPI Stats'!B11</f>
        <v>0</v>
      </c>
      <c r="C12" s="136" t="str">
        <f>+'KPI Stats'!C11</f>
        <v>KPI D1</v>
      </c>
      <c r="D12" s="144" t="str">
        <f>+'KPI Stats'!D11</f>
        <v>Delivery</v>
      </c>
      <c r="E12" s="144" t="str">
        <f>+'KPI Stats'!E11</f>
        <v>Visual Inspection Count</v>
      </c>
      <c r="F12" s="145" t="str">
        <f>+'KPI Stats'!F11</f>
        <v>Count</v>
      </c>
      <c r="G12" s="169" t="str">
        <f>+'KPI Stats'!G11</f>
        <v>Under</v>
      </c>
      <c r="J12" s="69" t="str">
        <f>_xlfn.XLOOKUP((J$7-0),$AM$7:$CM$7,$AM12:$CM12,,FALSE)</f>
        <v>G</v>
      </c>
      <c r="K12" s="264">
        <f>_xlfn.XLOOKUP((K$7-0),$FC$7:$HC$7,$FC12:$HC12,,FALSE)</f>
        <v>103</v>
      </c>
      <c r="L12" s="269">
        <f>_xlfn.XLOOKUP((L$7-0),$HJ$7:$JJ$7,$HJ12:$JJ12,,FALSE)</f>
        <v>100</v>
      </c>
      <c r="M12" s="272">
        <f>_xlfn.XLOOKUP((M$7-1),$CU$7:$EU$7,$CU12:$EU12,,FALSE)</f>
        <v>1.04</v>
      </c>
      <c r="P12" s="69" t="str">
        <f>_xlfn.XLOOKUP((P$7-1),$AM$7:$CM$7,$AM12:$CM12,,FALSE)</f>
        <v>G</v>
      </c>
      <c r="Q12" s="264">
        <f t="shared" si="23"/>
        <v>103</v>
      </c>
      <c r="R12" s="278">
        <f t="shared" si="23"/>
        <v>104</v>
      </c>
      <c r="S12" s="288">
        <f>_xlfn.XLOOKUP((S$7-1),$CU$7:$EU$7,$CU12:$EU12,,FALSE)</f>
        <v>1.04</v>
      </c>
      <c r="T12" s="265">
        <f>_xlfn.XLOOKUP((T$7-1),$CU$7:$EU$7,$CU12:$EU12,,FALSE)</f>
        <v>1.1200000000000001</v>
      </c>
      <c r="U12" s="295" t="str">
        <f>IF(F10&lt;$R$2,"Not Complete",IF(Q12=R12,"Same −",IF($G12="Over",IF(Q12&lt;R12,"Better ↑","Worse ↓"),IF($G12="Under",IF(Q12&gt;R12,"Better ↑","Worse ↓"),"err"))))</f>
        <v>Worse ↓</v>
      </c>
      <c r="X12" s="69" t="str">
        <f t="shared" si="24"/>
        <v>G</v>
      </c>
      <c r="Y12" s="264">
        <f>_xlfn.XLOOKUP((Y$7-0),$JR$7:$LR$7,$JR12:$LR12,FALSE)</f>
        <v>66.878048780487802</v>
      </c>
      <c r="Z12" s="278">
        <f>_xlfn.XLOOKUP((Z$7-0),$LY$7:$NY$7,$LY12:$NY12,FALSE)</f>
        <v>59.878048780487802</v>
      </c>
      <c r="AA12" s="288">
        <f>IFERROR(IF(G12="under",Y12/Z12,IF(G12="Over",Z12/Y12,"")),"")</f>
        <v>1.1169042769857433</v>
      </c>
      <c r="AB12" s="295" t="str">
        <f>IF(F10&lt;($R$2-1),"TBC",IF(Y12=Z12,"Same −",IF($G12="Over",IF(Z12&lt;Y12,"Better ↑ ","Worse ↓ "),IF($G12="Under",IF(Y12&gt;Z12,"Better ↑ ","Worse ↓ "),"err"))))</f>
        <v xml:space="preserve">Better ↑ </v>
      </c>
      <c r="AC12" s="69" t="str">
        <f>IF(AND(G12="above adero",AD12&gt;0),"R",IF(AF12&gt;1,"G",IF(AF12&gt;0.95,"A","R")))</f>
        <v>G</v>
      </c>
      <c r="AD12" s="264">
        <f>_xlfn.XLOOKUP(AD$7,$JR$7:$LR$7,$JR12:$LR12,FALSE)</f>
        <v>65.974999999999994</v>
      </c>
      <c r="AE12" s="278">
        <f>_xlfn.XLOOKUP(AE$7,$LY$7:$NY$7,$LY12:$NY12,FALSE)</f>
        <v>58.875</v>
      </c>
      <c r="AF12" s="272">
        <f>IFERROR(IF(G12="under",AD12/AE12,IF(G12="Over",AE12/AD12,"")),"")</f>
        <v>1.1205944798301486</v>
      </c>
      <c r="AH12" s="465" t="str">
        <f>+$A12</f>
        <v>EHS-KPI D1</v>
      </c>
      <c r="AI12" s="136" t="str">
        <f t="shared" si="25"/>
        <v>KPI D1</v>
      </c>
      <c r="AJ12" s="144" t="str">
        <f t="shared" si="25"/>
        <v>Delivery</v>
      </c>
      <c r="AK12" s="144" t="str">
        <f t="shared" si="5"/>
        <v>Visual Inspection Count</v>
      </c>
      <c r="AL12" s="145" t="str">
        <f t="shared" si="5"/>
        <v>Count</v>
      </c>
      <c r="AM12" s="69" t="str">
        <f>IF(AM$7&gt;$D$3,"",_xlfn.XLOOKUP(AM$7,EHS!$M$6:$BM$6,EHS!$M$13:$BM$13))</f>
        <v>Blank</v>
      </c>
      <c r="AN12" s="199" t="str">
        <f>IF(AN$7&gt;$D$3,"",_xlfn.XLOOKUP(AN$7,EHS!$M$6:$BM$6,EHS!$M$13:$BM$13))</f>
        <v>A</v>
      </c>
      <c r="AO12" s="69" t="str">
        <f>IF(AO$7&gt;$D$3,"",_xlfn.XLOOKUP(AO$7,EHS!$M$6:$BM$6,EHS!$M$13:$BM$13))</f>
        <v>G</v>
      </c>
      <c r="AP12" s="69" t="str">
        <f>IF(AP$7&gt;$D$3,"",_xlfn.XLOOKUP(AP$7,EHS!$M$6:$BM$6,EHS!$M$13:$BM$13))</f>
        <v>G</v>
      </c>
      <c r="AQ12" s="69" t="str">
        <f>IF(AQ$7&gt;$D$3,"",_xlfn.XLOOKUP(AQ$7,EHS!$M$6:$BM$6,EHS!$M$13:$BM$13))</f>
        <v>G</v>
      </c>
      <c r="AR12" s="69" t="str">
        <f>IF(AR$7&gt;$D$3,"",_xlfn.XLOOKUP(AR$7,EHS!$M$6:$BM$6,EHS!$M$13:$BM$13))</f>
        <v>G</v>
      </c>
      <c r="AS12" s="69" t="str">
        <f>IF(AS$7&gt;$D$3,"",_xlfn.XLOOKUP(AS$7,EHS!$M$6:$BM$6,EHS!$M$13:$BM$13))</f>
        <v>G</v>
      </c>
      <c r="AT12" s="69" t="str">
        <f>IF(AT$7&gt;$D$3,"",_xlfn.XLOOKUP(AT$7,EHS!$M$6:$BM$6,EHS!$M$13:$BM$13))</f>
        <v>G</v>
      </c>
      <c r="AU12" s="69" t="str">
        <f>IF(AU$7&gt;$D$3,"",_xlfn.XLOOKUP(AU$7,EHS!$M$6:$BM$6,EHS!$M$13:$BM$13))</f>
        <v>G</v>
      </c>
      <c r="AV12" s="69" t="str">
        <f>IF(AV$7&gt;$D$3,"",_xlfn.XLOOKUP(AV$7,EHS!$M$6:$BM$6,EHS!$M$13:$BM$13))</f>
        <v>G</v>
      </c>
      <c r="AW12" s="69" t="str">
        <f>IF(AW$7&gt;$D$3,"",_xlfn.XLOOKUP(AW$7,EHS!$M$6:$BM$6,EHS!$M$13:$BM$13))</f>
        <v>G</v>
      </c>
      <c r="AX12" s="69" t="str">
        <f>IF(AX$7&gt;$D$3,"",_xlfn.XLOOKUP(AX$7,EHS!$M$6:$BM$6,EHS!$M$13:$BM$13))</f>
        <v>G</v>
      </c>
      <c r="AY12" s="69" t="str">
        <f>IF(AY$7&gt;$D$3,"",_xlfn.XLOOKUP(AY$7,EHS!$M$6:$BM$6,EHS!$M$13:$BM$13))</f>
        <v>G</v>
      </c>
      <c r="AZ12" s="69" t="str">
        <f>IF(AZ$7&gt;$D$3,"",_xlfn.XLOOKUP(AZ$7,EHS!$M$6:$BM$6,EHS!$M$13:$BM$13))</f>
        <v>G</v>
      </c>
      <c r="BA12" s="69" t="str">
        <f>IF(BA$7&gt;$D$3,"",_xlfn.XLOOKUP(BA$7,EHS!$M$6:$BM$6,EHS!$M$13:$BM$13))</f>
        <v>G</v>
      </c>
      <c r="BB12" s="69" t="str">
        <f>IF(BB$7&gt;$D$3,"",_xlfn.XLOOKUP(BB$7,EHS!$M$6:$BM$6,EHS!$M$13:$BM$13))</f>
        <v>R</v>
      </c>
      <c r="BC12" s="69" t="str">
        <f>IF(BC$7&gt;$D$3,"",_xlfn.XLOOKUP(BC$7,EHS!$M$6:$BM$6,EHS!$M$13:$BM$13))</f>
        <v>R</v>
      </c>
      <c r="BD12" s="69" t="str">
        <f>IF(BD$7&gt;$D$3,"",_xlfn.XLOOKUP(BD$7,EHS!$M$6:$BM$6,EHS!$M$13:$BM$13))</f>
        <v>R</v>
      </c>
      <c r="BE12" s="69" t="str">
        <f>IF(BE$7&gt;$D$3,"",_xlfn.XLOOKUP(BE$7,EHS!$M$6:$BM$6,EHS!$M$13:$BM$13))</f>
        <v>R</v>
      </c>
      <c r="BF12" s="69" t="str">
        <f>IF(BF$7&gt;$D$3,"",_xlfn.XLOOKUP(BF$7,EHS!$M$6:$BM$6,EHS!$M$13:$BM$13))</f>
        <v>G</v>
      </c>
      <c r="BG12" s="69" t="str">
        <f>IF(BG$7&gt;$D$3,"",_xlfn.XLOOKUP(BG$7,EHS!$M$6:$BM$6,EHS!$M$13:$BM$13))</f>
        <v>R</v>
      </c>
      <c r="BH12" s="69" t="str">
        <f>IF(BH$7&gt;$D$3,"",_xlfn.XLOOKUP(BH$7,EHS!$M$6:$BM$6,EHS!$M$13:$BM$13))</f>
        <v>R</v>
      </c>
      <c r="BI12" s="69" t="str">
        <f>IF(BI$7&gt;$D$3,"",_xlfn.XLOOKUP(BI$7,EHS!$M$6:$BM$6,EHS!$M$13:$BM$13))</f>
        <v>G</v>
      </c>
      <c r="BJ12" s="69" t="str">
        <f>IF(BJ$7&gt;$D$3,"",_xlfn.XLOOKUP(BJ$7,EHS!$M$6:$BM$6,EHS!$M$13:$BM$13))</f>
        <v>G</v>
      </c>
      <c r="BK12" s="69" t="str">
        <f>IF(BK$7&gt;$D$3,"",_xlfn.XLOOKUP(BK$7,EHS!$M$6:$BM$6,EHS!$M$13:$BM$13))</f>
        <v>G</v>
      </c>
      <c r="BL12" s="69" t="str">
        <f>IF(BL$7&gt;$D$3,"",_xlfn.XLOOKUP(BL$7,EHS!$M$6:$BM$6,EHS!$M$13:$BM$13))</f>
        <v>G</v>
      </c>
      <c r="BM12" s="69" t="str">
        <f>IF(BM$7&gt;$D$3,"",_xlfn.XLOOKUP(BM$7,EHS!$M$6:$BM$6,EHS!$M$13:$BM$13))</f>
        <v>G</v>
      </c>
      <c r="BN12" s="69" t="str">
        <f>IF(BN$7&gt;$D$3,"",_xlfn.XLOOKUP(BN$7,EHS!$M$6:$BM$6,EHS!$M$13:$BM$13))</f>
        <v>G</v>
      </c>
      <c r="BO12" s="69" t="str">
        <f>IF(BO$7&gt;$D$3,"",_xlfn.XLOOKUP(BO$7,EHS!$M$6:$BM$6,EHS!$M$13:$BM$13))</f>
        <v>G</v>
      </c>
      <c r="BP12" s="69" t="str">
        <f>IF(BP$7&gt;$D$3,"",_xlfn.XLOOKUP(BP$7,EHS!$M$6:$BM$6,EHS!$M$13:$BM$13))</f>
        <v>G</v>
      </c>
      <c r="BQ12" s="69" t="str">
        <f>IF(BQ$7&gt;$D$3,"",_xlfn.XLOOKUP(BQ$7,EHS!$M$6:$BM$6,EHS!$M$13:$BM$13))</f>
        <v>G</v>
      </c>
      <c r="BR12" s="69" t="str">
        <f>IF(BR$7&gt;$D$3,"",_xlfn.XLOOKUP(BR$7,EHS!$M$6:$BM$6,EHS!$M$13:$BM$13))</f>
        <v>G</v>
      </c>
      <c r="BS12" s="69" t="str">
        <f>IF(BS$7&gt;$D$3,"",_xlfn.XLOOKUP(BS$7,EHS!$M$6:$BM$6,EHS!$M$13:$BM$13))</f>
        <v>A</v>
      </c>
      <c r="BT12" s="69" t="str">
        <f>IF(BT$7&gt;$D$3,"",_xlfn.XLOOKUP(BT$7,EHS!$M$6:$BM$6,EHS!$M$13:$BM$13))</f>
        <v>G</v>
      </c>
      <c r="BU12" s="69" t="str">
        <f>IF(BU$7&gt;$D$3,"",_xlfn.XLOOKUP(BU$7,EHS!$M$6:$BM$6,EHS!$M$13:$BM$13))</f>
        <v>G</v>
      </c>
      <c r="BV12" s="69" t="str">
        <f>IF(BV$7&gt;$D$3,"",_xlfn.XLOOKUP(BV$7,EHS!$M$6:$BM$6,EHS!$M$13:$BM$13))</f>
        <v>G</v>
      </c>
      <c r="BW12" s="69" t="str">
        <f>IF(BW$7&gt;$D$3,"",_xlfn.XLOOKUP(BW$7,EHS!$M$6:$BM$6,EHS!$M$13:$BM$13))</f>
        <v>G</v>
      </c>
      <c r="BX12" s="69" t="str">
        <f>IF(BX$7&gt;$D$3,"",_xlfn.XLOOKUP(BX$7,EHS!$M$6:$BM$6,EHS!$M$13:$BM$13))</f>
        <v>G</v>
      </c>
      <c r="BY12" s="69" t="str">
        <f>IF(BY$7&gt;$D$3,"",_xlfn.XLOOKUP(BY$7,EHS!$M$6:$BM$6,EHS!$M$13:$BM$13))</f>
        <v>G</v>
      </c>
      <c r="BZ12" s="69" t="str">
        <f>IF(BZ$7&gt;$D$3,"",_xlfn.XLOOKUP(BZ$7,EHS!$M$6:$BM$6,EHS!$M$13:$BM$13))</f>
        <v>G</v>
      </c>
      <c r="CA12" s="69" t="str">
        <f>IF(CA$7&gt;$D$3,"",_xlfn.XLOOKUP(CA$7,EHS!$M$6:$BM$6,EHS!$M$13:$BM$13))</f>
        <v>G</v>
      </c>
      <c r="CB12" s="69" t="str">
        <f>IF(CB$7&gt;$D$3,"",_xlfn.XLOOKUP(CB$7,EHS!$M$6:$BM$6,EHS!$M$13:$BM$13))</f>
        <v>G</v>
      </c>
      <c r="CC12" s="69" t="str">
        <f>IF(CC$7&gt;$D$3,"",_xlfn.XLOOKUP(CC$7,EHS!$M$6:$BM$6,EHS!$M$13:$BM$13))</f>
        <v/>
      </c>
      <c r="CD12" s="69" t="str">
        <f>IF(CD$7&gt;$D$3,"",_xlfn.XLOOKUP(CD$7,EHS!$M$6:$BM$6,EHS!$M$13:$BM$13))</f>
        <v/>
      </c>
      <c r="CE12" s="69" t="str">
        <f>IF(CE$7&gt;$D$3,"",_xlfn.XLOOKUP(CE$7,EHS!$M$6:$BM$6,EHS!$M$13:$BM$13))</f>
        <v/>
      </c>
      <c r="CF12" s="69" t="str">
        <f>IF(CF$7&gt;$D$3,"",_xlfn.XLOOKUP(CF$7,EHS!$M$6:$BM$6,EHS!$M$13:$BM$13))</f>
        <v/>
      </c>
      <c r="CG12" s="69" t="str">
        <f>IF(CG$7&gt;$D$3,"",_xlfn.XLOOKUP(CG$7,EHS!$M$6:$BM$6,EHS!$M$13:$BM$13))</f>
        <v/>
      </c>
      <c r="CH12" s="69" t="str">
        <f>IF(CH$7&gt;$D$3,"",_xlfn.XLOOKUP(CH$7,EHS!$M$6:$BM$6,EHS!$M$13:$BM$13))</f>
        <v/>
      </c>
      <c r="CI12" s="69" t="str">
        <f>IF(CI$7&gt;$D$3,"",_xlfn.XLOOKUP(CI$7,EHS!$M$6:$BM$6,EHS!$M$13:$BM$13))</f>
        <v/>
      </c>
      <c r="CJ12" s="69" t="str">
        <f>IF(CJ$7&gt;$D$3,"",_xlfn.XLOOKUP(CJ$7,EHS!$M$6:$BM$6,EHS!$M$13:$BM$13))</f>
        <v/>
      </c>
      <c r="CK12" s="69" t="str">
        <f>IF(CK$7&gt;$D$3,"",_xlfn.XLOOKUP(CK$7,EHS!$M$6:$BM$6,EHS!$M$13:$BM$13))</f>
        <v/>
      </c>
      <c r="CL12" s="69" t="str">
        <f>IF(CL$7&gt;$D$3,"",_xlfn.XLOOKUP(CL$7,EHS!$M$6:$BM$6,EHS!$M$13:$BM$13))</f>
        <v/>
      </c>
      <c r="CM12" s="69" t="str">
        <f>IF(CM$7&gt;$D$3,"",_xlfn.XLOOKUP(CM$7,EHS!$M$6:$BM$6,EHS!$M$13:$BM$13))</f>
        <v/>
      </c>
      <c r="CO12" s="465" t="str">
        <f>+$A12</f>
        <v>EHS-KPI D1</v>
      </c>
      <c r="CP12" s="136" t="str">
        <f t="shared" si="26"/>
        <v>KPI D1</v>
      </c>
      <c r="CQ12" s="144" t="str">
        <f t="shared" si="26"/>
        <v>Delivery</v>
      </c>
      <c r="CR12" s="144" t="str">
        <f t="shared" si="7"/>
        <v>Visual Inspection Count</v>
      </c>
      <c r="CS12" s="145" t="str">
        <f t="shared" si="7"/>
        <v>Count</v>
      </c>
      <c r="CT12" s="207" t="s">
        <v>246</v>
      </c>
      <c r="CU12" s="69" t="str">
        <f>IF(CU$7&gt;$D$3,"",_xlfn.XLOOKUP(CU$7,EHS!$M$6:$BM$6,EHS!$M$13:$BM$13))</f>
        <v>Blank</v>
      </c>
      <c r="CV12" s="760">
        <f>IFERROR(IF(CV$7&gt;$D$3,"",IF(AN12="OD","OD",IF(AN12="Missed","Missed",IF(AN12="TBC","TBC",IF(AN12="Undefined","Undefined",_xlfn.XLOOKUP(CV$7,EHS!$M$6:$BM$6,EHS!$M$12:$BM$12)/_xlfn.XLOOKUP(CV$7,EHS!$M$6:$BM$6,EHS!$M$11:$BM$11)))))),"")</f>
        <v>0.97777777777777775</v>
      </c>
      <c r="CW12" s="761">
        <f>IFERROR(IF(CW$7&gt;$D$3,"",IF(AO12="OD","OD",IF(AO12="Missed","Missed",IF(AO12="TBC","TBC",IF(AO12="Undefined","Undefined",_xlfn.XLOOKUP(CW$7,EHS!$M$6:$BM$6,EHS!$M$12:$BM$12)/_xlfn.XLOOKUP(CW$7,EHS!$M$6:$BM$6,EHS!$M$11:$BM$11)))))),"")</f>
        <v>1.2444444444444445</v>
      </c>
      <c r="CX12" s="761">
        <f>IFERROR(IF(CX$7&gt;$D$3,"",IF(AP12="OD","OD",IF(AP12="Missed","Missed",IF(AP12="TBC","TBC",IF(AP12="Undefined","Undefined",_xlfn.XLOOKUP(CX$7,EHS!$M$6:$BM$6,EHS!$M$12:$BM$12)/_xlfn.XLOOKUP(CX$7,EHS!$M$6:$BM$6,EHS!$M$11:$BM$11)))))),"")</f>
        <v>1.0888888888888888</v>
      </c>
      <c r="CY12" s="761">
        <f>IFERROR(IF(CY$7&gt;$D$3,"",IF(AQ12="OD","OD",IF(AQ12="Missed","Missed",IF(AQ12="TBC","TBC",IF(AQ12="Undefined","Undefined",_xlfn.XLOOKUP(CY$7,EHS!$M$6:$BM$6,EHS!$M$12:$BM$12)/_xlfn.XLOOKUP(CY$7,EHS!$M$6:$BM$6,EHS!$M$11:$BM$11)))))),"")</f>
        <v>1.1111111111111112</v>
      </c>
      <c r="CZ12" s="761">
        <f>IFERROR(IF(CZ$7&gt;$D$3,"",IF(AR12="OD","OD",IF(AR12="Missed","Missed",IF(AR12="TBC","TBC",IF(AR12="Undefined","Undefined",_xlfn.XLOOKUP(CZ$7,EHS!$M$6:$BM$6,EHS!$M$12:$BM$12)/_xlfn.XLOOKUP(CZ$7,EHS!$M$6:$BM$6,EHS!$M$11:$BM$11)))))),"")</f>
        <v>1.1555555555555554</v>
      </c>
      <c r="DA12" s="761">
        <f>IFERROR(IF(DA$7&gt;$D$3,"",IF(AS12="OD","OD",IF(AS12="Missed","Missed",IF(AS12="TBC","TBC",IF(AS12="Undefined","Undefined",_xlfn.XLOOKUP(DA$7,EHS!$M$6:$BM$6,EHS!$M$12:$BM$12)/_xlfn.XLOOKUP(DA$7,EHS!$M$6:$BM$6,EHS!$M$11:$BM$11)))))),"")</f>
        <v>1.1777777777777778</v>
      </c>
      <c r="DB12" s="761">
        <f>IFERROR(IF(DB$7&gt;$D$3,"",IF(AT12="OD","OD",IF(AT12="Missed","Missed",IF(AT12="TBC","TBC",IF(AT12="Undefined","Undefined",_xlfn.XLOOKUP(DB$7,EHS!$M$6:$BM$6,EHS!$M$12:$BM$12)/_xlfn.XLOOKUP(DB$7,EHS!$M$6:$BM$6,EHS!$M$11:$BM$11)))))),"")</f>
        <v>1.0444444444444445</v>
      </c>
      <c r="DC12" s="761">
        <f>IFERROR(IF(DC$7&gt;$D$3,"",IF(AU12="OD","OD",IF(AU12="Missed","Missed",IF(AU12="TBC","TBC",IF(AU12="Undefined","Undefined",_xlfn.XLOOKUP(DC$7,EHS!$M$6:$BM$6,EHS!$M$12:$BM$12)/_xlfn.XLOOKUP(DC$7,EHS!$M$6:$BM$6,EHS!$M$11:$BM$11)))))),"")</f>
        <v>1</v>
      </c>
      <c r="DD12" s="761">
        <f>IFERROR(IF(DD$7&gt;$D$3,"",IF(AV12="OD","OD",IF(AV12="Missed","Missed",IF(AV12="TBC","TBC",IF(AV12="Undefined","Undefined",_xlfn.XLOOKUP(DD$7,EHS!$M$6:$BM$6,EHS!$M$12:$BM$12)/_xlfn.XLOOKUP(DD$7,EHS!$M$6:$BM$6,EHS!$M$11:$BM$11)))))),"")</f>
        <v>1.6</v>
      </c>
      <c r="DE12" s="761">
        <f>IFERROR(IF(DE$7&gt;$D$3,"",IF(AW12="OD","OD",IF(AW12="Missed","Missed",IF(AW12="TBC","TBC",IF(AW12="Undefined","Undefined",_xlfn.XLOOKUP(DE$7,EHS!$M$6:$BM$6,EHS!$M$12:$BM$12)/_xlfn.XLOOKUP(DE$7,EHS!$M$6:$BM$6,EHS!$M$11:$BM$11)))))),"")</f>
        <v>1.2444444444444445</v>
      </c>
      <c r="DF12" s="761">
        <f>IFERROR(IF(DF$7&gt;$D$3,"",IF(AX12="OD","OD",IF(AX12="Missed","Missed",IF(AX12="TBC","TBC",IF(AX12="Undefined","Undefined",_xlfn.XLOOKUP(DF$7,EHS!$M$6:$BM$6,EHS!$M$12:$BM$12)/_xlfn.XLOOKUP(DF$7,EHS!$M$6:$BM$6,EHS!$M$11:$BM$11)))))),"")</f>
        <v>1.0444444444444445</v>
      </c>
      <c r="DG12" s="761">
        <f>IFERROR(IF(DG$7&gt;$D$3,"",IF(AY12="OD","OD",IF(AY12="Missed","Missed",IF(AY12="TBC","TBC",IF(AY12="Undefined","Undefined",_xlfn.XLOOKUP(DG$7,EHS!$M$6:$BM$6,EHS!$M$12:$BM$12)/_xlfn.XLOOKUP(DG$7,EHS!$M$6:$BM$6,EHS!$M$11:$BM$11)))))),"")</f>
        <v>1</v>
      </c>
      <c r="DH12" s="761">
        <f>IFERROR(IF(DH$7&gt;$D$3,"",IF(AZ12="OD","OD",IF(AZ12="Missed","Missed",IF(AZ12="TBC","TBC",IF(AZ12="Undefined","Undefined",_xlfn.XLOOKUP(DH$7,EHS!$M$6:$BM$6,EHS!$M$12:$BM$12)/_xlfn.XLOOKUP(DH$7,EHS!$M$6:$BM$6,EHS!$M$11:$BM$11)))))),"")</f>
        <v>1</v>
      </c>
      <c r="DI12" s="761">
        <f>IFERROR(IF(DI$7&gt;$D$3,"",IF(BA12="OD","OD",IF(BA12="Missed","Missed",IF(BA12="TBC","TBC",IF(BA12="Undefined","Undefined",_xlfn.XLOOKUP(DI$7,EHS!$M$6:$BM$6,EHS!$M$12:$BM$12)/_xlfn.XLOOKUP(DI$7,EHS!$M$6:$BM$6,EHS!$M$11:$BM$11)))))),"")</f>
        <v>1.0363636363636364</v>
      </c>
      <c r="DJ12" s="761">
        <f>IFERROR(IF(DJ$7&gt;$D$3,"",IF(BB12="OD","OD",IF(BB12="Missed","Missed",IF(BB12="TBC","TBC",IF(BB12="Undefined","Undefined",_xlfn.XLOOKUP(DJ$7,EHS!$M$6:$BM$6,EHS!$M$12:$BM$12)/_xlfn.XLOOKUP(DJ$7,EHS!$M$6:$BM$6,EHS!$M$11:$BM$11)))))),"")</f>
        <v>0.69090909090909092</v>
      </c>
      <c r="DK12" s="761">
        <f>IFERROR(IF(DK$7&gt;$D$3,"",IF(BC12="OD","OD",IF(BC12="Missed","Missed",IF(BC12="TBC","TBC",IF(BC12="Undefined","Undefined",_xlfn.XLOOKUP(DK$7,EHS!$M$6:$BM$6,EHS!$M$12:$BM$12)/_xlfn.XLOOKUP(DK$7,EHS!$M$6:$BM$6,EHS!$M$11:$BM$11)))))),"")</f>
        <v>0.54545454545454541</v>
      </c>
      <c r="DL12" s="761">
        <f>IFERROR(IF(DL$7&gt;$D$3,"",IF(BD12="OD","OD",IF(BD12="Missed","Missed",IF(BD12="TBC","TBC",IF(BD12="Undefined","Undefined",_xlfn.XLOOKUP(DL$7,EHS!$M$6:$BM$6,EHS!$M$12:$BM$12)/_xlfn.XLOOKUP(DL$7,EHS!$M$6:$BM$6,EHS!$M$11:$BM$11)))))),"")</f>
        <v>0.74545454545454548</v>
      </c>
      <c r="DM12" s="761">
        <f>IFERROR(IF(DM$7&gt;$D$3,"",IF(BE12="OD","OD",IF(BE12="Missed","Missed",IF(BE12="TBC","TBC",IF(BE12="Undefined","Undefined",_xlfn.XLOOKUP(DM$7,EHS!$M$6:$BM$6,EHS!$M$12:$BM$12)/_xlfn.XLOOKUP(DM$7,EHS!$M$6:$BM$6,EHS!$M$11:$BM$11)))))),"")</f>
        <v>0.6</v>
      </c>
      <c r="DN12" s="761">
        <f>IFERROR(IF(DN$7&gt;$D$3,"",IF(BF12="OD","OD",IF(BF12="Missed","Missed",IF(BF12="TBC","TBC",IF(BF12="Undefined","Undefined",_xlfn.XLOOKUP(DN$7,EHS!$M$6:$BM$6,EHS!$M$12:$BM$12)/_xlfn.XLOOKUP(DN$7,EHS!$M$6:$BM$6,EHS!$M$11:$BM$11)))))),"")</f>
        <v>1.2181818181818183</v>
      </c>
      <c r="DO12" s="761">
        <f>IFERROR(IF(DO$7&gt;$D$3,"",IF(BG12="OD","OD",IF(BG12="Missed","Missed",IF(BG12="TBC","TBC",IF(BG12="Undefined","Undefined",_xlfn.XLOOKUP(DO$7,EHS!$M$6:$BM$6,EHS!$M$12:$BM$12)/_xlfn.XLOOKUP(DO$7,EHS!$M$6:$BM$6,EHS!$M$11:$BM$11)))))),"")</f>
        <v>0.87272727272727268</v>
      </c>
      <c r="DP12" s="761">
        <f>IFERROR(IF(DP$7&gt;$D$3,"",IF(BH12="OD","OD",IF(BH12="Missed","Missed",IF(BH12="TBC","TBC",IF(BH12="Undefined","Undefined",_xlfn.XLOOKUP(DP$7,EHS!$M$6:$BM$6,EHS!$M$12:$BM$12)/_xlfn.XLOOKUP(DP$7,EHS!$M$6:$BM$6,EHS!$M$11:$BM$11)))))),"")</f>
        <v>0.8545454545454545</v>
      </c>
      <c r="DQ12" s="761">
        <f>IFERROR(IF(DQ$7&gt;$D$3,"",IF(BI12="OD","OD",IF(BI12="Missed","Missed",IF(BI12="TBC","TBC",IF(BI12="Undefined","Undefined",_xlfn.XLOOKUP(DQ$7,EHS!$M$6:$BM$6,EHS!$M$12:$BM$12)/_xlfn.XLOOKUP(DQ$7,EHS!$M$6:$BM$6,EHS!$M$11:$BM$11)))))),"")</f>
        <v>1.2363636363636363</v>
      </c>
      <c r="DR12" s="761">
        <f>IFERROR(IF(DR$7&gt;$D$3,"",IF(BJ12="OD","OD",IF(BJ12="Missed","Missed",IF(BJ12="TBC","TBC",IF(BJ12="Undefined","Undefined",_xlfn.XLOOKUP(DR$7,EHS!$M$6:$BM$6,EHS!$M$12:$BM$12)/_xlfn.XLOOKUP(DR$7,EHS!$M$6:$BM$6,EHS!$M$11:$BM$11)))))),"")</f>
        <v>1.290909090909091</v>
      </c>
      <c r="DS12" s="761">
        <f>IFERROR(IF(DS$7&gt;$D$3,"",IF(BK12="OD","OD",IF(BK12="Missed","Missed",IF(BK12="TBC","TBC",IF(BK12="Undefined","Undefined",_xlfn.XLOOKUP(DS$7,EHS!$M$6:$BM$6,EHS!$M$12:$BM$12)/_xlfn.XLOOKUP(DS$7,EHS!$M$6:$BM$6,EHS!$M$11:$BM$11)))))),"")</f>
        <v>1.2727272727272727</v>
      </c>
      <c r="DT12" s="761">
        <f>IFERROR(IF(DT$7&gt;$D$3,"",IF(BL12="OD","OD",IF(BL12="Missed","Missed",IF(BL12="TBC","TBC",IF(BL12="Undefined","Undefined",_xlfn.XLOOKUP(DT$7,EHS!$M$6:$BM$6,EHS!$M$12:$BM$12)/_xlfn.XLOOKUP(DT$7,EHS!$M$6:$BM$6,EHS!$M$11:$BM$11)))))),"")</f>
        <v>1.490909090909091</v>
      </c>
      <c r="DU12" s="761">
        <f>IFERROR(IF(DU$7&gt;$D$3,"",IF(BM12="OD","OD",IF(BM12="Missed","Missed",IF(BM12="TBC","TBC",IF(BM12="Undefined","Undefined",_xlfn.XLOOKUP(DU$7,EHS!$M$6:$BM$6,EHS!$M$12:$BM$12)/_xlfn.XLOOKUP(DU$7,EHS!$M$6:$BM$6,EHS!$M$11:$BM$11)))))),"")</f>
        <v>1.1000000000000001</v>
      </c>
      <c r="DV12" s="761">
        <f>IFERROR(IF(DV$7&gt;$D$3,"",IF(BN12="OD","OD",IF(BN12="Missed","Missed",IF(BN12="TBC","TBC",IF(BN12="Undefined","Undefined",_xlfn.XLOOKUP(DV$7,EHS!$M$6:$BM$6,EHS!$M$12:$BM$12)/_xlfn.XLOOKUP(DV$7,EHS!$M$6:$BM$6,EHS!$M$11:$BM$11)))))),"")</f>
        <v>1.1571428571428573</v>
      </c>
      <c r="DW12" s="761">
        <f>IFERROR(IF(DW$7&gt;$D$3,"",IF(BO12="OD","OD",IF(BO12="Missed","Missed",IF(BO12="TBC","TBC",IF(BO12="Undefined","Undefined",_xlfn.XLOOKUP(DW$7,EHS!$M$6:$BM$6,EHS!$M$12:$BM$12)/_xlfn.XLOOKUP(DW$7,EHS!$M$6:$BM$6,EHS!$M$11:$BM$11)))))),"")</f>
        <v>1.1857142857142857</v>
      </c>
      <c r="DX12" s="761">
        <f>IFERROR(IF(DX$7&gt;$D$3,"",IF(BP12="OD","OD",IF(BP12="Missed","Missed",IF(BP12="TBC","TBC",IF(BP12="Undefined","Undefined",_xlfn.XLOOKUP(DX$7,EHS!$M$6:$BM$6,EHS!$M$12:$BM$12)/_xlfn.XLOOKUP(DX$7,EHS!$M$6:$BM$6,EHS!$M$11:$BM$11)))))),"")</f>
        <v>1.0285714285714285</v>
      </c>
      <c r="DY12" s="761">
        <f>IFERROR(IF(DY$7&gt;$D$3,"",IF(BQ12="OD","OD",IF(BQ12="Missed","Missed",IF(BQ12="TBC","TBC",IF(BQ12="Undefined","Undefined",_xlfn.XLOOKUP(DY$7,EHS!$M$6:$BM$6,EHS!$M$12:$BM$12)/_xlfn.XLOOKUP(DY$7,EHS!$M$6:$BM$6,EHS!$M$11:$BM$11)))))),"")</f>
        <v>1.3714285714285714</v>
      </c>
      <c r="DZ12" s="761">
        <f>IFERROR(IF(DZ$7&gt;$D$3,"",IF(BR12="OD","OD",IF(BR12="Missed","Missed",IF(BR12="TBC","TBC",IF(BR12="Undefined","Undefined",_xlfn.XLOOKUP(DZ$7,EHS!$M$6:$BM$6,EHS!$M$12:$BM$12)/_xlfn.XLOOKUP(DZ$7,EHS!$M$6:$BM$6,EHS!$M$11:$BM$11)))))),"")</f>
        <v>1.1142857142857143</v>
      </c>
      <c r="EA12" s="761">
        <f>IFERROR(IF(EA$7&gt;$D$3,"",IF(BS12="OD","OD",IF(BS12="Missed","Missed",IF(BS12="TBC","TBC",IF(BS12="Undefined","Undefined",_xlfn.XLOOKUP(EA$7,EHS!$M$6:$BM$6,EHS!$M$12:$BM$12)/_xlfn.XLOOKUP(EA$7,EHS!$M$6:$BM$6,EHS!$M$11:$BM$11)))))),"")</f>
        <v>0.95714285714285718</v>
      </c>
      <c r="EB12" s="761">
        <f>IFERROR(IF(EB$7&gt;$D$3,"",IF(BT12="OD","OD",IF(BT12="Missed","Missed",IF(BT12="TBC","TBC",IF(BT12="Undefined","Undefined",_xlfn.XLOOKUP(EB$7,EHS!$M$6:$BM$6,EHS!$M$12:$BM$12)/_xlfn.XLOOKUP(EB$7,EHS!$M$6:$BM$6,EHS!$M$11:$BM$11)))))),"")</f>
        <v>1.2285714285714286</v>
      </c>
      <c r="EC12" s="761">
        <f>IFERROR(IF(EC$7&gt;$D$3,"",IF(BU12="OD","OD",IF(BU12="Missed","Missed",IF(BU12="TBC","TBC",IF(BU12="Undefined","Undefined",_xlfn.XLOOKUP(EC$7,EHS!$M$6:$BM$6,EHS!$M$12:$BM$12)/_xlfn.XLOOKUP(EC$7,EHS!$M$6:$BM$6,EHS!$M$11:$BM$11)))))),"")</f>
        <v>1.2142857142857142</v>
      </c>
      <c r="ED12" s="761">
        <f>IFERROR(IF(ED$7&gt;$D$3,"",IF(BV12="OD","OD",IF(BV12="Missed","Missed",IF(BV12="TBC","TBC",IF(BV12="Undefined","Undefined",_xlfn.XLOOKUP(ED$7,EHS!$M$6:$BM$6,EHS!$M$12:$BM$12)/_xlfn.XLOOKUP(ED$7,EHS!$M$6:$BM$6,EHS!$M$11:$BM$11)))))),"")</f>
        <v>1.2571428571428571</v>
      </c>
      <c r="EE12" s="761">
        <f>IFERROR(IF(EE$7&gt;$D$3,"",IF(BW12="OD","OD",IF(BW12="Missed","Missed",IF(BW12="TBC","TBC",IF(BW12="Undefined","Undefined",_xlfn.XLOOKUP(EE$7,EHS!$M$6:$BM$6,EHS!$M$12:$BM$12)/_xlfn.XLOOKUP(EE$7,EHS!$M$6:$BM$6,EHS!$M$11:$BM$11)))))),"")</f>
        <v>1.3857142857142857</v>
      </c>
      <c r="EF12" s="761">
        <f>IFERROR(IF(EF$7&gt;$D$3,"",IF(BX12="OD","OD",IF(BX12="Missed","Missed",IF(BX12="TBC","TBC",IF(BX12="Undefined","Undefined",_xlfn.XLOOKUP(EF$7,EHS!$M$6:$BM$6,EHS!$M$12:$BM$12)/_xlfn.XLOOKUP(EF$7,EHS!$M$6:$BM$6,EHS!$M$11:$BM$11)))))),"")</f>
        <v>1.4428571428571428</v>
      </c>
      <c r="EG12" s="761">
        <f>IFERROR(IF(EG$7&gt;$D$3,"",IF(BY12="OD","OD",IF(BY12="Missed","Missed",IF(BY12="TBC","TBC",IF(BY12="Undefined","Undefined",_xlfn.XLOOKUP(EG$7,EHS!$M$6:$BM$6,EHS!$M$12:$BM$12)/_xlfn.XLOOKUP(EG$7,EHS!$M$6:$BM$6,EHS!$M$11:$BM$11)))))),"")</f>
        <v>1.4142857142857144</v>
      </c>
      <c r="EH12" s="761">
        <f>IFERROR(IF(EH$7&gt;$D$3,"",IF(BZ12="OD","OD",IF(BZ12="Missed","Missed",IF(BZ12="TBC","TBC",IF(BZ12="Undefined","Undefined",_xlfn.XLOOKUP(EH$7,EHS!$M$6:$BM$6,EHS!$M$12:$BM$12)/_xlfn.XLOOKUP(EH$7,EHS!$M$6:$BM$6,EHS!$M$11:$BM$11)))))),"")</f>
        <v>1.1200000000000001</v>
      </c>
      <c r="EI12" s="761">
        <f>IFERROR(IF(EI$7&gt;$D$3,"",IF(CA12="OD","OD",IF(CA12="Missed","Missed",IF(CA12="TBC","TBC",IF(CA12="Undefined","Undefined",_xlfn.XLOOKUP(EI$7,EHS!$M$6:$BM$6,EHS!$M$12:$BM$12)/_xlfn.XLOOKUP(EI$7,EHS!$M$6:$BM$6,EHS!$M$11:$BM$11)))))),"")</f>
        <v>1.04</v>
      </c>
      <c r="EJ12" s="761">
        <f>IFERROR(IF(EJ$7&gt;$D$3,"",IF(CB12="OD","OD",IF(CB12="Missed","Missed",IF(CB12="TBC","TBC",IF(CB12="Undefined","Undefined",_xlfn.XLOOKUP(EJ$7,EHS!$M$6:$BM$6,EHS!$M$12:$BM$12)/_xlfn.XLOOKUP(EJ$7,EHS!$M$6:$BM$6,EHS!$M$11:$BM$11)))))),"")</f>
        <v>1.03</v>
      </c>
      <c r="EK12" s="761" t="str">
        <f>IFERROR(IF(EK$7&gt;$D$3,"",IF(CC12="OD","OD",IF(CC12="Missed","Missed",IF(CC12="TBC","TBC",IF(CC12="Undefined","Undefined",_xlfn.XLOOKUP(EK$7,EHS!$M$6:$BM$6,EHS!$M$12:$BM$12)/_xlfn.XLOOKUP(EK$7,EHS!$M$6:$BM$6,EHS!$M$11:$BM$11)))))),"")</f>
        <v/>
      </c>
      <c r="EL12" s="761" t="str">
        <f>IFERROR(IF(EL$7&gt;$D$3,"",IF(CD12="OD","OD",IF(CD12="Missed","Missed",IF(CD12="TBC","TBC",IF(CD12="Undefined","Undefined",_xlfn.XLOOKUP(EL$7,EHS!$M$6:$BM$6,EHS!$M$12:$BM$12)/_xlfn.XLOOKUP(EL$7,EHS!$M$6:$BM$6,EHS!$M$11:$BM$11)))))),"")</f>
        <v/>
      </c>
      <c r="EM12" s="761" t="str">
        <f>IFERROR(IF(EM$7&gt;$D$3,"",IF(CE12="OD","OD",IF(CE12="Missed","Missed",IF(CE12="TBC","TBC",IF(CE12="Undefined","Undefined",_xlfn.XLOOKUP(EM$7,EHS!$M$6:$BM$6,EHS!$M$12:$BM$12)/_xlfn.XLOOKUP(EM$7,EHS!$M$6:$BM$6,EHS!$M$11:$BM$11)))))),"")</f>
        <v/>
      </c>
      <c r="EN12" s="761" t="str">
        <f>IFERROR(IF(EN$7&gt;$D$3,"",IF(CF12="OD","OD",IF(CF12="Missed","Missed",IF(CF12="TBC","TBC",IF(CF12="Undefined","Undefined",_xlfn.XLOOKUP(EN$7,EHS!$M$6:$BM$6,EHS!$M$12:$BM$12)/_xlfn.XLOOKUP(EN$7,EHS!$M$6:$BM$6,EHS!$M$11:$BM$11)))))),"")</f>
        <v/>
      </c>
      <c r="EO12" s="761" t="str">
        <f>IFERROR(IF(EO$7&gt;$D$3,"",IF(CG12="OD","OD",IF(CG12="Missed","Missed",IF(CG12="TBC","TBC",IF(CG12="Undefined","Undefined",_xlfn.XLOOKUP(EO$7,EHS!$M$6:$BM$6,EHS!$M$12:$BM$12)/_xlfn.XLOOKUP(EO$7,EHS!$M$6:$BM$6,EHS!$M$11:$BM$11)))))),"")</f>
        <v/>
      </c>
      <c r="EP12" s="761" t="str">
        <f>IFERROR(IF(EP$7&gt;$D$3,"",IF(CH12="OD","OD",IF(CH12="Missed","Missed",IF(CH12="TBC","TBC",IF(CH12="Undefined","Undefined",_xlfn.XLOOKUP(EP$7,EHS!$M$6:$BM$6,EHS!$M$12:$BM$12)/_xlfn.XLOOKUP(EP$7,EHS!$M$6:$BM$6,EHS!$M$11:$BM$11)))))),"")</f>
        <v/>
      </c>
      <c r="EQ12" s="761" t="str">
        <f>IFERROR(IF(EQ$7&gt;$D$3,"",IF(CI12="OD","OD",IF(CI12="Missed","Missed",IF(CI12="TBC","TBC",IF(CI12="Undefined","Undefined",_xlfn.XLOOKUP(EQ$7,EHS!$M$6:$BM$6,EHS!$M$12:$BM$12)/_xlfn.XLOOKUP(EQ$7,EHS!$M$6:$BM$6,EHS!$M$11:$BM$11)))))),"")</f>
        <v/>
      </c>
      <c r="ER12" s="761" t="str">
        <f>IFERROR(IF(ER$7&gt;$D$3,"",IF(CJ12="OD","OD",IF(CJ12="Missed","Missed",IF(CJ12="TBC","TBC",IF(CJ12="Undefined","Undefined",_xlfn.XLOOKUP(ER$7,EHS!$M$6:$BM$6,EHS!$M$12:$BM$12)/_xlfn.XLOOKUP(ER$7,EHS!$M$6:$BM$6,EHS!$M$11:$BM$11)))))),"")</f>
        <v/>
      </c>
      <c r="ES12" s="761" t="str">
        <f>IFERROR(IF(ES$7&gt;$D$3,"",IF(CK12="OD","OD",IF(CK12="Missed","Missed",IF(CK12="TBC","TBC",IF(CK12="Undefined","Undefined",_xlfn.XLOOKUP(ES$7,EHS!$M$6:$BM$6,EHS!$M$12:$BM$12)/_xlfn.XLOOKUP(ES$7,EHS!$M$6:$BM$6,EHS!$M$11:$BM$11)))))),"")</f>
        <v/>
      </c>
      <c r="ET12" s="761" t="str">
        <f>IFERROR(IF(ET$7&gt;$D$3,"",IF(CL12="OD","OD",IF(CL12="Missed","Missed",IF(CL12="TBC","TBC",IF(CL12="Undefined","Undefined",_xlfn.XLOOKUP(ET$7,EHS!$M$6:$BM$6,EHS!$M$12:$BM$12)/_xlfn.XLOOKUP(ET$7,EHS!$M$6:$BM$6,EHS!$M$11:$BM$11)))))),"")</f>
        <v/>
      </c>
      <c r="EU12" s="761" t="str">
        <f>IFERROR(IF(EU$7&gt;$D$3,"",IF(CM12="OD","OD",IF(CM12="Missed","Missed",IF(CM12="TBC","TBC",IF(CM12="Undefined","Undefined",_xlfn.XLOOKUP(EU$7,EHS!$M$6:$BM$6,EHS!$M$12:$BM$12)/_xlfn.XLOOKUP(EU$7,EHS!$M$6:$BM$6,EHS!$M$11:$BM$11)))))),"")</f>
        <v/>
      </c>
      <c r="EW12" s="465" t="str">
        <f>+$A12</f>
        <v>EHS-KPI D1</v>
      </c>
      <c r="EX12" s="136" t="str">
        <f>+$C12</f>
        <v>KPI D1</v>
      </c>
      <c r="EY12" s="144" t="str">
        <f>+$D12</f>
        <v>Delivery</v>
      </c>
      <c r="EZ12" s="144" t="str">
        <f t="shared" si="10"/>
        <v>Visual Inspection Count</v>
      </c>
      <c r="FA12" s="145" t="str">
        <f t="shared" si="11"/>
        <v>Count</v>
      </c>
      <c r="FB12" s="145" t="s">
        <v>251</v>
      </c>
      <c r="FC12" s="223" t="str">
        <f>IF(FC$7&gt;$D$3,"",IF($FA10&lt;FC$7,"OD",_xlfn.XLOOKUP(FC$7,EHS!$M$6:$BM$6,EHS!$M$12:$BM$12)))</f>
        <v>Blank</v>
      </c>
      <c r="FD12" s="223">
        <f>IF(FD$7&gt;$D$3,"",IF($FA10&lt;FD$7,"OD",_xlfn.XLOOKUP(FD$7,EHS!$M$6:$BM$6,EHS!$M$12:$BM$12)))</f>
        <v>44</v>
      </c>
      <c r="FE12" s="223">
        <f>IF(FE$7&gt;$D$3,"",IF($FA10&lt;FE$7,"OD",_xlfn.XLOOKUP(FE$7,EHS!$M$6:$BM$6,EHS!$M$12:$BM$12)))</f>
        <v>56</v>
      </c>
      <c r="FF12" s="223">
        <f>IF(FF$7&gt;$D$3,"",IF($FA10&lt;FF$7,"OD",_xlfn.XLOOKUP(FF$7,EHS!$M$6:$BM$6,EHS!$M$12:$BM$12)))</f>
        <v>49</v>
      </c>
      <c r="FG12" s="223">
        <f>IF(FG$7&gt;$D$3,"",IF($FA10&lt;FG$7,"OD",_xlfn.XLOOKUP(FG$7,EHS!$M$6:$BM$6,EHS!$M$12:$BM$12)))</f>
        <v>50</v>
      </c>
      <c r="FH12" s="223">
        <f>IF(FH$7&gt;$D$3,"",IF($FA10&lt;FH$7,"OD",_xlfn.XLOOKUP(FH$7,EHS!$M$6:$BM$6,EHS!$M$12:$BM$12)))</f>
        <v>52</v>
      </c>
      <c r="FI12" s="223">
        <f>IF(FI$7&gt;$D$3,"",IF($FA10&lt;FI$7,"OD",_xlfn.XLOOKUP(FI$7,EHS!$M$6:$BM$6,EHS!$M$12:$BM$12)))</f>
        <v>53</v>
      </c>
      <c r="FJ12" s="223">
        <f>IF(FJ$7&gt;$D$3,"",IF($FA10&lt;FJ$7,"OD",_xlfn.XLOOKUP(FJ$7,EHS!$M$6:$BM$6,EHS!$M$12:$BM$12)))</f>
        <v>47</v>
      </c>
      <c r="FK12" s="223">
        <f>IF(FK$7&gt;$D$3,"",IF($FA10&lt;FK$7,"OD",_xlfn.XLOOKUP(FK$7,EHS!$M$6:$BM$6,EHS!$M$12:$BM$12)))</f>
        <v>45</v>
      </c>
      <c r="FL12" s="223">
        <f>IF(FL$7&gt;$D$3,"",IF($FA10&lt;FL$7,"OD",_xlfn.XLOOKUP(FL$7,EHS!$M$6:$BM$6,EHS!$M$12:$BM$12)))</f>
        <v>72</v>
      </c>
      <c r="FM12" s="223">
        <f>IF(FM$7&gt;$D$3,"",IF($FA10&lt;FM$7,"OD",_xlfn.XLOOKUP(FM$7,EHS!$M$6:$BM$6,EHS!$M$12:$BM$12)))</f>
        <v>56</v>
      </c>
      <c r="FN12" s="223">
        <f>IF(FN$7&gt;$D$3,"",IF($FA10&lt;FN$7,"OD",_xlfn.XLOOKUP(FN$7,EHS!$M$6:$BM$6,EHS!$M$12:$BM$12)))</f>
        <v>47</v>
      </c>
      <c r="FO12" s="223">
        <f>IF(FO$7&gt;$D$3,"",IF($FA10&lt;FO$7,"OD",_xlfn.XLOOKUP(FO$7,EHS!$M$6:$BM$6,EHS!$M$12:$BM$12)))</f>
        <v>45</v>
      </c>
      <c r="FP12" s="223">
        <f>IF(FP$7&gt;$D$3,"",IF($FA10&lt;FP$7,"OD",_xlfn.XLOOKUP(FP$7,EHS!$M$6:$BM$6,EHS!$M$12:$BM$12)))</f>
        <v>45</v>
      </c>
      <c r="FQ12" s="223">
        <f>IF(FQ$7&gt;$D$3,"",IF($FA10&lt;FQ$7,"OD",_xlfn.XLOOKUP(FQ$7,EHS!$M$6:$BM$6,EHS!$M$12:$BM$12)))</f>
        <v>57</v>
      </c>
      <c r="FR12" s="223">
        <f>IF(FR$7&gt;$D$3,"",IF($FA10&lt;FR$7,"OD",_xlfn.XLOOKUP(FR$7,EHS!$M$6:$BM$6,EHS!$M$12:$BM$12)))</f>
        <v>38</v>
      </c>
      <c r="FS12" s="223">
        <f>IF(FS$7&gt;$D$3,"",IF($FA10&lt;FS$7,"OD",_xlfn.XLOOKUP(FS$7,EHS!$M$6:$BM$6,EHS!$M$12:$BM$12)))</f>
        <v>30</v>
      </c>
      <c r="FT12" s="223">
        <f>IF(FT$7&gt;$D$3,"",IF($FA10&lt;FT$7,"OD",_xlfn.XLOOKUP(FT$7,EHS!$M$6:$BM$6,EHS!$M$12:$BM$12)))</f>
        <v>41</v>
      </c>
      <c r="FU12" s="223">
        <f>IF(FU$7&gt;$D$3,"",IF($FA10&lt;FU$7,"OD",_xlfn.XLOOKUP(FU$7,EHS!$M$6:$BM$6,EHS!$M$12:$BM$12)))</f>
        <v>33</v>
      </c>
      <c r="FV12" s="223">
        <f>IF(FV$7&gt;$D$3,"",IF($FA10&lt;FV$7,"OD",_xlfn.XLOOKUP(FV$7,EHS!$M$6:$BM$6,EHS!$M$12:$BM$12)))</f>
        <v>67</v>
      </c>
      <c r="FW12" s="223">
        <f>IF(FW$7&gt;$D$3,"",IF($FA10&lt;FW$7,"OD",_xlfn.XLOOKUP(FW$7,EHS!$M$6:$BM$6,EHS!$M$12:$BM$12)))</f>
        <v>48</v>
      </c>
      <c r="FX12" s="223">
        <f>IF(FX$7&gt;$D$3,"",IF($FA10&lt;FX$7,"OD",_xlfn.XLOOKUP(FX$7,EHS!$M$6:$BM$6,EHS!$M$12:$BM$12)))</f>
        <v>47</v>
      </c>
      <c r="FY12" s="223">
        <f>IF(FY$7&gt;$D$3,"",IF($FA10&lt;FY$7,"OD",_xlfn.XLOOKUP(FY$7,EHS!$M$6:$BM$6,EHS!$M$12:$BM$12)))</f>
        <v>68</v>
      </c>
      <c r="FZ12" s="223">
        <f>IF(FZ$7&gt;$D$3,"",IF($FA10&lt;FZ$7,"OD",_xlfn.XLOOKUP(FZ$7,EHS!$M$6:$BM$6,EHS!$M$12:$BM$12)))</f>
        <v>71</v>
      </c>
      <c r="GA12" s="223">
        <f>IF(GA$7&gt;$D$3,"",IF($FA10&lt;GA$7,"OD",_xlfn.XLOOKUP(GA$7,EHS!$M$6:$BM$6,EHS!$M$12:$BM$12)))</f>
        <v>70</v>
      </c>
      <c r="GB12" s="223">
        <f>IF(GB$7&gt;$D$3,"",IF($FA10&lt;GB$7,"OD",_xlfn.XLOOKUP(GB$7,EHS!$M$6:$BM$6,EHS!$M$12:$BM$12)))</f>
        <v>82</v>
      </c>
      <c r="GC12" s="223">
        <f>IF(GC$7&gt;$D$3,"",IF($FA10&lt;GC$7,"OD",_xlfn.XLOOKUP(GC$7,EHS!$M$6:$BM$6,EHS!$M$12:$BM$12)))</f>
        <v>77</v>
      </c>
      <c r="GD12" s="223">
        <f>IF(GD$7&gt;$D$3,"",IF($FA10&lt;GD$7,"OD",_xlfn.XLOOKUP(GD$7,EHS!$M$6:$BM$6,EHS!$M$12:$BM$12)))</f>
        <v>81</v>
      </c>
      <c r="GE12" s="223">
        <f>IF(GE$7&gt;$D$3,"",IF($FA10&lt;GE$7,"OD",_xlfn.XLOOKUP(GE$7,EHS!$M$6:$BM$6,EHS!$M$12:$BM$12)))</f>
        <v>83</v>
      </c>
      <c r="GF12" s="223">
        <f>IF(GF$7&gt;$D$3,"",IF($FA10&lt;GF$7,"OD",_xlfn.XLOOKUP(GF$7,EHS!$M$6:$BM$6,EHS!$M$12:$BM$12)))</f>
        <v>72</v>
      </c>
      <c r="GG12" s="223">
        <f>IF(GG$7&gt;$D$3,"",IF($FA10&lt;GG$7,"OD",_xlfn.XLOOKUP(GG$7,EHS!$M$6:$BM$6,EHS!$M$12:$BM$12)))</f>
        <v>96</v>
      </c>
      <c r="GH12" s="223">
        <f>IF(GH$7&gt;$D$3,"",IF($FA10&lt;GH$7,"OD",_xlfn.XLOOKUP(GH$7,EHS!$M$6:$BM$6,EHS!$M$12:$BM$12)))</f>
        <v>78</v>
      </c>
      <c r="GI12" s="223">
        <f>IF(GI$7&gt;$D$3,"",IF($FA10&lt;GI$7,"OD",_xlfn.XLOOKUP(GI$7,EHS!$M$6:$BM$6,EHS!$M$12:$BM$12)))</f>
        <v>67</v>
      </c>
      <c r="GJ12" s="223">
        <f>IF(GJ$7&gt;$D$3,"",IF($FA10&lt;GJ$7,"OD",_xlfn.XLOOKUP(GJ$7,EHS!$M$6:$BM$6,EHS!$M$12:$BM$12)))</f>
        <v>86</v>
      </c>
      <c r="GK12" s="223">
        <f>IF(GK$7&gt;$D$3,"",IF($FA10&lt;GK$7,"OD",_xlfn.XLOOKUP(GK$7,EHS!$M$6:$BM$6,EHS!$M$12:$BM$12)))</f>
        <v>85</v>
      </c>
      <c r="GL12" s="223">
        <f>IF(GL$7&gt;$D$3,"",IF($FA10&lt;GL$7,"OD",_xlfn.XLOOKUP(GL$7,EHS!$M$6:$BM$6,EHS!$M$12:$BM$12)))</f>
        <v>88</v>
      </c>
      <c r="GM12" s="223">
        <f>IF(GM$7&gt;$D$3,"",IF($FA10&lt;GM$7,"OD",_xlfn.XLOOKUP(GM$7,EHS!$M$6:$BM$6,EHS!$M$12:$BM$12)))</f>
        <v>97</v>
      </c>
      <c r="GN12" s="223">
        <f>IF(GN$7&gt;$D$3,"",IF($FA10&lt;GN$7,"OD",_xlfn.XLOOKUP(GN$7,EHS!$M$6:$BM$6,EHS!$M$12:$BM$12)))</f>
        <v>101</v>
      </c>
      <c r="GO12" s="223">
        <f>IF(GO$7&gt;$D$3,"",IF($FA10&lt;GO$7,"OD",_xlfn.XLOOKUP(GO$7,EHS!$M$6:$BM$6,EHS!$M$12:$BM$12)))</f>
        <v>99</v>
      </c>
      <c r="GP12" s="223">
        <f>IF(GP$7&gt;$D$3,"",IF($FA10&lt;GP$7,"OD",_xlfn.XLOOKUP(GP$7,EHS!$M$6:$BM$6,EHS!$M$12:$BM$12)))</f>
        <v>112</v>
      </c>
      <c r="GQ12" s="223">
        <f>IF(GQ$7&gt;$D$3,"",IF($FA10&lt;GQ$7,"OD",_xlfn.XLOOKUP(GQ$7,EHS!$M$6:$BM$6,EHS!$M$12:$BM$12)))</f>
        <v>104</v>
      </c>
      <c r="GR12" s="223">
        <f>IF(GR$7&gt;$D$3,"",IF($FA10&lt;GR$7,"OD",_xlfn.XLOOKUP(GR$7,EHS!$M$6:$BM$6,EHS!$M$12:$BM$12)))</f>
        <v>103</v>
      </c>
      <c r="GS12" s="223" t="str">
        <f>IF(GS$7&gt;$D$3,"",IF($FA10&lt;GS$7,"OD",_xlfn.XLOOKUP(GS$7,EHS!$M$6:$BM$6,EHS!$M$12:$BM$12)))</f>
        <v/>
      </c>
      <c r="GT12" s="223" t="str">
        <f>IF(GT$7&gt;$D$3,"",IF($FA10&lt;GT$7,"OD",_xlfn.XLOOKUP(GT$7,EHS!$M$6:$BM$6,EHS!$M$12:$BM$12)))</f>
        <v/>
      </c>
      <c r="GU12" s="223" t="str">
        <f>IF(GU$7&gt;$D$3,"",IF($FA10&lt;GU$7,"OD",_xlfn.XLOOKUP(GU$7,EHS!$M$6:$BM$6,EHS!$M$12:$BM$12)))</f>
        <v/>
      </c>
      <c r="GV12" s="223" t="str">
        <f>IF(GV$7&gt;$D$3,"",IF($FA10&lt;GV$7,"OD",_xlfn.XLOOKUP(GV$7,EHS!$M$6:$BM$6,EHS!$M$12:$BM$12)))</f>
        <v/>
      </c>
      <c r="GW12" s="223" t="str">
        <f>IF(GW$7&gt;$D$3,"",IF($FA10&lt;GW$7,"OD",_xlfn.XLOOKUP(GW$7,EHS!$M$6:$BM$6,EHS!$M$12:$BM$12)))</f>
        <v/>
      </c>
      <c r="GX12" s="223" t="str">
        <f>IF(GX$7&gt;$D$3,"",IF($FA10&lt;GX$7,"OD",_xlfn.XLOOKUP(GX$7,EHS!$M$6:$BM$6,EHS!$M$12:$BM$12)))</f>
        <v/>
      </c>
      <c r="GY12" s="223" t="str">
        <f>IF(GY$7&gt;$D$3,"",IF($FA10&lt;GY$7,"OD",_xlfn.XLOOKUP(GY$7,EHS!$M$6:$BM$6,EHS!$M$12:$BM$12)))</f>
        <v/>
      </c>
      <c r="GZ12" s="223" t="str">
        <f>IF(GZ$7&gt;$D$3,"",IF($FA10&lt;GZ$7,"OD",_xlfn.XLOOKUP(GZ$7,EHS!$M$6:$BM$6,EHS!$M$12:$BM$12)))</f>
        <v/>
      </c>
      <c r="HA12" s="223" t="str">
        <f>IF(HA$7&gt;$D$3,"",IF($FA10&lt;HA$7,"OD",_xlfn.XLOOKUP(HA$7,EHS!$M$6:$BM$6,EHS!$M$12:$BM$12)))</f>
        <v/>
      </c>
      <c r="HB12" s="223" t="str">
        <f>IF(HB$7&gt;$D$3,"",IF($FA10&lt;HB$7,"OD",_xlfn.XLOOKUP(HB$7,EHS!$M$6:$BM$6,EHS!$M$12:$BM$12)))</f>
        <v/>
      </c>
      <c r="HC12" s="223" t="str">
        <f>IF(HC$7&gt;$D$3,"",IF($FA10&lt;HC$7,"OD",_xlfn.XLOOKUP(HC$7,EHS!$M$6:$BM$6,EHS!$M$12:$BM$12)))</f>
        <v/>
      </c>
      <c r="HE12" s="136" t="str">
        <f>+$C12</f>
        <v>KPI D1</v>
      </c>
      <c r="HF12" s="144" t="str">
        <f>+$D12</f>
        <v>Delivery</v>
      </c>
      <c r="HG12" s="144" t="str">
        <f t="shared" si="13"/>
        <v>Visual Inspection Count</v>
      </c>
      <c r="HH12" s="145" t="str">
        <f t="shared" si="14"/>
        <v>Count</v>
      </c>
      <c r="HI12" s="145" t="s">
        <v>44</v>
      </c>
      <c r="HJ12" s="223" t="str">
        <f>IF(HJ$7&gt;$D$3,"",IF($FA10&lt;HJ$7,"OD",_xlfn.XLOOKUP(HJ$7,EHS!$M$6:$BM$6,EHS!$M$11:$BM$11)))</f>
        <v>Blank</v>
      </c>
      <c r="HK12" s="223">
        <f>IF(HK$7&gt;$D$3,"",IF($FA10&lt;HK$7,"OD",_xlfn.XLOOKUP(HK$7,EHS!$M$6:$BM$6,EHS!$M$11:$BM$11)))</f>
        <v>45</v>
      </c>
      <c r="HL12" s="226">
        <f>IF(HL$7&gt;$D$3,"",IF($FA10&lt;HL$7,"OD",_xlfn.XLOOKUP(HL$7,EHS!$M$6:$BM$6,EHS!$M$11:$BM$11)))</f>
        <v>45</v>
      </c>
      <c r="HM12" s="226">
        <f>IF(HM$7&gt;$D$3,"",IF($FA10&lt;HM$7,"OD",_xlfn.XLOOKUP(HM$7,EHS!$M$6:$BM$6,EHS!$M$11:$BM$11)))</f>
        <v>45</v>
      </c>
      <c r="HN12" s="226">
        <f>IF(HN$7&gt;$D$3,"",IF($FA10&lt;HN$7,"OD",_xlfn.XLOOKUP(HN$7,EHS!$M$6:$BM$6,EHS!$M$11:$BM$11)))</f>
        <v>45</v>
      </c>
      <c r="HO12" s="226">
        <f>IF(HO$7&gt;$D$3,"",IF($FA10&lt;HO$7,"OD",_xlfn.XLOOKUP(HO$7,EHS!$M$6:$BM$6,EHS!$M$11:$BM$11)))</f>
        <v>45</v>
      </c>
      <c r="HP12" s="226">
        <f>IF(HP$7&gt;$D$3,"",IF($FA10&lt;HP$7,"OD",_xlfn.XLOOKUP(HP$7,EHS!$M$6:$BM$6,EHS!$M$11:$BM$11)))</f>
        <v>45</v>
      </c>
      <c r="HQ12" s="226">
        <f>IF(HQ$7&gt;$D$3,"",IF($FA10&lt;HQ$7,"OD",_xlfn.XLOOKUP(HQ$7,EHS!$M$6:$BM$6,EHS!$M$11:$BM$11)))</f>
        <v>45</v>
      </c>
      <c r="HR12" s="226">
        <f>IF(HR$7&gt;$D$3,"",IF($FA10&lt;HR$7,"OD",_xlfn.XLOOKUP(HR$7,EHS!$M$6:$BM$6,EHS!$M$11:$BM$11)))</f>
        <v>45</v>
      </c>
      <c r="HS12" s="226">
        <f>IF(HS$7&gt;$D$3,"",IF($FA10&lt;HS$7,"OD",_xlfn.XLOOKUP(HS$7,EHS!$M$6:$BM$6,EHS!$M$11:$BM$11)))</f>
        <v>45</v>
      </c>
      <c r="HT12" s="226">
        <f>IF(HT$7&gt;$D$3,"",IF($FA10&lt;HT$7,"OD",_xlfn.XLOOKUP(HT$7,EHS!$M$6:$BM$6,EHS!$M$11:$BM$11)))</f>
        <v>45</v>
      </c>
      <c r="HU12" s="226">
        <f>IF(HU$7&gt;$D$3,"",IF($FA10&lt;HU$7,"OD",_xlfn.XLOOKUP(HU$7,EHS!$M$6:$BM$6,EHS!$M$11:$BM$11)))</f>
        <v>45</v>
      </c>
      <c r="HV12" s="226">
        <f>IF(HV$7&gt;$D$3,"",IF($FA10&lt;HV$7,"OD",_xlfn.XLOOKUP(HV$7,EHS!$M$6:$BM$6,EHS!$M$11:$BM$11)))</f>
        <v>45</v>
      </c>
      <c r="HW12" s="226">
        <f>IF(HW$7&gt;$D$3,"",IF($FA10&lt;HW$7,"OD",_xlfn.XLOOKUP(HW$7,EHS!$M$6:$BM$6,EHS!$M$11:$BM$11)))</f>
        <v>45</v>
      </c>
      <c r="HX12" s="226">
        <f>IF(HX$7&gt;$D$3,"",IF($FA10&lt;HX$7,"OD",_xlfn.XLOOKUP(HX$7,EHS!$M$6:$BM$6,EHS!$M$11:$BM$11)))</f>
        <v>55</v>
      </c>
      <c r="HY12" s="226">
        <f>IF(HY$7&gt;$D$3,"",IF($FA10&lt;HY$7,"OD",_xlfn.XLOOKUP(HY$7,EHS!$M$6:$BM$6,EHS!$M$11:$BM$11)))</f>
        <v>55</v>
      </c>
      <c r="HZ12" s="226">
        <f>IF(HZ$7&gt;$D$3,"",IF($FA10&lt;HZ$7,"OD",_xlfn.XLOOKUP(HZ$7,EHS!$M$6:$BM$6,EHS!$M$11:$BM$11)))</f>
        <v>55</v>
      </c>
      <c r="IA12" s="226">
        <f>IF(IA$7&gt;$D$3,"",IF($FA10&lt;IA$7,"OD",_xlfn.XLOOKUP(IA$7,EHS!$M$6:$BM$6,EHS!$M$11:$BM$11)))</f>
        <v>55</v>
      </c>
      <c r="IB12" s="226">
        <f>IF(IB$7&gt;$D$3,"",IF($FA10&lt;IB$7,"OD",_xlfn.XLOOKUP(IB$7,EHS!$M$6:$BM$6,EHS!$M$11:$BM$11)))</f>
        <v>55</v>
      </c>
      <c r="IC12" s="226">
        <f>IF(IC$7&gt;$D$3,"",IF($FA10&lt;IC$7,"OD",_xlfn.XLOOKUP(IC$7,EHS!$M$6:$BM$6,EHS!$M$11:$BM$11)))</f>
        <v>55</v>
      </c>
      <c r="ID12" s="226">
        <f>IF(ID$7&gt;$D$3,"",IF($FA10&lt;ID$7,"OD",_xlfn.XLOOKUP(ID$7,EHS!$M$6:$BM$6,EHS!$M$11:$BM$11)))</f>
        <v>55</v>
      </c>
      <c r="IE12" s="226">
        <f>IF(IE$7&gt;$D$3,"",IF($FA10&lt;IE$7,"OD",_xlfn.XLOOKUP(IE$7,EHS!$M$6:$BM$6,EHS!$M$11:$BM$11)))</f>
        <v>55</v>
      </c>
      <c r="IF12" s="226">
        <f>IF(IF$7&gt;$D$3,"",IF($FA10&lt;IF$7,"OD",_xlfn.XLOOKUP(IF$7,EHS!$M$6:$BM$6,EHS!$M$11:$BM$11)))</f>
        <v>55</v>
      </c>
      <c r="IG12" s="226">
        <f>IF(IG$7&gt;$D$3,"",IF($FA10&lt;IG$7,"OD",_xlfn.XLOOKUP(IG$7,EHS!$M$6:$BM$6,EHS!$M$11:$BM$11)))</f>
        <v>55</v>
      </c>
      <c r="IH12" s="226">
        <f>IF(IH$7&gt;$D$3,"",IF($FA10&lt;IH$7,"OD",_xlfn.XLOOKUP(IH$7,EHS!$M$6:$BM$6,EHS!$M$11:$BM$11)))</f>
        <v>55</v>
      </c>
      <c r="II12" s="226">
        <f>IF(II$7&gt;$D$3,"",IF($FA10&lt;II$7,"OD",_xlfn.XLOOKUP(II$7,EHS!$M$6:$BM$6,EHS!$M$11:$BM$11)))</f>
        <v>55</v>
      </c>
      <c r="IJ12" s="226">
        <f>IF(IJ$7&gt;$D$3,"",IF($FA10&lt;IJ$7,"OD",_xlfn.XLOOKUP(IJ$7,EHS!$M$6:$BM$6,EHS!$M$11:$BM$11)))</f>
        <v>70</v>
      </c>
      <c r="IK12" s="226">
        <f>IF(IK$7&gt;$D$3,"",IF($FA10&lt;IK$7,"OD",_xlfn.XLOOKUP(IK$7,EHS!$M$6:$BM$6,EHS!$M$11:$BM$11)))</f>
        <v>70</v>
      </c>
      <c r="IL12" s="226">
        <f>IF(IL$7&gt;$D$3,"",IF($FA10&lt;IL$7,"OD",_xlfn.XLOOKUP(IL$7,EHS!$M$6:$BM$6,EHS!$M$11:$BM$11)))</f>
        <v>70</v>
      </c>
      <c r="IM12" s="226">
        <f>IF(IM$7&gt;$D$3,"",IF($FA10&lt;IM$7,"OD",_xlfn.XLOOKUP(IM$7,EHS!$M$6:$BM$6,EHS!$M$11:$BM$11)))</f>
        <v>70</v>
      </c>
      <c r="IN12" s="226">
        <f>IF(IN$7&gt;$D$3,"",IF($FA10&lt;IN$7,"OD",_xlfn.XLOOKUP(IN$7,EHS!$M$6:$BM$6,EHS!$M$11:$BM$11)))</f>
        <v>70</v>
      </c>
      <c r="IO12" s="226">
        <f>IF(IO$7&gt;$D$3,"",IF($FA10&lt;IO$7,"OD",_xlfn.XLOOKUP(IO$7,EHS!$M$6:$BM$6,EHS!$M$11:$BM$11)))</f>
        <v>70</v>
      </c>
      <c r="IP12" s="226">
        <f>IF(IP$7&gt;$D$3,"",IF($FA10&lt;IP$7,"OD",_xlfn.XLOOKUP(IP$7,EHS!$M$6:$BM$6,EHS!$M$11:$BM$11)))</f>
        <v>70</v>
      </c>
      <c r="IQ12" s="226">
        <f>IF(IQ$7&gt;$D$3,"",IF($FA10&lt;IQ$7,"OD",_xlfn.XLOOKUP(IQ$7,EHS!$M$6:$BM$6,EHS!$M$11:$BM$11)))</f>
        <v>70</v>
      </c>
      <c r="IR12" s="226">
        <f>IF(IR$7&gt;$D$3,"",IF($FA10&lt;IR$7,"OD",_xlfn.XLOOKUP(IR$7,EHS!$M$6:$BM$6,EHS!$M$11:$BM$11)))</f>
        <v>70</v>
      </c>
      <c r="IS12" s="226">
        <f>IF(IS$7&gt;$D$3,"",IF($FA10&lt;IS$7,"OD",_xlfn.XLOOKUP(IS$7,EHS!$M$6:$BM$6,EHS!$M$11:$BM$11)))</f>
        <v>70</v>
      </c>
      <c r="IT12" s="226">
        <f>IF(IT$7&gt;$D$3,"",IF($FA10&lt;IT$7,"OD",_xlfn.XLOOKUP(IT$7,EHS!$M$6:$BM$6,EHS!$M$11:$BM$11)))</f>
        <v>70</v>
      </c>
      <c r="IU12" s="226">
        <f>IF(IU$7&gt;$D$3,"",IF($FA10&lt;IU$7,"OD",_xlfn.XLOOKUP(IU$7,EHS!$M$6:$BM$6,EHS!$M$11:$BM$11)))</f>
        <v>70</v>
      </c>
      <c r="IV12" s="226">
        <f>IF(IV$7&gt;$D$3,"",IF($FA10&lt;IV$7,"OD",_xlfn.XLOOKUP(IV$7,EHS!$M$6:$BM$6,EHS!$M$11:$BM$11)))</f>
        <v>70</v>
      </c>
      <c r="IW12" s="226">
        <f>IF(IW$7&gt;$D$3,"",IF($FA10&lt;IW$7,"OD",_xlfn.XLOOKUP(IW$7,EHS!$M$6:$BM$6,EHS!$M$11:$BM$11)))</f>
        <v>100</v>
      </c>
      <c r="IX12" s="226">
        <f>IF(IX$7&gt;$D$3,"",IF($FA10&lt;IX$7,"OD",_xlfn.XLOOKUP(IX$7,EHS!$M$6:$BM$6,EHS!$M$11:$BM$11)))</f>
        <v>100</v>
      </c>
      <c r="IY12" s="226">
        <f>IF(IY$7&gt;$D$3,"",IF($FA10&lt;IY$7,"OD",_xlfn.XLOOKUP(IY$7,EHS!$M$6:$BM$6,EHS!$M$11:$BM$11)))</f>
        <v>100</v>
      </c>
      <c r="IZ12" s="226" t="str">
        <f>IF(IZ$7&gt;$D$3,"",IF($FA10&lt;IZ$7,"OD",_xlfn.XLOOKUP(IZ$7,EHS!$M$6:$BM$6,EHS!$M$11:$BM$11)))</f>
        <v/>
      </c>
      <c r="JA12" s="226" t="str">
        <f>IF(JA$7&gt;$D$3,"",IF($FA10&lt;JA$7,"OD",_xlfn.XLOOKUP(JA$7,EHS!$M$6:$BM$6,EHS!$M$11:$BM$11)))</f>
        <v/>
      </c>
      <c r="JB12" s="226" t="str">
        <f>IF(JB$7&gt;$D$3,"",IF($FA10&lt;JB$7,"OD",_xlfn.XLOOKUP(JB$7,EHS!$M$6:$BM$6,EHS!$M$11:$BM$11)))</f>
        <v/>
      </c>
      <c r="JC12" s="226" t="str">
        <f>IF(JC$7&gt;$D$3,"",IF($FA10&lt;JC$7,"OD",_xlfn.XLOOKUP(JC$7,EHS!$M$6:$BM$6,EHS!$M$11:$BM$11)))</f>
        <v/>
      </c>
      <c r="JD12" s="226" t="str">
        <f>IF(JD$7&gt;$D$3,"",IF($FA10&lt;JD$7,"OD",_xlfn.XLOOKUP(JD$7,EHS!$M$6:$BM$6,EHS!$M$11:$BM$11)))</f>
        <v/>
      </c>
      <c r="JE12" s="226" t="str">
        <f>IF(JE$7&gt;$D$3,"",IF($FA10&lt;JE$7,"OD",_xlfn.XLOOKUP(JE$7,EHS!$M$6:$BM$6,EHS!$M$11:$BM$11)))</f>
        <v/>
      </c>
      <c r="JF12" s="226" t="str">
        <f>IF(JF$7&gt;$D$3,"",IF($FA10&lt;JF$7,"OD",_xlfn.XLOOKUP(JF$7,EHS!$M$6:$BM$6,EHS!$M$11:$BM$11)))</f>
        <v/>
      </c>
      <c r="JG12" s="226" t="str">
        <f>IF(JG$7&gt;$D$3,"",IF($FA10&lt;JG$7,"OD",_xlfn.XLOOKUP(JG$7,EHS!$M$6:$BM$6,EHS!$M$11:$BM$11)))</f>
        <v/>
      </c>
      <c r="JH12" s="226" t="str">
        <f>IF(JH$7&gt;$D$3,"",IF($FA10&lt;JH$7,"OD",_xlfn.XLOOKUP(JH$7,EHS!$M$6:$BM$6,EHS!$M$11:$BM$11)))</f>
        <v/>
      </c>
      <c r="JI12" s="226" t="str">
        <f>IF(JI$7&gt;$D$3,"",IF($FA10&lt;JI$7,"OD",_xlfn.XLOOKUP(JI$7,EHS!$M$6:$BM$6,EHS!$M$11:$BM$11)))</f>
        <v/>
      </c>
      <c r="JJ12" s="226" t="str">
        <f>IF(JJ$7&gt;$D$3,"",IF($FA10&lt;JJ$7,"OD",_xlfn.XLOOKUP(JJ$7,EHS!$M$6:$BM$6,EHS!$M$11:$BM$11)))</f>
        <v/>
      </c>
      <c r="JM12" s="136" t="str">
        <f>+$C12</f>
        <v>KPI D1</v>
      </c>
      <c r="JN12" s="144" t="str">
        <f>+$D12</f>
        <v>Delivery</v>
      </c>
      <c r="JO12" s="144" t="str">
        <f t="shared" si="17"/>
        <v>Visual Inspection Count</v>
      </c>
      <c r="JP12" s="145" t="str">
        <f t="shared" si="18"/>
        <v>Count</v>
      </c>
      <c r="JQ12" s="145" t="s">
        <v>284</v>
      </c>
      <c r="JR12" s="226" t="str">
        <f>IFERROR(AVERAGE(FC12:$FC12),"")</f>
        <v/>
      </c>
      <c r="JS12" s="226">
        <f>IFERROR(AVERAGE($FC12:FD12),"")</f>
        <v>44</v>
      </c>
      <c r="JT12" s="226">
        <f>IFERROR(AVERAGE($FC12:FE12),"")</f>
        <v>50</v>
      </c>
      <c r="JU12" s="226">
        <f>IFERROR(AVERAGE($FC12:FF12),"")</f>
        <v>49.666666666666664</v>
      </c>
      <c r="JV12" s="226">
        <f>IFERROR(AVERAGE($FC12:FG12),"")</f>
        <v>49.75</v>
      </c>
      <c r="JW12" s="226">
        <f>IFERROR(AVERAGE($FC12:FH12),"")</f>
        <v>50.2</v>
      </c>
      <c r="JX12" s="226">
        <f>IFERROR(AVERAGE($FC12:FI12),"")</f>
        <v>50.666666666666664</v>
      </c>
      <c r="JY12" s="226">
        <f>IFERROR(AVERAGE($FC12:FJ12),"")</f>
        <v>50.142857142857146</v>
      </c>
      <c r="JZ12" s="226">
        <f>IFERROR(AVERAGE($FC12:FK12),"")</f>
        <v>49.5</v>
      </c>
      <c r="KA12" s="226">
        <f>IFERROR(AVERAGE($FC12:FL12),"")</f>
        <v>52</v>
      </c>
      <c r="KB12" s="226">
        <f>IFERROR(AVERAGE($FC12:FM12),"")</f>
        <v>52.4</v>
      </c>
      <c r="KC12" s="226">
        <f>IFERROR(AVERAGE($FC12:FN12),"")</f>
        <v>51.909090909090907</v>
      </c>
      <c r="KD12" s="226">
        <f>IFERROR(AVERAGE($FC12:FO12),"")</f>
        <v>51.333333333333336</v>
      </c>
      <c r="KE12" s="226">
        <f>IFERROR(AVERAGE($FC12:FP12),"")</f>
        <v>50.846153846153847</v>
      </c>
      <c r="KF12" s="226">
        <f>IFERROR(AVERAGE($FC12:FQ12),"")</f>
        <v>51.285714285714285</v>
      </c>
      <c r="KG12" s="226">
        <f>IFERROR(AVERAGE($FC12:FR12),"")</f>
        <v>50.4</v>
      </c>
      <c r="KH12" s="226">
        <f>IFERROR(AVERAGE($FC12:FS12),"")</f>
        <v>49.125</v>
      </c>
      <c r="KI12" s="226">
        <f>IFERROR(AVERAGE($FC12:FT12),"")</f>
        <v>48.647058823529413</v>
      </c>
      <c r="KJ12" s="226">
        <f>IFERROR(AVERAGE($FC12:FU12),"")</f>
        <v>47.777777777777779</v>
      </c>
      <c r="KK12" s="226">
        <f>IFERROR(AVERAGE($FC12:FV12),"")</f>
        <v>48.789473684210527</v>
      </c>
      <c r="KL12" s="226">
        <f>IFERROR(AVERAGE($FC12:FW12),"")</f>
        <v>48.75</v>
      </c>
      <c r="KM12" s="226">
        <f>IFERROR(AVERAGE($FC12:FX12),"")</f>
        <v>48.666666666666664</v>
      </c>
      <c r="KN12" s="226">
        <f>IFERROR(AVERAGE($FC12:FY12),"")</f>
        <v>49.545454545454547</v>
      </c>
      <c r="KO12" s="226">
        <f>IFERROR(AVERAGE($FC12:FZ12),"")</f>
        <v>50.478260869565219</v>
      </c>
      <c r="KP12" s="226">
        <f>IFERROR(AVERAGE($FC12:GA12),"")</f>
        <v>51.291666666666664</v>
      </c>
      <c r="KQ12" s="226">
        <f>IFERROR(AVERAGE($FC12:GB12),"")</f>
        <v>52.52</v>
      </c>
      <c r="KR12" s="226">
        <f>IFERROR(AVERAGE($FC12:GC12),"")</f>
        <v>53.46153846153846</v>
      </c>
      <c r="KS12" s="226">
        <f>IFERROR(AVERAGE($FC12:GD12),"")</f>
        <v>54.481481481481481</v>
      </c>
      <c r="KT12" s="226">
        <f>IFERROR(AVERAGE($FC12:GE12),"")</f>
        <v>55.5</v>
      </c>
      <c r="KU12" s="226">
        <f>IFERROR(AVERAGE($FC12:GF12),"")</f>
        <v>56.068965517241381</v>
      </c>
      <c r="KV12" s="226">
        <f>IFERROR(AVERAGE($FC12:GG12),"")</f>
        <v>57.4</v>
      </c>
      <c r="KW12" s="226">
        <f>IFERROR(AVERAGE($FC12:GH12),"")</f>
        <v>58.064516129032256</v>
      </c>
      <c r="KX12" s="226">
        <f>IFERROR(AVERAGE($FC12:GI12),"")</f>
        <v>58.34375</v>
      </c>
      <c r="KY12" s="226">
        <f>IFERROR(AVERAGE($FC12:GJ12),"")</f>
        <v>59.18181818181818</v>
      </c>
      <c r="KZ12" s="226">
        <f>IFERROR(AVERAGE($FC12:GK12),"")</f>
        <v>59.941176470588232</v>
      </c>
      <c r="LA12" s="226">
        <f>IFERROR(AVERAGE($FC12:GL12),"")</f>
        <v>60.74285714285714</v>
      </c>
      <c r="LB12" s="226">
        <f>IFERROR(AVERAGE($FC12:GM12),"")</f>
        <v>61.75</v>
      </c>
      <c r="LC12" s="226">
        <f>IFERROR(AVERAGE($FC12:GN12),"")</f>
        <v>62.810810810810814</v>
      </c>
      <c r="LD12" s="226">
        <f>IFERROR(AVERAGE($FC12:GO12),"")</f>
        <v>63.763157894736842</v>
      </c>
      <c r="LE12" s="226">
        <f>IFERROR(AVERAGE($FC12:GP12),"")</f>
        <v>65</v>
      </c>
      <c r="LF12" s="226">
        <f>IFERROR(AVERAGE($FC12:GQ12),"")</f>
        <v>65.974999999999994</v>
      </c>
      <c r="LG12" s="226">
        <f>IFERROR(AVERAGE($FC12:GR12),"")</f>
        <v>66.878048780487802</v>
      </c>
      <c r="LH12" s="226">
        <f>IFERROR(AVERAGE($FC12:GS12),"")</f>
        <v>66.878048780487802</v>
      </c>
      <c r="LI12" s="226">
        <f>IFERROR(AVERAGE($FC12:GT12),"")</f>
        <v>66.878048780487802</v>
      </c>
      <c r="LJ12" s="226">
        <f>IFERROR(AVERAGE($FC12:GU12),"")</f>
        <v>66.878048780487802</v>
      </c>
      <c r="LK12" s="226">
        <f>IFERROR(AVERAGE($FC12:GV12),"")</f>
        <v>66.878048780487802</v>
      </c>
      <c r="LL12" s="226">
        <f>IFERROR(AVERAGE($FC12:GW12),"")</f>
        <v>66.878048780487802</v>
      </c>
      <c r="LM12" s="226">
        <f>IFERROR(AVERAGE($FC12:GX12),"")</f>
        <v>66.878048780487802</v>
      </c>
      <c r="LN12" s="226">
        <f>IFERROR(AVERAGE($FC12:GY12),"")</f>
        <v>66.878048780487802</v>
      </c>
      <c r="LO12" s="226">
        <f>IFERROR(AVERAGE($FC12:GZ12),"")</f>
        <v>66.878048780487802</v>
      </c>
      <c r="LP12" s="226">
        <f>IFERROR(AVERAGE($FC12:HA12),"")</f>
        <v>66.878048780487802</v>
      </c>
      <c r="LQ12" s="226">
        <f>IFERROR(AVERAGE($FC12:HB12),"")</f>
        <v>66.878048780487802</v>
      </c>
      <c r="LR12" s="226">
        <f>IFERROR(AVERAGE($FC12:HC12),"")</f>
        <v>66.878048780487802</v>
      </c>
      <c r="LT12" s="136" t="str">
        <f>+$C12</f>
        <v>KPI D1</v>
      </c>
      <c r="LU12" s="144" t="str">
        <f>+$D12</f>
        <v>Delivery</v>
      </c>
      <c r="LV12" s="144" t="str">
        <f t="shared" si="20"/>
        <v>Visual Inspection Count</v>
      </c>
      <c r="LW12" s="145" t="str">
        <f t="shared" si="21"/>
        <v>Count</v>
      </c>
      <c r="LX12" s="145" t="s">
        <v>285</v>
      </c>
      <c r="LY12" s="223" t="str">
        <f>IFERROR(AVERAGE($HJ12:HJ12),"")</f>
        <v/>
      </c>
      <c r="LZ12" s="223">
        <f>IFERROR(IF(LAD$7&gt;$D$3,"",AVERAGE($HJ12:HK12)),"")</f>
        <v>45</v>
      </c>
      <c r="MA12" s="223">
        <f>IFERROR(IF(MA$7&gt;$D$3,"",AVERAGE($HJ12:HL12)),"")</f>
        <v>45</v>
      </c>
      <c r="MB12" s="223">
        <f>IFERROR(IF(MB$7&gt;$D$3,"",AVERAGE($HJ12:HM12)),"")</f>
        <v>45</v>
      </c>
      <c r="MC12" s="223">
        <f>IFERROR(IF(MC$7&gt;$D$3,"",AVERAGE($HJ12:HN12)),"")</f>
        <v>45</v>
      </c>
      <c r="MD12" s="223">
        <f>IFERROR(IF(MD$7&gt;$D$3,"",AVERAGE($HJ12:HO12)),"")</f>
        <v>45</v>
      </c>
      <c r="ME12" s="223">
        <f>IFERROR(IF(ME$7&gt;$D$3,"",AVERAGE($HJ12:HP12)),"")</f>
        <v>45</v>
      </c>
      <c r="MF12" s="223">
        <f>IFERROR(IF(MF$7&gt;$D$3,"",AVERAGE($HJ12:HQ12)),"")</f>
        <v>45</v>
      </c>
      <c r="MG12" s="223">
        <f>IFERROR(IF(MG$7&gt;$D$3,"",AVERAGE($HJ12:HR12)),"")</f>
        <v>45</v>
      </c>
      <c r="MH12" s="223">
        <f>IFERROR(IF(MH$7&gt;$D$3,"",AVERAGE($HJ12:HS12)),"")</f>
        <v>45</v>
      </c>
      <c r="MI12" s="223">
        <f>IFERROR(IF(MI$7&gt;$D$3,"",AVERAGE($HJ12:HT12)),"")</f>
        <v>45</v>
      </c>
      <c r="MJ12" s="223">
        <f>IFERROR(IF(MJ$7&gt;$D$3,"",AVERAGE($HJ12:HU12)),"")</f>
        <v>45</v>
      </c>
      <c r="MK12" s="223">
        <f>IFERROR(IF(MK$7&gt;$D$3,"",AVERAGE($HJ12:HV12)),"")</f>
        <v>45</v>
      </c>
      <c r="ML12" s="223">
        <f>IFERROR(IF(ML$7&gt;$D$3,"",AVERAGE($HJ12:HW12)),"")</f>
        <v>45</v>
      </c>
      <c r="MM12" s="223">
        <f>IFERROR(IF(MM$7&gt;$D$3,"",AVERAGE($HJ12:HX12)),"")</f>
        <v>45.714285714285715</v>
      </c>
      <c r="MN12" s="223">
        <f>IFERROR(IF(MN$7&gt;$D$3,"",AVERAGE($HJ12:HY12)),"")</f>
        <v>46.333333333333336</v>
      </c>
      <c r="MO12" s="223">
        <f>IFERROR(IF(MO$7&gt;$D$3,"",AVERAGE($HJ12:HZ12)),"")</f>
        <v>46.875</v>
      </c>
      <c r="MP12" s="223">
        <f>IFERROR(IF(MP$7&gt;$D$3,"",AVERAGE($HJ12:IA12)),"")</f>
        <v>47.352941176470587</v>
      </c>
      <c r="MQ12" s="223">
        <f>IFERROR(IF(MQ$7&gt;$D$3,"",AVERAGE($HJ12:IB12)),"")</f>
        <v>47.777777777777779</v>
      </c>
      <c r="MR12" s="223">
        <f>IFERROR(IF(MR$7&gt;$D$3,"",AVERAGE($HJ12:IC12)),"")</f>
        <v>48.157894736842103</v>
      </c>
      <c r="MS12" s="223">
        <f>IFERROR(IF(MS$7&gt;$D$3,"",AVERAGE($HJ12:ID12)),"")</f>
        <v>48.5</v>
      </c>
      <c r="MT12" s="223">
        <f>IFERROR(IF(MT$7&gt;$D$3,"",AVERAGE($HJ12:IE12)),"")</f>
        <v>48.80952380952381</v>
      </c>
      <c r="MU12" s="223">
        <f>IFERROR(IF(MU$7&gt;$D$3,"",AVERAGE($HJ12:IF12)),"")</f>
        <v>49.090909090909093</v>
      </c>
      <c r="MV12" s="223">
        <f>IFERROR(IF(MV$7&gt;$D$3,"",AVERAGE($HJ12:IG12)),"")</f>
        <v>49.347826086956523</v>
      </c>
      <c r="MW12" s="223">
        <f>IFERROR(IF(MW$7&gt;$D$3,"",AVERAGE($HJ12:IH12)),"")</f>
        <v>49.583333333333336</v>
      </c>
      <c r="MX12" s="223">
        <f>IFERROR(IF(MX$7&gt;$D$3,"",AVERAGE($HJ12:II12)),"")</f>
        <v>49.8</v>
      </c>
      <c r="MY12" s="223">
        <f>IFERROR(IF(MY$7&gt;$D$3,"",AVERAGE($HJ12:IJ12)),"")</f>
        <v>50.57692307692308</v>
      </c>
      <c r="MZ12" s="223">
        <f>IFERROR(IF(MZ$7&gt;$D$3,"",AVERAGE($HJ12:IK12)),"")</f>
        <v>51.296296296296298</v>
      </c>
      <c r="NA12" s="223">
        <f>IFERROR(IF(NA$7&gt;$D$3,"",AVERAGE($HJ12:IL12)),"")</f>
        <v>51.964285714285715</v>
      </c>
      <c r="NB12" s="223">
        <f>IFERROR(IF(NB$7&gt;$D$3,"",AVERAGE($HJ12:IM12)),"")</f>
        <v>52.586206896551722</v>
      </c>
      <c r="NC12" s="223">
        <f>IFERROR(IF(NC$7&gt;$D$3,"",AVERAGE($HJ12:IN12)),"")</f>
        <v>53.166666666666664</v>
      </c>
      <c r="ND12" s="223">
        <f>IFERROR(IF(ND$7&gt;$D$3,"",AVERAGE($HJ12:IO12)),"")</f>
        <v>53.70967741935484</v>
      </c>
      <c r="NE12" s="223">
        <f>IFERROR(IF(NE$7&gt;$D$3,"",AVERAGE($HJ12:IP12)),"")</f>
        <v>54.21875</v>
      </c>
      <c r="NF12" s="223">
        <f>IFERROR(IF(NF$7&gt;$D$3,"",AVERAGE($HJ12:IQ12)),"")</f>
        <v>54.696969696969695</v>
      </c>
      <c r="NG12" s="223">
        <f>IFERROR(IF(NG$7&gt;$D$3,"",AVERAGE($HJ12:IR12)),"")</f>
        <v>55.147058823529413</v>
      </c>
      <c r="NH12" s="223">
        <f>IFERROR(IF(NH$7&gt;$D$3,"",AVERAGE($HJ12:IS12)),"")</f>
        <v>55.571428571428569</v>
      </c>
      <c r="NI12" s="223">
        <f>IFERROR(IF(NI$7&gt;$D$3,"",AVERAGE($HJ12:IT12)),"")</f>
        <v>55.972222222222221</v>
      </c>
      <c r="NJ12" s="223">
        <f>IFERROR(IF(NJ$7&gt;$D$3,"",AVERAGE($HJ12:IU12)),"")</f>
        <v>56.351351351351354</v>
      </c>
      <c r="NK12" s="223">
        <f>IFERROR(IF(NK$7&gt;$D$3,"",AVERAGE($HJ12:IV12)),"")</f>
        <v>56.710526315789473</v>
      </c>
      <c r="NL12" s="223">
        <f>IFERROR(IF(NL$7&gt;$D$3,"",AVERAGE($HJ12:IW12)),"")</f>
        <v>57.820512820512818</v>
      </c>
      <c r="NM12" s="223">
        <f>IFERROR(IF(NM$7&gt;$D$3,"",AVERAGE($HJ12:IX12)),"")</f>
        <v>58.875</v>
      </c>
      <c r="NN12" s="223">
        <f>IFERROR(IF(NN$7&gt;$D$3,"",AVERAGE($HJ12:IY12)),"")</f>
        <v>59.878048780487802</v>
      </c>
      <c r="NO12" s="223" t="str">
        <f>IFERROR(IF(NO$7&gt;$D$3,"",AVERAGE($HJ12:IZ12)),"")</f>
        <v/>
      </c>
      <c r="NP12" s="223" t="str">
        <f>IFERROR(IF(NP$7&gt;$D$3,"",AVERAGE($HJ12:JA12)),"")</f>
        <v/>
      </c>
      <c r="NQ12" s="223" t="str">
        <f>IFERROR(IF(NQ$7&gt;$D$3,"",AVERAGE($HJ12:JB12)),"")</f>
        <v/>
      </c>
      <c r="NR12" s="223" t="str">
        <f>IFERROR(IF(NR$7&gt;$D$3,"",AVERAGE($HJ12:JC12)),"")</f>
        <v/>
      </c>
      <c r="NS12" s="223" t="str">
        <f>IFERROR(IF(NS$7&gt;$D$3,"",AVERAGE($HJ12:JD12)),"")</f>
        <v/>
      </c>
      <c r="NT12" s="223" t="str">
        <f>IFERROR(IF(NT$7&gt;$D$3,"",AVERAGE($HJ12:JE12)),"")</f>
        <v/>
      </c>
      <c r="NU12" s="223" t="str">
        <f>IFERROR(IF(NU$7&gt;$D$3,"",AVERAGE($HJ12:JF12)),"")</f>
        <v/>
      </c>
      <c r="NV12" s="223" t="str">
        <f>IFERROR(IF(NV$7&gt;$D$3,"",AVERAGE($HJ12:JG12)),"")</f>
        <v/>
      </c>
      <c r="NW12" s="223" t="str">
        <f>IFERROR(IF(NW$7&gt;$D$3,"",AVERAGE($HJ12:JH12)),"")</f>
        <v/>
      </c>
      <c r="NX12" s="223" t="str">
        <f>IFERROR(IF(NX$7&gt;$D$3,"",AVERAGE($HJ12:JI12)),"")</f>
        <v/>
      </c>
      <c r="NY12" s="223" t="str">
        <f>IFERROR(IF(NY$7&gt;$D$3,"",AVERAGE($HJ12:JJ12)),"")</f>
        <v/>
      </c>
    </row>
    <row r="13" spans="1:389" x14ac:dyDescent="0.3">
      <c r="A13" t="str">
        <f>$B$10&amp;"-"&amp;C13</f>
        <v>EHS-KPI Q1</v>
      </c>
      <c r="B13" s="918">
        <f>+'KPI Stats'!B12</f>
        <v>0</v>
      </c>
      <c r="C13" s="136" t="str">
        <f>+'KPI Stats'!C12</f>
        <v>KPI Q1</v>
      </c>
      <c r="D13" s="144" t="str">
        <f>+'KPI Stats'!D12</f>
        <v>Quality</v>
      </c>
      <c r="E13" s="144" t="str">
        <f>+'KPI Stats'!E12</f>
        <v>Visual Inspection Pass Rate</v>
      </c>
      <c r="F13" s="145" t="str">
        <f>+'KPI Stats'!F12</f>
        <v>Percentage</v>
      </c>
      <c r="G13" s="169" t="str">
        <f>+'KPI Stats'!G12</f>
        <v>Under</v>
      </c>
      <c r="J13" s="69" t="str">
        <f>_xlfn.XLOOKUP((J$7-0),$AM$7:$CM$7,$AM13:$CM13,,FALSE)</f>
        <v>G</v>
      </c>
      <c r="K13" s="264">
        <f>_xlfn.XLOOKUP((K$7-0),$FC$7:$HC$7,$FC13:$HC13,,FALSE)</f>
        <v>92</v>
      </c>
      <c r="L13" s="269">
        <f>_xlfn.XLOOKUP((L$7-0),$HJ$7:$JJ$7,$HJ13:$JJ13,,FALSE)</f>
        <v>90</v>
      </c>
      <c r="M13" s="272">
        <f>_xlfn.XLOOKUP((M$7-1),$CU$7:$EU$7,$CU13:$EU13,,FALSE)</f>
        <v>1</v>
      </c>
      <c r="P13" s="69" t="str">
        <f>_xlfn.XLOOKUP((P$7-1),$AM$7:$CM$7,$AM13:$CM13,,FALSE)</f>
        <v>G</v>
      </c>
      <c r="Q13" s="264">
        <f t="shared" si="23"/>
        <v>92</v>
      </c>
      <c r="R13" s="278">
        <f t="shared" si="23"/>
        <v>90</v>
      </c>
      <c r="S13" s="288">
        <f>_xlfn.XLOOKUP((S$7-1),$CU$7:$EU$7,$CU13:$EU13,,FALSE)</f>
        <v>1</v>
      </c>
      <c r="T13" s="265">
        <f>_xlfn.XLOOKUP((T$7-1),$CU$7:$EU$7,$CU13:$EU13,,FALSE)</f>
        <v>1.0111111111111111</v>
      </c>
      <c r="U13" s="295" t="str">
        <f>IF(F10&lt;$R$2,"Not Complete",IF(Q13=R13,"Same −",IF($G13="Over",IF(Q13&lt;R13,"Better ↑","Worse ↓"),IF($G13="Under",IF(Q13&gt;R13,"Better ↑","Worse ↓"),"err"))))</f>
        <v>Better ↑</v>
      </c>
      <c r="X13" s="69" t="str">
        <f t="shared" si="24"/>
        <v>A</v>
      </c>
      <c r="Y13" s="264">
        <f>_xlfn.XLOOKUP((Y$7-0),$JR$7:$LR$7,$JR13:$LR13,FALSE)</f>
        <v>87.073170731707322</v>
      </c>
      <c r="Z13" s="278">
        <f>_xlfn.XLOOKUP((Z$7-0),$LY$7:$NY$7,$LY13:$NY13,FALSE)</f>
        <v>90</v>
      </c>
      <c r="AA13" s="288">
        <f>IFERROR(IF(G13="under",Y13/Z13,IF(G13="Over",Z13/Y13,"")),"")</f>
        <v>0.96747967479674801</v>
      </c>
      <c r="AB13" s="295" t="str">
        <f>IF(F10&lt;($R$2-1),"TBC",IF(Y13=Z13,"Same −",IF($G13="Over",IF(Z13&lt;Y13,"Better ↑ ","Worse ↓ "),IF($G13="Under",IF(Y13&gt;Z13,"Better ↑ ","Worse ↓ "),"err"))))</f>
        <v xml:space="preserve">Worse ↓ </v>
      </c>
      <c r="AC13" s="69" t="str">
        <f>IF(AND(G13="above adero",AD13&gt;0),"R",IF(AF13&gt;1,"G",IF(AF13&gt;0.95,"A","R")))</f>
        <v>A</v>
      </c>
      <c r="AD13" s="264">
        <f>_xlfn.XLOOKUP(AD$7,$JR$7:$LR$7,$JR13:$LR13,FALSE)</f>
        <v>86.95</v>
      </c>
      <c r="AE13" s="278">
        <f>_xlfn.XLOOKUP(AE$7,$LY$7:$NY$7,$LY13:$NY13,FALSE)</f>
        <v>90</v>
      </c>
      <c r="AF13" s="272">
        <f>IFERROR(IF(G13="under",AD13/AE13,IF(G13="Over",AE13/AD13,"")),"")</f>
        <v>0.96611111111111114</v>
      </c>
      <c r="AH13" s="465" t="str">
        <f>+$A13</f>
        <v>EHS-KPI Q1</v>
      </c>
      <c r="AI13" s="136" t="str">
        <f t="shared" si="25"/>
        <v>KPI Q1</v>
      </c>
      <c r="AJ13" s="144" t="str">
        <f t="shared" si="25"/>
        <v>Quality</v>
      </c>
      <c r="AK13" s="144" t="str">
        <f t="shared" si="5"/>
        <v>Visual Inspection Pass Rate</v>
      </c>
      <c r="AL13" s="145" t="str">
        <f t="shared" si="5"/>
        <v>Percentage</v>
      </c>
      <c r="AM13" s="69" t="str">
        <f>IF(AM$7&gt;$D$3,"",_xlfn.XLOOKUP(AM$7,EHS!$M$6:$BM$6,EHS!$M$16:$BM$16))</f>
        <v>Blank</v>
      </c>
      <c r="AN13" s="199" t="str">
        <f>IF(AN$7&gt;$D$3,"",_xlfn.XLOOKUP(AN$7,EHS!$M$6:$BM$6,EHS!$M$16:$BM$16))</f>
        <v>G</v>
      </c>
      <c r="AO13" s="69" t="str">
        <f>IF(AO$7&gt;$D$3,"",_xlfn.XLOOKUP(AO$7,EHS!$M$6:$BM$6,EHS!$M$16:$BM$16))</f>
        <v>G</v>
      </c>
      <c r="AP13" s="69" t="str">
        <f>IF(AP$7&gt;$D$3,"",_xlfn.XLOOKUP(AP$7,EHS!$M$6:$BM$6,EHS!$M$16:$BM$16))</f>
        <v>G</v>
      </c>
      <c r="AQ13" s="69" t="str">
        <f>IF(AQ$7&gt;$D$3,"",_xlfn.XLOOKUP(AQ$7,EHS!$M$6:$BM$6,EHS!$M$16:$BM$16))</f>
        <v>A</v>
      </c>
      <c r="AR13" s="69" t="str">
        <f>IF(AR$7&gt;$D$3,"",_xlfn.XLOOKUP(AR$7,EHS!$M$6:$BM$6,EHS!$M$16:$BM$16))</f>
        <v>A</v>
      </c>
      <c r="AS13" s="69" t="str">
        <f>IF(AS$7&gt;$D$3,"",_xlfn.XLOOKUP(AS$7,EHS!$M$6:$BM$6,EHS!$M$16:$BM$16))</f>
        <v>R</v>
      </c>
      <c r="AT13" s="69" t="str">
        <f>IF(AT$7&gt;$D$3,"",_xlfn.XLOOKUP(AT$7,EHS!$M$6:$BM$6,EHS!$M$16:$BM$16))</f>
        <v>A</v>
      </c>
      <c r="AU13" s="69" t="str">
        <f>IF(AU$7&gt;$D$3,"",_xlfn.XLOOKUP(AU$7,EHS!$M$6:$BM$6,EHS!$M$16:$BM$16))</f>
        <v>R</v>
      </c>
      <c r="AV13" s="69" t="str">
        <f>IF(AV$7&gt;$D$3,"",_xlfn.XLOOKUP(AV$7,EHS!$M$6:$BM$6,EHS!$M$16:$BM$16))</f>
        <v>R</v>
      </c>
      <c r="AW13" s="69" t="str">
        <f>IF(AW$7&gt;$D$3,"",_xlfn.XLOOKUP(AW$7,EHS!$M$6:$BM$6,EHS!$M$16:$BM$16))</f>
        <v>G</v>
      </c>
      <c r="AX13" s="69" t="str">
        <f>IF(AX$7&gt;$D$3,"",_xlfn.XLOOKUP(AX$7,EHS!$M$6:$BM$6,EHS!$M$16:$BM$16))</f>
        <v>G</v>
      </c>
      <c r="AY13" s="69" t="str">
        <f>IF(AY$7&gt;$D$3,"",_xlfn.XLOOKUP(AY$7,EHS!$M$6:$BM$6,EHS!$M$16:$BM$16))</f>
        <v>A</v>
      </c>
      <c r="AZ13" s="69" t="str">
        <f>IF(AZ$7&gt;$D$3,"",_xlfn.XLOOKUP(AZ$7,EHS!$M$6:$BM$6,EHS!$M$16:$BM$16))</f>
        <v>R</v>
      </c>
      <c r="BA13" s="69" t="str">
        <f>IF(BA$7&gt;$D$3,"",_xlfn.XLOOKUP(BA$7,EHS!$M$6:$BM$6,EHS!$M$16:$BM$16))</f>
        <v>G</v>
      </c>
      <c r="BB13" s="69" t="str">
        <f>IF(BB$7&gt;$D$3,"",_xlfn.XLOOKUP(BB$7,EHS!$M$6:$BM$6,EHS!$M$16:$BM$16))</f>
        <v>A</v>
      </c>
      <c r="BC13" s="69" t="str">
        <f>IF(BC$7&gt;$D$3,"",_xlfn.XLOOKUP(BC$7,EHS!$M$6:$BM$6,EHS!$M$16:$BM$16))</f>
        <v>A</v>
      </c>
      <c r="BD13" s="69" t="str">
        <f>IF(BD$7&gt;$D$3,"",_xlfn.XLOOKUP(BD$7,EHS!$M$6:$BM$6,EHS!$M$16:$BM$16))</f>
        <v>A</v>
      </c>
      <c r="BE13" s="69" t="str">
        <f>IF(BE$7&gt;$D$3,"",_xlfn.XLOOKUP(BE$7,EHS!$M$6:$BM$6,EHS!$M$16:$BM$16))</f>
        <v>A</v>
      </c>
      <c r="BF13" s="69" t="str">
        <f>IF(BF$7&gt;$D$3,"",_xlfn.XLOOKUP(BF$7,EHS!$M$6:$BM$6,EHS!$M$16:$BM$16))</f>
        <v>R</v>
      </c>
      <c r="BG13" s="69" t="str">
        <f>IF(BG$7&gt;$D$3,"",_xlfn.XLOOKUP(BG$7,EHS!$M$6:$BM$6,EHS!$M$16:$BM$16))</f>
        <v>R</v>
      </c>
      <c r="BH13" s="69" t="str">
        <f>IF(BH$7&gt;$D$3,"",_xlfn.XLOOKUP(BH$7,EHS!$M$6:$BM$6,EHS!$M$16:$BM$16))</f>
        <v>R</v>
      </c>
      <c r="BI13" s="69" t="str">
        <f>IF(BI$7&gt;$D$3,"",_xlfn.XLOOKUP(BI$7,EHS!$M$6:$BM$6,EHS!$M$16:$BM$16))</f>
        <v>A</v>
      </c>
      <c r="BJ13" s="69" t="str">
        <f>IF(BJ$7&gt;$D$3,"",_xlfn.XLOOKUP(BJ$7,EHS!$M$6:$BM$6,EHS!$M$16:$BM$16))</f>
        <v>R</v>
      </c>
      <c r="BK13" s="69" t="str">
        <f>IF(BK$7&gt;$D$3,"",_xlfn.XLOOKUP(BK$7,EHS!$M$6:$BM$6,EHS!$M$16:$BM$16))</f>
        <v>A</v>
      </c>
      <c r="BL13" s="69" t="str">
        <f>IF(BL$7&gt;$D$3,"",_xlfn.XLOOKUP(BL$7,EHS!$M$6:$BM$6,EHS!$M$16:$BM$16))</f>
        <v>A</v>
      </c>
      <c r="BM13" s="69" t="str">
        <f>IF(BM$7&gt;$D$3,"",_xlfn.XLOOKUP(BM$7,EHS!$M$6:$BM$6,EHS!$M$16:$BM$16))</f>
        <v>A</v>
      </c>
      <c r="BN13" s="69" t="str">
        <f>IF(BN$7&gt;$D$3,"",_xlfn.XLOOKUP(BN$7,EHS!$M$6:$BM$6,EHS!$M$16:$BM$16))</f>
        <v>A</v>
      </c>
      <c r="BO13" s="69" t="str">
        <f>IF(BO$7&gt;$D$3,"",_xlfn.XLOOKUP(BO$7,EHS!$M$6:$BM$6,EHS!$M$16:$BM$16))</f>
        <v>G</v>
      </c>
      <c r="BP13" s="69" t="str">
        <f>IF(BP$7&gt;$D$3,"",_xlfn.XLOOKUP(BP$7,EHS!$M$6:$BM$6,EHS!$M$16:$BM$16))</f>
        <v>G</v>
      </c>
      <c r="BQ13" s="69" t="str">
        <f>IF(BQ$7&gt;$D$3,"",_xlfn.XLOOKUP(BQ$7,EHS!$M$6:$BM$6,EHS!$M$16:$BM$16))</f>
        <v>R</v>
      </c>
      <c r="BR13" s="69" t="str">
        <f>IF(BR$7&gt;$D$3,"",_xlfn.XLOOKUP(BR$7,EHS!$M$6:$BM$6,EHS!$M$16:$BM$16))</f>
        <v>G</v>
      </c>
      <c r="BS13" s="69" t="str">
        <f>IF(BS$7&gt;$D$3,"",_xlfn.XLOOKUP(BS$7,EHS!$M$6:$BM$6,EHS!$M$16:$BM$16))</f>
        <v>R</v>
      </c>
      <c r="BT13" s="69" t="str">
        <f>IF(BT$7&gt;$D$3,"",_xlfn.XLOOKUP(BT$7,EHS!$M$6:$BM$6,EHS!$M$16:$BM$16))</f>
        <v>A</v>
      </c>
      <c r="BU13" s="69" t="str">
        <f>IF(BU$7&gt;$D$3,"",_xlfn.XLOOKUP(BU$7,EHS!$M$6:$BM$6,EHS!$M$16:$BM$16))</f>
        <v>A</v>
      </c>
      <c r="BV13" s="69" t="str">
        <f>IF(BV$7&gt;$D$3,"",_xlfn.XLOOKUP(BV$7,EHS!$M$6:$BM$6,EHS!$M$16:$BM$16))</f>
        <v>G</v>
      </c>
      <c r="BW13" s="69" t="str">
        <f>IF(BW$7&gt;$D$3,"",_xlfn.XLOOKUP(BW$7,EHS!$M$6:$BM$6,EHS!$M$16:$BM$16))</f>
        <v>A</v>
      </c>
      <c r="BX13" s="69" t="str">
        <f>IF(BX$7&gt;$D$3,"",_xlfn.XLOOKUP(BX$7,EHS!$M$6:$BM$6,EHS!$M$16:$BM$16))</f>
        <v>A</v>
      </c>
      <c r="BY13" s="69" t="str">
        <f>IF(BY$7&gt;$D$3,"",_xlfn.XLOOKUP(BY$7,EHS!$M$6:$BM$6,EHS!$M$16:$BM$16))</f>
        <v>A</v>
      </c>
      <c r="BZ13" s="69" t="str">
        <f>IF(BZ$7&gt;$D$3,"",_xlfn.XLOOKUP(BZ$7,EHS!$M$6:$BM$6,EHS!$M$16:$BM$16))</f>
        <v>G</v>
      </c>
      <c r="CA13" s="69" t="str">
        <f>IF(CA$7&gt;$D$3,"",_xlfn.XLOOKUP(CA$7,EHS!$M$6:$BM$6,EHS!$M$16:$BM$16))</f>
        <v>G</v>
      </c>
      <c r="CB13" s="69" t="str">
        <f>IF(CB$7&gt;$D$3,"",_xlfn.XLOOKUP(CB$7,EHS!$M$6:$BM$6,EHS!$M$16:$BM$16))</f>
        <v>G</v>
      </c>
      <c r="CC13" s="69" t="str">
        <f>IF(CC$7&gt;$D$3,"",_xlfn.XLOOKUP(CC$7,EHS!$M$6:$BM$6,EHS!$M$16:$BM$16))</f>
        <v/>
      </c>
      <c r="CD13" s="69" t="str">
        <f>IF(CD$7&gt;$D$3,"",_xlfn.XLOOKUP(CD$7,EHS!$M$6:$BM$6,EHS!$M$16:$BM$16))</f>
        <v/>
      </c>
      <c r="CE13" s="69" t="str">
        <f>IF(CE$7&gt;$D$3,"",_xlfn.XLOOKUP(CE$7,EHS!$M$6:$BM$6,EHS!$M$16:$BM$16))</f>
        <v/>
      </c>
      <c r="CF13" s="69" t="str">
        <f>IF(CF$7&gt;$D$3,"",_xlfn.XLOOKUP(CF$7,EHS!$M$6:$BM$6,EHS!$M$16:$BM$16))</f>
        <v/>
      </c>
      <c r="CG13" s="69" t="str">
        <f>IF(CG$7&gt;$D$3,"",_xlfn.XLOOKUP(CG$7,EHS!$M$6:$BM$6,EHS!$M$16:$BM$16))</f>
        <v/>
      </c>
      <c r="CH13" s="69" t="str">
        <f>IF(CH$7&gt;$D$3,"",_xlfn.XLOOKUP(CH$7,EHS!$M$6:$BM$6,EHS!$M$16:$BM$16))</f>
        <v/>
      </c>
      <c r="CI13" s="69" t="str">
        <f>IF(CI$7&gt;$D$3,"",_xlfn.XLOOKUP(CI$7,EHS!$M$6:$BM$6,EHS!$M$16:$BM$16))</f>
        <v/>
      </c>
      <c r="CJ13" s="69" t="str">
        <f>IF(CJ$7&gt;$D$3,"",_xlfn.XLOOKUP(CJ$7,EHS!$M$6:$BM$6,EHS!$M$16:$BM$16))</f>
        <v/>
      </c>
      <c r="CK13" s="69" t="str">
        <f>IF(CK$7&gt;$D$3,"",_xlfn.XLOOKUP(CK$7,EHS!$M$6:$BM$6,EHS!$M$16:$BM$16))</f>
        <v/>
      </c>
      <c r="CL13" s="69" t="str">
        <f>IF(CL$7&gt;$D$3,"",_xlfn.XLOOKUP(CL$7,EHS!$M$6:$BM$6,EHS!$M$16:$BM$16))</f>
        <v/>
      </c>
      <c r="CM13" s="69" t="str">
        <f>IF(CM$7&gt;$D$3,"",_xlfn.XLOOKUP(CM$7,EHS!$M$6:$BM$6,EHS!$M$16:$BM$16))</f>
        <v/>
      </c>
      <c r="CO13" s="465" t="str">
        <f>+$A13</f>
        <v>EHS-KPI Q1</v>
      </c>
      <c r="CP13" s="136" t="str">
        <f t="shared" si="26"/>
        <v>KPI Q1</v>
      </c>
      <c r="CQ13" s="144" t="str">
        <f t="shared" si="26"/>
        <v>Quality</v>
      </c>
      <c r="CR13" s="144" t="str">
        <f t="shared" si="7"/>
        <v>Visual Inspection Pass Rate</v>
      </c>
      <c r="CS13" s="145" t="str">
        <f t="shared" si="7"/>
        <v>Percentage</v>
      </c>
      <c r="CT13" s="207" t="s">
        <v>246</v>
      </c>
      <c r="CU13" s="69" t="str">
        <f>IF(CU$7&gt;$D$3,"",_xlfn.XLOOKUP(CU$7,EHS!$M$6:$BM$6,EHS!$M$16:$BM$16))</f>
        <v>Blank</v>
      </c>
      <c r="CV13" s="760">
        <f>IFERROR(IF(CV$7&gt;$D$3,"",IF(AN13="OD","OD",IF(AN13="Missed","Missed",IF(AN13="TBC","TBC",IF(AN13="Undefined","Undefined",_xlfn.XLOOKUP(CV$7,EHS!$M$6:$BM$6,EHS!$M$15:$BM$15)/_xlfn.XLOOKUP(CV$7,EHS!$M$6:$BM$6,EHS!$M$14:$BM$14)))))),"")</f>
        <v>1</v>
      </c>
      <c r="CW13" s="761">
        <f>IFERROR(IF(CW$7&gt;$D$3,"",IF(AO13="OD","OD",IF(AO13="Missed","Missed",IF(AO13="TBC","TBC",IF(AO13="Undefined","Undefined",_xlfn.XLOOKUP(CW$7,EHS!$M$6:$BM$6,EHS!$M$15:$BM$15)/_xlfn.XLOOKUP(CW$7,EHS!$M$6:$BM$6,EHS!$M$14:$BM$14)))))),"")</f>
        <v>1.0222222222222221</v>
      </c>
      <c r="CX13" s="761">
        <f>IFERROR(IF(CX$7&gt;$D$3,"",IF(AP13="OD","OD",IF(AP13="Missed","Missed",IF(AP13="TBC","TBC",IF(AP13="Undefined","Undefined",_xlfn.XLOOKUP(CX$7,EHS!$M$6:$BM$6,EHS!$M$15:$BM$15)/_xlfn.XLOOKUP(CX$7,EHS!$M$6:$BM$6,EHS!$M$14:$BM$14)))))),"")</f>
        <v>1.0444444444444445</v>
      </c>
      <c r="CY13" s="761">
        <f>IFERROR(IF(CY$7&gt;$D$3,"",IF(AQ13="OD","OD",IF(AQ13="Missed","Missed",IF(AQ13="TBC","TBC",IF(AQ13="Undefined","Undefined",_xlfn.XLOOKUP(CY$7,EHS!$M$6:$BM$6,EHS!$M$15:$BM$15)/_xlfn.XLOOKUP(CY$7,EHS!$M$6:$BM$6,EHS!$M$14:$BM$14)))))),"")</f>
        <v>0.9555555555555556</v>
      </c>
      <c r="CZ13" s="761">
        <f>IFERROR(IF(CZ$7&gt;$D$3,"",IF(AR13="OD","OD",IF(AR13="Missed","Missed",IF(AR13="TBC","TBC",IF(AR13="Undefined","Undefined",_xlfn.XLOOKUP(CZ$7,EHS!$M$6:$BM$6,EHS!$M$15:$BM$15)/_xlfn.XLOOKUP(CZ$7,EHS!$M$6:$BM$6,EHS!$M$14:$BM$14)))))),"")</f>
        <v>0.96666666666666667</v>
      </c>
      <c r="DA13" s="761">
        <f>IFERROR(IF(DA$7&gt;$D$3,"",IF(AS13="OD","OD",IF(AS13="Missed","Missed",IF(AS13="TBC","TBC",IF(AS13="Undefined","Undefined",_xlfn.XLOOKUP(DA$7,EHS!$M$6:$BM$6,EHS!$M$15:$BM$15)/_xlfn.XLOOKUP(DA$7,EHS!$M$6:$BM$6,EHS!$M$14:$BM$14)))))),"")</f>
        <v>0.91111111111111109</v>
      </c>
      <c r="DB13" s="761">
        <f>IFERROR(IF(DB$7&gt;$D$3,"",IF(AT13="OD","OD",IF(AT13="Missed","Missed",IF(AT13="TBC","TBC",IF(AT13="Undefined","Undefined",_xlfn.XLOOKUP(DB$7,EHS!$M$6:$BM$6,EHS!$M$15:$BM$15)/_xlfn.XLOOKUP(DB$7,EHS!$M$6:$BM$6,EHS!$M$14:$BM$14)))))),"")</f>
        <v>0.98888888888888893</v>
      </c>
      <c r="DC13" s="761">
        <f>IFERROR(IF(DC$7&gt;$D$3,"",IF(AU13="OD","OD",IF(AU13="Missed","Missed",IF(AU13="TBC","TBC",IF(AU13="Undefined","Undefined",_xlfn.XLOOKUP(DC$7,EHS!$M$6:$BM$6,EHS!$M$15:$BM$15)/_xlfn.XLOOKUP(DC$7,EHS!$M$6:$BM$6,EHS!$M$14:$BM$14)))))),"")</f>
        <v>0.94444444444444442</v>
      </c>
      <c r="DD13" s="761">
        <f>IFERROR(IF(DD$7&gt;$D$3,"",IF(AV13="OD","OD",IF(AV13="Missed","Missed",IF(AV13="TBC","TBC",IF(AV13="Undefined","Undefined",_xlfn.XLOOKUP(DD$7,EHS!$M$6:$BM$6,EHS!$M$15:$BM$15)/_xlfn.XLOOKUP(DD$7,EHS!$M$6:$BM$6,EHS!$M$14:$BM$14)))))),"")</f>
        <v>0.91111111111111109</v>
      </c>
      <c r="DE13" s="761">
        <f>IFERROR(IF(DE$7&gt;$D$3,"",IF(AW13="OD","OD",IF(AW13="Missed","Missed",IF(AW13="TBC","TBC",IF(AW13="Undefined","Undefined",_xlfn.XLOOKUP(DE$7,EHS!$M$6:$BM$6,EHS!$M$15:$BM$15)/_xlfn.XLOOKUP(DE$7,EHS!$M$6:$BM$6,EHS!$M$14:$BM$14)))))),"")</f>
        <v>1.0222222222222221</v>
      </c>
      <c r="DF13" s="761">
        <f>IFERROR(IF(DF$7&gt;$D$3,"",IF(AX13="OD","OD",IF(AX13="Missed","Missed",IF(AX13="TBC","TBC",IF(AX13="Undefined","Undefined",_xlfn.XLOOKUP(DF$7,EHS!$M$6:$BM$6,EHS!$M$15:$BM$15)/_xlfn.XLOOKUP(DF$7,EHS!$M$6:$BM$6,EHS!$M$14:$BM$14)))))),"")</f>
        <v>1</v>
      </c>
      <c r="DG13" s="761">
        <f>IFERROR(IF(DG$7&gt;$D$3,"",IF(AY13="OD","OD",IF(AY13="Missed","Missed",IF(AY13="TBC","TBC",IF(AY13="Undefined","Undefined",_xlfn.XLOOKUP(DG$7,EHS!$M$6:$BM$6,EHS!$M$15:$BM$15)/_xlfn.XLOOKUP(DG$7,EHS!$M$6:$BM$6,EHS!$M$14:$BM$14)))))),"")</f>
        <v>0.9555555555555556</v>
      </c>
      <c r="DH13" s="761">
        <f>IFERROR(IF(DH$7&gt;$D$3,"",IF(AZ13="OD","OD",IF(AZ13="Missed","Missed",IF(AZ13="TBC","TBC",IF(AZ13="Undefined","Undefined",_xlfn.XLOOKUP(DH$7,EHS!$M$6:$BM$6,EHS!$M$15:$BM$15)/_xlfn.XLOOKUP(DH$7,EHS!$M$6:$BM$6,EHS!$M$14:$BM$14)))))),"")</f>
        <v>0.9</v>
      </c>
      <c r="DI13" s="761">
        <f>IFERROR(IF(DI$7&gt;$D$3,"",IF(BA13="OD","OD",IF(BA13="Missed","Missed",IF(BA13="TBC","TBC",IF(BA13="Undefined","Undefined",_xlfn.XLOOKUP(DI$7,EHS!$M$6:$BM$6,EHS!$M$15:$BM$15)/_xlfn.XLOOKUP(DI$7,EHS!$M$6:$BM$6,EHS!$M$14:$BM$14)))))),"")</f>
        <v>1.0222222222222221</v>
      </c>
      <c r="DJ13" s="761">
        <f>IFERROR(IF(DJ$7&gt;$D$3,"",IF(BB13="OD","OD",IF(BB13="Missed","Missed",IF(BB13="TBC","TBC",IF(BB13="Undefined","Undefined",_xlfn.XLOOKUP(DJ$7,EHS!$M$6:$BM$6,EHS!$M$15:$BM$15)/_xlfn.XLOOKUP(DJ$7,EHS!$M$6:$BM$6,EHS!$M$14:$BM$14)))))),"")</f>
        <v>0.97777777777777775</v>
      </c>
      <c r="DK13" s="761">
        <f>IFERROR(IF(DK$7&gt;$D$3,"",IF(BC13="OD","OD",IF(BC13="Missed","Missed",IF(BC13="TBC","TBC",IF(BC13="Undefined","Undefined",_xlfn.XLOOKUP(DK$7,EHS!$M$6:$BM$6,EHS!$M$15:$BM$15)/_xlfn.XLOOKUP(DK$7,EHS!$M$6:$BM$6,EHS!$M$14:$BM$14)))))),"")</f>
        <v>0.97777777777777775</v>
      </c>
      <c r="DL13" s="761">
        <f>IFERROR(IF(DL$7&gt;$D$3,"",IF(BD13="OD","OD",IF(BD13="Missed","Missed",IF(BD13="TBC","TBC",IF(BD13="Undefined","Undefined",_xlfn.XLOOKUP(DL$7,EHS!$M$6:$BM$6,EHS!$M$15:$BM$15)/_xlfn.XLOOKUP(DL$7,EHS!$M$6:$BM$6,EHS!$M$14:$BM$14)))))),"")</f>
        <v>0.96666666666666667</v>
      </c>
      <c r="DM13" s="761">
        <f>IFERROR(IF(DM$7&gt;$D$3,"",IF(BE13="OD","OD",IF(BE13="Missed","Missed",IF(BE13="TBC","TBC",IF(BE13="Undefined","Undefined",_xlfn.XLOOKUP(DM$7,EHS!$M$6:$BM$6,EHS!$M$15:$BM$15)/_xlfn.XLOOKUP(DM$7,EHS!$M$6:$BM$6,EHS!$M$14:$BM$14)))))),"")</f>
        <v>0.9555555555555556</v>
      </c>
      <c r="DN13" s="761">
        <f>IFERROR(IF(DN$7&gt;$D$3,"",IF(BF13="OD","OD",IF(BF13="Missed","Missed",IF(BF13="TBC","TBC",IF(BF13="Undefined","Undefined",_xlfn.XLOOKUP(DN$7,EHS!$M$6:$BM$6,EHS!$M$15:$BM$15)/_xlfn.XLOOKUP(DN$7,EHS!$M$6:$BM$6,EHS!$M$14:$BM$14)))))),"")</f>
        <v>0.88888888888888884</v>
      </c>
      <c r="DO13" s="761">
        <f>IFERROR(IF(DO$7&gt;$D$3,"",IF(BG13="OD","OD",IF(BG13="Missed","Missed",IF(BG13="TBC","TBC",IF(BG13="Undefined","Undefined",_xlfn.XLOOKUP(DO$7,EHS!$M$6:$BM$6,EHS!$M$15:$BM$15)/_xlfn.XLOOKUP(DO$7,EHS!$M$6:$BM$6,EHS!$M$14:$BM$14)))))),"")</f>
        <v>0.92222222222222228</v>
      </c>
      <c r="DP13" s="761">
        <f>IFERROR(IF(DP$7&gt;$D$3,"",IF(BH13="OD","OD",IF(BH13="Missed","Missed",IF(BH13="TBC","TBC",IF(BH13="Undefined","Undefined",_xlfn.XLOOKUP(DP$7,EHS!$M$6:$BM$6,EHS!$M$15:$BM$15)/_xlfn.XLOOKUP(DP$7,EHS!$M$6:$BM$6,EHS!$M$14:$BM$14)))))),"")</f>
        <v>0.8666666666666667</v>
      </c>
      <c r="DQ13" s="761">
        <f>IFERROR(IF(DQ$7&gt;$D$3,"",IF(BI13="OD","OD",IF(BI13="Missed","Missed",IF(BI13="TBC","TBC",IF(BI13="Undefined","Undefined",_xlfn.XLOOKUP(DQ$7,EHS!$M$6:$BM$6,EHS!$M$15:$BM$15)/_xlfn.XLOOKUP(DQ$7,EHS!$M$6:$BM$6,EHS!$M$14:$BM$14)))))),"")</f>
        <v>0.97777777777777775</v>
      </c>
      <c r="DR13" s="761">
        <f>IFERROR(IF(DR$7&gt;$D$3,"",IF(BJ13="OD","OD",IF(BJ13="Missed","Missed",IF(BJ13="TBC","TBC",IF(BJ13="Undefined","Undefined",_xlfn.XLOOKUP(DR$7,EHS!$M$6:$BM$6,EHS!$M$15:$BM$15)/_xlfn.XLOOKUP(DR$7,EHS!$M$6:$BM$6,EHS!$M$14:$BM$14)))))),"")</f>
        <v>0.87777777777777777</v>
      </c>
      <c r="DS13" s="761">
        <f>IFERROR(IF(DS$7&gt;$D$3,"",IF(BK13="OD","OD",IF(BK13="Missed","Missed",IF(BK13="TBC","TBC",IF(BK13="Undefined","Undefined",_xlfn.XLOOKUP(DS$7,EHS!$M$6:$BM$6,EHS!$M$15:$BM$15)/_xlfn.XLOOKUP(DS$7,EHS!$M$6:$BM$6,EHS!$M$14:$BM$14)))))),"")</f>
        <v>0.98888888888888893</v>
      </c>
      <c r="DT13" s="761">
        <f>IFERROR(IF(DT$7&gt;$D$3,"",IF(BL13="OD","OD",IF(BL13="Missed","Missed",IF(BL13="TBC","TBC",IF(BL13="Undefined","Undefined",_xlfn.XLOOKUP(DT$7,EHS!$M$6:$BM$6,EHS!$M$15:$BM$15)/_xlfn.XLOOKUP(DT$7,EHS!$M$6:$BM$6,EHS!$M$14:$BM$14)))))),"")</f>
        <v>0.98888888888888893</v>
      </c>
      <c r="DU13" s="761">
        <f>IFERROR(IF(DU$7&gt;$D$3,"",IF(BM13="OD","OD",IF(BM13="Missed","Missed",IF(BM13="TBC","TBC",IF(BM13="Undefined","Undefined",_xlfn.XLOOKUP(DU$7,EHS!$M$6:$BM$6,EHS!$M$15:$BM$15)/_xlfn.XLOOKUP(DU$7,EHS!$M$6:$BM$6,EHS!$M$14:$BM$14)))))),"")</f>
        <v>0.9555555555555556</v>
      </c>
      <c r="DV13" s="761">
        <f>IFERROR(IF(DV$7&gt;$D$3,"",IF(BN13="OD","OD",IF(BN13="Missed","Missed",IF(BN13="TBC","TBC",IF(BN13="Undefined","Undefined",_xlfn.XLOOKUP(DV$7,EHS!$M$6:$BM$6,EHS!$M$15:$BM$15)/_xlfn.XLOOKUP(DV$7,EHS!$M$6:$BM$6,EHS!$M$14:$BM$14)))))),"")</f>
        <v>0.9555555555555556</v>
      </c>
      <c r="DW13" s="761">
        <f>IFERROR(IF(DW$7&gt;$D$3,"",IF(BO13="OD","OD",IF(BO13="Missed","Missed",IF(BO13="TBC","TBC",IF(BO13="Undefined","Undefined",_xlfn.XLOOKUP(DW$7,EHS!$M$6:$BM$6,EHS!$M$15:$BM$15)/_xlfn.XLOOKUP(DW$7,EHS!$M$6:$BM$6,EHS!$M$14:$BM$14)))))),"")</f>
        <v>1</v>
      </c>
      <c r="DX13" s="761">
        <f>IFERROR(IF(DX$7&gt;$D$3,"",IF(BP13="OD","OD",IF(BP13="Missed","Missed",IF(BP13="TBC","TBC",IF(BP13="Undefined","Undefined",_xlfn.XLOOKUP(DX$7,EHS!$M$6:$BM$6,EHS!$M$15:$BM$15)/_xlfn.XLOOKUP(DX$7,EHS!$M$6:$BM$6,EHS!$M$14:$BM$14)))))),"")</f>
        <v>1</v>
      </c>
      <c r="DY13" s="761">
        <f>IFERROR(IF(DY$7&gt;$D$3,"",IF(BQ13="OD","OD",IF(BQ13="Missed","Missed",IF(BQ13="TBC","TBC",IF(BQ13="Undefined","Undefined",_xlfn.XLOOKUP(DY$7,EHS!$M$6:$BM$6,EHS!$M$15:$BM$15)/_xlfn.XLOOKUP(DY$7,EHS!$M$6:$BM$6,EHS!$M$14:$BM$14)))))),"")</f>
        <v>0.91111111111111109</v>
      </c>
      <c r="DZ13" s="761">
        <f>IFERROR(IF(DZ$7&gt;$D$3,"",IF(BR13="OD","OD",IF(BR13="Missed","Missed",IF(BR13="TBC","TBC",IF(BR13="Undefined","Undefined",_xlfn.XLOOKUP(DZ$7,EHS!$M$6:$BM$6,EHS!$M$15:$BM$15)/_xlfn.XLOOKUP(DZ$7,EHS!$M$6:$BM$6,EHS!$M$14:$BM$14)))))),"")</f>
        <v>1</v>
      </c>
      <c r="EA13" s="761">
        <f>IFERROR(IF(EA$7&gt;$D$3,"",IF(BS13="OD","OD",IF(BS13="Missed","Missed",IF(BS13="TBC","TBC",IF(BS13="Undefined","Undefined",_xlfn.XLOOKUP(EA$7,EHS!$M$6:$BM$6,EHS!$M$15:$BM$15)/_xlfn.XLOOKUP(EA$7,EHS!$M$6:$BM$6,EHS!$M$14:$BM$14)))))),"")</f>
        <v>0.94444444444444442</v>
      </c>
      <c r="EB13" s="761">
        <f>IFERROR(IF(EB$7&gt;$D$3,"",IF(BT13="OD","OD",IF(BT13="Missed","Missed",IF(BT13="TBC","TBC",IF(BT13="Undefined","Undefined",_xlfn.XLOOKUP(EB$7,EHS!$M$6:$BM$6,EHS!$M$15:$BM$15)/_xlfn.XLOOKUP(EB$7,EHS!$M$6:$BM$6,EHS!$M$14:$BM$14)))))),"")</f>
        <v>0.98888888888888893</v>
      </c>
      <c r="EC13" s="761">
        <f>IFERROR(IF(EC$7&gt;$D$3,"",IF(BU13="OD","OD",IF(BU13="Missed","Missed",IF(BU13="TBC","TBC",IF(BU13="Undefined","Undefined",_xlfn.XLOOKUP(EC$7,EHS!$M$6:$BM$6,EHS!$M$15:$BM$15)/_xlfn.XLOOKUP(EC$7,EHS!$M$6:$BM$6,EHS!$M$14:$BM$14)))))),"")</f>
        <v>0.96666666666666667</v>
      </c>
      <c r="ED13" s="761">
        <f>IFERROR(IF(ED$7&gt;$D$3,"",IF(BV13="OD","OD",IF(BV13="Missed","Missed",IF(BV13="TBC","TBC",IF(BV13="Undefined","Undefined",_xlfn.XLOOKUP(ED$7,EHS!$M$6:$BM$6,EHS!$M$15:$BM$15)/_xlfn.XLOOKUP(ED$7,EHS!$M$6:$BM$6,EHS!$M$14:$BM$14)))))),"")</f>
        <v>1.0111111111111111</v>
      </c>
      <c r="EE13" s="761">
        <f>IFERROR(IF(EE$7&gt;$D$3,"",IF(BW13="OD","OD",IF(BW13="Missed","Missed",IF(BW13="TBC","TBC",IF(BW13="Undefined","Undefined",_xlfn.XLOOKUP(EE$7,EHS!$M$6:$BM$6,EHS!$M$15:$BM$15)/_xlfn.XLOOKUP(EE$7,EHS!$M$6:$BM$6,EHS!$M$14:$BM$14)))))),"")</f>
        <v>0.9555555555555556</v>
      </c>
      <c r="EF13" s="761">
        <f>IFERROR(IF(EF$7&gt;$D$3,"",IF(BX13="OD","OD",IF(BX13="Missed","Missed",IF(BX13="TBC","TBC",IF(BX13="Undefined","Undefined",_xlfn.XLOOKUP(EF$7,EHS!$M$6:$BM$6,EHS!$M$15:$BM$15)/_xlfn.XLOOKUP(EF$7,EHS!$M$6:$BM$6,EHS!$M$14:$BM$14)))))),"")</f>
        <v>0.9555555555555556</v>
      </c>
      <c r="EG13" s="761">
        <f>IFERROR(IF(EG$7&gt;$D$3,"",IF(BY13="OD","OD",IF(BY13="Missed","Missed",IF(BY13="TBC","TBC",IF(BY13="Undefined","Undefined",_xlfn.XLOOKUP(EG$7,EHS!$M$6:$BM$6,EHS!$M$15:$BM$15)/_xlfn.XLOOKUP(EG$7,EHS!$M$6:$BM$6,EHS!$M$14:$BM$14)))))),"")</f>
        <v>0.9555555555555556</v>
      </c>
      <c r="EH13" s="761">
        <f>IFERROR(IF(EH$7&gt;$D$3,"",IF(BZ13="OD","OD",IF(BZ13="Missed","Missed",IF(BZ13="TBC","TBC",IF(BZ13="Undefined","Undefined",_xlfn.XLOOKUP(EH$7,EHS!$M$6:$BM$6,EHS!$M$15:$BM$15)/_xlfn.XLOOKUP(EH$7,EHS!$M$6:$BM$6,EHS!$M$14:$BM$14)))))),"")</f>
        <v>1.0111111111111111</v>
      </c>
      <c r="EI13" s="761">
        <f>IFERROR(IF(EI$7&gt;$D$3,"",IF(CA13="OD","OD",IF(CA13="Missed","Missed",IF(CA13="TBC","TBC",IF(CA13="Undefined","Undefined",_xlfn.XLOOKUP(EI$7,EHS!$M$6:$BM$6,EHS!$M$15:$BM$15)/_xlfn.XLOOKUP(EI$7,EHS!$M$6:$BM$6,EHS!$M$14:$BM$14)))))),"")</f>
        <v>1</v>
      </c>
      <c r="EJ13" s="761">
        <f>IFERROR(IF(EJ$7&gt;$D$3,"",IF(CB13="OD","OD",IF(CB13="Missed","Missed",IF(CB13="TBC","TBC",IF(CB13="Undefined","Undefined",_xlfn.XLOOKUP(EJ$7,EHS!$M$6:$BM$6,EHS!$M$15:$BM$15)/_xlfn.XLOOKUP(EJ$7,EHS!$M$6:$BM$6,EHS!$M$14:$BM$14)))))),"")</f>
        <v>1.0222222222222221</v>
      </c>
      <c r="EK13" s="761" t="str">
        <f>IFERROR(IF(EK$7&gt;$D$3,"",IF(CC13="OD","OD",IF(CC13="Missed","Missed",IF(CC13="TBC","TBC",IF(CC13="Undefined","Undefined",_xlfn.XLOOKUP(EK$7,EHS!$M$6:$BM$6,EHS!$M$15:$BM$15)/_xlfn.XLOOKUP(EK$7,EHS!$M$6:$BM$6,EHS!$M$14:$BM$14)))))),"")</f>
        <v/>
      </c>
      <c r="EL13" s="761" t="str">
        <f>IFERROR(IF(EL$7&gt;$D$3,"",IF(CD13="OD","OD",IF(CD13="Missed","Missed",IF(CD13="TBC","TBC",IF(CD13="Undefined","Undefined",_xlfn.XLOOKUP(EL$7,EHS!$M$6:$BM$6,EHS!$M$15:$BM$15)/_xlfn.XLOOKUP(EL$7,EHS!$M$6:$BM$6,EHS!$M$14:$BM$14)))))),"")</f>
        <v/>
      </c>
      <c r="EM13" s="761" t="str">
        <f>IFERROR(IF(EM$7&gt;$D$3,"",IF(CE13="OD","OD",IF(CE13="Missed","Missed",IF(CE13="TBC","TBC",IF(CE13="Undefined","Undefined",_xlfn.XLOOKUP(EM$7,EHS!$M$6:$BM$6,EHS!$M$15:$BM$15)/_xlfn.XLOOKUP(EM$7,EHS!$M$6:$BM$6,EHS!$M$14:$BM$14)))))),"")</f>
        <v/>
      </c>
      <c r="EN13" s="761" t="str">
        <f>IFERROR(IF(EN$7&gt;$D$3,"",IF(CF13="OD","OD",IF(CF13="Missed","Missed",IF(CF13="TBC","TBC",IF(CF13="Undefined","Undefined",_xlfn.XLOOKUP(EN$7,EHS!$M$6:$BM$6,EHS!$M$15:$BM$15)/_xlfn.XLOOKUP(EN$7,EHS!$M$6:$BM$6,EHS!$M$14:$BM$14)))))),"")</f>
        <v/>
      </c>
      <c r="EO13" s="761" t="str">
        <f>IFERROR(IF(EO$7&gt;$D$3,"",IF(CG13="OD","OD",IF(CG13="Missed","Missed",IF(CG13="TBC","TBC",IF(CG13="Undefined","Undefined",_xlfn.XLOOKUP(EO$7,EHS!$M$6:$BM$6,EHS!$M$15:$BM$15)/_xlfn.XLOOKUP(EO$7,EHS!$M$6:$BM$6,EHS!$M$14:$BM$14)))))),"")</f>
        <v/>
      </c>
      <c r="EP13" s="761" t="str">
        <f>IFERROR(IF(EP$7&gt;$D$3,"",IF(CH13="OD","OD",IF(CH13="Missed","Missed",IF(CH13="TBC","TBC",IF(CH13="Undefined","Undefined",_xlfn.XLOOKUP(EP$7,EHS!$M$6:$BM$6,EHS!$M$15:$BM$15)/_xlfn.XLOOKUP(EP$7,EHS!$M$6:$BM$6,EHS!$M$14:$BM$14)))))),"")</f>
        <v/>
      </c>
      <c r="EQ13" s="761" t="str">
        <f>IFERROR(IF(EQ$7&gt;$D$3,"",IF(CI13="OD","OD",IF(CI13="Missed","Missed",IF(CI13="TBC","TBC",IF(CI13="Undefined","Undefined",_xlfn.XLOOKUP(EQ$7,EHS!$M$6:$BM$6,EHS!$M$15:$BM$15)/_xlfn.XLOOKUP(EQ$7,EHS!$M$6:$BM$6,EHS!$M$14:$BM$14)))))),"")</f>
        <v/>
      </c>
      <c r="ER13" s="761" t="str">
        <f>IFERROR(IF(ER$7&gt;$D$3,"",IF(CJ13="OD","OD",IF(CJ13="Missed","Missed",IF(CJ13="TBC","TBC",IF(CJ13="Undefined","Undefined",_xlfn.XLOOKUP(ER$7,EHS!$M$6:$BM$6,EHS!$M$15:$BM$15)/_xlfn.XLOOKUP(ER$7,EHS!$M$6:$BM$6,EHS!$M$14:$BM$14)))))),"")</f>
        <v/>
      </c>
      <c r="ES13" s="761" t="str">
        <f>IFERROR(IF(ES$7&gt;$D$3,"",IF(CK13="OD","OD",IF(CK13="Missed","Missed",IF(CK13="TBC","TBC",IF(CK13="Undefined","Undefined",_xlfn.XLOOKUP(ES$7,EHS!$M$6:$BM$6,EHS!$M$15:$BM$15)/_xlfn.XLOOKUP(ES$7,EHS!$M$6:$BM$6,EHS!$M$14:$BM$14)))))),"")</f>
        <v/>
      </c>
      <c r="ET13" s="761" t="str">
        <f>IFERROR(IF(ET$7&gt;$D$3,"",IF(CL13="OD","OD",IF(CL13="Missed","Missed",IF(CL13="TBC","TBC",IF(CL13="Undefined","Undefined",_xlfn.XLOOKUP(ET$7,EHS!$M$6:$BM$6,EHS!$M$15:$BM$15)/_xlfn.XLOOKUP(ET$7,EHS!$M$6:$BM$6,EHS!$M$14:$BM$14)))))),"")</f>
        <v/>
      </c>
      <c r="EU13" s="761" t="str">
        <f>IFERROR(IF(EU$7&gt;$D$3,"",IF(CM13="OD","OD",IF(CM13="Missed","Missed",IF(CM13="TBC","TBC",IF(CM13="Undefined","Undefined",_xlfn.XLOOKUP(EU$7,EHS!$M$6:$BM$6,EHS!$M$15:$BM$15)/_xlfn.XLOOKUP(EU$7,EHS!$M$6:$BM$6,EHS!$M$14:$BM$14)))))),"")</f>
        <v/>
      </c>
      <c r="EW13" s="465" t="str">
        <f>+$A13</f>
        <v>EHS-KPI Q1</v>
      </c>
      <c r="EX13" s="136" t="str">
        <f>+$C13</f>
        <v>KPI Q1</v>
      </c>
      <c r="EY13" s="144" t="str">
        <f>+$D13</f>
        <v>Quality</v>
      </c>
      <c r="EZ13" s="144" t="str">
        <f t="shared" si="10"/>
        <v>Visual Inspection Pass Rate</v>
      </c>
      <c r="FA13" s="145" t="str">
        <f t="shared" si="11"/>
        <v>Percentage</v>
      </c>
      <c r="FB13" s="145" t="s">
        <v>251</v>
      </c>
      <c r="FC13" s="223" t="str">
        <f>IF(FC$7&gt;$D$3,"",IF($FA10&lt;FC$7,"OD",_xlfn.XLOOKUP(FC$7,EHS!$M$6:$BM$6,EHS!$M$15:$BM$15)))</f>
        <v>Blank</v>
      </c>
      <c r="FD13" s="223">
        <f>IF(FD$7&gt;$D$3,"",IF($FA10&lt;FD$7,"OD",_xlfn.XLOOKUP(FD$7,EHS!$M$6:$BM$6,EHS!$M$15:$BM$15)))</f>
        <v>90</v>
      </c>
      <c r="FE13" s="223">
        <f>IF(FE$7&gt;$D$3,"",IF($FA10&lt;FE$7,"OD",_xlfn.XLOOKUP(FE$7,EHS!$M$6:$BM$6,EHS!$M$15:$BM$15)))</f>
        <v>92</v>
      </c>
      <c r="FF13" s="223">
        <f>IF(FF$7&gt;$D$3,"",IF($FA10&lt;FF$7,"OD",_xlfn.XLOOKUP(FF$7,EHS!$M$6:$BM$6,EHS!$M$15:$BM$15)))</f>
        <v>94</v>
      </c>
      <c r="FG13" s="223">
        <f>IF(FG$7&gt;$D$3,"",IF($FA10&lt;FG$7,"OD",_xlfn.XLOOKUP(FG$7,EHS!$M$6:$BM$6,EHS!$M$15:$BM$15)))</f>
        <v>86</v>
      </c>
      <c r="FH13" s="223">
        <f>IF(FH$7&gt;$D$3,"",IF($FA10&lt;FH$7,"OD",_xlfn.XLOOKUP(FH$7,EHS!$M$6:$BM$6,EHS!$M$15:$BM$15)))</f>
        <v>87</v>
      </c>
      <c r="FI13" s="223">
        <f>IF(FI$7&gt;$D$3,"",IF($FA10&lt;FI$7,"OD",_xlfn.XLOOKUP(FI$7,EHS!$M$6:$BM$6,EHS!$M$15:$BM$15)))</f>
        <v>82</v>
      </c>
      <c r="FJ13" s="223">
        <f>IF(FJ$7&gt;$D$3,"",IF($FA10&lt;FJ$7,"OD",_xlfn.XLOOKUP(FJ$7,EHS!$M$6:$BM$6,EHS!$M$15:$BM$15)))</f>
        <v>89</v>
      </c>
      <c r="FK13" s="223">
        <f>IF(FK$7&gt;$D$3,"",IF($FA10&lt;FK$7,"OD",_xlfn.XLOOKUP(FK$7,EHS!$M$6:$BM$6,EHS!$M$15:$BM$15)))</f>
        <v>85</v>
      </c>
      <c r="FL13" s="223">
        <f>IF(FL$7&gt;$D$3,"",IF($FA10&lt;FL$7,"OD",_xlfn.XLOOKUP(FL$7,EHS!$M$6:$BM$6,EHS!$M$15:$BM$15)))</f>
        <v>82</v>
      </c>
      <c r="FM13" s="223">
        <f>IF(FM$7&gt;$D$3,"",IF($FA10&lt;FM$7,"OD",_xlfn.XLOOKUP(FM$7,EHS!$M$6:$BM$6,EHS!$M$15:$BM$15)))</f>
        <v>92</v>
      </c>
      <c r="FN13" s="223">
        <f>IF(FN$7&gt;$D$3,"",IF($FA10&lt;FN$7,"OD",_xlfn.XLOOKUP(FN$7,EHS!$M$6:$BM$6,EHS!$M$15:$BM$15)))</f>
        <v>90</v>
      </c>
      <c r="FO13" s="223">
        <f>IF(FO$7&gt;$D$3,"",IF($FA10&lt;FO$7,"OD",_xlfn.XLOOKUP(FO$7,EHS!$M$6:$BM$6,EHS!$M$15:$BM$15)))</f>
        <v>86</v>
      </c>
      <c r="FP13" s="223">
        <f>IF(FP$7&gt;$D$3,"",IF($FA10&lt;FP$7,"OD",_xlfn.XLOOKUP(FP$7,EHS!$M$6:$BM$6,EHS!$M$15:$BM$15)))</f>
        <v>81</v>
      </c>
      <c r="FQ13" s="223">
        <f>IF(FQ$7&gt;$D$3,"",IF($FA10&lt;FQ$7,"OD",_xlfn.XLOOKUP(FQ$7,EHS!$M$6:$BM$6,EHS!$M$15:$BM$15)))</f>
        <v>92</v>
      </c>
      <c r="FR13" s="223">
        <f>IF(FR$7&gt;$D$3,"",IF($FA10&lt;FR$7,"OD",_xlfn.XLOOKUP(FR$7,EHS!$M$6:$BM$6,EHS!$M$15:$BM$15)))</f>
        <v>88</v>
      </c>
      <c r="FS13" s="223">
        <f>IF(FS$7&gt;$D$3,"",IF($FA10&lt;FS$7,"OD",_xlfn.XLOOKUP(FS$7,EHS!$M$6:$BM$6,EHS!$M$15:$BM$15)))</f>
        <v>88</v>
      </c>
      <c r="FT13" s="223">
        <f>IF(FT$7&gt;$D$3,"",IF($FA10&lt;FT$7,"OD",_xlfn.XLOOKUP(FT$7,EHS!$M$6:$BM$6,EHS!$M$15:$BM$15)))</f>
        <v>87</v>
      </c>
      <c r="FU13" s="223">
        <f>IF(FU$7&gt;$D$3,"",IF($FA10&lt;FU$7,"OD",_xlfn.XLOOKUP(FU$7,EHS!$M$6:$BM$6,EHS!$M$15:$BM$15)))</f>
        <v>86</v>
      </c>
      <c r="FV13" s="223">
        <f>IF(FV$7&gt;$D$3,"",IF($FA10&lt;FV$7,"OD",_xlfn.XLOOKUP(FV$7,EHS!$M$6:$BM$6,EHS!$M$15:$BM$15)))</f>
        <v>80</v>
      </c>
      <c r="FW13" s="223">
        <f>IF(FW$7&gt;$D$3,"",IF($FA10&lt;FW$7,"OD",_xlfn.XLOOKUP(FW$7,EHS!$M$6:$BM$6,EHS!$M$15:$BM$15)))</f>
        <v>83</v>
      </c>
      <c r="FX13" s="223">
        <f>IF(FX$7&gt;$D$3,"",IF($FA10&lt;FX$7,"OD",_xlfn.XLOOKUP(FX$7,EHS!$M$6:$BM$6,EHS!$M$15:$BM$15)))</f>
        <v>78</v>
      </c>
      <c r="FY13" s="223">
        <f>IF(FY$7&gt;$D$3,"",IF($FA10&lt;FY$7,"OD",_xlfn.XLOOKUP(FY$7,EHS!$M$6:$BM$6,EHS!$M$15:$BM$15)))</f>
        <v>88</v>
      </c>
      <c r="FZ13" s="223">
        <f>IF(FZ$7&gt;$D$3,"",IF($FA10&lt;FZ$7,"OD",_xlfn.XLOOKUP(FZ$7,EHS!$M$6:$BM$6,EHS!$M$15:$BM$15)))</f>
        <v>79</v>
      </c>
      <c r="GA13" s="223">
        <f>IF(GA$7&gt;$D$3,"",IF($FA10&lt;GA$7,"OD",_xlfn.XLOOKUP(GA$7,EHS!$M$6:$BM$6,EHS!$M$15:$BM$15)))</f>
        <v>89</v>
      </c>
      <c r="GB13" s="223">
        <f>IF(GB$7&gt;$D$3,"",IF($FA10&lt;GB$7,"OD",_xlfn.XLOOKUP(GB$7,EHS!$M$6:$BM$6,EHS!$M$15:$BM$15)))</f>
        <v>89</v>
      </c>
      <c r="GC13" s="223">
        <f>IF(GC$7&gt;$D$3,"",IF($FA10&lt;GC$7,"OD",_xlfn.XLOOKUP(GC$7,EHS!$M$6:$BM$6,EHS!$M$15:$BM$15)))</f>
        <v>86</v>
      </c>
      <c r="GD13" s="223">
        <f>IF(GD$7&gt;$D$3,"",IF($FA10&lt;GD$7,"OD",_xlfn.XLOOKUP(GD$7,EHS!$M$6:$BM$6,EHS!$M$15:$BM$15)))</f>
        <v>86</v>
      </c>
      <c r="GE13" s="223">
        <f>IF(GE$7&gt;$D$3,"",IF($FA10&lt;GE$7,"OD",_xlfn.XLOOKUP(GE$7,EHS!$M$6:$BM$6,EHS!$M$15:$BM$15)))</f>
        <v>90</v>
      </c>
      <c r="GF13" s="223">
        <f>IF(GF$7&gt;$D$3,"",IF($FA10&lt;GF$7,"OD",_xlfn.XLOOKUP(GF$7,EHS!$M$6:$BM$6,EHS!$M$15:$BM$15)))</f>
        <v>90</v>
      </c>
      <c r="GG13" s="223">
        <f>IF(GG$7&gt;$D$3,"",IF($FA10&lt;GG$7,"OD",_xlfn.XLOOKUP(GG$7,EHS!$M$6:$BM$6,EHS!$M$15:$BM$15)))</f>
        <v>82</v>
      </c>
      <c r="GH13" s="223">
        <f>IF(GH$7&gt;$D$3,"",IF($FA10&lt;GH$7,"OD",_xlfn.XLOOKUP(GH$7,EHS!$M$6:$BM$6,EHS!$M$15:$BM$15)))</f>
        <v>90</v>
      </c>
      <c r="GI13" s="223">
        <f>IF(GI$7&gt;$D$3,"",IF($FA10&lt;GI$7,"OD",_xlfn.XLOOKUP(GI$7,EHS!$M$6:$BM$6,EHS!$M$15:$BM$15)))</f>
        <v>85</v>
      </c>
      <c r="GJ13" s="223">
        <f>IF(GJ$7&gt;$D$3,"",IF($FA10&lt;GJ$7,"OD",_xlfn.XLOOKUP(GJ$7,EHS!$M$6:$BM$6,EHS!$M$15:$BM$15)))</f>
        <v>89</v>
      </c>
      <c r="GK13" s="223">
        <f>IF(GK$7&gt;$D$3,"",IF($FA10&lt;GK$7,"OD",_xlfn.XLOOKUP(GK$7,EHS!$M$6:$BM$6,EHS!$M$15:$BM$15)))</f>
        <v>87</v>
      </c>
      <c r="GL13" s="223">
        <f>IF(GL$7&gt;$D$3,"",IF($FA10&lt;GL$7,"OD",_xlfn.XLOOKUP(GL$7,EHS!$M$6:$BM$6,EHS!$M$15:$BM$15)))</f>
        <v>91</v>
      </c>
      <c r="GM13" s="223">
        <f>IF(GM$7&gt;$D$3,"",IF($FA10&lt;GM$7,"OD",_xlfn.XLOOKUP(GM$7,EHS!$M$6:$BM$6,EHS!$M$15:$BM$15)))</f>
        <v>86</v>
      </c>
      <c r="GN13" s="223">
        <f>IF(GN$7&gt;$D$3,"",IF($FA10&lt;GN$7,"OD",_xlfn.XLOOKUP(GN$7,EHS!$M$6:$BM$6,EHS!$M$15:$BM$15)))</f>
        <v>86</v>
      </c>
      <c r="GO13" s="223">
        <f>IF(GO$7&gt;$D$3,"",IF($FA10&lt;GO$7,"OD",_xlfn.XLOOKUP(GO$7,EHS!$M$6:$BM$6,EHS!$M$15:$BM$15)))</f>
        <v>86</v>
      </c>
      <c r="GP13" s="223">
        <f>IF(GP$7&gt;$D$3,"",IF($FA10&lt;GP$7,"OD",_xlfn.XLOOKUP(GP$7,EHS!$M$6:$BM$6,EHS!$M$15:$BM$15)))</f>
        <v>91</v>
      </c>
      <c r="GQ13" s="223">
        <f>IF(GQ$7&gt;$D$3,"",IF($FA10&lt;GQ$7,"OD",_xlfn.XLOOKUP(GQ$7,EHS!$M$6:$BM$6,EHS!$M$15:$BM$15)))</f>
        <v>90</v>
      </c>
      <c r="GR13" s="223">
        <f>IF(GR$7&gt;$D$3,"",IF($FA10&lt;GR$7,"OD",_xlfn.XLOOKUP(GR$7,EHS!$M$6:$BM$6,EHS!$M$15:$BM$15)))</f>
        <v>92</v>
      </c>
      <c r="GS13" s="223" t="str">
        <f>IF(GS$7&gt;$D$3,"",IF($FA10&lt;GS$7,"OD",_xlfn.XLOOKUP(GS$7,EHS!$M$6:$BM$6,EHS!$M$15:$BM$15)))</f>
        <v/>
      </c>
      <c r="GT13" s="223" t="str">
        <f>IF(GT$7&gt;$D$3,"",IF($FA10&lt;GT$7,"OD",_xlfn.XLOOKUP(GT$7,EHS!$M$6:$BM$6,EHS!$M$15:$BM$15)))</f>
        <v/>
      </c>
      <c r="GU13" s="223" t="str">
        <f>IF(GU$7&gt;$D$3,"",IF($FA10&lt;GU$7,"OD",_xlfn.XLOOKUP(GU$7,EHS!$M$6:$BM$6,EHS!$M$15:$BM$15)))</f>
        <v/>
      </c>
      <c r="GV13" s="223" t="str">
        <f>IF(GV$7&gt;$D$3,"",IF($FA10&lt;GV$7,"OD",_xlfn.XLOOKUP(GV$7,EHS!$M$6:$BM$6,EHS!$M$15:$BM$15)))</f>
        <v/>
      </c>
      <c r="GW13" s="223" t="str">
        <f>IF(GW$7&gt;$D$3,"",IF($FA10&lt;GW$7,"OD",_xlfn.XLOOKUP(GW$7,EHS!$M$6:$BM$6,EHS!$M$15:$BM$15)))</f>
        <v/>
      </c>
      <c r="GX13" s="223" t="str">
        <f>IF(GX$7&gt;$D$3,"",IF($FA10&lt;GX$7,"OD",_xlfn.XLOOKUP(GX$7,EHS!$M$6:$BM$6,EHS!$M$15:$BM$15)))</f>
        <v/>
      </c>
      <c r="GY13" s="223" t="str">
        <f>IF(GY$7&gt;$D$3,"",IF($FA10&lt;GY$7,"OD",_xlfn.XLOOKUP(GY$7,EHS!$M$6:$BM$6,EHS!$M$15:$BM$15)))</f>
        <v/>
      </c>
      <c r="GZ13" s="223" t="str">
        <f>IF(GZ$7&gt;$D$3,"",IF($FA10&lt;GZ$7,"OD",_xlfn.XLOOKUP(GZ$7,EHS!$M$6:$BM$6,EHS!$M$15:$BM$15)))</f>
        <v/>
      </c>
      <c r="HA13" s="223" t="str">
        <f>IF(HA$7&gt;$D$3,"",IF($FA10&lt;HA$7,"OD",_xlfn.XLOOKUP(HA$7,EHS!$M$6:$BM$6,EHS!$M$15:$BM$15)))</f>
        <v/>
      </c>
      <c r="HB13" s="223" t="str">
        <f>IF(HB$7&gt;$D$3,"",IF($FA10&lt;HB$7,"OD",_xlfn.XLOOKUP(HB$7,EHS!$M$6:$BM$6,EHS!$M$15:$BM$15)))</f>
        <v/>
      </c>
      <c r="HC13" s="223" t="str">
        <f>IF(HC$7&gt;$D$3,"",IF($FA10&lt;HC$7,"OD",_xlfn.XLOOKUP(HC$7,EHS!$M$6:$BM$6,EHS!$M$15:$BM$15)))</f>
        <v/>
      </c>
      <c r="HE13" s="136" t="str">
        <f>+$C13</f>
        <v>KPI Q1</v>
      </c>
      <c r="HF13" s="144" t="str">
        <f>+$D13</f>
        <v>Quality</v>
      </c>
      <c r="HG13" s="144" t="str">
        <f t="shared" si="13"/>
        <v>Visual Inspection Pass Rate</v>
      </c>
      <c r="HH13" s="145" t="str">
        <f t="shared" si="14"/>
        <v>Percentage</v>
      </c>
      <c r="HI13" s="145" t="s">
        <v>44</v>
      </c>
      <c r="HJ13" s="223" t="str">
        <f>IF(HJ$7&gt;$D$3,"",IF($FA10&lt;HJ$7,"OD",_xlfn.XLOOKUP(HJ$7,EHS!$M$6:$BM$6,EHS!$M$14:$BM$14)))</f>
        <v>Blank</v>
      </c>
      <c r="HK13" s="223">
        <f>IF(HK$7&gt;$D$3,"",IF($FA10&lt;HK$7,"OD",_xlfn.XLOOKUP(HK$7,EHS!$M$6:$BM$6,EHS!$M$14:$BM$14)))</f>
        <v>90</v>
      </c>
      <c r="HL13" s="226">
        <f>IF(HL$7&gt;$D$3,"",IF($FA10&lt;HL$7,"OD",_xlfn.XLOOKUP(HL$7,EHS!$M$6:$BM$6,EHS!$M$14:$BM$14)))</f>
        <v>90</v>
      </c>
      <c r="HM13" s="226">
        <f>IF(HM$7&gt;$D$3,"",IF($FA10&lt;HM$7,"OD",_xlfn.XLOOKUP(HM$7,EHS!$M$6:$BM$6,EHS!$M$14:$BM$14)))</f>
        <v>90</v>
      </c>
      <c r="HN13" s="226">
        <f>IF(HN$7&gt;$D$3,"",IF($FA10&lt;HN$7,"OD",_xlfn.XLOOKUP(HN$7,EHS!$M$6:$BM$6,EHS!$M$14:$BM$14)))</f>
        <v>90</v>
      </c>
      <c r="HO13" s="226">
        <f>IF(HO$7&gt;$D$3,"",IF($FA10&lt;HO$7,"OD",_xlfn.XLOOKUP(HO$7,EHS!$M$6:$BM$6,EHS!$M$14:$BM$14)))</f>
        <v>90</v>
      </c>
      <c r="HP13" s="226">
        <f>IF(HP$7&gt;$D$3,"",IF($FA10&lt;HP$7,"OD",_xlfn.XLOOKUP(HP$7,EHS!$M$6:$BM$6,EHS!$M$14:$BM$14)))</f>
        <v>90</v>
      </c>
      <c r="HQ13" s="226">
        <f>IF(HQ$7&gt;$D$3,"",IF($FA10&lt;HQ$7,"OD",_xlfn.XLOOKUP(HQ$7,EHS!$M$6:$BM$6,EHS!$M$14:$BM$14)))</f>
        <v>90</v>
      </c>
      <c r="HR13" s="226">
        <f>IF(HR$7&gt;$D$3,"",IF($FA10&lt;HR$7,"OD",_xlfn.XLOOKUP(HR$7,EHS!$M$6:$BM$6,EHS!$M$14:$BM$14)))</f>
        <v>90</v>
      </c>
      <c r="HS13" s="226">
        <f>IF(HS$7&gt;$D$3,"",IF($FA10&lt;HS$7,"OD",_xlfn.XLOOKUP(HS$7,EHS!$M$6:$BM$6,EHS!$M$14:$BM$14)))</f>
        <v>90</v>
      </c>
      <c r="HT13" s="226">
        <f>IF(HT$7&gt;$D$3,"",IF($FA10&lt;HT$7,"OD",_xlfn.XLOOKUP(HT$7,EHS!$M$6:$BM$6,EHS!$M$14:$BM$14)))</f>
        <v>90</v>
      </c>
      <c r="HU13" s="226">
        <f>IF(HU$7&gt;$D$3,"",IF($FA10&lt;HU$7,"OD",_xlfn.XLOOKUP(HU$7,EHS!$M$6:$BM$6,EHS!$M$14:$BM$14)))</f>
        <v>90</v>
      </c>
      <c r="HV13" s="226">
        <f>IF(HV$7&gt;$D$3,"",IF($FA10&lt;HV$7,"OD",_xlfn.XLOOKUP(HV$7,EHS!$M$6:$BM$6,EHS!$M$14:$BM$14)))</f>
        <v>90</v>
      </c>
      <c r="HW13" s="226">
        <f>IF(HW$7&gt;$D$3,"",IF($FA10&lt;HW$7,"OD",_xlfn.XLOOKUP(HW$7,EHS!$M$6:$BM$6,EHS!$M$14:$BM$14)))</f>
        <v>90</v>
      </c>
      <c r="HX13" s="226">
        <f>IF(HX$7&gt;$D$3,"",IF($FA10&lt;HX$7,"OD",_xlfn.XLOOKUP(HX$7,EHS!$M$6:$BM$6,EHS!$M$14:$BM$14)))</f>
        <v>90</v>
      </c>
      <c r="HY13" s="226">
        <f>IF(HY$7&gt;$D$3,"",IF($FA10&lt;HY$7,"OD",_xlfn.XLOOKUP(HY$7,EHS!$M$6:$BM$6,EHS!$M$14:$BM$14)))</f>
        <v>90</v>
      </c>
      <c r="HZ13" s="226">
        <f>IF(HZ$7&gt;$D$3,"",IF($FA10&lt;HZ$7,"OD",_xlfn.XLOOKUP(HZ$7,EHS!$M$6:$BM$6,EHS!$M$14:$BM$14)))</f>
        <v>90</v>
      </c>
      <c r="IA13" s="226">
        <f>IF(IA$7&gt;$D$3,"",IF($FA10&lt;IA$7,"OD",_xlfn.XLOOKUP(IA$7,EHS!$M$6:$BM$6,EHS!$M$14:$BM$14)))</f>
        <v>90</v>
      </c>
      <c r="IB13" s="226">
        <f>IF(IB$7&gt;$D$3,"",IF($FA10&lt;IB$7,"OD",_xlfn.XLOOKUP(IB$7,EHS!$M$6:$BM$6,EHS!$M$14:$BM$14)))</f>
        <v>90</v>
      </c>
      <c r="IC13" s="226">
        <f>IF(IC$7&gt;$D$3,"",IF($FA10&lt;IC$7,"OD",_xlfn.XLOOKUP(IC$7,EHS!$M$6:$BM$6,EHS!$M$14:$BM$14)))</f>
        <v>90</v>
      </c>
      <c r="ID13" s="226">
        <f>IF(ID$7&gt;$D$3,"",IF($FA10&lt;ID$7,"OD",_xlfn.XLOOKUP(ID$7,EHS!$M$6:$BM$6,EHS!$M$14:$BM$14)))</f>
        <v>90</v>
      </c>
      <c r="IE13" s="226">
        <f>IF(IE$7&gt;$D$3,"",IF($FA10&lt;IE$7,"OD",_xlfn.XLOOKUP(IE$7,EHS!$M$6:$BM$6,EHS!$M$14:$BM$14)))</f>
        <v>90</v>
      </c>
      <c r="IF13" s="226">
        <f>IF(IF$7&gt;$D$3,"",IF($FA10&lt;IF$7,"OD",_xlfn.XLOOKUP(IF$7,EHS!$M$6:$BM$6,EHS!$M$14:$BM$14)))</f>
        <v>90</v>
      </c>
      <c r="IG13" s="226">
        <f>IF(IG$7&gt;$D$3,"",IF($FA10&lt;IG$7,"OD",_xlfn.XLOOKUP(IG$7,EHS!$M$6:$BM$6,EHS!$M$14:$BM$14)))</f>
        <v>90</v>
      </c>
      <c r="IH13" s="226">
        <f>IF(IH$7&gt;$D$3,"",IF($FA10&lt;IH$7,"OD",_xlfn.XLOOKUP(IH$7,EHS!$M$6:$BM$6,EHS!$M$14:$BM$14)))</f>
        <v>90</v>
      </c>
      <c r="II13" s="226">
        <f>IF(II$7&gt;$D$3,"",IF($FA10&lt;II$7,"OD",_xlfn.XLOOKUP(II$7,EHS!$M$6:$BM$6,EHS!$M$14:$BM$14)))</f>
        <v>90</v>
      </c>
      <c r="IJ13" s="226">
        <f>IF(IJ$7&gt;$D$3,"",IF($FA10&lt;IJ$7,"OD",_xlfn.XLOOKUP(IJ$7,EHS!$M$6:$BM$6,EHS!$M$14:$BM$14)))</f>
        <v>90</v>
      </c>
      <c r="IK13" s="226">
        <f>IF(IK$7&gt;$D$3,"",IF($FA10&lt;IK$7,"OD",_xlfn.XLOOKUP(IK$7,EHS!$M$6:$BM$6,EHS!$M$14:$BM$14)))</f>
        <v>90</v>
      </c>
      <c r="IL13" s="226">
        <f>IF(IL$7&gt;$D$3,"",IF($FA10&lt;IL$7,"OD",_xlfn.XLOOKUP(IL$7,EHS!$M$6:$BM$6,EHS!$M$14:$BM$14)))</f>
        <v>90</v>
      </c>
      <c r="IM13" s="226">
        <f>IF(IM$7&gt;$D$3,"",IF($FA10&lt;IM$7,"OD",_xlfn.XLOOKUP(IM$7,EHS!$M$6:$BM$6,EHS!$M$14:$BM$14)))</f>
        <v>90</v>
      </c>
      <c r="IN13" s="226">
        <f>IF(IN$7&gt;$D$3,"",IF($FA10&lt;IN$7,"OD",_xlfn.XLOOKUP(IN$7,EHS!$M$6:$BM$6,EHS!$M$14:$BM$14)))</f>
        <v>90</v>
      </c>
      <c r="IO13" s="226">
        <f>IF(IO$7&gt;$D$3,"",IF($FA10&lt;IO$7,"OD",_xlfn.XLOOKUP(IO$7,EHS!$M$6:$BM$6,EHS!$M$14:$BM$14)))</f>
        <v>90</v>
      </c>
      <c r="IP13" s="226">
        <f>IF(IP$7&gt;$D$3,"",IF($FA10&lt;IP$7,"OD",_xlfn.XLOOKUP(IP$7,EHS!$M$6:$BM$6,EHS!$M$14:$BM$14)))</f>
        <v>90</v>
      </c>
      <c r="IQ13" s="226">
        <f>IF(IQ$7&gt;$D$3,"",IF($FA10&lt;IQ$7,"OD",_xlfn.XLOOKUP(IQ$7,EHS!$M$6:$BM$6,EHS!$M$14:$BM$14)))</f>
        <v>90</v>
      </c>
      <c r="IR13" s="226">
        <f>IF(IR$7&gt;$D$3,"",IF($FA10&lt;IR$7,"OD",_xlfn.XLOOKUP(IR$7,EHS!$M$6:$BM$6,EHS!$M$14:$BM$14)))</f>
        <v>90</v>
      </c>
      <c r="IS13" s="226">
        <f>IF(IS$7&gt;$D$3,"",IF($FA10&lt;IS$7,"OD",_xlfn.XLOOKUP(IS$7,EHS!$M$6:$BM$6,EHS!$M$14:$BM$14)))</f>
        <v>90</v>
      </c>
      <c r="IT13" s="226">
        <f>IF(IT$7&gt;$D$3,"",IF($FA10&lt;IT$7,"OD",_xlfn.XLOOKUP(IT$7,EHS!$M$6:$BM$6,EHS!$M$14:$BM$14)))</f>
        <v>90</v>
      </c>
      <c r="IU13" s="226">
        <f>IF(IU$7&gt;$D$3,"",IF($FA10&lt;IU$7,"OD",_xlfn.XLOOKUP(IU$7,EHS!$M$6:$BM$6,EHS!$M$14:$BM$14)))</f>
        <v>90</v>
      </c>
      <c r="IV13" s="226">
        <f>IF(IV$7&gt;$D$3,"",IF($FA10&lt;IV$7,"OD",_xlfn.XLOOKUP(IV$7,EHS!$M$6:$BM$6,EHS!$M$14:$BM$14)))</f>
        <v>90</v>
      </c>
      <c r="IW13" s="226">
        <f>IF(IW$7&gt;$D$3,"",IF($FA10&lt;IW$7,"OD",_xlfn.XLOOKUP(IW$7,EHS!$M$6:$BM$6,EHS!$M$14:$BM$14)))</f>
        <v>90</v>
      </c>
      <c r="IX13" s="226">
        <f>IF(IX$7&gt;$D$3,"",IF($FA10&lt;IX$7,"OD",_xlfn.XLOOKUP(IX$7,EHS!$M$6:$BM$6,EHS!$M$14:$BM$14)))</f>
        <v>90</v>
      </c>
      <c r="IY13" s="226">
        <f>IF(IY$7&gt;$D$3,"",IF($FA10&lt;IY$7,"OD",_xlfn.XLOOKUP(IY$7,EHS!$M$6:$BM$6,EHS!$M$14:$BM$14)))</f>
        <v>90</v>
      </c>
      <c r="IZ13" s="226" t="str">
        <f>IF(IZ$7&gt;$D$3,"",IF($FA10&lt;IZ$7,"OD",_xlfn.XLOOKUP(IZ$7,EHS!$M$6:$BM$6,EHS!$M$14:$BM$14)))</f>
        <v/>
      </c>
      <c r="JA13" s="226" t="str">
        <f>IF(JA$7&gt;$D$3,"",IF($FA10&lt;JA$7,"OD",_xlfn.XLOOKUP(JA$7,EHS!$M$6:$BM$6,EHS!$M$14:$BM$14)))</f>
        <v/>
      </c>
      <c r="JB13" s="226" t="str">
        <f>IF(JB$7&gt;$D$3,"",IF($FA10&lt;JB$7,"OD",_xlfn.XLOOKUP(JB$7,EHS!$M$6:$BM$6,EHS!$M$14:$BM$14)))</f>
        <v/>
      </c>
      <c r="JC13" s="226" t="str">
        <f>IF(JC$7&gt;$D$3,"",IF($FA10&lt;JC$7,"OD",_xlfn.XLOOKUP(JC$7,EHS!$M$6:$BM$6,EHS!$M$14:$BM$14)))</f>
        <v/>
      </c>
      <c r="JD13" s="226" t="str">
        <f>IF(JD$7&gt;$D$3,"",IF($FA10&lt;JD$7,"OD",_xlfn.XLOOKUP(JD$7,EHS!$M$6:$BM$6,EHS!$M$14:$BM$14)))</f>
        <v/>
      </c>
      <c r="JE13" s="226" t="str">
        <f>IF(JE$7&gt;$D$3,"",IF($FA10&lt;JE$7,"OD",_xlfn.XLOOKUP(JE$7,EHS!$M$6:$BM$6,EHS!$M$14:$BM$14)))</f>
        <v/>
      </c>
      <c r="JF13" s="226" t="str">
        <f>IF(JF$7&gt;$D$3,"",IF($FA10&lt;JF$7,"OD",_xlfn.XLOOKUP(JF$7,EHS!$M$6:$BM$6,EHS!$M$14:$BM$14)))</f>
        <v/>
      </c>
      <c r="JG13" s="226" t="str">
        <f>IF(JG$7&gt;$D$3,"",IF($FA10&lt;JG$7,"OD",_xlfn.XLOOKUP(JG$7,EHS!$M$6:$BM$6,EHS!$M$14:$BM$14)))</f>
        <v/>
      </c>
      <c r="JH13" s="226" t="str">
        <f>IF(JH$7&gt;$D$3,"",IF($FA10&lt;JH$7,"OD",_xlfn.XLOOKUP(JH$7,EHS!$M$6:$BM$6,EHS!$M$14:$BM$14)))</f>
        <v/>
      </c>
      <c r="JI13" s="226" t="str">
        <f>IF(JI$7&gt;$D$3,"",IF($FA10&lt;JI$7,"OD",_xlfn.XLOOKUP(JI$7,EHS!$M$6:$BM$6,EHS!$M$14:$BM$14)))</f>
        <v/>
      </c>
      <c r="JJ13" s="226" t="str">
        <f>IF(JJ$7&gt;$D$3,"",IF($FA10&lt;JJ$7,"OD",_xlfn.XLOOKUP(JJ$7,EHS!$M$6:$BM$6,EHS!$M$14:$BM$14)))</f>
        <v/>
      </c>
      <c r="JM13" s="136" t="str">
        <f>+$C13</f>
        <v>KPI Q1</v>
      </c>
      <c r="JN13" s="144" t="str">
        <f>+$D13</f>
        <v>Quality</v>
      </c>
      <c r="JO13" s="144" t="str">
        <f t="shared" si="17"/>
        <v>Visual Inspection Pass Rate</v>
      </c>
      <c r="JP13" s="145" t="str">
        <f t="shared" si="18"/>
        <v>Percentage</v>
      </c>
      <c r="JQ13" s="145" t="s">
        <v>284</v>
      </c>
      <c r="JR13" s="226" t="str">
        <f>IFERROR(AVERAGE(FC13:$FC13),"")</f>
        <v/>
      </c>
      <c r="JS13" s="226">
        <f>IFERROR(AVERAGE($FC13:FD13),"")</f>
        <v>90</v>
      </c>
      <c r="JT13" s="226">
        <f>IFERROR(AVERAGE($FC13:FE13),"")</f>
        <v>91</v>
      </c>
      <c r="JU13" s="226">
        <f>IFERROR(AVERAGE($FC13:FF13),"")</f>
        <v>92</v>
      </c>
      <c r="JV13" s="226">
        <f>IFERROR(AVERAGE($FC13:FG13),"")</f>
        <v>90.5</v>
      </c>
      <c r="JW13" s="226">
        <f>IFERROR(AVERAGE($FC13:FH13),"")</f>
        <v>89.8</v>
      </c>
      <c r="JX13" s="226">
        <f>IFERROR(AVERAGE($FC13:FI13),"")</f>
        <v>88.5</v>
      </c>
      <c r="JY13" s="226">
        <f>IFERROR(AVERAGE($FC13:FJ13),"")</f>
        <v>88.571428571428569</v>
      </c>
      <c r="JZ13" s="226">
        <f>IFERROR(AVERAGE($FC13:FK13),"")</f>
        <v>88.125</v>
      </c>
      <c r="KA13" s="226">
        <f>IFERROR(AVERAGE($FC13:FL13),"")</f>
        <v>87.444444444444443</v>
      </c>
      <c r="KB13" s="226">
        <f>IFERROR(AVERAGE($FC13:FM13),"")</f>
        <v>87.9</v>
      </c>
      <c r="KC13" s="226">
        <f>IFERROR(AVERAGE($FC13:FN13),"")</f>
        <v>88.090909090909093</v>
      </c>
      <c r="KD13" s="226">
        <f>IFERROR(AVERAGE($FC13:FO13),"")</f>
        <v>87.916666666666671</v>
      </c>
      <c r="KE13" s="226">
        <f>IFERROR(AVERAGE($FC13:FP13),"")</f>
        <v>87.384615384615387</v>
      </c>
      <c r="KF13" s="226">
        <f>IFERROR(AVERAGE($FC13:FQ13),"")</f>
        <v>87.714285714285708</v>
      </c>
      <c r="KG13" s="226">
        <f>IFERROR(AVERAGE($FC13:FR13),"")</f>
        <v>87.733333333333334</v>
      </c>
      <c r="KH13" s="226">
        <f>IFERROR(AVERAGE($FC13:FS13),"")</f>
        <v>87.75</v>
      </c>
      <c r="KI13" s="226">
        <f>IFERROR(AVERAGE($FC13:FT13),"")</f>
        <v>87.705882352941174</v>
      </c>
      <c r="KJ13" s="226">
        <f>IFERROR(AVERAGE($FC13:FU13),"")</f>
        <v>87.611111111111114</v>
      </c>
      <c r="KK13" s="226">
        <f>IFERROR(AVERAGE($FC13:FV13),"")</f>
        <v>87.21052631578948</v>
      </c>
      <c r="KL13" s="226">
        <f>IFERROR(AVERAGE($FC13:FW13),"")</f>
        <v>87</v>
      </c>
      <c r="KM13" s="226">
        <f>IFERROR(AVERAGE($FC13:FX13),"")</f>
        <v>86.571428571428569</v>
      </c>
      <c r="KN13" s="226">
        <f>IFERROR(AVERAGE($FC13:FY13),"")</f>
        <v>86.63636363636364</v>
      </c>
      <c r="KO13" s="226">
        <f>IFERROR(AVERAGE($FC13:FZ13),"")</f>
        <v>86.304347826086953</v>
      </c>
      <c r="KP13" s="226">
        <f>IFERROR(AVERAGE($FC13:GA13),"")</f>
        <v>86.416666666666671</v>
      </c>
      <c r="KQ13" s="226">
        <f>IFERROR(AVERAGE($FC13:GB13),"")</f>
        <v>86.52</v>
      </c>
      <c r="KR13" s="226">
        <f>IFERROR(AVERAGE($FC13:GC13),"")</f>
        <v>86.5</v>
      </c>
      <c r="KS13" s="226">
        <f>IFERROR(AVERAGE($FC13:GD13),"")</f>
        <v>86.481481481481481</v>
      </c>
      <c r="KT13" s="226">
        <f>IFERROR(AVERAGE($FC13:GE13),"")</f>
        <v>86.607142857142861</v>
      </c>
      <c r="KU13" s="226">
        <f>IFERROR(AVERAGE($FC13:GF13),"")</f>
        <v>86.724137931034477</v>
      </c>
      <c r="KV13" s="226">
        <f>IFERROR(AVERAGE($FC13:GG13),"")</f>
        <v>86.566666666666663</v>
      </c>
      <c r="KW13" s="226">
        <f>IFERROR(AVERAGE($FC13:GH13),"")</f>
        <v>86.677419354838705</v>
      </c>
      <c r="KX13" s="226">
        <f>IFERROR(AVERAGE($FC13:GI13),"")</f>
        <v>86.625</v>
      </c>
      <c r="KY13" s="226">
        <f>IFERROR(AVERAGE($FC13:GJ13),"")</f>
        <v>86.696969696969703</v>
      </c>
      <c r="KZ13" s="226">
        <f>IFERROR(AVERAGE($FC13:GK13),"")</f>
        <v>86.705882352941174</v>
      </c>
      <c r="LA13" s="226">
        <f>IFERROR(AVERAGE($FC13:GL13),"")</f>
        <v>86.828571428571422</v>
      </c>
      <c r="LB13" s="226">
        <f>IFERROR(AVERAGE($FC13:GM13),"")</f>
        <v>86.805555555555557</v>
      </c>
      <c r="LC13" s="226">
        <f>IFERROR(AVERAGE($FC13:GN13),"")</f>
        <v>86.78378378378379</v>
      </c>
      <c r="LD13" s="226">
        <f>IFERROR(AVERAGE($FC13:GO13),"")</f>
        <v>86.763157894736835</v>
      </c>
      <c r="LE13" s="226">
        <f>IFERROR(AVERAGE($FC13:GP13),"")</f>
        <v>86.871794871794876</v>
      </c>
      <c r="LF13" s="226">
        <f>IFERROR(AVERAGE($FC13:GQ13),"")</f>
        <v>86.95</v>
      </c>
      <c r="LG13" s="226">
        <f>IFERROR(AVERAGE($FC13:GR13),"")</f>
        <v>87.073170731707322</v>
      </c>
      <c r="LH13" s="226">
        <f>IFERROR(AVERAGE($FC13:GS13),"")</f>
        <v>87.073170731707322</v>
      </c>
      <c r="LI13" s="226">
        <f>IFERROR(AVERAGE($FC13:GT13),"")</f>
        <v>87.073170731707322</v>
      </c>
      <c r="LJ13" s="226">
        <f>IFERROR(AVERAGE($FC13:GU13),"")</f>
        <v>87.073170731707322</v>
      </c>
      <c r="LK13" s="226">
        <f>IFERROR(AVERAGE($FC13:GV13),"")</f>
        <v>87.073170731707322</v>
      </c>
      <c r="LL13" s="226">
        <f>IFERROR(AVERAGE($FC13:GW13),"")</f>
        <v>87.073170731707322</v>
      </c>
      <c r="LM13" s="226">
        <f>IFERROR(AVERAGE($FC13:GX13),"")</f>
        <v>87.073170731707322</v>
      </c>
      <c r="LN13" s="226">
        <f>IFERROR(AVERAGE($FC13:GY13),"")</f>
        <v>87.073170731707322</v>
      </c>
      <c r="LO13" s="226">
        <f>IFERROR(AVERAGE($FC13:GZ13),"")</f>
        <v>87.073170731707322</v>
      </c>
      <c r="LP13" s="226">
        <f>IFERROR(AVERAGE($FC13:HA13),"")</f>
        <v>87.073170731707322</v>
      </c>
      <c r="LQ13" s="226">
        <f>IFERROR(AVERAGE($FC13:HB13),"")</f>
        <v>87.073170731707322</v>
      </c>
      <c r="LR13" s="226">
        <f>IFERROR(AVERAGE($FC13:HC13),"")</f>
        <v>87.073170731707322</v>
      </c>
      <c r="LT13" s="136" t="str">
        <f>+$C13</f>
        <v>KPI Q1</v>
      </c>
      <c r="LU13" s="144" t="str">
        <f>+$D13</f>
        <v>Quality</v>
      </c>
      <c r="LV13" s="144" t="str">
        <f t="shared" si="20"/>
        <v>Visual Inspection Pass Rate</v>
      </c>
      <c r="LW13" s="145" t="str">
        <f t="shared" si="21"/>
        <v>Percentage</v>
      </c>
      <c r="LX13" s="145" t="s">
        <v>285</v>
      </c>
      <c r="LY13" s="223" t="str">
        <f>IFERROR(AVERAGE($HJ13:HJ13),"")</f>
        <v/>
      </c>
      <c r="LZ13" s="223">
        <f>IFERROR(IF(LAD$7&gt;$D$3,"",AVERAGE($HJ13:HK13)),"")</f>
        <v>90</v>
      </c>
      <c r="MA13" s="223">
        <f>IFERROR(IF(MA$7&gt;$D$3,"",AVERAGE($HJ13:HL13)),"")</f>
        <v>90</v>
      </c>
      <c r="MB13" s="223">
        <f>IFERROR(IF(MB$7&gt;$D$3,"",AVERAGE($HJ13:HM13)),"")</f>
        <v>90</v>
      </c>
      <c r="MC13" s="223">
        <f>IFERROR(IF(MC$7&gt;$D$3,"",AVERAGE($HJ13:HN13)),"")</f>
        <v>90</v>
      </c>
      <c r="MD13" s="223">
        <f>IFERROR(IF(MD$7&gt;$D$3,"",AVERAGE($HJ13:HO13)),"")</f>
        <v>90</v>
      </c>
      <c r="ME13" s="223">
        <f>IFERROR(IF(ME$7&gt;$D$3,"",AVERAGE($HJ13:HP13)),"")</f>
        <v>90</v>
      </c>
      <c r="MF13" s="223">
        <f>IFERROR(IF(MF$7&gt;$D$3,"",AVERAGE($HJ13:HQ13)),"")</f>
        <v>90</v>
      </c>
      <c r="MG13" s="223">
        <f>IFERROR(IF(MG$7&gt;$D$3,"",AVERAGE($HJ13:HR13)),"")</f>
        <v>90</v>
      </c>
      <c r="MH13" s="223">
        <f>IFERROR(IF(MH$7&gt;$D$3,"",AVERAGE($HJ13:HS13)),"")</f>
        <v>90</v>
      </c>
      <c r="MI13" s="223">
        <f>IFERROR(IF(MI$7&gt;$D$3,"",AVERAGE($HJ13:HT13)),"")</f>
        <v>90</v>
      </c>
      <c r="MJ13" s="223">
        <f>IFERROR(IF(MJ$7&gt;$D$3,"",AVERAGE($HJ13:HU13)),"")</f>
        <v>90</v>
      </c>
      <c r="MK13" s="223">
        <f>IFERROR(IF(MK$7&gt;$D$3,"",AVERAGE($HJ13:HV13)),"")</f>
        <v>90</v>
      </c>
      <c r="ML13" s="223">
        <f>IFERROR(IF(ML$7&gt;$D$3,"",AVERAGE($HJ13:HW13)),"")</f>
        <v>90</v>
      </c>
      <c r="MM13" s="223">
        <f>IFERROR(IF(MM$7&gt;$D$3,"",AVERAGE($HJ13:HX13)),"")</f>
        <v>90</v>
      </c>
      <c r="MN13" s="223">
        <f>IFERROR(IF(MN$7&gt;$D$3,"",AVERAGE($HJ13:HY13)),"")</f>
        <v>90</v>
      </c>
      <c r="MO13" s="223">
        <f>IFERROR(IF(MO$7&gt;$D$3,"",AVERAGE($HJ13:HZ13)),"")</f>
        <v>90</v>
      </c>
      <c r="MP13" s="223">
        <f>IFERROR(IF(MP$7&gt;$D$3,"",AVERAGE($HJ13:IA13)),"")</f>
        <v>90</v>
      </c>
      <c r="MQ13" s="223">
        <f>IFERROR(IF(MQ$7&gt;$D$3,"",AVERAGE($HJ13:IB13)),"")</f>
        <v>90</v>
      </c>
      <c r="MR13" s="223">
        <f>IFERROR(IF(MR$7&gt;$D$3,"",AVERAGE($HJ13:IC13)),"")</f>
        <v>90</v>
      </c>
      <c r="MS13" s="223">
        <f>IFERROR(IF(MS$7&gt;$D$3,"",AVERAGE($HJ13:ID13)),"")</f>
        <v>90</v>
      </c>
      <c r="MT13" s="223">
        <f>IFERROR(IF(MT$7&gt;$D$3,"",AVERAGE($HJ13:IE13)),"")</f>
        <v>90</v>
      </c>
      <c r="MU13" s="223">
        <f>IFERROR(IF(MU$7&gt;$D$3,"",AVERAGE($HJ13:IF13)),"")</f>
        <v>90</v>
      </c>
      <c r="MV13" s="223">
        <f>IFERROR(IF(MV$7&gt;$D$3,"",AVERAGE($HJ13:IG13)),"")</f>
        <v>90</v>
      </c>
      <c r="MW13" s="223">
        <f>IFERROR(IF(MW$7&gt;$D$3,"",AVERAGE($HJ13:IH13)),"")</f>
        <v>90</v>
      </c>
      <c r="MX13" s="223">
        <f>IFERROR(IF(MX$7&gt;$D$3,"",AVERAGE($HJ13:II13)),"")</f>
        <v>90</v>
      </c>
      <c r="MY13" s="223">
        <f>IFERROR(IF(MY$7&gt;$D$3,"",AVERAGE($HJ13:IJ13)),"")</f>
        <v>90</v>
      </c>
      <c r="MZ13" s="223">
        <f>IFERROR(IF(MZ$7&gt;$D$3,"",AVERAGE($HJ13:IK13)),"")</f>
        <v>90</v>
      </c>
      <c r="NA13" s="223">
        <f>IFERROR(IF(NA$7&gt;$D$3,"",AVERAGE($HJ13:IL13)),"")</f>
        <v>90</v>
      </c>
      <c r="NB13" s="223">
        <f>IFERROR(IF(NB$7&gt;$D$3,"",AVERAGE($HJ13:IM13)),"")</f>
        <v>90</v>
      </c>
      <c r="NC13" s="223">
        <f>IFERROR(IF(NC$7&gt;$D$3,"",AVERAGE($HJ13:IN13)),"")</f>
        <v>90</v>
      </c>
      <c r="ND13" s="223">
        <f>IFERROR(IF(ND$7&gt;$D$3,"",AVERAGE($HJ13:IO13)),"")</f>
        <v>90</v>
      </c>
      <c r="NE13" s="223">
        <f>IFERROR(IF(NE$7&gt;$D$3,"",AVERAGE($HJ13:IP13)),"")</f>
        <v>90</v>
      </c>
      <c r="NF13" s="223">
        <f>IFERROR(IF(NF$7&gt;$D$3,"",AVERAGE($HJ13:IQ13)),"")</f>
        <v>90</v>
      </c>
      <c r="NG13" s="223">
        <f>IFERROR(IF(NG$7&gt;$D$3,"",AVERAGE($HJ13:IR13)),"")</f>
        <v>90</v>
      </c>
      <c r="NH13" s="223">
        <f>IFERROR(IF(NH$7&gt;$D$3,"",AVERAGE($HJ13:IS13)),"")</f>
        <v>90</v>
      </c>
      <c r="NI13" s="223">
        <f>IFERROR(IF(NI$7&gt;$D$3,"",AVERAGE($HJ13:IT13)),"")</f>
        <v>90</v>
      </c>
      <c r="NJ13" s="223">
        <f>IFERROR(IF(NJ$7&gt;$D$3,"",AVERAGE($HJ13:IU13)),"")</f>
        <v>90</v>
      </c>
      <c r="NK13" s="223">
        <f>IFERROR(IF(NK$7&gt;$D$3,"",AVERAGE($HJ13:IV13)),"")</f>
        <v>90</v>
      </c>
      <c r="NL13" s="223">
        <f>IFERROR(IF(NL$7&gt;$D$3,"",AVERAGE($HJ13:IW13)),"")</f>
        <v>90</v>
      </c>
      <c r="NM13" s="223">
        <f>IFERROR(IF(NM$7&gt;$D$3,"",AVERAGE($HJ13:IX13)),"")</f>
        <v>90</v>
      </c>
      <c r="NN13" s="223">
        <f>IFERROR(IF(NN$7&gt;$D$3,"",AVERAGE($HJ13:IY13)),"")</f>
        <v>90</v>
      </c>
      <c r="NO13" s="223" t="str">
        <f>IFERROR(IF(NO$7&gt;$D$3,"",AVERAGE($HJ13:IZ13)),"")</f>
        <v/>
      </c>
      <c r="NP13" s="223" t="str">
        <f>IFERROR(IF(NP$7&gt;$D$3,"",AVERAGE($HJ13:JA13)),"")</f>
        <v/>
      </c>
      <c r="NQ13" s="223" t="str">
        <f>IFERROR(IF(NQ$7&gt;$D$3,"",AVERAGE($HJ13:JB13)),"")</f>
        <v/>
      </c>
      <c r="NR13" s="223" t="str">
        <f>IFERROR(IF(NR$7&gt;$D$3,"",AVERAGE($HJ13:JC13)),"")</f>
        <v/>
      </c>
      <c r="NS13" s="223" t="str">
        <f>IFERROR(IF(NS$7&gt;$D$3,"",AVERAGE($HJ13:JD13)),"")</f>
        <v/>
      </c>
      <c r="NT13" s="223" t="str">
        <f>IFERROR(IF(NT$7&gt;$D$3,"",AVERAGE($HJ13:JE13)),"")</f>
        <v/>
      </c>
      <c r="NU13" s="223" t="str">
        <f>IFERROR(IF(NU$7&gt;$D$3,"",AVERAGE($HJ13:JF13)),"")</f>
        <v/>
      </c>
      <c r="NV13" s="223" t="str">
        <f>IFERROR(IF(NV$7&gt;$D$3,"",AVERAGE($HJ13:JG13)),"")</f>
        <v/>
      </c>
      <c r="NW13" s="223" t="str">
        <f>IFERROR(IF(NW$7&gt;$D$3,"",AVERAGE($HJ13:JH13)),"")</f>
        <v/>
      </c>
      <c r="NX13" s="223" t="str">
        <f>IFERROR(IF(NX$7&gt;$D$3,"",AVERAGE($HJ13:JI13)),"")</f>
        <v/>
      </c>
      <c r="NY13" s="223" t="str">
        <f>IFERROR(IF(NY$7&gt;$D$3,"",AVERAGE($HJ13:JJ13)),"")</f>
        <v/>
      </c>
    </row>
    <row r="14" spans="1:389" ht="15" thickBot="1" x14ac:dyDescent="0.35">
      <c r="A14" t="str">
        <f>$B$10&amp;"-"&amp;C14</f>
        <v>EHS-KPI C1</v>
      </c>
      <c r="B14" s="138"/>
      <c r="C14" s="138" t="str">
        <f>+'KPI Stats'!C13</f>
        <v>KPI C1</v>
      </c>
      <c r="D14" s="146" t="str">
        <f>+'KPI Stats'!D13</f>
        <v>Cost</v>
      </c>
      <c r="E14" s="146" t="str">
        <f>+'KPI Stats'!E13</f>
        <v>Ratio of Gas / Elec emissions to prod Quantity</v>
      </c>
      <c r="F14" s="147" t="str">
        <f>+'KPI Stats'!F13</f>
        <v>Ratio</v>
      </c>
      <c r="G14" s="170" t="str">
        <f>+'KPI Stats'!G13</f>
        <v>Over</v>
      </c>
      <c r="J14" s="160" t="str">
        <f>_xlfn.XLOOKUP((J$7-0),$AM$7:$CM$7,$AM14:$CM14,,FALSE)</f>
        <v>OD</v>
      </c>
      <c r="K14" s="266">
        <f>_xlfn.XLOOKUP((K$7-0),$FC$7:$HC$7,$FC14:$HC14,,FALSE)</f>
        <v>0</v>
      </c>
      <c r="L14" s="270">
        <f>_xlfn.XLOOKUP((L$7-0),$HJ$7:$JJ$7,$HJ14:$JJ14,,FALSE)</f>
        <v>1</v>
      </c>
      <c r="M14" s="367" t="s">
        <v>286</v>
      </c>
      <c r="P14" s="160" t="str">
        <f>_xlfn.XLOOKUP((P$7-1),$AM$7:$CM$7,$AM14:$CM14,,FALSE)</f>
        <v>G</v>
      </c>
      <c r="Q14" s="266">
        <f t="shared" si="23"/>
        <v>0</v>
      </c>
      <c r="R14" s="279">
        <f t="shared" si="23"/>
        <v>0.95</v>
      </c>
      <c r="S14" s="370" t="s">
        <v>286</v>
      </c>
      <c r="T14" s="371" t="s">
        <v>286</v>
      </c>
      <c r="U14" s="296" t="str">
        <f>IF(F9&lt;$R$2,"Not Complete",IF(Q14=R14,"Same −",IF($G14="Over",IF(Q14&lt;R14,"Better ↑","Worse ↓"),IF($G14="Under",IF(Q14&gt;R14,"Better ↑","Worse ↓"),IF(G14="Above Zero",IF(Q14&lt;R14,"Better ↑","Worse ↓"),("err"))))))</f>
        <v>Not Complete</v>
      </c>
      <c r="X14" s="160" t="str">
        <f t="shared" ref="X14" si="27">IF(Y14="","",IF(Y14="Blank","",IF(AND(G14="above zero",Y14&gt;0),"R",IF(AA14&gt;1,"G",IF(AA14&gt;0.95,"A","R")))))</f>
        <v>G</v>
      </c>
      <c r="Y14" s="266">
        <f>_xlfn.XLOOKUP((Y$7-0),$JR$7:$LR$7,$JR14:$LR14,FALSE)</f>
        <v>0.89324324324324333</v>
      </c>
      <c r="Z14" s="279">
        <f>_xlfn.XLOOKUP((Z$7-0),$LY$7:$NY$7,$LY14:$NY14,FALSE)</f>
        <v>1</v>
      </c>
      <c r="AA14" s="370" t="s">
        <v>286</v>
      </c>
      <c r="AB14" s="296" t="str">
        <f>IF(F9&lt;($R$2-1),"TBC",IF(Y14=Z14,"Same −",IF($G14="Over",IF(Z14&lt;Y14,"Better ↑ ","Worse ↓ "),IF($G14="Under",IF(Y14&gt;Z14,"Better ↑ ","Worse ↓ "),IF(G14="Above Zero",IF(Y14&lt;Z14,"Better ↑","Worse ↓"),"err")))))</f>
        <v>TBC</v>
      </c>
      <c r="AC14" s="160" t="str">
        <f>IF(AND(G14="above adero",AD14&gt;0),"R",IF(AF14&gt;1,"G",IF(AF14&gt;0.95,"A","R")))</f>
        <v>G</v>
      </c>
      <c r="AD14" s="266">
        <f>_xlfn.XLOOKUP(AD$7,$JR$7:$LR$7,$JR14:$LR14,FALSE)</f>
        <v>0.91805555555555562</v>
      </c>
      <c r="AE14" s="279">
        <f>_xlfn.XLOOKUP(AE$7,$LY$7:$NY$7,$LY14:$NY14,FALSE)</f>
        <v>1</v>
      </c>
      <c r="AF14" s="273">
        <f>IFERROR(IF(G14="under",AD14/AE14,IF(G14="Over",AE14/AD14,"")),"")</f>
        <v>1.0892586989409985</v>
      </c>
      <c r="AH14" s="465" t="str">
        <f>+$A14</f>
        <v>EHS-KPI C1</v>
      </c>
      <c r="AI14" s="138" t="str">
        <f t="shared" ref="AI14" si="28">+C14</f>
        <v>KPI C1</v>
      </c>
      <c r="AJ14" s="146" t="str">
        <f t="shared" ref="AJ14" si="29">+D14</f>
        <v>Cost</v>
      </c>
      <c r="AK14" s="146" t="str">
        <f t="shared" ref="AK14" si="30">+E14</f>
        <v>Ratio of Gas / Elec emissions to prod Quantity</v>
      </c>
      <c r="AL14" s="147" t="str">
        <f t="shared" ref="AL14" si="31">+F14</f>
        <v>Ratio</v>
      </c>
      <c r="AM14" s="752" t="str">
        <f>IF(AM$7&gt;$D$3,"",_xlfn.XLOOKUP(AM$7,EHS!$M$6:$BM$6,EHS!$M$19:$BM$19))</f>
        <v>Blank</v>
      </c>
      <c r="AN14" s="753" t="str">
        <f>IF(AN$7&gt;$D$3,"",_xlfn.XLOOKUP(AN$7,EHS!$M$6:$BM$6,EHS!$M$19:$BM$19))</f>
        <v>Missed</v>
      </c>
      <c r="AO14" s="752" t="str">
        <f>IF(AO$7&gt;$D$3,"",_xlfn.XLOOKUP(AO$7,EHS!$M$6:$BM$6,EHS!$M$19:$BM$19))</f>
        <v>Missed</v>
      </c>
      <c r="AP14" s="752" t="str">
        <f>IF(AP$7&gt;$D$3,"",_xlfn.XLOOKUP(AP$7,EHS!$M$6:$BM$6,EHS!$M$19:$BM$19))</f>
        <v>G</v>
      </c>
      <c r="AQ14" s="752" t="str">
        <f>IF(AQ$7&gt;$D$3,"",_xlfn.XLOOKUP(AQ$7,EHS!$M$6:$BM$6,EHS!$M$19:$BM$19))</f>
        <v>G</v>
      </c>
      <c r="AR14" s="752" t="str">
        <f>IF(AR$7&gt;$D$3,"",_xlfn.XLOOKUP(AR$7,EHS!$M$6:$BM$6,EHS!$M$19:$BM$19))</f>
        <v>G</v>
      </c>
      <c r="AS14" s="752" t="str">
        <f>IF(AS$7&gt;$D$3,"",_xlfn.XLOOKUP(AS$7,EHS!$M$6:$BM$6,EHS!$M$19:$BM$19))</f>
        <v>Missed</v>
      </c>
      <c r="AT14" s="752" t="str">
        <f>IF(AT$7&gt;$D$3,"",_xlfn.XLOOKUP(AT$7,EHS!$M$6:$BM$6,EHS!$M$19:$BM$19))</f>
        <v>Missed</v>
      </c>
      <c r="AU14" s="752" t="str">
        <f>IF(AU$7&gt;$D$3,"",_xlfn.XLOOKUP(AU$7,EHS!$M$6:$BM$6,EHS!$M$19:$BM$19))</f>
        <v>G</v>
      </c>
      <c r="AV14" s="752" t="str">
        <f>IF(AV$7&gt;$D$3,"",_xlfn.XLOOKUP(AV$7,EHS!$M$6:$BM$6,EHS!$M$19:$BM$19))</f>
        <v>R</v>
      </c>
      <c r="AW14" s="752" t="str">
        <f>IF(AW$7&gt;$D$3,"",_xlfn.XLOOKUP(AW$7,EHS!$M$6:$BM$6,EHS!$M$19:$BM$19))</f>
        <v>R</v>
      </c>
      <c r="AX14" s="752" t="str">
        <f>IF(AX$7&gt;$D$3,"",_xlfn.XLOOKUP(AX$7,EHS!$M$6:$BM$6,EHS!$M$19:$BM$19))</f>
        <v>G</v>
      </c>
      <c r="AY14" s="752" t="str">
        <f>IF(AY$7&gt;$D$3,"",_xlfn.XLOOKUP(AY$7,EHS!$M$6:$BM$6,EHS!$M$19:$BM$19))</f>
        <v>G</v>
      </c>
      <c r="AZ14" s="752" t="str">
        <f>IF(AZ$7&gt;$D$3,"",_xlfn.XLOOKUP(AZ$7,EHS!$M$6:$BM$6,EHS!$M$19:$BM$19))</f>
        <v>G</v>
      </c>
      <c r="BA14" s="752" t="str">
        <f>IF(BA$7&gt;$D$3,"",_xlfn.XLOOKUP(BA$7,EHS!$M$6:$BM$6,EHS!$M$19:$BM$19))</f>
        <v>G</v>
      </c>
      <c r="BB14" s="752" t="str">
        <f>IF(BB$7&gt;$D$3,"",_xlfn.XLOOKUP(BB$7,EHS!$M$6:$BM$6,EHS!$M$19:$BM$19))</f>
        <v>G</v>
      </c>
      <c r="BC14" s="752" t="str">
        <f>IF(BC$7&gt;$D$3,"",_xlfn.XLOOKUP(BC$7,EHS!$M$6:$BM$6,EHS!$M$19:$BM$19))</f>
        <v>G</v>
      </c>
      <c r="BD14" s="752" t="str">
        <f>IF(BD$7&gt;$D$3,"",_xlfn.XLOOKUP(BD$7,EHS!$M$6:$BM$6,EHS!$M$19:$BM$19))</f>
        <v>G</v>
      </c>
      <c r="BE14" s="752" t="str">
        <f>IF(BE$7&gt;$D$3,"",_xlfn.XLOOKUP(BE$7,EHS!$M$6:$BM$6,EHS!$M$19:$BM$19))</f>
        <v>G</v>
      </c>
      <c r="BF14" s="752" t="str">
        <f>IF(BF$7&gt;$D$3,"",_xlfn.XLOOKUP(BF$7,EHS!$M$6:$BM$6,EHS!$M$19:$BM$19))</f>
        <v>G</v>
      </c>
      <c r="BG14" s="752" t="str">
        <f>IF(BG$7&gt;$D$3,"",_xlfn.XLOOKUP(BG$7,EHS!$M$6:$BM$6,EHS!$M$19:$BM$19))</f>
        <v>G</v>
      </c>
      <c r="BH14" s="752" t="str">
        <f>IF(BH$7&gt;$D$3,"",_xlfn.XLOOKUP(BH$7,EHS!$M$6:$BM$6,EHS!$M$19:$BM$19))</f>
        <v>G</v>
      </c>
      <c r="BI14" s="752" t="str">
        <f>IF(BI$7&gt;$D$3,"",_xlfn.XLOOKUP(BI$7,EHS!$M$6:$BM$6,EHS!$M$19:$BM$19))</f>
        <v>G</v>
      </c>
      <c r="BJ14" s="752" t="str">
        <f>IF(BJ$7&gt;$D$3,"",_xlfn.XLOOKUP(BJ$7,EHS!$M$6:$BM$6,EHS!$M$19:$BM$19))</f>
        <v>G</v>
      </c>
      <c r="BK14" s="752" t="str">
        <f>IF(BK$7&gt;$D$3,"",_xlfn.XLOOKUP(BK$7,EHS!$M$6:$BM$6,EHS!$M$19:$BM$19))</f>
        <v>A</v>
      </c>
      <c r="BL14" s="752" t="str">
        <f>IF(BL$7&gt;$D$3,"",_xlfn.XLOOKUP(BL$7,EHS!$M$6:$BM$6,EHS!$M$19:$BM$19))</f>
        <v>R</v>
      </c>
      <c r="BM14" s="752" t="str">
        <f>IF(BM$7&gt;$D$3,"",_xlfn.XLOOKUP(BM$7,EHS!$M$6:$BM$6,EHS!$M$19:$BM$19))</f>
        <v>R</v>
      </c>
      <c r="BN14" s="752" t="str">
        <f>IF(BN$7&gt;$D$3,"",_xlfn.XLOOKUP(BN$7,EHS!$M$6:$BM$6,EHS!$M$19:$BM$19))</f>
        <v>R</v>
      </c>
      <c r="BO14" s="752" t="str">
        <f>IF(BO$7&gt;$D$3,"",_xlfn.XLOOKUP(BO$7,EHS!$M$6:$BM$6,EHS!$M$19:$BM$19))</f>
        <v>R</v>
      </c>
      <c r="BP14" s="752" t="str">
        <f>IF(BP$7&gt;$D$3,"",_xlfn.XLOOKUP(BP$7,EHS!$M$6:$BM$6,EHS!$M$19:$BM$19))</f>
        <v>R</v>
      </c>
      <c r="BQ14" s="752" t="str">
        <f>IF(BQ$7&gt;$D$3,"",_xlfn.XLOOKUP(BQ$7,EHS!$M$6:$BM$6,EHS!$M$19:$BM$19))</f>
        <v>R</v>
      </c>
      <c r="BR14" s="752" t="str">
        <f>IF(BR$7&gt;$D$3,"",_xlfn.XLOOKUP(BR$7,EHS!$M$6:$BM$6,EHS!$M$19:$BM$19))</f>
        <v>A</v>
      </c>
      <c r="BS14" s="752" t="str">
        <f>IF(BS$7&gt;$D$3,"",_xlfn.XLOOKUP(BS$7,EHS!$M$6:$BM$6,EHS!$M$19:$BM$19))</f>
        <v>R</v>
      </c>
      <c r="BT14" s="752" t="str">
        <f>IF(BT$7&gt;$D$3,"",_xlfn.XLOOKUP(BT$7,EHS!$M$6:$BM$6,EHS!$M$19:$BM$19))</f>
        <v>R</v>
      </c>
      <c r="BU14" s="752" t="str">
        <f>IF(BU$7&gt;$D$3,"",_xlfn.XLOOKUP(BU$7,EHS!$M$6:$BM$6,EHS!$M$19:$BM$19))</f>
        <v>R</v>
      </c>
      <c r="BV14" s="752" t="str">
        <f>IF(BV$7&gt;$D$3,"",_xlfn.XLOOKUP(BV$7,EHS!$M$6:$BM$6,EHS!$M$19:$BM$19))</f>
        <v>G</v>
      </c>
      <c r="BW14" s="752" t="str">
        <f>IF(BW$7&gt;$D$3,"",_xlfn.XLOOKUP(BW$7,EHS!$M$6:$BM$6,EHS!$M$19:$BM$19))</f>
        <v>G</v>
      </c>
      <c r="BX14" s="752" t="str">
        <f>IF(BX$7&gt;$D$3,"",_xlfn.XLOOKUP(BX$7,EHS!$M$6:$BM$6,EHS!$M$19:$BM$19))</f>
        <v>G</v>
      </c>
      <c r="BY14" s="752" t="str">
        <f>IF(BY$7&gt;$D$3,"",_xlfn.XLOOKUP(BY$7,EHS!$M$6:$BM$6,EHS!$M$19:$BM$19))</f>
        <v>G</v>
      </c>
      <c r="BZ14" s="752" t="str">
        <f>IF(BZ$7&gt;$D$3,"",_xlfn.XLOOKUP(BZ$7,EHS!$M$6:$BM$6,EHS!$M$19:$BM$19))</f>
        <v>G</v>
      </c>
      <c r="CA14" s="752" t="str">
        <f>IF(CA$7&gt;$D$3,"",_xlfn.XLOOKUP(CA$7,EHS!$M$6:$BM$6,EHS!$M$19:$BM$19))</f>
        <v>G</v>
      </c>
      <c r="CB14" s="752" t="str">
        <f>IF(CB$7&gt;$D$3,"",_xlfn.XLOOKUP(CB$7,EHS!$M$6:$BM$6,EHS!$M$19:$BM$19))</f>
        <v>OD</v>
      </c>
      <c r="CC14" s="752" t="str">
        <f>IF(CC$7&gt;$D$3,"",_xlfn.XLOOKUP(CC$7,EHS!$M$6:$BM$6,EHS!$M$19:$BM$19))</f>
        <v/>
      </c>
      <c r="CD14" s="752" t="str">
        <f>IF(CD$7&gt;$D$3,"",_xlfn.XLOOKUP(CD$7,EHS!$M$6:$BM$6,EHS!$M$19:$BM$19))</f>
        <v/>
      </c>
      <c r="CE14" s="752" t="str">
        <f>IF(CE$7&gt;$D$3,"",_xlfn.XLOOKUP(CE$7,EHS!$M$6:$BM$6,EHS!$M$19:$BM$19))</f>
        <v/>
      </c>
      <c r="CF14" s="752" t="str">
        <f>IF(CF$7&gt;$D$3,"",_xlfn.XLOOKUP(CF$7,EHS!$M$6:$BM$6,EHS!$M$19:$BM$19))</f>
        <v/>
      </c>
      <c r="CG14" s="752" t="str">
        <f>IF(CG$7&gt;$D$3,"",_xlfn.XLOOKUP(CG$7,EHS!$M$6:$BM$6,EHS!$M$19:$BM$19))</f>
        <v/>
      </c>
      <c r="CH14" s="752" t="str">
        <f>IF(CH$7&gt;$D$3,"",_xlfn.XLOOKUP(CH$7,EHS!$M$6:$BM$6,EHS!$M$19:$BM$19))</f>
        <v/>
      </c>
      <c r="CI14" s="752" t="str">
        <f>IF(CI$7&gt;$D$3,"",_xlfn.XLOOKUP(CI$7,EHS!$M$6:$BM$6,EHS!$M$19:$BM$19))</f>
        <v/>
      </c>
      <c r="CJ14" s="752" t="str">
        <f>IF(CJ$7&gt;$D$3,"",_xlfn.XLOOKUP(CJ$7,EHS!$M$6:$BM$6,EHS!$M$19:$BM$19))</f>
        <v/>
      </c>
      <c r="CK14" s="752" t="str">
        <f>IF(CK$7&gt;$D$3,"",_xlfn.XLOOKUP(CK$7,EHS!$M$6:$BM$6,EHS!$M$19:$BM$19))</f>
        <v/>
      </c>
      <c r="CL14" s="752" t="str">
        <f>IF(CL$7&gt;$D$3,"",_xlfn.XLOOKUP(CL$7,EHS!$M$6:$BM$6,EHS!$M$19:$BM$19))</f>
        <v/>
      </c>
      <c r="CM14" s="752" t="str">
        <f>IF(CM$7&gt;$D$3,"",_xlfn.XLOOKUP(CM$7,EHS!$M$6:$BM$6,EHS!$M$19:$BM$19))</f>
        <v/>
      </c>
      <c r="CO14" s="465" t="str">
        <f>+$A14</f>
        <v>EHS-KPI C1</v>
      </c>
      <c r="CP14" s="136" t="str">
        <f t="shared" ref="CP14" si="32">+C14</f>
        <v>KPI C1</v>
      </c>
      <c r="CQ14" s="144" t="str">
        <f t="shared" ref="CQ14" si="33">+D14</f>
        <v>Cost</v>
      </c>
      <c r="CR14" s="514" t="str">
        <f t="shared" ref="CR14" si="34">+E14</f>
        <v>Ratio of Gas / Elec emissions to prod Quantity</v>
      </c>
      <c r="CS14" s="145" t="str">
        <f t="shared" ref="CS14" si="35">+F14</f>
        <v>Ratio</v>
      </c>
      <c r="CT14" s="207" t="s">
        <v>246</v>
      </c>
      <c r="CU14" s="752" t="str">
        <f>IF(CU$7&gt;$D$3,"",_xlfn.XLOOKUP(CU$7,EHS!$M$6:$BM$6,EHS!$M$19:$BM$19))</f>
        <v>Blank</v>
      </c>
      <c r="CV14" s="760" t="str">
        <f>IFERROR(IF(CV$7&gt;$D$3,"",IF(AN14="OD","OD",IF(AN14="Missed","Missed",IF(AN14="TBC","TBC",IF(AN14="Undefined","Undefined",_xlfn.XLOOKUP(CV$7,EHS!$M$6:$BM$6,EHS!$M$17:$BM$17)/_xlfn.XLOOKUP(CV$7,EHS!$M$6:$BM$6,EHS!$M$18:$BM$18)))))),"")</f>
        <v>Missed</v>
      </c>
      <c r="CW14" s="761" t="str">
        <f>IFERROR(IF(CW$7&gt;$D$3,"",IF(AO14="OD","OD",IF(AO14="Missed","Missed",IF(AO14="TBC","TBC",IF(AO14="Undefined","Undefined",_xlfn.XLOOKUP(CW$7,EHS!$M$6:$BM$6,EHS!$M$17:$BM$17)/_xlfn.XLOOKUP(CW$7,EHS!$M$6:$BM$6,EHS!$M$18:$BM$18)))))),"")</f>
        <v>Missed</v>
      </c>
      <c r="CX14" s="761">
        <f>IFERROR(IF(CX$7&gt;$D$3,"",IF(AP14="OD","OD",IF(AP14="Missed","Missed",IF(AP14="TBC","TBC",IF(AP14="Undefined","Undefined",_xlfn.XLOOKUP(CX$7,EHS!$M$6:$BM$6,EHS!$M$17:$BM$17)/_xlfn.XLOOKUP(CX$7,EHS!$M$6:$BM$6,EHS!$M$18:$BM$18)))))),"")</f>
        <v>1</v>
      </c>
      <c r="CY14" s="761">
        <f>IFERROR(IF(CY$7&gt;$D$3,"",IF(AQ14="OD","OD",IF(AQ14="Missed","Missed",IF(AQ14="TBC","TBC",IF(AQ14="Undefined","Undefined",_xlfn.XLOOKUP(CY$7,EHS!$M$6:$BM$6,EHS!$M$17:$BM$17)/_xlfn.XLOOKUP(CY$7,EHS!$M$6:$BM$6,EHS!$M$18:$BM$18)))))),"")</f>
        <v>2</v>
      </c>
      <c r="CZ14" s="761">
        <f>IFERROR(IF(CZ$7&gt;$D$3,"",IF(AR14="OD","OD",IF(AR14="Missed","Missed",IF(AR14="TBC","TBC",IF(AR14="Undefined","Undefined",_xlfn.XLOOKUP(CZ$7,EHS!$M$6:$BM$6,EHS!$M$17:$BM$17)/_xlfn.XLOOKUP(CZ$7,EHS!$M$6:$BM$6,EHS!$M$18:$BM$18)))))),"")</f>
        <v>2.4390243902439024</v>
      </c>
      <c r="DA14" s="761" t="str">
        <f>IFERROR(IF(DA$7&gt;$D$3,"",IF(AS14="OD","OD",IF(AS14="Missed","Missed",IF(AS14="TBC","TBC",IF(AS14="Undefined","Undefined",_xlfn.XLOOKUP(DA$7,EHS!$M$6:$BM$6,EHS!$M$17:$BM$17)/_xlfn.XLOOKUP(DA$7,EHS!$M$6:$BM$6,EHS!$M$18:$BM$18)))))),"")</f>
        <v>Missed</v>
      </c>
      <c r="DB14" s="761" t="str">
        <f>IFERROR(IF(DB$7&gt;$D$3,"",IF(AT14="OD","OD",IF(AT14="Missed","Missed",IF(AT14="TBC","TBC",IF(AT14="Undefined","Undefined",_xlfn.XLOOKUP(DB$7,EHS!$M$6:$BM$6,EHS!$M$17:$BM$17)/_xlfn.XLOOKUP(DB$7,EHS!$M$6:$BM$6,EHS!$M$18:$BM$18)))))),"")</f>
        <v>Missed</v>
      </c>
      <c r="DC14" s="761">
        <f>IFERROR(IF(DC$7&gt;$D$3,"",IF(AU14="OD","OD",IF(AU14="Missed","Missed",IF(AU14="TBC","TBC",IF(AU14="Undefined","Undefined",_xlfn.XLOOKUP(DC$7,EHS!$M$6:$BM$6,EHS!$M$17:$BM$17)/_xlfn.XLOOKUP(DC$7,EHS!$M$6:$BM$6,EHS!$M$18:$BM$18)))))),"")</f>
        <v>1.1494252873563218</v>
      </c>
      <c r="DD14" s="761">
        <f>IFERROR(IF(DD$7&gt;$D$3,"",IF(AV14="OD","OD",IF(AV14="Missed","Missed",IF(AV14="TBC","TBC",IF(AV14="Undefined","Undefined",_xlfn.XLOOKUP(DD$7,EHS!$M$6:$BM$6,EHS!$M$17:$BM$17)/_xlfn.XLOOKUP(DD$7,EHS!$M$6:$BM$6,EHS!$M$18:$BM$18)))))),"")</f>
        <v>0.89285714285714279</v>
      </c>
      <c r="DE14" s="761">
        <f>IFERROR(IF(DE$7&gt;$D$3,"",IF(AW14="OD","OD",IF(AW14="Missed","Missed",IF(AW14="TBC","TBC",IF(AW14="Undefined","Undefined",_xlfn.XLOOKUP(DE$7,EHS!$M$6:$BM$6,EHS!$M$17:$BM$17)/_xlfn.XLOOKUP(DE$7,EHS!$M$6:$BM$6,EHS!$M$18:$BM$18)))))),"")</f>
        <v>0.86956521739130443</v>
      </c>
      <c r="DF14" s="761">
        <f>IFERROR(IF(DF$7&gt;$D$3,"",IF(AX14="OD","OD",IF(AX14="Missed","Missed",IF(AX14="TBC","TBC",IF(AX14="Undefined","Undefined",_xlfn.XLOOKUP(DF$7,EHS!$M$6:$BM$6,EHS!$M$17:$BM$17)/_xlfn.XLOOKUP(DF$7,EHS!$M$6:$BM$6,EHS!$M$18:$BM$18)))))),"")</f>
        <v>1.1111111111111112</v>
      </c>
      <c r="DG14" s="761">
        <f>IFERROR(IF(DG$7&gt;$D$3,"",IF(AY14="OD","OD",IF(AY14="Missed","Missed",IF(AY14="TBC","TBC",IF(AY14="Undefined","Undefined",_xlfn.XLOOKUP(DG$7,EHS!$M$6:$BM$6,EHS!$M$17:$BM$17)/_xlfn.XLOOKUP(DG$7,EHS!$M$6:$BM$6,EHS!$M$18:$BM$18)))))),"")</f>
        <v>1.0416666666666667</v>
      </c>
      <c r="DH14" s="761">
        <f>IFERROR(IF(DH$7&gt;$D$3,"",IF(AZ14="OD","OD",IF(AZ14="Missed","Missed",IF(AZ14="TBC","TBC",IF(AZ14="Undefined","Undefined",_xlfn.XLOOKUP(DH$7,EHS!$M$6:$BM$6,EHS!$M$17:$BM$17)/_xlfn.XLOOKUP(DH$7,EHS!$M$6:$BM$6,EHS!$M$18:$BM$18)))))),"")</f>
        <v>1.9607843137254901</v>
      </c>
      <c r="DI14" s="761">
        <f>IFERROR(IF(DI$7&gt;$D$3,"",IF(BA14="OD","OD",IF(BA14="Missed","Missed",IF(BA14="TBC","TBC",IF(BA14="Undefined","Undefined",_xlfn.XLOOKUP(DI$7,EHS!$M$6:$BM$6,EHS!$M$17:$BM$17)/_xlfn.XLOOKUP(DI$7,EHS!$M$6:$BM$6,EHS!$M$18:$BM$18)))))),"")</f>
        <v>1.9607843137254901</v>
      </c>
      <c r="DJ14" s="761">
        <f>IFERROR(IF(DJ$7&gt;$D$3,"",IF(BB14="OD","OD",IF(BB14="Missed","Missed",IF(BB14="TBC","TBC",IF(BB14="Undefined","Undefined",_xlfn.XLOOKUP(DJ$7,EHS!$M$6:$BM$6,EHS!$M$17:$BM$17)/_xlfn.XLOOKUP(DJ$7,EHS!$M$6:$BM$6,EHS!$M$18:$BM$18)))))),"")</f>
        <v>1.3333333333333333</v>
      </c>
      <c r="DK14" s="761">
        <f>IFERROR(IF(DK$7&gt;$D$3,"",IF(BC14="OD","OD",IF(BC14="Missed","Missed",IF(BC14="TBC","TBC",IF(BC14="Undefined","Undefined",_xlfn.XLOOKUP(DK$7,EHS!$M$6:$BM$6,EHS!$M$17:$BM$17)/_xlfn.XLOOKUP(DK$7,EHS!$M$6:$BM$6,EHS!$M$18:$BM$18)))))),"")</f>
        <v>1.3888888888888888</v>
      </c>
      <c r="DL14" s="761">
        <f>IFERROR(IF(DL$7&gt;$D$3,"",IF(BD14="OD","OD",IF(BD14="Missed","Missed",IF(BD14="TBC","TBC",IF(BD14="Undefined","Undefined",_xlfn.XLOOKUP(DL$7,EHS!$M$6:$BM$6,EHS!$M$17:$BM$17)/_xlfn.XLOOKUP(DL$7,EHS!$M$6:$BM$6,EHS!$M$18:$BM$18)))))),"")</f>
        <v>1.6666666666666667</v>
      </c>
      <c r="DM14" s="761">
        <f>IFERROR(IF(DM$7&gt;$D$3,"",IF(BE14="OD","OD",IF(BE14="Missed","Missed",IF(BE14="TBC","TBC",IF(BE14="Undefined","Undefined",_xlfn.XLOOKUP(DM$7,EHS!$M$6:$BM$6,EHS!$M$17:$BM$17)/_xlfn.XLOOKUP(DM$7,EHS!$M$6:$BM$6,EHS!$M$18:$BM$18)))))),"")</f>
        <v>1.25</v>
      </c>
      <c r="DN14" s="761">
        <f>IFERROR(IF(DN$7&gt;$D$3,"",IF(BF14="OD","OD",IF(BF14="Missed","Missed",IF(BF14="TBC","TBC",IF(BF14="Undefined","Undefined",_xlfn.XLOOKUP(DN$7,EHS!$M$6:$BM$6,EHS!$M$17:$BM$17)/_xlfn.XLOOKUP(DN$7,EHS!$M$6:$BM$6,EHS!$M$18:$BM$18)))))),"")</f>
        <v>1.8181818181818181</v>
      </c>
      <c r="DO14" s="761">
        <f>IFERROR(IF(DO$7&gt;$D$3,"",IF(BG14="OD","OD",IF(BG14="Missed","Missed",IF(BG14="TBC","TBC",IF(BG14="Undefined","Undefined",_xlfn.XLOOKUP(DO$7,EHS!$M$6:$BM$6,EHS!$M$17:$BM$17)/_xlfn.XLOOKUP(DO$7,EHS!$M$6:$BM$6,EHS!$M$18:$BM$18)))))),"")</f>
        <v>1.25</v>
      </c>
      <c r="DP14" s="761">
        <f>IFERROR(IF(DP$7&gt;$D$3,"",IF(BH14="OD","OD",IF(BH14="Missed","Missed",IF(BH14="TBC","TBC",IF(BH14="Undefined","Undefined",_xlfn.XLOOKUP(DP$7,EHS!$M$6:$BM$6,EHS!$M$17:$BM$17)/_xlfn.XLOOKUP(DP$7,EHS!$M$6:$BM$6,EHS!$M$18:$BM$18)))))),"")</f>
        <v>1.1904761904761905</v>
      </c>
      <c r="DQ14" s="761">
        <f>IFERROR(IF(DQ$7&gt;$D$3,"",IF(BI14="OD","OD",IF(BI14="Missed","Missed",IF(BI14="TBC","TBC",IF(BI14="Undefined","Undefined",_xlfn.XLOOKUP(DQ$7,EHS!$M$6:$BM$6,EHS!$M$17:$BM$17)/_xlfn.XLOOKUP(DQ$7,EHS!$M$6:$BM$6,EHS!$M$18:$BM$18)))))),"")</f>
        <v>1.5384615384615383</v>
      </c>
      <c r="DR14" s="761">
        <f>IFERROR(IF(DR$7&gt;$D$3,"",IF(BJ14="OD","OD",IF(BJ14="Missed","Missed",IF(BJ14="TBC","TBC",IF(BJ14="Undefined","Undefined",_xlfn.XLOOKUP(DR$7,EHS!$M$6:$BM$6,EHS!$M$17:$BM$17)/_xlfn.XLOOKUP(DR$7,EHS!$M$6:$BM$6,EHS!$M$18:$BM$18)))))),"")</f>
        <v>1</v>
      </c>
      <c r="DS14" s="761">
        <f>IFERROR(IF(DS$7&gt;$D$3,"",IF(BK14="OD","OD",IF(BK14="Missed","Missed",IF(BK14="TBC","TBC",IF(BK14="Undefined","Undefined",_xlfn.XLOOKUP(DS$7,EHS!$M$6:$BM$6,EHS!$M$17:$BM$17)/_xlfn.XLOOKUP(DS$7,EHS!$M$6:$BM$6,EHS!$M$18:$BM$18)))))),"")</f>
        <v>0.95238095238095233</v>
      </c>
      <c r="DT14" s="761">
        <f>IFERROR(IF(DT$7&gt;$D$3,"",IF(BL14="OD","OD",IF(BL14="Missed","Missed",IF(BL14="TBC","TBC",IF(BL14="Undefined","Undefined",_xlfn.XLOOKUP(DT$7,EHS!$M$6:$BM$6,EHS!$M$17:$BM$17)/_xlfn.XLOOKUP(DT$7,EHS!$M$6:$BM$6,EHS!$M$18:$BM$18)))))),"")</f>
        <v>0.93457943925233644</v>
      </c>
      <c r="DU14" s="761">
        <f>IFERROR(IF(DU$7&gt;$D$3,"",IF(BM14="OD","OD",IF(BM14="Missed","Missed",IF(BM14="TBC","TBC",IF(BM14="Undefined","Undefined",_xlfn.XLOOKUP(DU$7,EHS!$M$6:$BM$6,EHS!$M$17:$BM$17)/_xlfn.XLOOKUP(DU$7,EHS!$M$6:$BM$6,EHS!$M$18:$BM$18)))))),"")</f>
        <v>0.8</v>
      </c>
      <c r="DV14" s="761">
        <f>IFERROR(IF(DV$7&gt;$D$3,"",IF(BN14="OD","OD",IF(BN14="Missed","Missed",IF(BN14="TBC","TBC",IF(BN14="Undefined","Undefined",_xlfn.XLOOKUP(DV$7,EHS!$M$6:$BM$6,EHS!$M$17:$BM$17)/_xlfn.XLOOKUP(DV$7,EHS!$M$6:$BM$6,EHS!$M$18:$BM$18)))))),"")</f>
        <v>0.76335877862595414</v>
      </c>
      <c r="DW14" s="761">
        <f>IFERROR(IF(DW$7&gt;$D$3,"",IF(BO14="OD","OD",IF(BO14="Missed","Missed",IF(BO14="TBC","TBC",IF(BO14="Undefined","Undefined",_xlfn.XLOOKUP(DW$7,EHS!$M$6:$BM$6,EHS!$M$17:$BM$17)/_xlfn.XLOOKUP(DW$7,EHS!$M$6:$BM$6,EHS!$M$18:$BM$18)))))),"")</f>
        <v>0.92592592592592582</v>
      </c>
      <c r="DX14" s="761">
        <f>IFERROR(IF(DX$7&gt;$D$3,"",IF(BP14="OD","OD",IF(BP14="Missed","Missed",IF(BP14="TBC","TBC",IF(BP14="Undefined","Undefined",_xlfn.XLOOKUP(DX$7,EHS!$M$6:$BM$6,EHS!$M$17:$BM$17)/_xlfn.XLOOKUP(DX$7,EHS!$M$6:$BM$6,EHS!$M$18:$BM$18)))))),"")</f>
        <v>0.68027210884353739</v>
      </c>
      <c r="DY14" s="761">
        <f>IFERROR(IF(DY$7&gt;$D$3,"",IF(BQ14="OD","OD",IF(BQ14="Missed","Missed",IF(BQ14="TBC","TBC",IF(BQ14="Undefined","Undefined",_xlfn.XLOOKUP(DY$7,EHS!$M$6:$BM$6,EHS!$M$17:$BM$17)/_xlfn.XLOOKUP(DY$7,EHS!$M$6:$BM$6,EHS!$M$18:$BM$18)))))),"")</f>
        <v>0.79365079365079361</v>
      </c>
      <c r="DZ14" s="761">
        <f>IFERROR(IF(DZ$7&gt;$D$3,"",IF(BR14="OD","OD",IF(BR14="Missed","Missed",IF(BR14="TBC","TBC",IF(BR14="Undefined","Undefined",_xlfn.XLOOKUP(DZ$7,EHS!$M$6:$BM$6,EHS!$M$17:$BM$17)/_xlfn.XLOOKUP(DZ$7,EHS!$M$6:$BM$6,EHS!$M$18:$BM$18)))))),"")</f>
        <v>0.95238095238095233</v>
      </c>
      <c r="EA14" s="761">
        <f>IFERROR(IF(EA$7&gt;$D$3,"",IF(BS14="OD","OD",IF(BS14="Missed","Missed",IF(BS14="TBC","TBC",IF(BS14="Undefined","Undefined",_xlfn.XLOOKUP(EA$7,EHS!$M$6:$BM$6,EHS!$M$17:$BM$17)/_xlfn.XLOOKUP(EA$7,EHS!$M$6:$BM$6,EHS!$M$18:$BM$18)))))),"")</f>
        <v>0.86956521739130443</v>
      </c>
      <c r="EB14" s="761">
        <f>IFERROR(IF(EB$7&gt;$D$3,"",IF(BT14="OD","OD",IF(BT14="Missed","Missed",IF(BT14="TBC","TBC",IF(BT14="Undefined","Undefined",_xlfn.XLOOKUP(EB$7,EHS!$M$6:$BM$6,EHS!$M$17:$BM$17)/_xlfn.XLOOKUP(EB$7,EHS!$M$6:$BM$6,EHS!$M$18:$BM$18)))))),"")</f>
        <v>0.90909090909090906</v>
      </c>
      <c r="EC14" s="761">
        <f>IFERROR(IF(EC$7&gt;$D$3,"",IF(BU14="OD","OD",IF(BU14="Missed","Missed",IF(BU14="TBC","TBC",IF(BU14="Undefined","Undefined",_xlfn.XLOOKUP(EC$7,EHS!$M$6:$BM$6,EHS!$M$17:$BM$17)/_xlfn.XLOOKUP(EC$7,EHS!$M$6:$BM$6,EHS!$M$18:$BM$18)))))),"")</f>
        <v>0.64102564102564097</v>
      </c>
      <c r="ED14" s="761">
        <f>IFERROR(IF(ED$7&gt;$D$3,"",IF(BV14="OD","OD",IF(BV14="Missed","Missed",IF(BV14="TBC","TBC",IF(BV14="Undefined","Undefined",_xlfn.XLOOKUP(ED$7,EHS!$M$6:$BM$6,EHS!$M$17:$BM$17)/_xlfn.XLOOKUP(ED$7,EHS!$M$6:$BM$6,EHS!$M$18:$BM$18)))))),"")</f>
        <v>1.25</v>
      </c>
      <c r="EE14" s="761">
        <f>IFERROR(IF(EE$7&gt;$D$3,"",IF(BW14="OD","OD",IF(BW14="Missed","Missed",IF(BW14="TBC","TBC",IF(BW14="Undefined","Undefined",_xlfn.XLOOKUP(EE$7,EHS!$M$6:$BM$6,EHS!$M$17:$BM$17)/_xlfn.XLOOKUP(EE$7,EHS!$M$6:$BM$6,EHS!$M$18:$BM$18)))))),"")</f>
        <v>1.3157894736842106</v>
      </c>
      <c r="EF14" s="761">
        <f>IFERROR(IF(EF$7&gt;$D$3,"",IF(BX14="OD","OD",IF(BX14="Missed","Missed",IF(BX14="TBC","TBC",IF(BX14="Undefined","Undefined",_xlfn.XLOOKUP(EF$7,EHS!$M$6:$BM$6,EHS!$M$17:$BM$17)/_xlfn.XLOOKUP(EF$7,EHS!$M$6:$BM$6,EHS!$M$18:$BM$18)))))),"")</f>
        <v>1.3513513513513513</v>
      </c>
      <c r="EG14" s="761">
        <f>IFERROR(IF(EG$7&gt;$D$3,"",IF(BY14="OD","OD",IF(BY14="Missed","Missed",IF(BY14="TBC","TBC",IF(BY14="Undefined","Undefined",_xlfn.XLOOKUP(EG$7,EHS!$M$6:$BM$6,EHS!$M$17:$BM$17)/_xlfn.XLOOKUP(EG$7,EHS!$M$6:$BM$6,EHS!$M$18:$BM$18)))))),"")</f>
        <v>1.0204081632653061</v>
      </c>
      <c r="EH14" s="761">
        <f>IFERROR(IF(EH$7&gt;$D$3,"",IF(BZ14="OD","OD",IF(BZ14="Missed","Missed",IF(BZ14="TBC","TBC",IF(BZ14="Undefined","Undefined",_xlfn.XLOOKUP(EH$7,EHS!$M$6:$BM$6,EHS!$M$17:$BM$17)/_xlfn.XLOOKUP(EH$7,EHS!$M$6:$BM$6,EHS!$M$18:$BM$18)))))),"")</f>
        <v>1.2048192771084338</v>
      </c>
      <c r="EI14" s="761">
        <f>IFERROR(IF(EI$7&gt;$D$3,"",IF(CA14="OD","OD",IF(CA14="Missed","Missed",IF(CA14="TBC","TBC",IF(CA14="Undefined","Undefined",_xlfn.XLOOKUP(EI$7,EHS!$M$6:$BM$6,EHS!$M$17:$BM$17)/_xlfn.XLOOKUP(EI$7,EHS!$M$6:$BM$6,EHS!$M$18:$BM$18)))))),"")</f>
        <v>1.0526315789473684</v>
      </c>
      <c r="EJ14" s="761" t="str">
        <f>IFERROR(IF(EJ$7&gt;$D$3,"",IF(CB14="OD","OD",IF(CB14="Missed","Missed",IF(CB14="TBC","TBC",IF(CB14="Undefined","Undefined",_xlfn.XLOOKUP(EJ$7,EHS!$M$6:$BM$6,EHS!$M$17:$BM$17)/_xlfn.XLOOKUP(EJ$7,EHS!$M$6:$BM$6,EHS!$M$18:$BM$18)))))),"")</f>
        <v>OD</v>
      </c>
      <c r="EK14" s="761" t="str">
        <f>IFERROR(IF(EK$7&gt;$D$3,"",IF(CC14="OD","OD",IF(CC14="Missed","Missed",IF(CC14="TBC","TBC",IF(CC14="Undefined","Undefined",_xlfn.XLOOKUP(EK$7,EHS!$M$6:$BM$6,EHS!$M$17:$BM$17)/_xlfn.XLOOKUP(EK$7,EHS!$M$6:$BM$6,EHS!$M$18:$BM$18)))))),"")</f>
        <v/>
      </c>
      <c r="EL14" s="761" t="str">
        <f>IFERROR(IF(EL$7&gt;$D$3,"",IF(CD14="OD","OD",IF(CD14="Missed","Missed",IF(CD14="TBC","TBC",IF(CD14="Undefined","Undefined",_xlfn.XLOOKUP(EL$7,EHS!$M$6:$BM$6,EHS!$M$17:$BM$17)/_xlfn.XLOOKUP(EL$7,EHS!$M$6:$BM$6,EHS!$M$18:$BM$18)))))),"")</f>
        <v/>
      </c>
      <c r="EM14" s="761" t="str">
        <f>IFERROR(IF(EM$7&gt;$D$3,"",IF(CE14="OD","OD",IF(CE14="Missed","Missed",IF(CE14="TBC","TBC",IF(CE14="Undefined","Undefined",_xlfn.XLOOKUP(EM$7,EHS!$M$6:$BM$6,EHS!$M$17:$BM$17)/_xlfn.XLOOKUP(EM$7,EHS!$M$6:$BM$6,EHS!$M$18:$BM$18)))))),"")</f>
        <v/>
      </c>
      <c r="EN14" s="761" t="str">
        <f>IFERROR(IF(EN$7&gt;$D$3,"",IF(CF14="OD","OD",IF(CF14="Missed","Missed",IF(CF14="TBC","TBC",IF(CF14="Undefined","Undefined",_xlfn.XLOOKUP(EN$7,EHS!$M$6:$BM$6,EHS!$M$17:$BM$17)/_xlfn.XLOOKUP(EN$7,EHS!$M$6:$BM$6,EHS!$M$18:$BM$18)))))),"")</f>
        <v/>
      </c>
      <c r="EO14" s="761" t="str">
        <f>IFERROR(IF(EO$7&gt;$D$3,"",IF(CG14="OD","OD",IF(CG14="Missed","Missed",IF(CG14="TBC","TBC",IF(CG14="Undefined","Undefined",_xlfn.XLOOKUP(EO$7,EHS!$M$6:$BM$6,EHS!$M$17:$BM$17)/_xlfn.XLOOKUP(EO$7,EHS!$M$6:$BM$6,EHS!$M$18:$BM$18)))))),"")</f>
        <v/>
      </c>
      <c r="EP14" s="761" t="str">
        <f>IFERROR(IF(EP$7&gt;$D$3,"",IF(CH14="OD","OD",IF(CH14="Missed","Missed",IF(CH14="TBC","TBC",IF(CH14="Undefined","Undefined",_xlfn.XLOOKUP(EP$7,EHS!$M$6:$BM$6,EHS!$M$17:$BM$17)/_xlfn.XLOOKUP(EP$7,EHS!$M$6:$BM$6,EHS!$M$18:$BM$18)))))),"")</f>
        <v/>
      </c>
      <c r="EQ14" s="761" t="str">
        <f>IFERROR(IF(EQ$7&gt;$D$3,"",IF(CI14="OD","OD",IF(CI14="Missed","Missed",IF(CI14="TBC","TBC",IF(CI14="Undefined","Undefined",_xlfn.XLOOKUP(EQ$7,EHS!$M$6:$BM$6,EHS!$M$17:$BM$17)/_xlfn.XLOOKUP(EQ$7,EHS!$M$6:$BM$6,EHS!$M$18:$BM$18)))))),"")</f>
        <v/>
      </c>
      <c r="ER14" s="761" t="str">
        <f>IFERROR(IF(ER$7&gt;$D$3,"",IF(CJ14="OD","OD",IF(CJ14="Missed","Missed",IF(CJ14="TBC","TBC",IF(CJ14="Undefined","Undefined",_xlfn.XLOOKUP(ER$7,EHS!$M$6:$BM$6,EHS!$M$17:$BM$17)/_xlfn.XLOOKUP(ER$7,EHS!$M$6:$BM$6,EHS!$M$18:$BM$18)))))),"")</f>
        <v/>
      </c>
      <c r="ES14" s="761" t="str">
        <f>IFERROR(IF(ES$7&gt;$D$3,"",IF(CK14="OD","OD",IF(CK14="Missed","Missed",IF(CK14="TBC","TBC",IF(CK14="Undefined","Undefined",_xlfn.XLOOKUP(ES$7,EHS!$M$6:$BM$6,EHS!$M$17:$BM$17)/_xlfn.XLOOKUP(ES$7,EHS!$M$6:$BM$6,EHS!$M$18:$BM$18)))))),"")</f>
        <v/>
      </c>
      <c r="ET14" s="761" t="str">
        <f>IFERROR(IF(ET$7&gt;$D$3,"",IF(CL14="OD","OD",IF(CL14="Missed","Missed",IF(CL14="TBC","TBC",IF(CL14="Undefined","Undefined",_xlfn.XLOOKUP(ET$7,EHS!$M$6:$BM$6,EHS!$M$17:$BM$17)/_xlfn.XLOOKUP(ET$7,EHS!$M$6:$BM$6,EHS!$M$18:$BM$18)))))),"")</f>
        <v/>
      </c>
      <c r="EU14" s="761" t="str">
        <f>IFERROR(IF(EU$7&gt;$D$3,"",IF(CM14="OD","OD",IF(CM14="Missed","Missed",IF(CM14="TBC","TBC",IF(CM14="Undefined","Undefined",_xlfn.XLOOKUP(EU$7,EHS!$M$6:$BM$6,EHS!$M$17:$BM$17)/_xlfn.XLOOKUP(EU$7,EHS!$M$6:$BM$6,EHS!$M$18:$BM$18)))))),"")</f>
        <v/>
      </c>
      <c r="EW14" s="465" t="str">
        <f>+$A14</f>
        <v>EHS-KPI C1</v>
      </c>
      <c r="EX14" s="138" t="str">
        <f>+$C14</f>
        <v>KPI C1</v>
      </c>
      <c r="EY14" s="770" t="str">
        <f>+$D14</f>
        <v>Cost</v>
      </c>
      <c r="EZ14" s="770" t="str">
        <f t="shared" si="10"/>
        <v>Ratio of Gas / Elec emissions to prod Quantity</v>
      </c>
      <c r="FA14" s="771" t="str">
        <f t="shared" si="11"/>
        <v>Ratio</v>
      </c>
      <c r="FB14" s="771" t="s">
        <v>251</v>
      </c>
      <c r="FC14" s="772" t="str">
        <f>IF(FC$7&gt;$D$3,"",IF($FA9&lt;FC$7,"OD",_xlfn.XLOOKUP(FC$7,EHS!$M$6:$BM$6,EHS!$M$18:$BM$18)))</f>
        <v>Blank</v>
      </c>
      <c r="FD14" s="772" t="str">
        <f>IF(FD$7&gt;$D$3,"",IF($FA9&lt;FD$7,"OD",_xlfn.XLOOKUP(FD$7,EHS!$M$6:$BM$6,EHS!$M$18:$BM$18)))</f>
        <v>Missed</v>
      </c>
      <c r="FE14" s="772" t="str">
        <f>IF(FE$7&gt;$D$3,"",IF($FA9&lt;FE$7,"OD",_xlfn.XLOOKUP(FE$7,EHS!$M$6:$BM$6,EHS!$M$18:$BM$18)))</f>
        <v>Missed</v>
      </c>
      <c r="FF14" s="772">
        <f>IF(FF$7&gt;$D$3,"",IF($FA9&lt;FF$7,"OD",_xlfn.XLOOKUP(FF$7,EHS!$M$6:$BM$6,EHS!$M$18:$BM$18)))</f>
        <v>1</v>
      </c>
      <c r="FG14" s="772">
        <f>IF(FG$7&gt;$D$3,"",IF($FA9&lt;FG$7,"OD",_xlfn.XLOOKUP(FG$7,EHS!$M$6:$BM$6,EHS!$M$18:$BM$18)))</f>
        <v>0.5</v>
      </c>
      <c r="FH14" s="772">
        <f>IF(FH$7&gt;$D$3,"",IF($FA9&lt;FH$7,"OD",_xlfn.XLOOKUP(FH$7,EHS!$M$6:$BM$6,EHS!$M$18:$BM$18)))</f>
        <v>0.41</v>
      </c>
      <c r="FI14" s="772" t="str">
        <f>IF(FI$7&gt;$D$3,"",IF($FA9&lt;FI$7,"OD",_xlfn.XLOOKUP(FI$7,EHS!$M$6:$BM$6,EHS!$M$18:$BM$18)))</f>
        <v>Missed</v>
      </c>
      <c r="FJ14" s="772" t="str">
        <f>IF(FJ$7&gt;$D$3,"",IF($FA9&lt;FJ$7,"OD",_xlfn.XLOOKUP(FJ$7,EHS!$M$6:$BM$6,EHS!$M$18:$BM$18)))</f>
        <v>Missed</v>
      </c>
      <c r="FK14" s="772">
        <f>IF(FK$7&gt;$D$3,"",IF($FA9&lt;FK$7,"OD",_xlfn.XLOOKUP(FK$7,EHS!$M$6:$BM$6,EHS!$M$18:$BM$18)))</f>
        <v>0.87</v>
      </c>
      <c r="FL14" s="772">
        <f>IF(FL$7&gt;$D$3,"",IF($FA9&lt;FL$7,"OD",_xlfn.XLOOKUP(FL$7,EHS!$M$6:$BM$6,EHS!$M$18:$BM$18)))</f>
        <v>1.1200000000000001</v>
      </c>
      <c r="FM14" s="772">
        <f>IF(FM$7&gt;$D$3,"",IF($FA9&lt;FM$7,"OD",_xlfn.XLOOKUP(FM$7,EHS!$M$6:$BM$6,EHS!$M$18:$BM$18)))</f>
        <v>1.1499999999999999</v>
      </c>
      <c r="FN14" s="772">
        <f>IF(FN$7&gt;$D$3,"",IF($FA9&lt;FN$7,"OD",_xlfn.XLOOKUP(FN$7,EHS!$M$6:$BM$6,EHS!$M$18:$BM$18)))</f>
        <v>0.9</v>
      </c>
      <c r="FO14" s="772">
        <f>IF(FO$7&gt;$D$3,"",IF($FA9&lt;FO$7,"OD",_xlfn.XLOOKUP(FO$7,EHS!$M$6:$BM$6,EHS!$M$18:$BM$18)))</f>
        <v>0.96</v>
      </c>
      <c r="FP14" s="772">
        <f>IF(FP$7&gt;$D$3,"",IF($FA9&lt;FP$7,"OD",_xlfn.XLOOKUP(FP$7,EHS!$M$6:$BM$6,EHS!$M$18:$BM$18)))</f>
        <v>0.51</v>
      </c>
      <c r="FQ14" s="772">
        <f>IF(FQ$7&gt;$D$3,"",IF($FA9&lt;FQ$7,"OD",_xlfn.XLOOKUP(FQ$7,EHS!$M$6:$BM$6,EHS!$M$18:$BM$18)))</f>
        <v>0.51</v>
      </c>
      <c r="FR14" s="772">
        <f>IF(FR$7&gt;$D$3,"",IF($FA9&lt;FR$7,"OD",_xlfn.XLOOKUP(FR$7,EHS!$M$6:$BM$6,EHS!$M$18:$BM$18)))</f>
        <v>0.75</v>
      </c>
      <c r="FS14" s="772">
        <f>IF(FS$7&gt;$D$3,"",IF($FA9&lt;FS$7,"OD",_xlfn.XLOOKUP(FS$7,EHS!$M$6:$BM$6,EHS!$M$18:$BM$18)))</f>
        <v>0.72</v>
      </c>
      <c r="FT14" s="772">
        <f>IF(FT$7&gt;$D$3,"",IF($FA9&lt;FT$7,"OD",_xlfn.XLOOKUP(FT$7,EHS!$M$6:$BM$6,EHS!$M$18:$BM$18)))</f>
        <v>0.6</v>
      </c>
      <c r="FU14" s="772">
        <f>IF(FU$7&gt;$D$3,"",IF($FA9&lt;FU$7,"OD",_xlfn.XLOOKUP(FU$7,EHS!$M$6:$BM$6,EHS!$M$18:$BM$18)))</f>
        <v>0.8</v>
      </c>
      <c r="FV14" s="772">
        <f>IF(FV$7&gt;$D$3,"",IF($FA9&lt;FV$7,"OD",_xlfn.XLOOKUP(FV$7,EHS!$M$6:$BM$6,EHS!$M$18:$BM$18)))</f>
        <v>0.55000000000000004</v>
      </c>
      <c r="FW14" s="772">
        <f>IF(FW$7&gt;$D$3,"",IF($FA9&lt;FW$7,"OD",_xlfn.XLOOKUP(FW$7,EHS!$M$6:$BM$6,EHS!$M$18:$BM$18)))</f>
        <v>0.8</v>
      </c>
      <c r="FX14" s="772">
        <f>IF(FX$7&gt;$D$3,"",IF($FA9&lt;FX$7,"OD",_xlfn.XLOOKUP(FX$7,EHS!$M$6:$BM$6,EHS!$M$18:$BM$18)))</f>
        <v>0.84</v>
      </c>
      <c r="FY14" s="772">
        <f>IF(FY$7&gt;$D$3,"",IF($FA9&lt;FY$7,"OD",_xlfn.XLOOKUP(FY$7,EHS!$M$6:$BM$6,EHS!$M$18:$BM$18)))</f>
        <v>0.65</v>
      </c>
      <c r="FZ14" s="772">
        <f>IF(FZ$7&gt;$D$3,"",IF($FA9&lt;FZ$7,"OD",_xlfn.XLOOKUP(FZ$7,EHS!$M$6:$BM$6,EHS!$M$18:$BM$18)))</f>
        <v>1</v>
      </c>
      <c r="GA14" s="772">
        <f>IF(GA$7&gt;$D$3,"",IF($FA9&lt;GA$7,"OD",_xlfn.XLOOKUP(GA$7,EHS!$M$6:$BM$6,EHS!$M$18:$BM$18)))</f>
        <v>1.05</v>
      </c>
      <c r="GB14" s="772">
        <f>IF(GB$7&gt;$D$3,"",IF($FA9&lt;GB$7,"OD",_xlfn.XLOOKUP(GB$7,EHS!$M$6:$BM$6,EHS!$M$18:$BM$18)))</f>
        <v>1.07</v>
      </c>
      <c r="GC14" s="772">
        <f>IF(GC$7&gt;$D$3,"",IF($FA9&lt;GC$7,"OD",_xlfn.XLOOKUP(GC$7,EHS!$M$6:$BM$6,EHS!$M$18:$BM$18)))</f>
        <v>1.25</v>
      </c>
      <c r="GD14" s="772">
        <f>IF(GD$7&gt;$D$3,"",IF($FA9&lt;GD$7,"OD",_xlfn.XLOOKUP(GD$7,EHS!$M$6:$BM$6,EHS!$M$18:$BM$18)))</f>
        <v>1.31</v>
      </c>
      <c r="GE14" s="772">
        <f>IF(GE$7&gt;$D$3,"",IF($FA9&lt;GE$7,"OD",_xlfn.XLOOKUP(GE$7,EHS!$M$6:$BM$6,EHS!$M$18:$BM$18)))</f>
        <v>1.08</v>
      </c>
      <c r="GF14" s="772">
        <f>IF(GF$7&gt;$D$3,"",IF($FA9&lt;GF$7,"OD",_xlfn.XLOOKUP(GF$7,EHS!$M$6:$BM$6,EHS!$M$18:$BM$18)))</f>
        <v>1.47</v>
      </c>
      <c r="GG14" s="772">
        <f>IF(GG$7&gt;$D$3,"",IF($FA9&lt;GG$7,"OD",_xlfn.XLOOKUP(GG$7,EHS!$M$6:$BM$6,EHS!$M$18:$BM$18)))</f>
        <v>1.26</v>
      </c>
      <c r="GH14" s="772">
        <f>IF(GH$7&gt;$D$3,"",IF($FA9&lt;GH$7,"OD",_xlfn.XLOOKUP(GH$7,EHS!$M$6:$BM$6,EHS!$M$18:$BM$18)))</f>
        <v>1.05</v>
      </c>
      <c r="GI14" s="772">
        <f>IF(GI$7&gt;$D$3,"",IF($FA9&lt;GI$7,"OD",_xlfn.XLOOKUP(GI$7,EHS!$M$6:$BM$6,EHS!$M$18:$BM$18)))</f>
        <v>1.1499999999999999</v>
      </c>
      <c r="GJ14" s="772">
        <f>IF(GJ$7&gt;$D$3,"",IF($FA9&lt;GJ$7,"OD",_xlfn.XLOOKUP(GJ$7,EHS!$M$6:$BM$6,EHS!$M$18:$BM$18)))</f>
        <v>1.1000000000000001</v>
      </c>
      <c r="GK14" s="772">
        <f>IF(GK$7&gt;$D$3,"",IF($FA9&lt;GK$7,"OD",_xlfn.XLOOKUP(GK$7,EHS!$M$6:$BM$6,EHS!$M$18:$BM$18)))</f>
        <v>1.56</v>
      </c>
      <c r="GL14" s="772">
        <f>IF(GL$7&gt;$D$3,"",IF($FA9&lt;GL$7,"OD",_xlfn.XLOOKUP(GL$7,EHS!$M$6:$BM$6,EHS!$M$18:$BM$18)))</f>
        <v>0.8</v>
      </c>
      <c r="GM14" s="772">
        <f>IF(GM$7&gt;$D$3,"",IF($FA9&lt;GM$7,"OD",_xlfn.XLOOKUP(GM$7,EHS!$M$6:$BM$6,EHS!$M$18:$BM$18)))</f>
        <v>0.76</v>
      </c>
      <c r="GN14" s="772">
        <f>IF(GN$7&gt;$D$3,"",IF($FA9&lt;GN$7,"OD",_xlfn.XLOOKUP(GN$7,EHS!$M$6:$BM$6,EHS!$M$18:$BM$18)))</f>
        <v>0.74</v>
      </c>
      <c r="GO14" s="772">
        <f>IF(GO$7&gt;$D$3,"",IF($FA9&lt;GO$7,"OD",_xlfn.XLOOKUP(GO$7,EHS!$M$6:$BM$6,EHS!$M$18:$BM$18)))</f>
        <v>0.98</v>
      </c>
      <c r="GP14" s="772">
        <f>IF(GP$7&gt;$D$3,"",IF($FA9&lt;GP$7,"OD",_xlfn.XLOOKUP(GP$7,EHS!$M$6:$BM$6,EHS!$M$18:$BM$18)))</f>
        <v>0.83</v>
      </c>
      <c r="GQ14" s="772">
        <f>IF(GQ$7&gt;$D$3,"",IF($FA9&lt;GQ$7,"OD",_xlfn.XLOOKUP(GQ$7,EHS!$M$6:$BM$6,EHS!$M$18:$BM$18)))</f>
        <v>0.95</v>
      </c>
      <c r="GR14" s="772">
        <f>IF(GR$7&gt;$D$3,"",IF($FA9&lt;GR$7,"OD",_xlfn.XLOOKUP(GR$7,EHS!$M$6:$BM$6,EHS!$M$18:$BM$18)))</f>
        <v>0</v>
      </c>
      <c r="GS14" s="772" t="str">
        <f>IF(GS$7&gt;$D$3,"",IF($FA9&lt;GS$7,"OD",_xlfn.XLOOKUP(GS$7,EHS!$M$6:$BM$6,EHS!$M$18:$BM$18)))</f>
        <v/>
      </c>
      <c r="GT14" s="772" t="str">
        <f>IF(GT$7&gt;$D$3,"",IF($FA9&lt;GT$7,"OD",_xlfn.XLOOKUP(GT$7,EHS!$M$6:$BM$6,EHS!$M$18:$BM$18)))</f>
        <v/>
      </c>
      <c r="GU14" s="772" t="str">
        <f>IF(GU$7&gt;$D$3,"",IF($FA9&lt;GU$7,"OD",_xlfn.XLOOKUP(GU$7,EHS!$M$6:$BM$6,EHS!$M$18:$BM$18)))</f>
        <v/>
      </c>
      <c r="GV14" s="772" t="str">
        <f>IF(GV$7&gt;$D$3,"",IF($FA9&lt;GV$7,"OD",_xlfn.XLOOKUP(GV$7,EHS!$M$6:$BM$6,EHS!$M$18:$BM$18)))</f>
        <v/>
      </c>
      <c r="GW14" s="772" t="str">
        <f>IF(GW$7&gt;$D$3,"",IF($FA9&lt;GW$7,"OD",_xlfn.XLOOKUP(GW$7,EHS!$M$6:$BM$6,EHS!$M$18:$BM$18)))</f>
        <v/>
      </c>
      <c r="GX14" s="772" t="str">
        <f>IF(GX$7&gt;$D$3,"",IF($FA9&lt;GX$7,"OD",_xlfn.XLOOKUP(GX$7,EHS!$M$6:$BM$6,EHS!$M$18:$BM$18)))</f>
        <v/>
      </c>
      <c r="GY14" s="772" t="str">
        <f>IF(GY$7&gt;$D$3,"",IF($FA9&lt;GY$7,"OD",_xlfn.XLOOKUP(GY$7,EHS!$M$6:$BM$6,EHS!$M$18:$BM$18)))</f>
        <v/>
      </c>
      <c r="GZ14" s="772" t="str">
        <f>IF(GZ$7&gt;$D$3,"",IF($FA9&lt;GZ$7,"OD",_xlfn.XLOOKUP(GZ$7,EHS!$M$6:$BM$6,EHS!$M$18:$BM$18)))</f>
        <v/>
      </c>
      <c r="HA14" s="772" t="str">
        <f>IF(HA$7&gt;$D$3,"",IF($FA9&lt;HA$7,"OD",_xlfn.XLOOKUP(HA$7,EHS!$M$6:$BM$6,EHS!$M$18:$BM$18)))</f>
        <v/>
      </c>
      <c r="HB14" s="772" t="str">
        <f>IF(HB$7&gt;$D$3,"",IF($FA9&lt;HB$7,"OD",_xlfn.XLOOKUP(HB$7,EHS!$M$6:$BM$6,EHS!$M$18:$BM$18)))</f>
        <v/>
      </c>
      <c r="HC14" s="772" t="str">
        <f>IF(HC$7&gt;$D$3,"",IF($FA9&lt;HC$7,"OD",_xlfn.XLOOKUP(HC$7,EHS!$M$6:$BM$6,EHS!$M$18:$BM$18)))</f>
        <v/>
      </c>
      <c r="HE14" s="136" t="str">
        <f>+$C14</f>
        <v>KPI C1</v>
      </c>
      <c r="HF14" s="144" t="str">
        <f>+$D14</f>
        <v>Cost</v>
      </c>
      <c r="HG14" s="144" t="str">
        <f t="shared" si="13"/>
        <v>Ratio of Gas / Elec emissions to prod Quantity</v>
      </c>
      <c r="HH14" s="145" t="str">
        <f t="shared" si="14"/>
        <v>Ratio</v>
      </c>
      <c r="HI14" s="145" t="s">
        <v>44</v>
      </c>
      <c r="HJ14" s="776" t="str">
        <f>IF(HJ$7&gt;$D$3,"",IF($FA9&lt;HJ$7,"OD",_xlfn.XLOOKUP(HJ$7,EHS!$M$6:$BM$6,EHS!$M$17:$BM$17)))</f>
        <v>Blank</v>
      </c>
      <c r="HK14" s="776">
        <f>IF(HK$7&gt;$D$3,"",IF($FA9&lt;HK$7,"OD",_xlfn.XLOOKUP(HK$7,EHS!$M$6:$BM$6,EHS!$M$17:$BM$17)))</f>
        <v>1</v>
      </c>
      <c r="HL14" s="754">
        <f>IF(HL$7&gt;$D$3,"",IF($FA9&lt;HL$7,"OD",_xlfn.XLOOKUP(HL$7,EHS!$M$6:$BM$6,EHS!$M$17:$BM$17)))</f>
        <v>1</v>
      </c>
      <c r="HM14" s="754">
        <f>IF(HM$7&gt;$D$3,"",IF($FA9&lt;HM$7,"OD",_xlfn.XLOOKUP(HM$7,EHS!$M$6:$BM$6,EHS!$M$17:$BM$17)))</f>
        <v>1</v>
      </c>
      <c r="HN14" s="754">
        <f>IF(HN$7&gt;$D$3,"",IF($FA9&lt;HN$7,"OD",_xlfn.XLOOKUP(HN$7,EHS!$M$6:$BM$6,EHS!$M$17:$BM$17)))</f>
        <v>1</v>
      </c>
      <c r="HO14" s="754">
        <f>IF(HO$7&gt;$D$3,"",IF($FA9&lt;HO$7,"OD",_xlfn.XLOOKUP(HO$7,EHS!$M$6:$BM$6,EHS!$M$17:$BM$17)))</f>
        <v>1</v>
      </c>
      <c r="HP14" s="754">
        <f>IF(HP$7&gt;$D$3,"",IF($FA9&lt;HP$7,"OD",_xlfn.XLOOKUP(HP$7,EHS!$M$6:$BM$6,EHS!$M$17:$BM$17)))</f>
        <v>1</v>
      </c>
      <c r="HQ14" s="754">
        <f>IF(HQ$7&gt;$D$3,"",IF($FA9&lt;HQ$7,"OD",_xlfn.XLOOKUP(HQ$7,EHS!$M$6:$BM$6,EHS!$M$17:$BM$17)))</f>
        <v>1</v>
      </c>
      <c r="HR14" s="754">
        <f>IF(HR$7&gt;$D$3,"",IF($FA9&lt;HR$7,"OD",_xlfn.XLOOKUP(HR$7,EHS!$M$6:$BM$6,EHS!$M$17:$BM$17)))</f>
        <v>1</v>
      </c>
      <c r="HS14" s="754">
        <f>IF(HS$7&gt;$D$3,"",IF($FA9&lt;HS$7,"OD",_xlfn.XLOOKUP(HS$7,EHS!$M$6:$BM$6,EHS!$M$17:$BM$17)))</f>
        <v>1</v>
      </c>
      <c r="HT14" s="754">
        <f>IF(HT$7&gt;$D$3,"",IF($FA9&lt;HT$7,"OD",_xlfn.XLOOKUP(HT$7,EHS!$M$6:$BM$6,EHS!$M$17:$BM$17)))</f>
        <v>1</v>
      </c>
      <c r="HU14" s="754">
        <f>IF(HU$7&gt;$D$3,"",IF($FA9&lt;HU$7,"OD",_xlfn.XLOOKUP(HU$7,EHS!$M$6:$BM$6,EHS!$M$17:$BM$17)))</f>
        <v>1</v>
      </c>
      <c r="HV14" s="754">
        <f>IF(HV$7&gt;$D$3,"",IF($FA9&lt;HV$7,"OD",_xlfn.XLOOKUP(HV$7,EHS!$M$6:$BM$6,EHS!$M$17:$BM$17)))</f>
        <v>1</v>
      </c>
      <c r="HW14" s="754">
        <f>IF(HW$7&gt;$D$3,"",IF($FA9&lt;HW$7,"OD",_xlfn.XLOOKUP(HW$7,EHS!$M$6:$BM$6,EHS!$M$17:$BM$17)))</f>
        <v>1</v>
      </c>
      <c r="HX14" s="754">
        <f>IF(HX$7&gt;$D$3,"",IF($FA9&lt;HX$7,"OD",_xlfn.XLOOKUP(HX$7,EHS!$M$6:$BM$6,EHS!$M$17:$BM$17)))</f>
        <v>1</v>
      </c>
      <c r="HY14" s="754">
        <f>IF(HY$7&gt;$D$3,"",IF($FA9&lt;HY$7,"OD",_xlfn.XLOOKUP(HY$7,EHS!$M$6:$BM$6,EHS!$M$17:$BM$17)))</f>
        <v>1</v>
      </c>
      <c r="HZ14" s="754">
        <f>IF(HZ$7&gt;$D$3,"",IF($FA9&lt;HZ$7,"OD",_xlfn.XLOOKUP(HZ$7,EHS!$M$6:$BM$6,EHS!$M$17:$BM$17)))</f>
        <v>1</v>
      </c>
      <c r="IA14" s="754">
        <f>IF(IA$7&gt;$D$3,"",IF($FA9&lt;IA$7,"OD",_xlfn.XLOOKUP(IA$7,EHS!$M$6:$BM$6,EHS!$M$17:$BM$17)))</f>
        <v>1</v>
      </c>
      <c r="IB14" s="754">
        <f>IF(IB$7&gt;$D$3,"",IF($FA9&lt;IB$7,"OD",_xlfn.XLOOKUP(IB$7,EHS!$M$6:$BM$6,EHS!$M$17:$BM$17)))</f>
        <v>1</v>
      </c>
      <c r="IC14" s="754">
        <f>IF(IC$7&gt;$D$3,"",IF($FA9&lt;IC$7,"OD",_xlfn.XLOOKUP(IC$7,EHS!$M$6:$BM$6,EHS!$M$17:$BM$17)))</f>
        <v>1</v>
      </c>
      <c r="ID14" s="754">
        <f>IF(ID$7&gt;$D$3,"",IF($FA9&lt;ID$7,"OD",_xlfn.XLOOKUP(ID$7,EHS!$M$6:$BM$6,EHS!$M$17:$BM$17)))</f>
        <v>1</v>
      </c>
      <c r="IE14" s="754">
        <f>IF(IE$7&gt;$D$3,"",IF($FA9&lt;IE$7,"OD",_xlfn.XLOOKUP(IE$7,EHS!$M$6:$BM$6,EHS!$M$17:$BM$17)))</f>
        <v>1</v>
      </c>
      <c r="IF14" s="754">
        <f>IF(IF$7&gt;$D$3,"",IF($FA9&lt;IF$7,"OD",_xlfn.XLOOKUP(IF$7,EHS!$M$6:$BM$6,EHS!$M$17:$BM$17)))</f>
        <v>1</v>
      </c>
      <c r="IG14" s="754">
        <f>IF(IG$7&gt;$D$3,"",IF($FA9&lt;IG$7,"OD",_xlfn.XLOOKUP(IG$7,EHS!$M$6:$BM$6,EHS!$M$17:$BM$17)))</f>
        <v>1</v>
      </c>
      <c r="IH14" s="754">
        <f>IF(IH$7&gt;$D$3,"",IF($FA9&lt;IH$7,"OD",_xlfn.XLOOKUP(IH$7,EHS!$M$6:$BM$6,EHS!$M$17:$BM$17)))</f>
        <v>1</v>
      </c>
      <c r="II14" s="754">
        <f>IF(II$7&gt;$D$3,"",IF($FA9&lt;II$7,"OD",_xlfn.XLOOKUP(II$7,EHS!$M$6:$BM$6,EHS!$M$17:$BM$17)))</f>
        <v>1</v>
      </c>
      <c r="IJ14" s="754">
        <f>IF(IJ$7&gt;$D$3,"",IF($FA9&lt;IJ$7,"OD",_xlfn.XLOOKUP(IJ$7,EHS!$M$6:$BM$6,EHS!$M$17:$BM$17)))</f>
        <v>1</v>
      </c>
      <c r="IK14" s="754">
        <f>IF(IK$7&gt;$D$3,"",IF($FA9&lt;IK$7,"OD",_xlfn.XLOOKUP(IK$7,EHS!$M$6:$BM$6,EHS!$M$17:$BM$17)))</f>
        <v>1</v>
      </c>
      <c r="IL14" s="754">
        <f>IF(IL$7&gt;$D$3,"",IF($FA9&lt;IL$7,"OD",_xlfn.XLOOKUP(IL$7,EHS!$M$6:$BM$6,EHS!$M$17:$BM$17)))</f>
        <v>1</v>
      </c>
      <c r="IM14" s="754">
        <f>IF(IM$7&gt;$D$3,"",IF($FA9&lt;IM$7,"OD",_xlfn.XLOOKUP(IM$7,EHS!$M$6:$BM$6,EHS!$M$17:$BM$17)))</f>
        <v>1</v>
      </c>
      <c r="IN14" s="754">
        <f>IF(IN$7&gt;$D$3,"",IF($FA9&lt;IN$7,"OD",_xlfn.XLOOKUP(IN$7,EHS!$M$6:$BM$6,EHS!$M$17:$BM$17)))</f>
        <v>1</v>
      </c>
      <c r="IO14" s="754">
        <f>IF(IO$7&gt;$D$3,"",IF($FA9&lt;IO$7,"OD",_xlfn.XLOOKUP(IO$7,EHS!$M$6:$BM$6,EHS!$M$17:$BM$17)))</f>
        <v>1</v>
      </c>
      <c r="IP14" s="754">
        <f>IF(IP$7&gt;$D$3,"",IF($FA9&lt;IP$7,"OD",_xlfn.XLOOKUP(IP$7,EHS!$M$6:$BM$6,EHS!$M$17:$BM$17)))</f>
        <v>1</v>
      </c>
      <c r="IQ14" s="754">
        <f>IF(IQ$7&gt;$D$3,"",IF($FA9&lt;IQ$7,"OD",_xlfn.XLOOKUP(IQ$7,EHS!$M$6:$BM$6,EHS!$M$17:$BM$17)))</f>
        <v>1</v>
      </c>
      <c r="IR14" s="754">
        <f>IF(IR$7&gt;$D$3,"",IF($FA9&lt;IR$7,"OD",_xlfn.XLOOKUP(IR$7,EHS!$M$6:$BM$6,EHS!$M$17:$BM$17)))</f>
        <v>1</v>
      </c>
      <c r="IS14" s="754">
        <f>IF(IS$7&gt;$D$3,"",IF($FA9&lt;IS$7,"OD",_xlfn.XLOOKUP(IS$7,EHS!$M$6:$BM$6,EHS!$M$17:$BM$17)))</f>
        <v>1</v>
      </c>
      <c r="IT14" s="754">
        <f>IF(IT$7&gt;$D$3,"",IF($FA9&lt;IT$7,"OD",_xlfn.XLOOKUP(IT$7,EHS!$M$6:$BM$6,EHS!$M$17:$BM$17)))</f>
        <v>1</v>
      </c>
      <c r="IU14" s="754">
        <f>IF(IU$7&gt;$D$3,"",IF($FA9&lt;IU$7,"OD",_xlfn.XLOOKUP(IU$7,EHS!$M$6:$BM$6,EHS!$M$17:$BM$17)))</f>
        <v>1</v>
      </c>
      <c r="IV14" s="754">
        <f>IF(IV$7&gt;$D$3,"",IF($FA9&lt;IV$7,"OD",_xlfn.XLOOKUP(IV$7,EHS!$M$6:$BM$6,EHS!$M$17:$BM$17)))</f>
        <v>1</v>
      </c>
      <c r="IW14" s="754">
        <f>IF(IW$7&gt;$D$3,"",IF($FA9&lt;IW$7,"OD",_xlfn.XLOOKUP(IW$7,EHS!$M$6:$BM$6,EHS!$M$17:$BM$17)))</f>
        <v>1</v>
      </c>
      <c r="IX14" s="754">
        <f>IF(IX$7&gt;$D$3,"",IF($FA9&lt;IX$7,"OD",_xlfn.XLOOKUP(IX$7,EHS!$M$6:$BM$6,EHS!$M$17:$BM$17)))</f>
        <v>1</v>
      </c>
      <c r="IY14" s="754">
        <f>IF(IY$7&gt;$D$3,"",IF($FA9&lt;IY$7,"OD",_xlfn.XLOOKUP(IY$7,EHS!$M$6:$BM$6,EHS!$M$17:$BM$17)))</f>
        <v>1</v>
      </c>
      <c r="IZ14" s="754" t="str">
        <f>IF(IZ$7&gt;$D$3,"",IF($FA9&lt;IZ$7,"OD",_xlfn.XLOOKUP(IZ$7,EHS!$M$6:$BM$6,EHS!$M$17:$BM$17)))</f>
        <v/>
      </c>
      <c r="JA14" s="754" t="str">
        <f>IF(JA$7&gt;$D$3,"",IF($FA9&lt;JA$7,"OD",_xlfn.XLOOKUP(JA$7,EHS!$M$6:$BM$6,EHS!$M$17:$BM$17)))</f>
        <v/>
      </c>
      <c r="JB14" s="754" t="str">
        <f>IF(JB$7&gt;$D$3,"",IF($FA9&lt;JB$7,"OD",_xlfn.XLOOKUP(JB$7,EHS!$M$6:$BM$6,EHS!$M$17:$BM$17)))</f>
        <v/>
      </c>
      <c r="JC14" s="754" t="str">
        <f>IF(JC$7&gt;$D$3,"",IF($FA9&lt;JC$7,"OD",_xlfn.XLOOKUP(JC$7,EHS!$M$6:$BM$6,EHS!$M$17:$BM$17)))</f>
        <v/>
      </c>
      <c r="JD14" s="754" t="str">
        <f>IF(JD$7&gt;$D$3,"",IF($FA9&lt;JD$7,"OD",_xlfn.XLOOKUP(JD$7,EHS!$M$6:$BM$6,EHS!$M$17:$BM$17)))</f>
        <v/>
      </c>
      <c r="JE14" s="754" t="str">
        <f>IF(JE$7&gt;$D$3,"",IF($FA9&lt;JE$7,"OD",_xlfn.XLOOKUP(JE$7,EHS!$M$6:$BM$6,EHS!$M$17:$BM$17)))</f>
        <v/>
      </c>
      <c r="JF14" s="754" t="str">
        <f>IF(JF$7&gt;$D$3,"",IF($FA9&lt;JF$7,"OD",_xlfn.XLOOKUP(JF$7,EHS!$M$6:$BM$6,EHS!$M$17:$BM$17)))</f>
        <v/>
      </c>
      <c r="JG14" s="754" t="str">
        <f>IF(JG$7&gt;$D$3,"",IF($FA9&lt;JG$7,"OD",_xlfn.XLOOKUP(JG$7,EHS!$M$6:$BM$6,EHS!$M$17:$BM$17)))</f>
        <v/>
      </c>
      <c r="JH14" s="754" t="str">
        <f>IF(JH$7&gt;$D$3,"",IF($FA9&lt;JH$7,"OD",_xlfn.XLOOKUP(JH$7,EHS!$M$6:$BM$6,EHS!$M$17:$BM$17)))</f>
        <v/>
      </c>
      <c r="JI14" s="754" t="str">
        <f>IF(JI$7&gt;$D$3,"",IF($FA9&lt;JI$7,"OD",_xlfn.XLOOKUP(JI$7,EHS!$M$6:$BM$6,EHS!$M$17:$BM$17)))</f>
        <v/>
      </c>
      <c r="JJ14" s="754" t="str">
        <f>IF(JJ$7&gt;$D$3,"",IF($FA9&lt;JJ$7,"OD",_xlfn.XLOOKUP(JJ$7,EHS!$M$6:$BM$6,EHS!$M$17:$BM$17)))</f>
        <v/>
      </c>
      <c r="JM14" s="136" t="str">
        <f>+$C14</f>
        <v>KPI C1</v>
      </c>
      <c r="JN14" s="144" t="str">
        <f>+$D14</f>
        <v>Cost</v>
      </c>
      <c r="JO14" s="144" t="str">
        <f t="shared" si="17"/>
        <v>Ratio of Gas / Elec emissions to prod Quantity</v>
      </c>
      <c r="JP14" s="145" t="str">
        <f t="shared" si="18"/>
        <v>Ratio</v>
      </c>
      <c r="JQ14" s="145" t="s">
        <v>284</v>
      </c>
      <c r="JR14" s="754" t="str">
        <f>IFERROR(AVERAGE(FC14:$FC14),"")</f>
        <v/>
      </c>
      <c r="JS14" s="754" t="str">
        <f>IFERROR(AVERAGE($FC14:FD14),"")</f>
        <v/>
      </c>
      <c r="JT14" s="754" t="str">
        <f>IFERROR(AVERAGE($FC14:FE14),"")</f>
        <v/>
      </c>
      <c r="JU14" s="754">
        <f>IFERROR(AVERAGE($FC14:FF14),"")</f>
        <v>1</v>
      </c>
      <c r="JV14" s="754">
        <f>IFERROR(AVERAGE($FC14:FG14),"")</f>
        <v>0.75</v>
      </c>
      <c r="JW14" s="754">
        <f>IFERROR(AVERAGE($FC14:FH14),"")</f>
        <v>0.6366666666666666</v>
      </c>
      <c r="JX14" s="754">
        <f>IFERROR(AVERAGE($FC14:FI14),"")</f>
        <v>0.6366666666666666</v>
      </c>
      <c r="JY14" s="754">
        <f>IFERROR(AVERAGE($FC14:FJ14),"")</f>
        <v>0.6366666666666666</v>
      </c>
      <c r="JZ14" s="754">
        <f>IFERROR(AVERAGE($FC14:FK14),"")</f>
        <v>0.69499999999999995</v>
      </c>
      <c r="KA14" s="754">
        <f>IFERROR(AVERAGE($FC14:FL14),"")</f>
        <v>0.78</v>
      </c>
      <c r="KB14" s="754">
        <f>IFERROR(AVERAGE($FC14:FM14),"")</f>
        <v>0.84166666666666667</v>
      </c>
      <c r="KC14" s="754">
        <f>IFERROR(AVERAGE($FC14:FN14),"")</f>
        <v>0.85</v>
      </c>
      <c r="KD14" s="754">
        <f>IFERROR(AVERAGE($FC14:FO14),"")</f>
        <v>0.86375000000000002</v>
      </c>
      <c r="KE14" s="754">
        <f>IFERROR(AVERAGE($FC14:FP14),"")</f>
        <v>0.82444444444444442</v>
      </c>
      <c r="KF14" s="754">
        <f>IFERROR(AVERAGE($FC14:FQ14),"")</f>
        <v>0.79299999999999993</v>
      </c>
      <c r="KG14" s="754">
        <f>IFERROR(AVERAGE($FC14:FR14),"")</f>
        <v>0.78909090909090907</v>
      </c>
      <c r="KH14" s="754">
        <f>IFERROR(AVERAGE($FC14:FS14),"")</f>
        <v>0.78333333333333333</v>
      </c>
      <c r="KI14" s="754">
        <f>IFERROR(AVERAGE($FC14:FT14),"")</f>
        <v>0.76923076923076927</v>
      </c>
      <c r="KJ14" s="754">
        <f>IFERROR(AVERAGE($FC14:FU14),"")</f>
        <v>0.77142857142857146</v>
      </c>
      <c r="KK14" s="754">
        <f>IFERROR(AVERAGE($FC14:FV14),"")</f>
        <v>0.75666666666666671</v>
      </c>
      <c r="KL14" s="754">
        <f>IFERROR(AVERAGE($FC14:FW14),"")</f>
        <v>0.75937500000000013</v>
      </c>
      <c r="KM14" s="754">
        <f>IFERROR(AVERAGE($FC14:FX14),"")</f>
        <v>0.76411764705882368</v>
      </c>
      <c r="KN14" s="754">
        <f>IFERROR(AVERAGE($FC14:FY14),"")</f>
        <v>0.75777777777777788</v>
      </c>
      <c r="KO14" s="754">
        <f>IFERROR(AVERAGE($FC14:FZ14),"")</f>
        <v>0.77052631578947384</v>
      </c>
      <c r="KP14" s="754">
        <f>IFERROR(AVERAGE($FC14:GA14),"")</f>
        <v>0.7845000000000002</v>
      </c>
      <c r="KQ14" s="754">
        <f>IFERROR(AVERAGE($FC14:GB14),"")</f>
        <v>0.79809523809523819</v>
      </c>
      <c r="KR14" s="754">
        <f>IFERROR(AVERAGE($FC14:GC14),"")</f>
        <v>0.81863636363636372</v>
      </c>
      <c r="KS14" s="754">
        <f>IFERROR(AVERAGE($FC14:GD14),"")</f>
        <v>0.84</v>
      </c>
      <c r="KT14" s="754">
        <f>IFERROR(AVERAGE($FC14:GE14),"")</f>
        <v>0.85</v>
      </c>
      <c r="KU14" s="754">
        <f>IFERROR(AVERAGE($FC14:GF14),"")</f>
        <v>0.87479999999999991</v>
      </c>
      <c r="KV14" s="754">
        <f>IFERROR(AVERAGE($FC14:GG14),"")</f>
        <v>0.88961538461538459</v>
      </c>
      <c r="KW14" s="754">
        <f>IFERROR(AVERAGE($FC14:GH14),"")</f>
        <v>0.89555555555555555</v>
      </c>
      <c r="KX14" s="754">
        <f>IFERROR(AVERAGE($FC14:GI14),"")</f>
        <v>0.90464285714285708</v>
      </c>
      <c r="KY14" s="754">
        <f>IFERROR(AVERAGE($FC14:GJ14),"")</f>
        <v>0.91137931034482755</v>
      </c>
      <c r="KZ14" s="754">
        <f>IFERROR(AVERAGE($FC14:GK14),"")</f>
        <v>0.93299999999999994</v>
      </c>
      <c r="LA14" s="754">
        <f>IFERROR(AVERAGE($FC14:GL14),"")</f>
        <v>0.92870967741935484</v>
      </c>
      <c r="LB14" s="754">
        <f>IFERROR(AVERAGE($FC14:GM14),"")</f>
        <v>0.92343750000000002</v>
      </c>
      <c r="LC14" s="754">
        <f>IFERROR(AVERAGE($FC14:GN14),"")</f>
        <v>0.91787878787878785</v>
      </c>
      <c r="LD14" s="754">
        <f>IFERROR(AVERAGE($FC14:GO14),"")</f>
        <v>0.91970588235294115</v>
      </c>
      <c r="LE14" s="754">
        <f>IFERROR(AVERAGE($FC14:GP14),"")</f>
        <v>0.91714285714285715</v>
      </c>
      <c r="LF14" s="754">
        <f>IFERROR(AVERAGE($FC14:GQ14),"")</f>
        <v>0.91805555555555562</v>
      </c>
      <c r="LG14" s="754">
        <f>IFERROR(AVERAGE($FC14:GR14),"")</f>
        <v>0.89324324324324333</v>
      </c>
      <c r="LH14" s="754">
        <f>IFERROR(AVERAGE($FC14:GS14),"")</f>
        <v>0.89324324324324333</v>
      </c>
      <c r="LI14" s="754">
        <f>IFERROR(AVERAGE($FC14:GT14),"")</f>
        <v>0.89324324324324333</v>
      </c>
      <c r="LJ14" s="754">
        <f>IFERROR(AVERAGE($FC14:GU14),"")</f>
        <v>0.89324324324324333</v>
      </c>
      <c r="LK14" s="754">
        <f>IFERROR(AVERAGE($FC14:GV14),"")</f>
        <v>0.89324324324324333</v>
      </c>
      <c r="LL14" s="754">
        <f>IFERROR(AVERAGE($FC14:GW14),"")</f>
        <v>0.89324324324324333</v>
      </c>
      <c r="LM14" s="754">
        <f>IFERROR(AVERAGE($FC14:GX14),"")</f>
        <v>0.89324324324324333</v>
      </c>
      <c r="LN14" s="754">
        <f>IFERROR(AVERAGE($FC14:GY14),"")</f>
        <v>0.89324324324324333</v>
      </c>
      <c r="LO14" s="754">
        <f>IFERROR(AVERAGE($FC14:GZ14),"")</f>
        <v>0.89324324324324333</v>
      </c>
      <c r="LP14" s="754">
        <f>IFERROR(AVERAGE($FC14:HA14),"")</f>
        <v>0.89324324324324333</v>
      </c>
      <c r="LQ14" s="754">
        <f>IFERROR(AVERAGE($FC14:HB14),"")</f>
        <v>0.89324324324324333</v>
      </c>
      <c r="LR14" s="754">
        <f>IFERROR(AVERAGE($FC14:HC14),"")</f>
        <v>0.89324324324324333</v>
      </c>
      <c r="LT14" s="136" t="str">
        <f>+$C14</f>
        <v>KPI C1</v>
      </c>
      <c r="LU14" s="144" t="str">
        <f>+$D14</f>
        <v>Cost</v>
      </c>
      <c r="LV14" s="144" t="str">
        <f t="shared" si="20"/>
        <v>Ratio of Gas / Elec emissions to prod Quantity</v>
      </c>
      <c r="LW14" s="145" t="str">
        <f t="shared" si="21"/>
        <v>Ratio</v>
      </c>
      <c r="LX14" s="145" t="s">
        <v>285</v>
      </c>
      <c r="LY14" s="776" t="str">
        <f>IFERROR(AVERAGE($HJ14:HJ14),"")</f>
        <v/>
      </c>
      <c r="LZ14" s="776">
        <f>IFERROR(IF(LAD$7&gt;$D$3,"",AVERAGE($HJ14:HK14)),"")</f>
        <v>1</v>
      </c>
      <c r="MA14" s="776">
        <f>IFERROR(IF(MA$7&gt;$D$3,"",AVERAGE($HJ14:HL14)),"")</f>
        <v>1</v>
      </c>
      <c r="MB14" s="776">
        <f>IFERROR(IF(MB$7&gt;$D$3,"",AVERAGE($HJ14:HM14)),"")</f>
        <v>1</v>
      </c>
      <c r="MC14" s="776">
        <f>IFERROR(IF(MC$7&gt;$D$3,"",AVERAGE($HJ14:HN14)),"")</f>
        <v>1</v>
      </c>
      <c r="MD14" s="776">
        <f>IFERROR(IF(MD$7&gt;$D$3,"",AVERAGE($HJ14:HO14)),"")</f>
        <v>1</v>
      </c>
      <c r="ME14" s="776">
        <f>IFERROR(IF(ME$7&gt;$D$3,"",AVERAGE($HJ14:HP14)),"")</f>
        <v>1</v>
      </c>
      <c r="MF14" s="776">
        <f>IFERROR(IF(MF$7&gt;$D$3,"",AVERAGE($HJ14:HQ14)),"")</f>
        <v>1</v>
      </c>
      <c r="MG14" s="776">
        <f>IFERROR(IF(MG$7&gt;$D$3,"",AVERAGE($HJ14:HR14)),"")</f>
        <v>1</v>
      </c>
      <c r="MH14" s="776">
        <f>IFERROR(IF(MH$7&gt;$D$3,"",AVERAGE($HJ14:HS14)),"")</f>
        <v>1</v>
      </c>
      <c r="MI14" s="776">
        <f>IFERROR(IF(MI$7&gt;$D$3,"",AVERAGE($HJ14:HT14)),"")</f>
        <v>1</v>
      </c>
      <c r="MJ14" s="776">
        <f>IFERROR(IF(MJ$7&gt;$D$3,"",AVERAGE($HJ14:HU14)),"")</f>
        <v>1</v>
      </c>
      <c r="MK14" s="776">
        <f>IFERROR(IF(MK$7&gt;$D$3,"",AVERAGE($HJ14:HV14)),"")</f>
        <v>1</v>
      </c>
      <c r="ML14" s="776">
        <f>IFERROR(IF(ML$7&gt;$D$3,"",AVERAGE($HJ14:HW14)),"")</f>
        <v>1</v>
      </c>
      <c r="MM14" s="776">
        <f>IFERROR(IF(MM$7&gt;$D$3,"",AVERAGE($HJ14:HX14)),"")</f>
        <v>1</v>
      </c>
      <c r="MN14" s="776">
        <f>IFERROR(IF(MN$7&gt;$D$3,"",AVERAGE($HJ14:HY14)),"")</f>
        <v>1</v>
      </c>
      <c r="MO14" s="776">
        <f>IFERROR(IF(MO$7&gt;$D$3,"",AVERAGE($HJ14:HZ14)),"")</f>
        <v>1</v>
      </c>
      <c r="MP14" s="776">
        <f>IFERROR(IF(MP$7&gt;$D$3,"",AVERAGE($HJ14:IA14)),"")</f>
        <v>1</v>
      </c>
      <c r="MQ14" s="776">
        <f>IFERROR(IF(MQ$7&gt;$D$3,"",AVERAGE($HJ14:IB14)),"")</f>
        <v>1</v>
      </c>
      <c r="MR14" s="776">
        <f>IFERROR(IF(MR$7&gt;$D$3,"",AVERAGE($HJ14:IC14)),"")</f>
        <v>1</v>
      </c>
      <c r="MS14" s="776">
        <f>IFERROR(IF(MS$7&gt;$D$3,"",AVERAGE($HJ14:ID14)),"")</f>
        <v>1</v>
      </c>
      <c r="MT14" s="776">
        <f>IFERROR(IF(MT$7&gt;$D$3,"",AVERAGE($HJ14:IE14)),"")</f>
        <v>1</v>
      </c>
      <c r="MU14" s="776">
        <f>IFERROR(IF(MU$7&gt;$D$3,"",AVERAGE($HJ14:IF14)),"")</f>
        <v>1</v>
      </c>
      <c r="MV14" s="776">
        <f>IFERROR(IF(MV$7&gt;$D$3,"",AVERAGE($HJ14:IG14)),"")</f>
        <v>1</v>
      </c>
      <c r="MW14" s="776">
        <f>IFERROR(IF(MW$7&gt;$D$3,"",AVERAGE($HJ14:IH14)),"")</f>
        <v>1</v>
      </c>
      <c r="MX14" s="776">
        <f>IFERROR(IF(MX$7&gt;$D$3,"",AVERAGE($HJ14:II14)),"")</f>
        <v>1</v>
      </c>
      <c r="MY14" s="776">
        <f>IFERROR(IF(MY$7&gt;$D$3,"",AVERAGE($HJ14:IJ14)),"")</f>
        <v>1</v>
      </c>
      <c r="MZ14" s="776">
        <f>IFERROR(IF(MZ$7&gt;$D$3,"",AVERAGE($HJ14:IK14)),"")</f>
        <v>1</v>
      </c>
      <c r="NA14" s="776">
        <f>IFERROR(IF(NA$7&gt;$D$3,"",AVERAGE($HJ14:IL14)),"")</f>
        <v>1</v>
      </c>
      <c r="NB14" s="776">
        <f>IFERROR(IF(NB$7&gt;$D$3,"",AVERAGE($HJ14:IM14)),"")</f>
        <v>1</v>
      </c>
      <c r="NC14" s="776">
        <f>IFERROR(IF(NC$7&gt;$D$3,"",AVERAGE($HJ14:IN14)),"")</f>
        <v>1</v>
      </c>
      <c r="ND14" s="776">
        <f>IFERROR(IF(ND$7&gt;$D$3,"",AVERAGE($HJ14:IO14)),"")</f>
        <v>1</v>
      </c>
      <c r="NE14" s="776">
        <f>IFERROR(IF(NE$7&gt;$D$3,"",AVERAGE($HJ14:IP14)),"")</f>
        <v>1</v>
      </c>
      <c r="NF14" s="776">
        <f>IFERROR(IF(NF$7&gt;$D$3,"",AVERAGE($HJ14:IQ14)),"")</f>
        <v>1</v>
      </c>
      <c r="NG14" s="776">
        <f>IFERROR(IF(NG$7&gt;$D$3,"",AVERAGE($HJ14:IR14)),"")</f>
        <v>1</v>
      </c>
      <c r="NH14" s="776">
        <f>IFERROR(IF(NH$7&gt;$D$3,"",AVERAGE($HJ14:IS14)),"")</f>
        <v>1</v>
      </c>
      <c r="NI14" s="776">
        <f>IFERROR(IF(NI$7&gt;$D$3,"",AVERAGE($HJ14:IT14)),"")</f>
        <v>1</v>
      </c>
      <c r="NJ14" s="776">
        <f>IFERROR(IF(NJ$7&gt;$D$3,"",AVERAGE($HJ14:IU14)),"")</f>
        <v>1</v>
      </c>
      <c r="NK14" s="776">
        <f>IFERROR(IF(NK$7&gt;$D$3,"",AVERAGE($HJ14:IV14)),"")</f>
        <v>1</v>
      </c>
      <c r="NL14" s="776">
        <f>IFERROR(IF(NL$7&gt;$D$3,"",AVERAGE($HJ14:IW14)),"")</f>
        <v>1</v>
      </c>
      <c r="NM14" s="776">
        <f>IFERROR(IF(NM$7&gt;$D$3,"",AVERAGE($HJ14:IX14)),"")</f>
        <v>1</v>
      </c>
      <c r="NN14" s="776">
        <f>IFERROR(IF(NN$7&gt;$D$3,"",AVERAGE($HJ14:IY14)),"")</f>
        <v>1</v>
      </c>
      <c r="NO14" s="776" t="str">
        <f>IFERROR(IF(NO$7&gt;$D$3,"",AVERAGE($HJ14:IZ14)),"")</f>
        <v/>
      </c>
      <c r="NP14" s="776" t="str">
        <f>IFERROR(IF(NP$7&gt;$D$3,"",AVERAGE($HJ14:JA14)),"")</f>
        <v/>
      </c>
      <c r="NQ14" s="776" t="str">
        <f>IFERROR(IF(NQ$7&gt;$D$3,"",AVERAGE($HJ14:JB14)),"")</f>
        <v/>
      </c>
      <c r="NR14" s="776" t="str">
        <f>IFERROR(IF(NR$7&gt;$D$3,"",AVERAGE($HJ14:JC14)),"")</f>
        <v/>
      </c>
      <c r="NS14" s="776" t="str">
        <f>IFERROR(IF(NS$7&gt;$D$3,"",AVERAGE($HJ14:JD14)),"")</f>
        <v/>
      </c>
      <c r="NT14" s="776" t="str">
        <f>IFERROR(IF(NT$7&gt;$D$3,"",AVERAGE($HJ14:JE14)),"")</f>
        <v/>
      </c>
      <c r="NU14" s="776" t="str">
        <f>IFERROR(IF(NU$7&gt;$D$3,"",AVERAGE($HJ14:JF14)),"")</f>
        <v/>
      </c>
      <c r="NV14" s="776" t="str">
        <f>IFERROR(IF(NV$7&gt;$D$3,"",AVERAGE($HJ14:JG14)),"")</f>
        <v/>
      </c>
      <c r="NW14" s="776" t="str">
        <f>IFERROR(IF(NW$7&gt;$D$3,"",AVERAGE($HJ14:JH14)),"")</f>
        <v/>
      </c>
      <c r="NX14" s="776" t="str">
        <f>IFERROR(IF(NX$7&gt;$D$3,"",AVERAGE($HJ14:JI14)),"")</f>
        <v/>
      </c>
      <c r="NY14" s="776" t="str">
        <f>IFERROR(IF(NY$7&gt;$D$3,"",AVERAGE($HJ14:JJ14)),"")</f>
        <v/>
      </c>
    </row>
    <row r="15" spans="1:389" ht="15" thickBot="1" x14ac:dyDescent="0.35">
      <c r="A15" t="str">
        <f>$B$10&amp;"-"&amp;C15</f>
        <v>EHS-KPI C2</v>
      </c>
      <c r="B15" s="138"/>
      <c r="C15" s="138" t="str">
        <f>+'KPI Stats'!C14</f>
        <v>KPI C2</v>
      </c>
      <c r="D15" s="146" t="str">
        <f>+'KPI Stats'!D14</f>
        <v>Cost</v>
      </c>
      <c r="E15" s="146" t="str">
        <f>+'KPI Stats'!E14</f>
        <v>Ratio of Gas / Elec emissions to prod Volume M2</v>
      </c>
      <c r="F15" s="147" t="str">
        <f>+'KPI Stats'!F14</f>
        <v>Ratio</v>
      </c>
      <c r="G15" s="170" t="str">
        <f>+'KPI Stats'!G14</f>
        <v>Over</v>
      </c>
      <c r="J15" s="160" t="str">
        <f>_xlfn.XLOOKUP((J$7-0),$AM$7:$CM$7,$AM15:$CM15,,FALSE)</f>
        <v>OD</v>
      </c>
      <c r="K15" s="266">
        <f>_xlfn.XLOOKUP((K$7-0),$FC$7:$HC$7,$FC15:$HC15,,FALSE)</f>
        <v>0</v>
      </c>
      <c r="L15" s="270">
        <f>_xlfn.XLOOKUP((L$7-0),$HJ$7:$JJ$7,$HJ15:$JJ15,,FALSE)</f>
        <v>2.75</v>
      </c>
      <c r="M15" s="367" t="s">
        <v>286</v>
      </c>
      <c r="P15" s="160" t="str">
        <f>_xlfn.XLOOKUP((P$7-1),$AM$7:$CM$7,$AM15:$CM15,,FALSE)</f>
        <v>G</v>
      </c>
      <c r="Q15" s="266">
        <f t="shared" si="23"/>
        <v>0</v>
      </c>
      <c r="R15" s="279">
        <f t="shared" si="23"/>
        <v>2.63</v>
      </c>
      <c r="S15" s="370" t="s">
        <v>286</v>
      </c>
      <c r="T15" s="371" t="s">
        <v>286</v>
      </c>
      <c r="U15" s="296" t="str">
        <f>IF(F10&lt;$R$2,"Not Complete",IF(Q15=R15,"Same −",IF($G15="Over",IF(Q15&lt;R15,"Better ↑","Worse ↓"),IF($G15="Under",IF(Q15&gt;R15,"Better ↑","Worse ↓"),IF(G15="Above Zero",IF(Q15&lt;R15,"Better ↑","Worse ↓"),("err"))))))</f>
        <v>Better ↑</v>
      </c>
      <c r="X15" s="160" t="str">
        <f t="shared" si="24"/>
        <v>G</v>
      </c>
      <c r="Y15" s="266">
        <f>_xlfn.XLOOKUP((Y$7-0),$JR$7:$LR$7,$JR15:$LR15,FALSE)</f>
        <v>2.4147197249104035</v>
      </c>
      <c r="Z15" s="279">
        <f>_xlfn.XLOOKUP((Z$7-0),$LY$7:$NY$7,$LY15:$NY15,FALSE)</f>
        <v>1.8988095238095237</v>
      </c>
      <c r="AA15" s="370" t="s">
        <v>286</v>
      </c>
      <c r="AB15" s="296" t="str">
        <f>IF(F10&lt;($R$2-1),"TBC",IF(Y15=Z15,"Same −",IF($G15="Over",IF(Z15&lt;Y15,"Better ↑ ","Worse ↓ "),IF($G15="Under",IF(Y15&gt;Z15,"Better ↑ ","Worse ↓ "),IF(G15="Above Zero",IF(Y15&lt;Z15,"Better ↑","Worse ↓"),"err")))))</f>
        <v xml:space="preserve">Better ↑ </v>
      </c>
      <c r="AC15" s="160" t="str">
        <f>IF(AND(G15="above adero",AD15&gt;0),"R",IF(AF15&gt;1,"G",IF(AF15&gt;0.95,"A","R")))</f>
        <v>R</v>
      </c>
      <c r="AD15" s="266">
        <f>_xlfn.XLOOKUP(AD$7,$JR$7:$LR$7,$JR15:$LR15,FALSE)</f>
        <v>2.500959715085775</v>
      </c>
      <c r="AE15" s="279">
        <f>_xlfn.XLOOKUP(AE$7,$LY$7:$NY$7,$LY15:$NY15,FALSE)</f>
        <v>1.8780487804878048</v>
      </c>
      <c r="AF15" s="273">
        <f>IFERROR(IF(G15="under",AD15/AE15,IF(G15="Over",AE15/AD15,"")),"")</f>
        <v>0.75093124017929003</v>
      </c>
      <c r="AH15" s="465" t="str">
        <f>+$A15</f>
        <v>EHS-KPI C2</v>
      </c>
      <c r="AI15" s="138" t="str">
        <f t="shared" si="25"/>
        <v>KPI C2</v>
      </c>
      <c r="AJ15" s="146" t="str">
        <f t="shared" si="25"/>
        <v>Cost</v>
      </c>
      <c r="AK15" s="146" t="str">
        <f t="shared" si="5"/>
        <v>Ratio of Gas / Elec emissions to prod Volume M2</v>
      </c>
      <c r="AL15" s="147" t="str">
        <f t="shared" si="5"/>
        <v>Ratio</v>
      </c>
      <c r="AM15" s="756" t="str">
        <f>IF(AM$7&gt;$D$3,"",_xlfn.XLOOKUP(AM$7,EHS!$M$6:$BM$6,EHS!$M$22:$BM$22))</f>
        <v>Blank</v>
      </c>
      <c r="AN15" s="757" t="str">
        <f>IF(AN$7&gt;$D$3,"",_xlfn.XLOOKUP(AN$7,EHS!$M$6:$BM$6,EHS!$M$22:$BM$22))</f>
        <v>Missed</v>
      </c>
      <c r="AO15" s="756" t="str">
        <f>IF(AO$7&gt;$D$3,"",_xlfn.XLOOKUP(AO$7,EHS!$M$6:$BM$6,EHS!$M$22:$BM$22))</f>
        <v>Missed</v>
      </c>
      <c r="AP15" s="756" t="str">
        <f>IF(AP$7&gt;$D$3,"",_xlfn.XLOOKUP(AP$7,EHS!$M$6:$BM$6,EHS!$M$22:$BM$22))</f>
        <v>Missed</v>
      </c>
      <c r="AQ15" s="756" t="str">
        <f>IF(AQ$7&gt;$D$3,"",_xlfn.XLOOKUP(AQ$7,EHS!$M$6:$BM$6,EHS!$M$22:$BM$22))</f>
        <v>Missed</v>
      </c>
      <c r="AR15" s="756" t="str">
        <f>IF(AR$7&gt;$D$3,"",_xlfn.XLOOKUP(AR$7,EHS!$M$6:$BM$6,EHS!$M$22:$BM$22))</f>
        <v>Missed</v>
      </c>
      <c r="AS15" s="756" t="str">
        <f>IF(AS$7&gt;$D$3,"",_xlfn.XLOOKUP(AS$7,EHS!$M$6:$BM$6,EHS!$M$22:$BM$22))</f>
        <v>Missed</v>
      </c>
      <c r="AT15" s="756" t="str">
        <f>IF(AT$7&gt;$D$3,"",_xlfn.XLOOKUP(AT$7,EHS!$M$6:$BM$6,EHS!$M$22:$BM$22))</f>
        <v>Missed</v>
      </c>
      <c r="AU15" s="756" t="str">
        <f>IF(AU$7&gt;$D$3,"",_xlfn.XLOOKUP(AU$7,EHS!$M$6:$BM$6,EHS!$M$22:$BM$22))</f>
        <v>Missed</v>
      </c>
      <c r="AV15" s="756" t="str">
        <f>IF(AV$7&gt;$D$3,"",_xlfn.XLOOKUP(AV$7,EHS!$M$6:$BM$6,EHS!$M$22:$BM$22))</f>
        <v>Missed</v>
      </c>
      <c r="AW15" s="756" t="str">
        <f>IF(AW$7&gt;$D$3,"",_xlfn.XLOOKUP(AW$7,EHS!$M$6:$BM$6,EHS!$M$22:$BM$22))</f>
        <v>Missed</v>
      </c>
      <c r="AX15" s="756" t="str">
        <f>IF(AX$7&gt;$D$3,"",_xlfn.XLOOKUP(AX$7,EHS!$M$6:$BM$6,EHS!$M$22:$BM$22))</f>
        <v>Missed</v>
      </c>
      <c r="AY15" s="756" t="str">
        <f>IF(AY$7&gt;$D$3,"",_xlfn.XLOOKUP(AY$7,EHS!$M$6:$BM$6,EHS!$M$22:$BM$22))</f>
        <v>Missed</v>
      </c>
      <c r="AZ15" s="756" t="str">
        <f>IF(AZ$7&gt;$D$3,"",_xlfn.XLOOKUP(AZ$7,EHS!$M$6:$BM$6,EHS!$M$22:$BM$22))</f>
        <v>G</v>
      </c>
      <c r="BA15" s="756" t="str">
        <f>IF(BA$7&gt;$D$3,"",_xlfn.XLOOKUP(BA$7,EHS!$M$6:$BM$6,EHS!$M$22:$BM$22))</f>
        <v>R</v>
      </c>
      <c r="BB15" s="756" t="str">
        <f>IF(BB$7&gt;$D$3,"",_xlfn.XLOOKUP(BB$7,EHS!$M$6:$BM$6,EHS!$M$22:$BM$22))</f>
        <v>G</v>
      </c>
      <c r="BC15" s="756" t="str">
        <f>IF(BC$7&gt;$D$3,"",_xlfn.XLOOKUP(BC$7,EHS!$M$6:$BM$6,EHS!$M$22:$BM$22))</f>
        <v>R</v>
      </c>
      <c r="BD15" s="756" t="str">
        <f>IF(BD$7&gt;$D$3,"",_xlfn.XLOOKUP(BD$7,EHS!$M$6:$BM$6,EHS!$M$22:$BM$22))</f>
        <v>G</v>
      </c>
      <c r="BE15" s="756" t="str">
        <f>IF(BE$7&gt;$D$3,"",_xlfn.XLOOKUP(BE$7,EHS!$M$6:$BM$6,EHS!$M$22:$BM$22))</f>
        <v>R</v>
      </c>
      <c r="BF15" s="756" t="str">
        <f>IF(BF$7&gt;$D$3,"",_xlfn.XLOOKUP(BF$7,EHS!$M$6:$BM$6,EHS!$M$22:$BM$22))</f>
        <v>G</v>
      </c>
      <c r="BG15" s="756" t="str">
        <f>IF(BG$7&gt;$D$3,"",_xlfn.XLOOKUP(BG$7,EHS!$M$6:$BM$6,EHS!$M$22:$BM$22))</f>
        <v>G</v>
      </c>
      <c r="BH15" s="756" t="str">
        <f>IF(BH$7&gt;$D$3,"",_xlfn.XLOOKUP(BH$7,EHS!$M$6:$BM$6,EHS!$M$22:$BM$22))</f>
        <v>G</v>
      </c>
      <c r="BI15" s="756" t="str">
        <f>IF(BI$7&gt;$D$3,"",_xlfn.XLOOKUP(BI$7,EHS!$M$6:$BM$6,EHS!$M$22:$BM$22))</f>
        <v>G</v>
      </c>
      <c r="BJ15" s="756" t="str">
        <f>IF(BJ$7&gt;$D$3,"",_xlfn.XLOOKUP(BJ$7,EHS!$M$6:$BM$6,EHS!$M$22:$BM$22))</f>
        <v>G</v>
      </c>
      <c r="BK15" s="756" t="str">
        <f>IF(BK$7&gt;$D$3,"",_xlfn.XLOOKUP(BK$7,EHS!$M$6:$BM$6,EHS!$M$22:$BM$22))</f>
        <v>G</v>
      </c>
      <c r="BL15" s="756" t="str">
        <f>IF(BL$7&gt;$D$3,"",_xlfn.XLOOKUP(BL$7,EHS!$M$6:$BM$6,EHS!$M$22:$BM$22))</f>
        <v>G</v>
      </c>
      <c r="BM15" s="756" t="str">
        <f>IF(BM$7&gt;$D$3,"",_xlfn.XLOOKUP(BM$7,EHS!$M$6:$BM$6,EHS!$M$22:$BM$22))</f>
        <v>G</v>
      </c>
      <c r="BN15" s="756" t="str">
        <f>IF(BN$7&gt;$D$3,"",_xlfn.XLOOKUP(BN$7,EHS!$M$6:$BM$6,EHS!$M$22:$BM$22))</f>
        <v>A</v>
      </c>
      <c r="BO15" s="756" t="str">
        <f>IF(BO$7&gt;$D$3,"",_xlfn.XLOOKUP(BO$7,EHS!$M$6:$BM$6,EHS!$M$22:$BM$22))</f>
        <v>G</v>
      </c>
      <c r="BP15" s="756" t="str">
        <f>IF(BP$7&gt;$D$3,"",_xlfn.XLOOKUP(BP$7,EHS!$M$6:$BM$6,EHS!$M$22:$BM$22))</f>
        <v>G</v>
      </c>
      <c r="BQ15" s="756" t="str">
        <f>IF(BQ$7&gt;$D$3,"",_xlfn.XLOOKUP(BQ$7,EHS!$M$6:$BM$6,EHS!$M$22:$BM$22))</f>
        <v>G</v>
      </c>
      <c r="BR15" s="756" t="str">
        <f>IF(BR$7&gt;$D$3,"",_xlfn.XLOOKUP(BR$7,EHS!$M$6:$BM$6,EHS!$M$22:$BM$22))</f>
        <v>A</v>
      </c>
      <c r="BS15" s="756" t="str">
        <f>IF(BS$7&gt;$D$3,"",_xlfn.XLOOKUP(BS$7,EHS!$M$6:$BM$6,EHS!$M$22:$BM$22))</f>
        <v>G</v>
      </c>
      <c r="BT15" s="756" t="str">
        <f>IF(BT$7&gt;$D$3,"",_xlfn.XLOOKUP(BT$7,EHS!$M$6:$BM$6,EHS!$M$22:$BM$22))</f>
        <v>G</v>
      </c>
      <c r="BU15" s="756" t="str">
        <f>IF(BU$7&gt;$D$3,"",_xlfn.XLOOKUP(BU$7,EHS!$M$6:$BM$6,EHS!$M$22:$BM$22))</f>
        <v>R</v>
      </c>
      <c r="BV15" s="756" t="str">
        <f>IF(BV$7&gt;$D$3,"",_xlfn.XLOOKUP(BV$7,EHS!$M$6:$BM$6,EHS!$M$22:$BM$22))</f>
        <v>G</v>
      </c>
      <c r="BW15" s="756" t="str">
        <f>IF(BW$7&gt;$D$3,"",_xlfn.XLOOKUP(BW$7,EHS!$M$6:$BM$6,EHS!$M$22:$BM$22))</f>
        <v>G</v>
      </c>
      <c r="BX15" s="756" t="str">
        <f>IF(BX$7&gt;$D$3,"",_xlfn.XLOOKUP(BX$7,EHS!$M$6:$BM$6,EHS!$M$22:$BM$22))</f>
        <v>G</v>
      </c>
      <c r="BY15" s="756" t="str">
        <f>IF(BY$7&gt;$D$3,"",_xlfn.XLOOKUP(BY$7,EHS!$M$6:$BM$6,EHS!$M$22:$BM$22))</f>
        <v>G</v>
      </c>
      <c r="BZ15" s="756" t="str">
        <f>IF(BZ$7&gt;$D$3,"",_xlfn.XLOOKUP(BZ$7,EHS!$M$6:$BM$6,EHS!$M$22:$BM$22))</f>
        <v>G</v>
      </c>
      <c r="CA15" s="756" t="str">
        <f>IF(CA$7&gt;$D$3,"",_xlfn.XLOOKUP(CA$7,EHS!$M$6:$BM$6,EHS!$M$22:$BM$22))</f>
        <v>G</v>
      </c>
      <c r="CB15" s="756" t="str">
        <f>IF(CB$7&gt;$D$3,"",_xlfn.XLOOKUP(CB$7,EHS!$M$6:$BM$6,EHS!$M$22:$BM$22))</f>
        <v>OD</v>
      </c>
      <c r="CC15" s="756" t="str">
        <f>IF(CC$7&gt;$D$3,"",_xlfn.XLOOKUP(CC$7,EHS!$M$6:$BM$6,EHS!$M$22:$BM$22))</f>
        <v/>
      </c>
      <c r="CD15" s="756" t="str">
        <f>IF(CD$7&gt;$D$3,"",_xlfn.XLOOKUP(CD$7,EHS!$M$6:$BM$6,EHS!$M$22:$BM$22))</f>
        <v/>
      </c>
      <c r="CE15" s="756" t="str">
        <f>IF(CE$7&gt;$D$3,"",_xlfn.XLOOKUP(CE$7,EHS!$M$6:$BM$6,EHS!$M$22:$BM$22))</f>
        <v/>
      </c>
      <c r="CF15" s="756" t="str">
        <f>IF(CF$7&gt;$D$3,"",_xlfn.XLOOKUP(CF$7,EHS!$M$6:$BM$6,EHS!$M$22:$BM$22))</f>
        <v/>
      </c>
      <c r="CG15" s="756" t="str">
        <f>IF(CG$7&gt;$D$3,"",_xlfn.XLOOKUP(CG$7,EHS!$M$6:$BM$6,EHS!$M$22:$BM$22))</f>
        <v/>
      </c>
      <c r="CH15" s="756" t="str">
        <f>IF(CH$7&gt;$D$3,"",_xlfn.XLOOKUP(CH$7,EHS!$M$6:$BM$6,EHS!$M$22:$BM$22))</f>
        <v/>
      </c>
      <c r="CI15" s="756" t="str">
        <f>IF(CI$7&gt;$D$3,"",_xlfn.XLOOKUP(CI$7,EHS!$M$6:$BM$6,EHS!$M$22:$BM$22))</f>
        <v/>
      </c>
      <c r="CJ15" s="756" t="str">
        <f>IF(CJ$7&gt;$D$3,"",_xlfn.XLOOKUP(CJ$7,EHS!$M$6:$BM$6,EHS!$M$22:$BM$22))</f>
        <v/>
      </c>
      <c r="CK15" s="756" t="str">
        <f>IF(CK$7&gt;$D$3,"",_xlfn.XLOOKUP(CK$7,EHS!$M$6:$BM$6,EHS!$M$22:$BM$22))</f>
        <v/>
      </c>
      <c r="CL15" s="756" t="str">
        <f>IF(CL$7&gt;$D$3,"",_xlfn.XLOOKUP(CL$7,EHS!$M$6:$BM$6,EHS!$M$22:$BM$22))</f>
        <v/>
      </c>
      <c r="CM15" s="756" t="str">
        <f>IF(CM$7&gt;$D$3,"",_xlfn.XLOOKUP(CM$7,EHS!$M$6:$BM$6,EHS!$M$22:$BM$22))</f>
        <v/>
      </c>
      <c r="CO15" s="465" t="str">
        <f>+$A15</f>
        <v>EHS-KPI C2</v>
      </c>
      <c r="CP15" s="764" t="str">
        <f t="shared" si="26"/>
        <v>KPI C2</v>
      </c>
      <c r="CQ15" s="765" t="str">
        <f t="shared" si="26"/>
        <v>Cost</v>
      </c>
      <c r="CR15" s="766" t="str">
        <f t="shared" si="7"/>
        <v>Ratio of Gas / Elec emissions to prod Volume M2</v>
      </c>
      <c r="CS15" s="767" t="str">
        <f t="shared" si="7"/>
        <v>Ratio</v>
      </c>
      <c r="CT15" s="768" t="s">
        <v>246</v>
      </c>
      <c r="CU15" s="769" t="str">
        <f>IF(CU$7&gt;$D$3,"",_xlfn.XLOOKUP(CU$7,EHS!$M$6:$BM$6,EHS!$M$19:$BM$19))</f>
        <v>Blank</v>
      </c>
      <c r="CV15" s="762" t="str">
        <f>IFERROR(IF(CV$7&gt;$D$3,"",IF(AN15="OD","OD",IF(AN15="Missed","Missed",IF(AN15="TBC","TBC",IF(AN15="Undefined","Undefined",_xlfn.XLOOKUP(CV$7,EHS!$M$6:$BM$6,EHS!$M$20:$BM$20)/_xlfn.XLOOKUP(CV$7,EHS!$M$6:$BM$6,EHS!$M$21:$BM$21)))))),"")</f>
        <v>Missed</v>
      </c>
      <c r="CW15" s="763" t="str">
        <f>IFERROR(IF(CW$7&gt;$D$3,"",IF(AO15="OD","OD",IF(AO15="Missed","Missed",IF(AO15="TBC","TBC",IF(AO15="Undefined","Undefined",_xlfn.XLOOKUP(CW$7,EHS!$M$6:$BM$6,EHS!$M$20:$BM$20)/_xlfn.XLOOKUP(CW$7,EHS!$M$6:$BM$6,EHS!$M$21:$BM$21)))))),"")</f>
        <v>Missed</v>
      </c>
      <c r="CX15" s="763" t="str">
        <f>IFERROR(IF(CX$7&gt;$D$3,"",IF(AP15="OD","OD",IF(AP15="Missed","Missed",IF(AP15="TBC","TBC",IF(AP15="Undefined","Undefined",_xlfn.XLOOKUP(CX$7,EHS!$M$6:$BM$6,EHS!$M$20:$BM$20)/_xlfn.XLOOKUP(CX$7,EHS!$M$6:$BM$6,EHS!$M$21:$BM$21)))))),"")</f>
        <v>Missed</v>
      </c>
      <c r="CY15" s="763" t="str">
        <f>IFERROR(IF(CY$7&gt;$D$3,"",IF(AQ15="OD","OD",IF(AQ15="Missed","Missed",IF(AQ15="TBC","TBC",IF(AQ15="Undefined","Undefined",_xlfn.XLOOKUP(CY$7,EHS!$M$6:$BM$6,EHS!$M$20:$BM$20)/_xlfn.XLOOKUP(CY$7,EHS!$M$6:$BM$6,EHS!$M$21:$BM$21)))))),"")</f>
        <v>Missed</v>
      </c>
      <c r="CZ15" s="763" t="str">
        <f>IFERROR(IF(CZ$7&gt;$D$3,"",IF(AR15="OD","OD",IF(AR15="Missed","Missed",IF(AR15="TBC","TBC",IF(AR15="Undefined","Undefined",_xlfn.XLOOKUP(CZ$7,EHS!$M$6:$BM$6,EHS!$M$20:$BM$20)/_xlfn.XLOOKUP(CZ$7,EHS!$M$6:$BM$6,EHS!$M$21:$BM$21)))))),"")</f>
        <v>Missed</v>
      </c>
      <c r="DA15" s="763" t="str">
        <f>IFERROR(IF(DA$7&gt;$D$3,"",IF(AS15="OD","OD",IF(AS15="Missed","Missed",IF(AS15="TBC","TBC",IF(AS15="Undefined","Undefined",_xlfn.XLOOKUP(DA$7,EHS!$M$6:$BM$6,EHS!$M$20:$BM$20)/_xlfn.XLOOKUP(DA$7,EHS!$M$6:$BM$6,EHS!$M$21:$BM$21)))))),"")</f>
        <v>Missed</v>
      </c>
      <c r="DB15" s="763" t="str">
        <f>IFERROR(IF(DB$7&gt;$D$3,"",IF(AT15="OD","OD",IF(AT15="Missed","Missed",IF(AT15="TBC","TBC",IF(AT15="Undefined","Undefined",_xlfn.XLOOKUP(DB$7,EHS!$M$6:$BM$6,EHS!$M$20:$BM$20)/_xlfn.XLOOKUP(DB$7,EHS!$M$6:$BM$6,EHS!$M$21:$BM$21)))))),"")</f>
        <v>Missed</v>
      </c>
      <c r="DC15" s="763" t="str">
        <f>IFERROR(IF(DC$7&gt;$D$3,"",IF(AU15="OD","OD",IF(AU15="Missed","Missed",IF(AU15="TBC","TBC",IF(AU15="Undefined","Undefined",_xlfn.XLOOKUP(DC$7,EHS!$M$6:$BM$6,EHS!$M$20:$BM$20)/_xlfn.XLOOKUP(DC$7,EHS!$M$6:$BM$6,EHS!$M$21:$BM$21)))))),"")</f>
        <v>Missed</v>
      </c>
      <c r="DD15" s="763" t="str">
        <f>IFERROR(IF(DD$7&gt;$D$3,"",IF(AV15="OD","OD",IF(AV15="Missed","Missed",IF(AV15="TBC","TBC",IF(AV15="Undefined","Undefined",_xlfn.XLOOKUP(DD$7,EHS!$M$6:$BM$6,EHS!$M$20:$BM$20)/_xlfn.XLOOKUP(DD$7,EHS!$M$6:$BM$6,EHS!$M$21:$BM$21)))))),"")</f>
        <v>Missed</v>
      </c>
      <c r="DE15" s="763" t="str">
        <f>IFERROR(IF(DE$7&gt;$D$3,"",IF(AW15="OD","OD",IF(AW15="Missed","Missed",IF(AW15="TBC","TBC",IF(AW15="Undefined","Undefined",_xlfn.XLOOKUP(DE$7,EHS!$M$6:$BM$6,EHS!$M$20:$BM$20)/_xlfn.XLOOKUP(DE$7,EHS!$M$6:$BM$6,EHS!$M$21:$BM$21)))))),"")</f>
        <v>Missed</v>
      </c>
      <c r="DF15" s="763" t="str">
        <f>IFERROR(IF(DF$7&gt;$D$3,"",IF(AX15="OD","OD",IF(AX15="Missed","Missed",IF(AX15="TBC","TBC",IF(AX15="Undefined","Undefined",_xlfn.XLOOKUP(DF$7,EHS!$M$6:$BM$6,EHS!$M$20:$BM$20)/_xlfn.XLOOKUP(DF$7,EHS!$M$6:$BM$6,EHS!$M$21:$BM$21)))))),"")</f>
        <v>Missed</v>
      </c>
      <c r="DG15" s="763" t="str">
        <f>IFERROR(IF(DG$7&gt;$D$3,"",IF(AY15="OD","OD",IF(AY15="Missed","Missed",IF(AY15="TBC","TBC",IF(AY15="Undefined","Undefined",_xlfn.XLOOKUP(DG$7,EHS!$M$6:$BM$6,EHS!$M$20:$BM$20)/_xlfn.XLOOKUP(DG$7,EHS!$M$6:$BM$6,EHS!$M$21:$BM$21)))))),"")</f>
        <v>Missed</v>
      </c>
      <c r="DH15" s="763">
        <f>IFERROR(IF(DH$7&gt;$D$3,"",IF(AZ15="OD","OD",IF(AZ15="Missed","Missed",IF(AZ15="TBC","TBC",IF(AZ15="Undefined","Undefined",_xlfn.XLOOKUP(DH$7,EHS!$M$6:$BM$6,EHS!$M$20:$BM$20)/_xlfn.XLOOKUP(DH$7,EHS!$M$6:$BM$6,EHS!$M$21:$BM$21)))))),"")</f>
        <v>1.060090667078835</v>
      </c>
      <c r="DI15" s="763">
        <f>IFERROR(IF(DI$7&gt;$D$3,"",IF(BA15="OD","OD",IF(BA15="Missed","Missed",IF(BA15="TBC","TBC",IF(BA15="Undefined","Undefined",_xlfn.XLOOKUP(DI$7,EHS!$M$6:$BM$6,EHS!$M$20:$BM$20)/_xlfn.XLOOKUP(DI$7,EHS!$M$6:$BM$6,EHS!$M$21:$BM$21)))))),"")</f>
        <v>0.91877311622717428</v>
      </c>
      <c r="DJ15" s="763">
        <f>IFERROR(IF(DJ$7&gt;$D$3,"",IF(BB15="OD","OD",IF(BB15="Missed","Missed",IF(BB15="TBC","TBC",IF(BB15="Undefined","Undefined",_xlfn.XLOOKUP(DJ$7,EHS!$M$6:$BM$6,EHS!$M$20:$BM$20)/_xlfn.XLOOKUP(DJ$7,EHS!$M$6:$BM$6,EHS!$M$21:$BM$21)))))),"")</f>
        <v>1.0054232484821917</v>
      </c>
      <c r="DK15" s="763">
        <f>IFERROR(IF(DK$7&gt;$D$3,"",IF(BC15="OD","OD",IF(BC15="Missed","Missed",IF(BC15="TBC","TBC",IF(BC15="Undefined","Undefined",_xlfn.XLOOKUP(DK$7,EHS!$M$6:$BM$6,EHS!$M$20:$BM$20)/_xlfn.XLOOKUP(DK$7,EHS!$M$6:$BM$6,EHS!$M$21:$BM$21)))))),"")</f>
        <v>0.85809735107578211</v>
      </c>
      <c r="DL15" s="763">
        <f>IFERROR(IF(DL$7&gt;$D$3,"",IF(BD15="OD","OD",IF(BD15="Missed","Missed",IF(BD15="TBC","TBC",IF(BD15="Undefined","Undefined",_xlfn.XLOOKUP(DL$7,EHS!$M$6:$BM$6,EHS!$M$20:$BM$20)/_xlfn.XLOOKUP(DL$7,EHS!$M$6:$BM$6,EHS!$M$21:$BM$21)))))),"")</f>
        <v>1.7854802257763103</v>
      </c>
      <c r="DM15" s="763">
        <f>IFERROR(IF(DM$7&gt;$D$3,"",IF(BE15="OD","OD",IF(BE15="Missed","Missed",IF(BE15="TBC","TBC",IF(BE15="Undefined","Undefined",_xlfn.XLOOKUP(DM$7,EHS!$M$6:$BM$6,EHS!$M$20:$BM$20)/_xlfn.XLOOKUP(DM$7,EHS!$M$6:$BM$6,EHS!$M$21:$BM$21)))))),"")</f>
        <v>0.89576547231270365</v>
      </c>
      <c r="DN15" s="763">
        <f>IFERROR(IF(DN$7&gt;$D$3,"",IF(BF15="OD","OD",IF(BF15="Missed","Missed",IF(BF15="TBC","TBC",IF(BF15="Undefined","Undefined",_xlfn.XLOOKUP(DN$7,EHS!$M$6:$BM$6,EHS!$M$20:$BM$20)/_xlfn.XLOOKUP(DN$7,EHS!$M$6:$BM$6,EHS!$M$21:$BM$21)))))),"")</f>
        <v>1.3959390862944163</v>
      </c>
      <c r="DO15" s="763">
        <f>IFERROR(IF(DO$7&gt;$D$3,"",IF(BG15="OD","OD",IF(BG15="Missed","Missed",IF(BG15="TBC","TBC",IF(BG15="Undefined","Undefined",_xlfn.XLOOKUP(DO$7,EHS!$M$6:$BM$6,EHS!$M$20:$BM$20)/_xlfn.XLOOKUP(DO$7,EHS!$M$6:$BM$6,EHS!$M$21:$BM$21)))))),"")</f>
        <v>1.1956521739130437</v>
      </c>
      <c r="DP15" s="763">
        <f>IFERROR(IF(DP$7&gt;$D$3,"",IF(BH15="OD","OD",IF(BH15="Missed","Missed",IF(BH15="TBC","TBC",IF(BH15="Undefined","Undefined",_xlfn.XLOOKUP(DP$7,EHS!$M$6:$BM$6,EHS!$M$20:$BM$20)/_xlfn.XLOOKUP(DP$7,EHS!$M$6:$BM$6,EHS!$M$21:$BM$21)))))),"")</f>
        <v>1.0660005429916937</v>
      </c>
      <c r="DQ15" s="763">
        <f>IFERROR(IF(DQ$7&gt;$D$3,"",IF(BI15="OD","OD",IF(BI15="Missed","Missed",IF(BI15="TBC","TBC",IF(BI15="Undefined","Undefined",_xlfn.XLOOKUP(DQ$7,EHS!$M$6:$BM$6,EHS!$M$20:$BM$20)/_xlfn.XLOOKUP(DQ$7,EHS!$M$6:$BM$6,EHS!$M$21:$BM$21)))))),"")</f>
        <v>1.1410788381742738</v>
      </c>
      <c r="DR15" s="763">
        <f>IFERROR(IF(DR$7&gt;$D$3,"",IF(BJ15="OD","OD",IF(BJ15="Missed","Missed",IF(BJ15="TBC","TBC",IF(BJ15="Undefined","Undefined",_xlfn.XLOOKUP(DR$7,EHS!$M$6:$BM$6,EHS!$M$20:$BM$20)/_xlfn.XLOOKUP(DR$7,EHS!$M$6:$BM$6,EHS!$M$21:$BM$21)))))),"")</f>
        <v>1.0338345864661653</v>
      </c>
      <c r="DS15" s="763">
        <f>IFERROR(IF(DS$7&gt;$D$3,"",IF(BK15="OD","OD",IF(BK15="Missed","Missed",IF(BK15="TBC","TBC",IF(BK15="Undefined","Undefined",_xlfn.XLOOKUP(DS$7,EHS!$M$6:$BM$6,EHS!$M$20:$BM$20)/_xlfn.XLOOKUP(DS$7,EHS!$M$6:$BM$6,EHS!$M$21:$BM$21)))))),"")</f>
        <v>1.1956521739130437</v>
      </c>
      <c r="DT15" s="763">
        <f>IFERROR(IF(DT$7&gt;$D$3,"",IF(BL15="OD","OD",IF(BL15="Missed","Missed",IF(BL15="TBC","TBC",IF(BL15="Undefined","Undefined",_xlfn.XLOOKUP(DT$7,EHS!$M$6:$BM$6,EHS!$M$20:$BM$20)/_xlfn.XLOOKUP(DT$7,EHS!$M$6:$BM$6,EHS!$M$21:$BM$21)))))),"")</f>
        <v>1.3221153846153846</v>
      </c>
      <c r="DU15" s="763">
        <f>IFERROR(IF(DU$7&gt;$D$3,"",IF(BM15="OD","OD",IF(BM15="Missed","Missed",IF(BM15="TBC","TBC",IF(BM15="Undefined","Undefined",_xlfn.XLOOKUP(DU$7,EHS!$M$6:$BM$6,EHS!$M$20:$BM$20)/_xlfn.XLOOKUP(DU$7,EHS!$M$6:$BM$6,EHS!$M$21:$BM$21)))))),"")</f>
        <v>1.1554621848739497</v>
      </c>
      <c r="DV15" s="763">
        <f>IFERROR(IF(DV$7&gt;$D$3,"",IF(BN15="OD","OD",IF(BN15="Missed","Missed",IF(BN15="TBC","TBC",IF(BN15="Undefined","Undefined",_xlfn.XLOOKUP(DV$7,EHS!$M$6:$BM$6,EHS!$M$20:$BM$20)/_xlfn.XLOOKUP(DV$7,EHS!$M$6:$BM$6,EHS!$M$21:$BM$21)))))),"")</f>
        <v>0.99471784947048714</v>
      </c>
      <c r="DW15" s="763">
        <f>IFERROR(IF(DW$7&gt;$D$3,"",IF(BO15="OD","OD",IF(BO15="Missed","Missed",IF(BO15="TBC","TBC",IF(BO15="Undefined","Undefined",_xlfn.XLOOKUP(DW$7,EHS!$M$6:$BM$6,EHS!$M$20:$BM$20)/_xlfn.XLOOKUP(DW$7,EHS!$M$6:$BM$6,EHS!$M$21:$BM$21)))))),"")</f>
        <v>1.5988372093023255</v>
      </c>
      <c r="DX15" s="763">
        <f>IFERROR(IF(DX$7&gt;$D$3,"",IF(BP15="OD","OD",IF(BP15="Missed","Missed",IF(BP15="TBC","TBC",IF(BP15="Undefined","Undefined",_xlfn.XLOOKUP(DX$7,EHS!$M$6:$BM$6,EHS!$M$20:$BM$20)/_xlfn.XLOOKUP(DX$7,EHS!$M$6:$BM$6,EHS!$M$21:$BM$21)))))),"")</f>
        <v>1.1202429621630658</v>
      </c>
      <c r="DY15" s="763">
        <f>IFERROR(IF(DY$7&gt;$D$3,"",IF(BQ15="OD","OD",IF(BQ15="Missed","Missed",IF(BQ15="TBC","TBC",IF(BQ15="Undefined","Undefined",_xlfn.XLOOKUP(DY$7,EHS!$M$6:$BM$6,EHS!$M$20:$BM$20)/_xlfn.XLOOKUP(DY$7,EHS!$M$6:$BM$6,EHS!$M$21:$BM$21)))))),"")</f>
        <v>1.2041505413746973</v>
      </c>
      <c r="DZ15" s="763">
        <f>IFERROR(IF(DZ$7&gt;$D$3,"",IF(BR15="OD","OD",IF(BR15="Missed","Missed",IF(BR15="TBC","TBC",IF(BR15="Undefined","Undefined",_xlfn.XLOOKUP(DZ$7,EHS!$M$6:$BM$6,EHS!$M$20:$BM$20)/_xlfn.XLOOKUP(DZ$7,EHS!$M$6:$BM$6,EHS!$M$21:$BM$21)))))),"")</f>
        <v>0.95741874058814525</v>
      </c>
      <c r="EA15" s="763">
        <f>IFERROR(IF(EA$7&gt;$D$3,"",IF(BS15="OD","OD",IF(BS15="Missed","Missed",IF(BS15="TBC","TBC",IF(BS15="Undefined","Undefined",_xlfn.XLOOKUP(EA$7,EHS!$M$6:$BM$6,EHS!$M$20:$BM$20)/_xlfn.XLOOKUP(EA$7,EHS!$M$6:$BM$6,EHS!$M$21:$BM$21)))))),"")</f>
        <v>1.3321795870128768</v>
      </c>
      <c r="EB15" s="763">
        <f>IFERROR(IF(EB$7&gt;$D$3,"",IF(BT15="OD","OD",IF(BT15="Missed","Missed",IF(BT15="TBC","TBC",IF(BT15="Undefined","Undefined",_xlfn.XLOOKUP(EB$7,EHS!$M$6:$BM$6,EHS!$M$20:$BM$20)/_xlfn.XLOOKUP(EB$7,EHS!$M$6:$BM$6,EHS!$M$21:$BM$21)))))),"")</f>
        <v>1.3959390862944163</v>
      </c>
      <c r="EC15" s="763">
        <f>IFERROR(IF(EC$7&gt;$D$3,"",IF(BU15="OD","OD",IF(BU15="Missed","Missed",IF(BU15="TBC","TBC",IF(BU15="Undefined","Undefined",_xlfn.XLOOKUP(EC$7,EHS!$M$6:$BM$6,EHS!$M$20:$BM$20)/_xlfn.XLOOKUP(EC$7,EHS!$M$6:$BM$6,EHS!$M$21:$BM$21)))))),"")</f>
        <v>0.68408379243144013</v>
      </c>
      <c r="ED15" s="763">
        <f>IFERROR(IF(ED$7&gt;$D$3,"",IF(BV15="OD","OD",IF(BV15="Missed","Missed",IF(BV15="TBC","TBC",IF(BV15="Undefined","Undefined",_xlfn.XLOOKUP(ED$7,EHS!$M$6:$BM$6,EHS!$M$20:$BM$20)/_xlfn.XLOOKUP(ED$7,EHS!$M$6:$BM$6,EHS!$M$21:$BM$21)))))),"")</f>
        <v>1.1554621848739497</v>
      </c>
      <c r="EE15" s="763">
        <f>IFERROR(IF(EE$7&gt;$D$3,"",IF(BW15="OD","OD",IF(BW15="Missed","Missed",IF(BW15="TBC","TBC",IF(BW15="Undefined","Undefined",_xlfn.XLOOKUP(EE$7,EHS!$M$6:$BM$6,EHS!$M$20:$BM$20)/_xlfn.XLOOKUP(EE$7,EHS!$M$6:$BM$6,EHS!$M$21:$BM$21)))))),"")</f>
        <v>1.1554621848739497</v>
      </c>
      <c r="EF15" s="763">
        <f>IFERROR(IF(EF$7&gt;$D$3,"",IF(BX15="OD","OD",IF(BX15="Missed","Missed",IF(BX15="TBC","TBC",IF(BX15="Undefined","Undefined",_xlfn.XLOOKUP(EF$7,EHS!$M$6:$BM$6,EHS!$M$20:$BM$20)/_xlfn.XLOOKUP(EF$7,EHS!$M$6:$BM$6,EHS!$M$21:$BM$21)))))),"")</f>
        <v>1.1224489795918366</v>
      </c>
      <c r="EG15" s="763">
        <f>IFERROR(IF(EG$7&gt;$D$3,"",IF(BY15="OD","OD",IF(BY15="Missed","Missed",IF(BY15="TBC","TBC",IF(BY15="Undefined","Undefined",_xlfn.XLOOKUP(EG$7,EHS!$M$6:$BM$6,EHS!$M$20:$BM$20)/_xlfn.XLOOKUP(EG$7,EHS!$M$6:$BM$6,EHS!$M$21:$BM$21)))))),"")</f>
        <v>1.0338345864661653</v>
      </c>
      <c r="EH15" s="763">
        <f>IFERROR(IF(EH$7&gt;$D$3,"",IF(BZ15="OD","OD",IF(BZ15="Missed","Missed",IF(BZ15="TBC","TBC",IF(BZ15="Undefined","Undefined",_xlfn.XLOOKUP(EH$7,EHS!$M$6:$BM$6,EHS!$M$20:$BM$20)/_xlfn.XLOOKUP(EH$7,EHS!$M$6:$BM$6,EHS!$M$21:$BM$21)))))),"")</f>
        <v>1.07421875</v>
      </c>
      <c r="EI15" s="763">
        <f>IFERROR(IF(EI$7&gt;$D$3,"",IF(CA15="OD","OD",IF(CA15="Missed","Missed",IF(CA15="TBC","TBC",IF(CA15="Undefined","Undefined",_xlfn.XLOOKUP(EI$7,EHS!$M$6:$BM$6,EHS!$M$20:$BM$20)/_xlfn.XLOOKUP(EI$7,EHS!$M$6:$BM$6,EHS!$M$21:$BM$21)))))),"")</f>
        <v>1.0456273764258555</v>
      </c>
      <c r="EJ15" s="763" t="str">
        <f>IFERROR(IF(EJ$7&gt;$D$3,"",IF(CB15="OD","OD",IF(CB15="Missed","Missed",IF(CB15="TBC","TBC",IF(CB15="Undefined","Undefined",_xlfn.XLOOKUP(EJ$7,EHS!$M$6:$BM$6,EHS!$M$20:$BM$20)/_xlfn.XLOOKUP(EJ$7,EHS!$M$6:$BM$6,EHS!$M$21:$BM$21)))))),"")</f>
        <v>OD</v>
      </c>
      <c r="EK15" s="763" t="str">
        <f>IFERROR(IF(EK$7&gt;$D$3,"",IF(CC15="OD","OD",IF(CC15="Missed","Missed",IF(CC15="TBC","TBC",IF(CC15="Undefined","Undefined",_xlfn.XLOOKUP(EK$7,EHS!$M$6:$BM$6,EHS!$M$20:$BM$20)/_xlfn.XLOOKUP(EK$7,EHS!$M$6:$BM$6,EHS!$M$21:$BM$21)))))),"")</f>
        <v/>
      </c>
      <c r="EL15" s="763" t="str">
        <f>IFERROR(IF(EL$7&gt;$D$3,"",IF(CD15="OD","OD",IF(CD15="Missed","Missed",IF(CD15="TBC","TBC",IF(CD15="Undefined","Undefined",_xlfn.XLOOKUP(EL$7,EHS!$M$6:$BM$6,EHS!$M$20:$BM$20)/_xlfn.XLOOKUP(EL$7,EHS!$M$6:$BM$6,EHS!$M$21:$BM$21)))))),"")</f>
        <v/>
      </c>
      <c r="EM15" s="763" t="str">
        <f>IFERROR(IF(EM$7&gt;$D$3,"",IF(CE15="OD","OD",IF(CE15="Missed","Missed",IF(CE15="TBC","TBC",IF(CE15="Undefined","Undefined",_xlfn.XLOOKUP(EM$7,EHS!$M$6:$BM$6,EHS!$M$20:$BM$20)/_xlfn.XLOOKUP(EM$7,EHS!$M$6:$BM$6,EHS!$M$21:$BM$21)))))),"")</f>
        <v/>
      </c>
      <c r="EN15" s="763" t="str">
        <f>IFERROR(IF(EN$7&gt;$D$3,"",IF(CF15="OD","OD",IF(CF15="Missed","Missed",IF(CF15="TBC","TBC",IF(CF15="Undefined","Undefined",_xlfn.XLOOKUP(EN$7,EHS!$M$6:$BM$6,EHS!$M$20:$BM$20)/_xlfn.XLOOKUP(EN$7,EHS!$M$6:$BM$6,EHS!$M$21:$BM$21)))))),"")</f>
        <v/>
      </c>
      <c r="EO15" s="763" t="str">
        <f>IFERROR(IF(EO$7&gt;$D$3,"",IF(CG15="OD","OD",IF(CG15="Missed","Missed",IF(CG15="TBC","TBC",IF(CG15="Undefined","Undefined",_xlfn.XLOOKUP(EO$7,EHS!$M$6:$BM$6,EHS!$M$20:$BM$20)/_xlfn.XLOOKUP(EO$7,EHS!$M$6:$BM$6,EHS!$M$21:$BM$21)))))),"")</f>
        <v/>
      </c>
      <c r="EP15" s="763" t="str">
        <f>IFERROR(IF(EP$7&gt;$D$3,"",IF(CH15="OD","OD",IF(CH15="Missed","Missed",IF(CH15="TBC","TBC",IF(CH15="Undefined","Undefined",_xlfn.XLOOKUP(EP$7,EHS!$M$6:$BM$6,EHS!$M$20:$BM$20)/_xlfn.XLOOKUP(EP$7,EHS!$M$6:$BM$6,EHS!$M$21:$BM$21)))))),"")</f>
        <v/>
      </c>
      <c r="EQ15" s="763" t="str">
        <f>IFERROR(IF(EQ$7&gt;$D$3,"",IF(CI15="OD","OD",IF(CI15="Missed","Missed",IF(CI15="TBC","TBC",IF(CI15="Undefined","Undefined",_xlfn.XLOOKUP(EQ$7,EHS!$M$6:$BM$6,EHS!$M$20:$BM$20)/_xlfn.XLOOKUP(EQ$7,EHS!$M$6:$BM$6,EHS!$M$21:$BM$21)))))),"")</f>
        <v/>
      </c>
      <c r="ER15" s="763" t="str">
        <f>IFERROR(IF(ER$7&gt;$D$3,"",IF(CJ15="OD","OD",IF(CJ15="Missed","Missed",IF(CJ15="TBC","TBC",IF(CJ15="Undefined","Undefined",_xlfn.XLOOKUP(ER$7,EHS!$M$6:$BM$6,EHS!$M$20:$BM$20)/_xlfn.XLOOKUP(ER$7,EHS!$M$6:$BM$6,EHS!$M$21:$BM$21)))))),"")</f>
        <v/>
      </c>
      <c r="ES15" s="763" t="str">
        <f>IFERROR(IF(ES$7&gt;$D$3,"",IF(CK15="OD","OD",IF(CK15="Missed","Missed",IF(CK15="TBC","TBC",IF(CK15="Undefined","Undefined",_xlfn.XLOOKUP(ES$7,EHS!$M$6:$BM$6,EHS!$M$20:$BM$20)/_xlfn.XLOOKUP(ES$7,EHS!$M$6:$BM$6,EHS!$M$21:$BM$21)))))),"")</f>
        <v/>
      </c>
      <c r="ET15" s="763" t="str">
        <f>IFERROR(IF(ET$7&gt;$D$3,"",IF(CL15="OD","OD",IF(CL15="Missed","Missed",IF(CL15="TBC","TBC",IF(CL15="Undefined","Undefined",_xlfn.XLOOKUP(ET$7,EHS!$M$6:$BM$6,EHS!$M$20:$BM$20)/_xlfn.XLOOKUP(ET$7,EHS!$M$6:$BM$6,EHS!$M$21:$BM$21)))))),"")</f>
        <v/>
      </c>
      <c r="EU15" s="763" t="str">
        <f>IFERROR(IF(EU$7&gt;$D$3,"",IF(CM15="OD","OD",IF(CM15="Missed","Missed",IF(CM15="TBC","TBC",IF(CM15="Undefined","Undefined",_xlfn.XLOOKUP(EU$7,EHS!$M$6:$BM$6,EHS!$M$20:$BM$20)/_xlfn.XLOOKUP(EU$7,EHS!$M$6:$BM$6,EHS!$M$21:$BM$21)))))),"")</f>
        <v/>
      </c>
      <c r="EW15" s="465" t="str">
        <f>+$A15</f>
        <v>EHS-KPI C2</v>
      </c>
      <c r="EX15" s="138" t="str">
        <f>+$C15</f>
        <v>KPI C2</v>
      </c>
      <c r="EY15" s="773" t="str">
        <f>+$D15</f>
        <v>Cost</v>
      </c>
      <c r="EZ15" s="773" t="str">
        <f t="shared" si="10"/>
        <v>Ratio of Gas / Elec emissions to prod Volume M2</v>
      </c>
      <c r="FA15" s="774" t="str">
        <f t="shared" si="11"/>
        <v>Ratio</v>
      </c>
      <c r="FB15" s="774" t="s">
        <v>251</v>
      </c>
      <c r="FC15" s="775" t="str">
        <f>IF(FC$7&gt;$D$3,"",IF($FA10&lt;FC$7,"OD",_xlfn.XLOOKUP(FC$7,EHS!$M$6:$BM$6,EHS!$M$21:$BM$21)))</f>
        <v>Blank</v>
      </c>
      <c r="FD15" s="775" t="str">
        <f>IF(FD$7&gt;$D$3,"",IF($FA10&lt;FD$7,"OD",_xlfn.XLOOKUP(FD$7,EHS!$M$6:$BM$6,EHS!$M$21:$BM$21)))</f>
        <v>Missed</v>
      </c>
      <c r="FE15" s="775" t="str">
        <f>IF(FE$7&gt;$D$3,"",IF($FA10&lt;FE$7,"OD",_xlfn.XLOOKUP(FE$7,EHS!$M$6:$BM$6,EHS!$M$21:$BM$21)))</f>
        <v>Missed</v>
      </c>
      <c r="FF15" s="775" t="str">
        <f>IF(FF$7&gt;$D$3,"",IF($FA10&lt;FF$7,"OD",_xlfn.XLOOKUP(FF$7,EHS!$M$6:$BM$6,EHS!$M$21:$BM$21)))</f>
        <v>Missed</v>
      </c>
      <c r="FG15" s="775" t="str">
        <f>IF(FG$7&gt;$D$3,"",IF($FA10&lt;FG$7,"OD",_xlfn.XLOOKUP(FG$7,EHS!$M$6:$BM$6,EHS!$M$21:$BM$21)))</f>
        <v>Missed</v>
      </c>
      <c r="FH15" s="775" t="str">
        <f>IF(FH$7&gt;$D$3,"",IF($FA10&lt;FH$7,"OD",_xlfn.XLOOKUP(FH$7,EHS!$M$6:$BM$6,EHS!$M$21:$BM$21)))</f>
        <v>Missed</v>
      </c>
      <c r="FI15" s="775" t="str">
        <f>IF(FI$7&gt;$D$3,"",IF($FA10&lt;FI$7,"OD",_xlfn.XLOOKUP(FI$7,EHS!$M$6:$BM$6,EHS!$M$21:$BM$21)))</f>
        <v>Missed</v>
      </c>
      <c r="FJ15" s="775" t="str">
        <f>IF(FJ$7&gt;$D$3,"",IF($FA10&lt;FJ$7,"OD",_xlfn.XLOOKUP(FJ$7,EHS!$M$6:$BM$6,EHS!$M$21:$BM$21)))</f>
        <v>Missed</v>
      </c>
      <c r="FK15" s="775" t="str">
        <f>IF(FK$7&gt;$D$3,"",IF($FA10&lt;FK$7,"OD",_xlfn.XLOOKUP(FK$7,EHS!$M$6:$BM$6,EHS!$M$21:$BM$21)))</f>
        <v>Missed</v>
      </c>
      <c r="FL15" s="775" t="str">
        <f>IF(FL$7&gt;$D$3,"",IF($FA10&lt;FL$7,"OD",_xlfn.XLOOKUP(FL$7,EHS!$M$6:$BM$6,EHS!$M$21:$BM$21)))</f>
        <v>Missed</v>
      </c>
      <c r="FM15" s="775" t="str">
        <f>IF(FM$7&gt;$D$3,"",IF($FA10&lt;FM$7,"OD",_xlfn.XLOOKUP(FM$7,EHS!$M$6:$BM$6,EHS!$M$21:$BM$21)))</f>
        <v>Missed</v>
      </c>
      <c r="FN15" s="775" t="str">
        <f>IF(FN$7&gt;$D$3,"",IF($FA10&lt;FN$7,"OD",_xlfn.XLOOKUP(FN$7,EHS!$M$6:$BM$6,EHS!$M$21:$BM$21)))</f>
        <v>Missed</v>
      </c>
      <c r="FO15" s="775" t="str">
        <f>IF(FO$7&gt;$D$3,"",IF($FA10&lt;FO$7,"OD",_xlfn.XLOOKUP(FO$7,EHS!$M$6:$BM$6,EHS!$M$21:$BM$21)))</f>
        <v>Missed</v>
      </c>
      <c r="FP15" s="775">
        <f>IF(FP$7&gt;$D$3,"",IF($FA10&lt;FP$7,"OD",_xlfn.XLOOKUP(FP$7,EHS!$M$6:$BM$6,EHS!$M$21:$BM$21)))</f>
        <v>2.594117734832857</v>
      </c>
      <c r="FQ15" s="775">
        <f>IF(FQ$7&gt;$D$3,"",IF($FA10&lt;FQ$7,"OD",_xlfn.XLOOKUP(FQ$7,EHS!$M$6:$BM$6,EHS!$M$21:$BM$21)))</f>
        <v>2.9931219704082412</v>
      </c>
      <c r="FR15" s="775">
        <f>IF(FR$7&gt;$D$3,"",IF($FA10&lt;FR$7,"OD",_xlfn.XLOOKUP(FR$7,EHS!$M$6:$BM$6,EHS!$M$21:$BM$21)))</f>
        <v>2.7351665123632842</v>
      </c>
      <c r="FS15" s="775">
        <f>IF(FS$7&gt;$D$3,"",IF($FA10&lt;FS$7,"OD",_xlfn.XLOOKUP(FS$7,EHS!$M$6:$BM$6,EHS!$M$21:$BM$21)))</f>
        <v>3.2047645835899292</v>
      </c>
      <c r="FT15" s="775">
        <f>IF(FT$7&gt;$D$3,"",IF($FA10&lt;FT$7,"OD",_xlfn.XLOOKUP(FT$7,EHS!$M$6:$BM$6,EHS!$M$21:$BM$21)))</f>
        <v>1.5402018797516088</v>
      </c>
      <c r="FU15" s="775">
        <f>IF(FU$7&gt;$D$3,"",IF($FA10&lt;FU$7,"OD",_xlfn.XLOOKUP(FU$7,EHS!$M$6:$BM$6,EHS!$M$21:$BM$21)))</f>
        <v>3.07</v>
      </c>
      <c r="FV15" s="775">
        <f>IF(FV$7&gt;$D$3,"",IF($FA10&lt;FV$7,"OD",_xlfn.XLOOKUP(FV$7,EHS!$M$6:$BM$6,EHS!$M$21:$BM$21)))</f>
        <v>1.97</v>
      </c>
      <c r="FW15" s="775">
        <f>IF(FW$7&gt;$D$3,"",IF($FA10&lt;FW$7,"OD",_xlfn.XLOOKUP(FW$7,EHS!$M$6:$BM$6,EHS!$M$21:$BM$21)))</f>
        <v>2.2999999999999998</v>
      </c>
      <c r="FX15" s="775">
        <f>IF(FX$7&gt;$D$3,"",IF($FA10&lt;FX$7,"OD",_xlfn.XLOOKUP(FX$7,EHS!$M$6:$BM$6,EHS!$M$21:$BM$21)))</f>
        <v>2.5797360217868373</v>
      </c>
      <c r="FY15" s="775">
        <f>IF(FY$7&gt;$D$3,"",IF($FA10&lt;FY$7,"OD",_xlfn.XLOOKUP(FY$7,EHS!$M$6:$BM$6,EHS!$M$21:$BM$21)))</f>
        <v>2.41</v>
      </c>
      <c r="FZ15" s="775">
        <f>IF(FZ$7&gt;$D$3,"",IF($FA10&lt;FZ$7,"OD",_xlfn.XLOOKUP(FZ$7,EHS!$M$6:$BM$6,EHS!$M$21:$BM$21)))</f>
        <v>2.66</v>
      </c>
      <c r="GA15" s="775">
        <f>IF(GA$7&gt;$D$3,"",IF($FA10&lt;GA$7,"OD",_xlfn.XLOOKUP(GA$7,EHS!$M$6:$BM$6,EHS!$M$21:$BM$21)))</f>
        <v>2.2999999999999998</v>
      </c>
      <c r="GB15" s="775">
        <f>IF(GB$7&gt;$D$3,"",IF($FA10&lt;GB$7,"OD",_xlfn.XLOOKUP(GB$7,EHS!$M$6:$BM$6,EHS!$M$21:$BM$21)))</f>
        <v>2.08</v>
      </c>
      <c r="GC15" s="775">
        <f>IF(GC$7&gt;$D$3,"",IF($FA10&lt;GC$7,"OD",_xlfn.XLOOKUP(GC$7,EHS!$M$6:$BM$6,EHS!$M$21:$BM$21)))</f>
        <v>2.38</v>
      </c>
      <c r="GD15" s="775">
        <f>IF(GD$7&gt;$D$3,"",IF($FA10&lt;GD$7,"OD",_xlfn.XLOOKUP(GD$7,EHS!$M$6:$BM$6,EHS!$M$21:$BM$21)))</f>
        <v>2.7646030494616065</v>
      </c>
      <c r="GE15" s="775">
        <f>IF(GE$7&gt;$D$3,"",IF($FA10&lt;GE$7,"OD",_xlfn.XLOOKUP(GE$7,EHS!$M$6:$BM$6,EHS!$M$21:$BM$21)))</f>
        <v>1.72</v>
      </c>
      <c r="GF15" s="775">
        <f>IF(GF$7&gt;$D$3,"",IF($FA10&lt;GF$7,"OD",_xlfn.XLOOKUP(GF$7,EHS!$M$6:$BM$6,EHS!$M$21:$BM$21)))</f>
        <v>2.4548246165189496</v>
      </c>
      <c r="GG15" s="775">
        <f>IF(GG$7&gt;$D$3,"",IF($FA10&lt;GG$7,"OD",_xlfn.XLOOKUP(GG$7,EHS!$M$6:$BM$6,EHS!$M$21:$BM$21)))</f>
        <v>2.2837676067151129</v>
      </c>
      <c r="GH15" s="775">
        <f>IF(GH$7&gt;$D$3,"",IF($FA10&lt;GH$7,"OD",_xlfn.XLOOKUP(GH$7,EHS!$M$6:$BM$6,EHS!$M$21:$BM$21)))</f>
        <v>2.8723064249929626</v>
      </c>
      <c r="GI15" s="775">
        <f>IF(GI$7&gt;$D$3,"",IF($FA10&lt;GI$7,"OD",_xlfn.XLOOKUP(GI$7,EHS!$M$6:$BM$6,EHS!$M$21:$BM$21)))</f>
        <v>2.0642862469963807</v>
      </c>
      <c r="GJ15" s="775">
        <f>IF(GJ$7&gt;$D$3,"",IF($FA10&lt;GJ$7,"OD",_xlfn.XLOOKUP(GJ$7,EHS!$M$6:$BM$6,EHS!$M$21:$BM$21)))</f>
        <v>1.97</v>
      </c>
      <c r="GK15" s="775">
        <f>IF(GK$7&gt;$D$3,"",IF($FA10&lt;GK$7,"OD",_xlfn.XLOOKUP(GK$7,EHS!$M$6:$BM$6,EHS!$M$21:$BM$21)))</f>
        <v>4.0199753749839191</v>
      </c>
      <c r="GL15" s="775">
        <f>IF(GL$7&gt;$D$3,"",IF($FA10&lt;GL$7,"OD",_xlfn.XLOOKUP(GL$7,EHS!$M$6:$BM$6,EHS!$M$21:$BM$21)))</f>
        <v>2.38</v>
      </c>
      <c r="GM15" s="775">
        <f>IF(GM$7&gt;$D$3,"",IF($FA10&lt;GM$7,"OD",_xlfn.XLOOKUP(GM$7,EHS!$M$6:$BM$6,EHS!$M$21:$BM$21)))</f>
        <v>2.38</v>
      </c>
      <c r="GN15" s="775">
        <f>IF(GN$7&gt;$D$3,"",IF($FA10&lt;GN$7,"OD",_xlfn.XLOOKUP(GN$7,EHS!$M$6:$BM$6,EHS!$M$21:$BM$21)))</f>
        <v>2.4500000000000002</v>
      </c>
      <c r="GO15" s="775">
        <f>IF(GO$7&gt;$D$3,"",IF($FA10&lt;GO$7,"OD",_xlfn.XLOOKUP(GO$7,EHS!$M$6:$BM$6,EHS!$M$21:$BM$21)))</f>
        <v>2.66</v>
      </c>
      <c r="GP15" s="775">
        <f>IF(GP$7&gt;$D$3,"",IF($FA10&lt;GP$7,"OD",_xlfn.XLOOKUP(GP$7,EHS!$M$6:$BM$6,EHS!$M$21:$BM$21)))</f>
        <v>2.56</v>
      </c>
      <c r="GQ15" s="775">
        <f>IF(GQ$7&gt;$D$3,"",IF($FA10&lt;GQ$7,"OD",_xlfn.XLOOKUP(GQ$7,EHS!$M$6:$BM$6,EHS!$M$21:$BM$21)))</f>
        <v>2.63</v>
      </c>
      <c r="GR15" s="775">
        <f>IF(GR$7&gt;$D$3,"",IF($FA10&lt;GR$7,"OD",_xlfn.XLOOKUP(GR$7,EHS!$M$6:$BM$6,EHS!$M$21:$BM$21)))</f>
        <v>0</v>
      </c>
      <c r="GS15" s="775" t="str">
        <f>IF(GS$7&gt;$D$3,"",IF($FA10&lt;GS$7,"OD",_xlfn.XLOOKUP(GS$7,EHS!$M$6:$BM$6,EHS!$M$21:$BM$21)))</f>
        <v/>
      </c>
      <c r="GT15" s="775" t="str">
        <f>IF(GT$7&gt;$D$3,"",IF($FA10&lt;GT$7,"OD",_xlfn.XLOOKUP(GT$7,EHS!$M$6:$BM$6,EHS!$M$21:$BM$21)))</f>
        <v/>
      </c>
      <c r="GU15" s="775" t="str">
        <f>IF(GU$7&gt;$D$3,"",IF($FA10&lt;GU$7,"OD",_xlfn.XLOOKUP(GU$7,EHS!$M$6:$BM$6,EHS!$M$21:$BM$21)))</f>
        <v/>
      </c>
      <c r="GV15" s="775" t="str">
        <f>IF(GV$7&gt;$D$3,"",IF($FA10&lt;GV$7,"OD",_xlfn.XLOOKUP(GV$7,EHS!$M$6:$BM$6,EHS!$M$21:$BM$21)))</f>
        <v/>
      </c>
      <c r="GW15" s="775" t="str">
        <f>IF(GW$7&gt;$D$3,"",IF($FA10&lt;GW$7,"OD",_xlfn.XLOOKUP(GW$7,EHS!$M$6:$BM$6,EHS!$M$21:$BM$21)))</f>
        <v/>
      </c>
      <c r="GX15" s="775" t="str">
        <f>IF(GX$7&gt;$D$3,"",IF($FA10&lt;GX$7,"OD",_xlfn.XLOOKUP(GX$7,EHS!$M$6:$BM$6,EHS!$M$21:$BM$21)))</f>
        <v/>
      </c>
      <c r="GY15" s="775" t="str">
        <f>IF(GY$7&gt;$D$3,"",IF($FA10&lt;GY$7,"OD",_xlfn.XLOOKUP(GY$7,EHS!$M$6:$BM$6,EHS!$M$21:$BM$21)))</f>
        <v/>
      </c>
      <c r="GZ15" s="775" t="str">
        <f>IF(GZ$7&gt;$D$3,"",IF($FA10&lt;GZ$7,"OD",_xlfn.XLOOKUP(GZ$7,EHS!$M$6:$BM$6,EHS!$M$21:$BM$21)))</f>
        <v/>
      </c>
      <c r="HA15" s="775" t="str">
        <f>IF(HA$7&gt;$D$3,"",IF($FA10&lt;HA$7,"OD",_xlfn.XLOOKUP(HA$7,EHS!$M$6:$BM$6,EHS!$M$21:$BM$21)))</f>
        <v/>
      </c>
      <c r="HB15" s="775" t="str">
        <f>IF(HB$7&gt;$D$3,"",IF($FA10&lt;HB$7,"OD",_xlfn.XLOOKUP(HB$7,EHS!$M$6:$BM$6,EHS!$M$21:$BM$21)))</f>
        <v/>
      </c>
      <c r="HC15" s="775" t="str">
        <f>IF(HC$7&gt;$D$3,"",IF($FA10&lt;HC$7,"OD",_xlfn.XLOOKUP(HC$7,EHS!$M$6:$BM$6,EHS!$M$21:$BM$21)))</f>
        <v/>
      </c>
      <c r="HE15" s="777" t="str">
        <f>+$C15</f>
        <v>KPI C2</v>
      </c>
      <c r="HF15" s="773" t="str">
        <f>+$D15</f>
        <v>Cost</v>
      </c>
      <c r="HG15" s="773" t="str">
        <f t="shared" si="13"/>
        <v>Ratio of Gas / Elec emissions to prod Volume M2</v>
      </c>
      <c r="HH15" s="774" t="str">
        <f t="shared" si="14"/>
        <v>Ratio</v>
      </c>
      <c r="HI15" s="774" t="s">
        <v>44</v>
      </c>
      <c r="HJ15" s="775">
        <f>IF(HJ$7&gt;$D$3,"",IF($FA10&lt;HJ$7,"OD",_xlfn.XLOOKUP(HJ$7,EHS!$M$6:$BM$6,EHS!$M$20:$BM$20)))</f>
        <v>0</v>
      </c>
      <c r="HK15" s="775">
        <f>IF(HK$7&gt;$D$3,"",IF($FA10&lt;HK$7,"OD",_xlfn.XLOOKUP(HK$7,EHS!$M$6:$BM$6,EHS!$M$20:$BM$20)))</f>
        <v>0</v>
      </c>
      <c r="HL15" s="778">
        <f>IF(HL$7&gt;$D$3,"",IF($FA10&lt;HL$7,"OD",_xlfn.XLOOKUP(HL$7,EHS!$M$6:$BM$6,EHS!$M$20:$BM$20)))</f>
        <v>0</v>
      </c>
      <c r="HM15" s="778">
        <f>IF(HM$7&gt;$D$3,"",IF($FA10&lt;HM$7,"OD",_xlfn.XLOOKUP(HM$7,EHS!$M$6:$BM$6,EHS!$M$20:$BM$20)))</f>
        <v>0</v>
      </c>
      <c r="HN15" s="778">
        <f>IF(HN$7&gt;$D$3,"",IF($FA10&lt;HN$7,"OD",_xlfn.XLOOKUP(HN$7,EHS!$M$6:$BM$6,EHS!$M$20:$BM$20)))</f>
        <v>0</v>
      </c>
      <c r="HO15" s="778">
        <f>IF(HO$7&gt;$D$3,"",IF($FA10&lt;HO$7,"OD",_xlfn.XLOOKUP(HO$7,EHS!$M$6:$BM$6,EHS!$M$20:$BM$20)))</f>
        <v>0</v>
      </c>
      <c r="HP15" s="778">
        <f>IF(HP$7&gt;$D$3,"",IF($FA10&lt;HP$7,"OD",_xlfn.XLOOKUP(HP$7,EHS!$M$6:$BM$6,EHS!$M$20:$BM$20)))</f>
        <v>0</v>
      </c>
      <c r="HQ15" s="778">
        <f>IF(HQ$7&gt;$D$3,"",IF($FA10&lt;HQ$7,"OD",_xlfn.XLOOKUP(HQ$7,EHS!$M$6:$BM$6,EHS!$M$20:$BM$20)))</f>
        <v>0</v>
      </c>
      <c r="HR15" s="778">
        <f>IF(HR$7&gt;$D$3,"",IF($FA10&lt;HR$7,"OD",_xlfn.XLOOKUP(HR$7,EHS!$M$6:$BM$6,EHS!$M$20:$BM$20)))</f>
        <v>0</v>
      </c>
      <c r="HS15" s="778">
        <f>IF(HS$7&gt;$D$3,"",IF($FA10&lt;HS$7,"OD",_xlfn.XLOOKUP(HS$7,EHS!$M$6:$BM$6,EHS!$M$20:$BM$20)))</f>
        <v>0</v>
      </c>
      <c r="HT15" s="778">
        <f>IF(HT$7&gt;$D$3,"",IF($FA10&lt;HT$7,"OD",_xlfn.XLOOKUP(HT$7,EHS!$M$6:$BM$6,EHS!$M$20:$BM$20)))</f>
        <v>0</v>
      </c>
      <c r="HU15" s="778">
        <f>IF(HU$7&gt;$D$3,"",IF($FA10&lt;HU$7,"OD",_xlfn.XLOOKUP(HU$7,EHS!$M$6:$BM$6,EHS!$M$20:$BM$20)))</f>
        <v>0</v>
      </c>
      <c r="HV15" s="778">
        <f>IF(HV$7&gt;$D$3,"",IF($FA10&lt;HV$7,"OD",_xlfn.XLOOKUP(HV$7,EHS!$M$6:$BM$6,EHS!$M$20:$BM$20)))</f>
        <v>0</v>
      </c>
      <c r="HW15" s="778">
        <f>IF(HW$7&gt;$D$3,"",IF($FA10&lt;HW$7,"OD",_xlfn.XLOOKUP(HW$7,EHS!$M$6:$BM$6,EHS!$M$20:$BM$20)))</f>
        <v>2.75</v>
      </c>
      <c r="HX15" s="778">
        <f>IF(HX$7&gt;$D$3,"",IF($FA10&lt;HX$7,"OD",_xlfn.XLOOKUP(HX$7,EHS!$M$6:$BM$6,EHS!$M$20:$BM$20)))</f>
        <v>2.75</v>
      </c>
      <c r="HY15" s="778">
        <f>IF(HY$7&gt;$D$3,"",IF($FA10&lt;HY$7,"OD",_xlfn.XLOOKUP(HY$7,EHS!$M$6:$BM$6,EHS!$M$20:$BM$20)))</f>
        <v>2.75</v>
      </c>
      <c r="HZ15" s="778">
        <f>IF(HZ$7&gt;$D$3,"",IF($FA10&lt;HZ$7,"OD",_xlfn.XLOOKUP(HZ$7,EHS!$M$6:$BM$6,EHS!$M$20:$BM$20)))</f>
        <v>2.75</v>
      </c>
      <c r="IA15" s="778">
        <f>IF(IA$7&gt;$D$3,"",IF($FA10&lt;IA$7,"OD",_xlfn.XLOOKUP(IA$7,EHS!$M$6:$BM$6,EHS!$M$20:$BM$20)))</f>
        <v>2.75</v>
      </c>
      <c r="IB15" s="778">
        <f>IF(IB$7&gt;$D$3,"",IF($FA10&lt;IB$7,"OD",_xlfn.XLOOKUP(IB$7,EHS!$M$6:$BM$6,EHS!$M$20:$BM$20)))</f>
        <v>2.75</v>
      </c>
      <c r="IC15" s="778">
        <f>IF(IC$7&gt;$D$3,"",IF($FA10&lt;IC$7,"OD",_xlfn.XLOOKUP(IC$7,EHS!$M$6:$BM$6,EHS!$M$20:$BM$20)))</f>
        <v>2.75</v>
      </c>
      <c r="ID15" s="778">
        <f>IF(ID$7&gt;$D$3,"",IF($FA10&lt;ID$7,"OD",_xlfn.XLOOKUP(ID$7,EHS!$M$6:$BM$6,EHS!$M$20:$BM$20)))</f>
        <v>2.75</v>
      </c>
      <c r="IE15" s="778">
        <f>IF(IE$7&gt;$D$3,"",IF($FA10&lt;IE$7,"OD",_xlfn.XLOOKUP(IE$7,EHS!$M$6:$BM$6,EHS!$M$20:$BM$20)))</f>
        <v>2.75</v>
      </c>
      <c r="IF15" s="778">
        <f>IF(IF$7&gt;$D$3,"",IF($FA10&lt;IF$7,"OD",_xlfn.XLOOKUP(IF$7,EHS!$M$6:$BM$6,EHS!$M$20:$BM$20)))</f>
        <v>2.75</v>
      </c>
      <c r="IG15" s="778">
        <f>IF(IG$7&gt;$D$3,"",IF($FA10&lt;IG$7,"OD",_xlfn.XLOOKUP(IG$7,EHS!$M$6:$BM$6,EHS!$M$20:$BM$20)))</f>
        <v>2.75</v>
      </c>
      <c r="IH15" s="778">
        <f>IF(IH$7&gt;$D$3,"",IF($FA10&lt;IH$7,"OD",_xlfn.XLOOKUP(IH$7,EHS!$M$6:$BM$6,EHS!$M$20:$BM$20)))</f>
        <v>2.75</v>
      </c>
      <c r="II15" s="778">
        <f>IF(II$7&gt;$D$3,"",IF($FA10&lt;II$7,"OD",_xlfn.XLOOKUP(II$7,EHS!$M$6:$BM$6,EHS!$M$20:$BM$20)))</f>
        <v>2.75</v>
      </c>
      <c r="IJ15" s="778">
        <f>IF(IJ$7&gt;$D$3,"",IF($FA10&lt;IJ$7,"OD",_xlfn.XLOOKUP(IJ$7,EHS!$M$6:$BM$6,EHS!$M$20:$BM$20)))</f>
        <v>2.75</v>
      </c>
      <c r="IK15" s="778">
        <f>IF(IK$7&gt;$D$3,"",IF($FA10&lt;IK$7,"OD",_xlfn.XLOOKUP(IK$7,EHS!$M$6:$BM$6,EHS!$M$20:$BM$20)))</f>
        <v>2.75</v>
      </c>
      <c r="IL15" s="778">
        <f>IF(IL$7&gt;$D$3,"",IF($FA10&lt;IL$7,"OD",_xlfn.XLOOKUP(IL$7,EHS!$M$6:$BM$6,EHS!$M$20:$BM$20)))</f>
        <v>2.75</v>
      </c>
      <c r="IM15" s="778">
        <f>IF(IM$7&gt;$D$3,"",IF($FA10&lt;IM$7,"OD",_xlfn.XLOOKUP(IM$7,EHS!$M$6:$BM$6,EHS!$M$20:$BM$20)))</f>
        <v>2.75</v>
      </c>
      <c r="IN15" s="778">
        <f>IF(IN$7&gt;$D$3,"",IF($FA10&lt;IN$7,"OD",_xlfn.XLOOKUP(IN$7,EHS!$M$6:$BM$6,EHS!$M$20:$BM$20)))</f>
        <v>2.75</v>
      </c>
      <c r="IO15" s="778">
        <f>IF(IO$7&gt;$D$3,"",IF($FA10&lt;IO$7,"OD",_xlfn.XLOOKUP(IO$7,EHS!$M$6:$BM$6,EHS!$M$20:$BM$20)))</f>
        <v>2.75</v>
      </c>
      <c r="IP15" s="778">
        <f>IF(IP$7&gt;$D$3,"",IF($FA10&lt;IP$7,"OD",_xlfn.XLOOKUP(IP$7,EHS!$M$6:$BM$6,EHS!$M$20:$BM$20)))</f>
        <v>2.75</v>
      </c>
      <c r="IQ15" s="778">
        <f>IF(IQ$7&gt;$D$3,"",IF($FA10&lt;IQ$7,"OD",_xlfn.XLOOKUP(IQ$7,EHS!$M$6:$BM$6,EHS!$M$20:$BM$20)))</f>
        <v>2.75</v>
      </c>
      <c r="IR15" s="778">
        <f>IF(IR$7&gt;$D$3,"",IF($FA10&lt;IR$7,"OD",_xlfn.XLOOKUP(IR$7,EHS!$M$6:$BM$6,EHS!$M$20:$BM$20)))</f>
        <v>2.75</v>
      </c>
      <c r="IS15" s="778">
        <f>IF(IS$7&gt;$D$3,"",IF($FA10&lt;IS$7,"OD",_xlfn.XLOOKUP(IS$7,EHS!$M$6:$BM$6,EHS!$M$20:$BM$20)))</f>
        <v>2.75</v>
      </c>
      <c r="IT15" s="778">
        <f>IF(IT$7&gt;$D$3,"",IF($FA10&lt;IT$7,"OD",_xlfn.XLOOKUP(IT$7,EHS!$M$6:$BM$6,EHS!$M$20:$BM$20)))</f>
        <v>2.75</v>
      </c>
      <c r="IU15" s="778">
        <f>IF(IU$7&gt;$D$3,"",IF($FA10&lt;IU$7,"OD",_xlfn.XLOOKUP(IU$7,EHS!$M$6:$BM$6,EHS!$M$20:$BM$20)))</f>
        <v>2.75</v>
      </c>
      <c r="IV15" s="778">
        <f>IF(IV$7&gt;$D$3,"",IF($FA10&lt;IV$7,"OD",_xlfn.XLOOKUP(IV$7,EHS!$M$6:$BM$6,EHS!$M$20:$BM$20)))</f>
        <v>2.75</v>
      </c>
      <c r="IW15" s="778">
        <f>IF(IW$7&gt;$D$3,"",IF($FA10&lt;IW$7,"OD",_xlfn.XLOOKUP(IW$7,EHS!$M$6:$BM$6,EHS!$M$20:$BM$20)))</f>
        <v>2.75</v>
      </c>
      <c r="IX15" s="778">
        <f>IF(IX$7&gt;$D$3,"",IF($FA10&lt;IX$7,"OD",_xlfn.XLOOKUP(IX$7,EHS!$M$6:$BM$6,EHS!$M$20:$BM$20)))</f>
        <v>2.75</v>
      </c>
      <c r="IY15" s="778">
        <f>IF(IY$7&gt;$D$3,"",IF($FA10&lt;IY$7,"OD",_xlfn.XLOOKUP(IY$7,EHS!$M$6:$BM$6,EHS!$M$20:$BM$20)))</f>
        <v>2.75</v>
      </c>
      <c r="IZ15" s="778" t="str">
        <f>IF(IZ$7&gt;$D$3,"",IF($FA10&lt;IZ$7,"OD",_xlfn.XLOOKUP(IZ$7,EHS!$M$6:$BM$6,EHS!$M$20:$BM$20)))</f>
        <v/>
      </c>
      <c r="JA15" s="778" t="str">
        <f>IF(JA$7&gt;$D$3,"",IF($FA10&lt;JA$7,"OD",_xlfn.XLOOKUP(JA$7,EHS!$M$6:$BM$6,EHS!$M$20:$BM$20)))</f>
        <v/>
      </c>
      <c r="JB15" s="778" t="str">
        <f>IF(JB$7&gt;$D$3,"",IF($FA10&lt;JB$7,"OD",_xlfn.XLOOKUP(JB$7,EHS!$M$6:$BM$6,EHS!$M$20:$BM$20)))</f>
        <v/>
      </c>
      <c r="JC15" s="778" t="str">
        <f>IF(JC$7&gt;$D$3,"",IF($FA10&lt;JC$7,"OD",_xlfn.XLOOKUP(JC$7,EHS!$M$6:$BM$6,EHS!$M$20:$BM$20)))</f>
        <v/>
      </c>
      <c r="JD15" s="778" t="str">
        <f>IF(JD$7&gt;$D$3,"",IF($FA10&lt;JD$7,"OD",_xlfn.XLOOKUP(JD$7,EHS!$M$6:$BM$6,EHS!$M$20:$BM$20)))</f>
        <v/>
      </c>
      <c r="JE15" s="778" t="str">
        <f>IF(JE$7&gt;$D$3,"",IF($FA10&lt;JE$7,"OD",_xlfn.XLOOKUP(JE$7,EHS!$M$6:$BM$6,EHS!$M$20:$BM$20)))</f>
        <v/>
      </c>
      <c r="JF15" s="778" t="str">
        <f>IF(JF$7&gt;$D$3,"",IF($FA10&lt;JF$7,"OD",_xlfn.XLOOKUP(JF$7,EHS!$M$6:$BM$6,EHS!$M$20:$BM$20)))</f>
        <v/>
      </c>
      <c r="JG15" s="778" t="str">
        <f>IF(JG$7&gt;$D$3,"",IF($FA10&lt;JG$7,"OD",_xlfn.XLOOKUP(JG$7,EHS!$M$6:$BM$6,EHS!$M$20:$BM$20)))</f>
        <v/>
      </c>
      <c r="JH15" s="778" t="str">
        <f>IF(JH$7&gt;$D$3,"",IF($FA10&lt;JH$7,"OD",_xlfn.XLOOKUP(JH$7,EHS!$M$6:$BM$6,EHS!$M$20:$BM$20)))</f>
        <v/>
      </c>
      <c r="JI15" s="778" t="str">
        <f>IF(JI$7&gt;$D$3,"",IF($FA10&lt;JI$7,"OD",_xlfn.XLOOKUP(JI$7,EHS!$M$6:$BM$6,EHS!$M$20:$BM$20)))</f>
        <v/>
      </c>
      <c r="JJ15" s="778" t="str">
        <f>IF(JJ$7&gt;$D$3,"",IF($FA10&lt;JJ$7,"OD",_xlfn.XLOOKUP(JJ$7,EHS!$M$6:$BM$6,EHS!$M$20:$BM$20)))</f>
        <v/>
      </c>
      <c r="JM15" s="777" t="str">
        <f>+$C15</f>
        <v>KPI C2</v>
      </c>
      <c r="JN15" s="773" t="str">
        <f>+$D15</f>
        <v>Cost</v>
      </c>
      <c r="JO15" s="773" t="str">
        <f t="shared" si="17"/>
        <v>Ratio of Gas / Elec emissions to prod Volume M2</v>
      </c>
      <c r="JP15" s="774" t="str">
        <f t="shared" si="18"/>
        <v>Ratio</v>
      </c>
      <c r="JQ15" s="774" t="s">
        <v>284</v>
      </c>
      <c r="JR15" s="778" t="str">
        <f>IFERROR(AVERAGE(FC15:$FC15),"")</f>
        <v/>
      </c>
      <c r="JS15" s="778" t="str">
        <f>IFERROR(AVERAGE($FC15:FD15),"")</f>
        <v/>
      </c>
      <c r="JT15" s="778" t="str">
        <f>IFERROR(AVERAGE($FC15:FE15),"")</f>
        <v/>
      </c>
      <c r="JU15" s="778" t="str">
        <f>IFERROR(AVERAGE($FC15:FF15),"")</f>
        <v/>
      </c>
      <c r="JV15" s="778" t="str">
        <f>IFERROR(AVERAGE($FC15:FG15),"")</f>
        <v/>
      </c>
      <c r="JW15" s="778" t="str">
        <f>IFERROR(AVERAGE($FC15:FH15),"")</f>
        <v/>
      </c>
      <c r="JX15" s="778" t="str">
        <f>IFERROR(AVERAGE($FC15:FI15),"")</f>
        <v/>
      </c>
      <c r="JY15" s="778" t="str">
        <f>IFERROR(AVERAGE($FC15:FJ15),"")</f>
        <v/>
      </c>
      <c r="JZ15" s="778" t="str">
        <f>IFERROR(AVERAGE($FC15:FK15),"")</f>
        <v/>
      </c>
      <c r="KA15" s="778" t="str">
        <f>IFERROR(AVERAGE($FC15:FL15),"")</f>
        <v/>
      </c>
      <c r="KB15" s="778" t="str">
        <f>IFERROR(AVERAGE($FC15:FM15),"")</f>
        <v/>
      </c>
      <c r="KC15" s="778" t="str">
        <f>IFERROR(AVERAGE($FC15:FN15),"")</f>
        <v/>
      </c>
      <c r="KD15" s="778" t="str">
        <f>IFERROR(AVERAGE($FC15:FO15),"")</f>
        <v/>
      </c>
      <c r="KE15" s="778">
        <f>IFERROR(AVERAGE($FC15:FP15),"")</f>
        <v>2.594117734832857</v>
      </c>
      <c r="KF15" s="778">
        <f>IFERROR(AVERAGE($FC15:FQ15),"")</f>
        <v>2.7936198526205489</v>
      </c>
      <c r="KG15" s="778">
        <f>IFERROR(AVERAGE($FC15:FR15),"")</f>
        <v>2.7741354058681273</v>
      </c>
      <c r="KH15" s="778">
        <f>IFERROR(AVERAGE($FC15:FS15),"")</f>
        <v>2.8817927002985777</v>
      </c>
      <c r="KI15" s="778">
        <f>IFERROR(AVERAGE($FC15:FT15),"")</f>
        <v>2.6134745361891838</v>
      </c>
      <c r="KJ15" s="778">
        <f>IFERROR(AVERAGE($FC15:FU15),"")</f>
        <v>2.6895621134909864</v>
      </c>
      <c r="KK15" s="778">
        <f>IFERROR(AVERAGE($FC15:FV15),"")</f>
        <v>2.5867675258494169</v>
      </c>
      <c r="KL15" s="778">
        <f>IFERROR(AVERAGE($FC15:FW15),"")</f>
        <v>2.5509215851182399</v>
      </c>
      <c r="KM15" s="778">
        <f>IFERROR(AVERAGE($FC15:FX15),"")</f>
        <v>2.5541231891925285</v>
      </c>
      <c r="KN15" s="778">
        <f>IFERROR(AVERAGE($FC15:FY15),"")</f>
        <v>2.5397108702732756</v>
      </c>
      <c r="KO15" s="778">
        <f>IFERROR(AVERAGE($FC15:FZ15),"")</f>
        <v>2.5506462457029779</v>
      </c>
      <c r="KP15" s="778">
        <f>IFERROR(AVERAGE($FC15:GA15),"")</f>
        <v>2.529759058561063</v>
      </c>
      <c r="KQ15" s="778">
        <f>IFERROR(AVERAGE($FC15:GB15),"")</f>
        <v>2.4951622079025197</v>
      </c>
      <c r="KR15" s="778">
        <f>IFERROR(AVERAGE($FC15:GC15),"")</f>
        <v>2.4869363359094829</v>
      </c>
      <c r="KS15" s="778">
        <f>IFERROR(AVERAGE($FC15:GD15),"")</f>
        <v>2.5054474501462911</v>
      </c>
      <c r="KT15" s="778">
        <f>IFERROR(AVERAGE($FC15:GE15),"")</f>
        <v>2.4563569845121478</v>
      </c>
      <c r="KU15" s="778">
        <f>IFERROR(AVERAGE($FC15:GF15),"")</f>
        <v>2.4562668452184302</v>
      </c>
      <c r="KV15" s="778">
        <f>IFERROR(AVERAGE($FC15:GG15),"")</f>
        <v>2.4466835541904683</v>
      </c>
      <c r="KW15" s="778">
        <f>IFERROR(AVERAGE($FC15:GH15),"")</f>
        <v>2.4690847579169155</v>
      </c>
      <c r="KX15" s="778">
        <f>IFERROR(AVERAGE($FC15:GI15),"")</f>
        <v>2.4488448323708889</v>
      </c>
      <c r="KY15" s="778">
        <f>IFERROR(AVERAGE($FC15:GJ15),"")</f>
        <v>2.4260426974960843</v>
      </c>
      <c r="KZ15" s="778">
        <f>IFERROR(AVERAGE($FC15:GK15),"")</f>
        <v>2.4984941828364406</v>
      </c>
      <c r="LA15" s="778">
        <f>IFERROR(AVERAGE($FC15:GL15),"")</f>
        <v>2.4933422618435519</v>
      </c>
      <c r="LB15" s="778">
        <f>IFERROR(AVERAGE($FC15:GM15),"")</f>
        <v>2.4886196676000707</v>
      </c>
      <c r="LC15" s="778">
        <f>IFERROR(AVERAGE($FC15:GN15),"")</f>
        <v>2.4870748808960683</v>
      </c>
      <c r="LD15" s="778">
        <f>IFERROR(AVERAGE($FC15:GO15),"")</f>
        <v>2.4937258470154502</v>
      </c>
      <c r="LE15" s="778">
        <f>IFERROR(AVERAGE($FC15:GP15),"")</f>
        <v>2.4961804452741374</v>
      </c>
      <c r="LF15" s="778">
        <f>IFERROR(AVERAGE($FC15:GQ15),"")</f>
        <v>2.500959715085775</v>
      </c>
      <c r="LG15" s="778">
        <f>IFERROR(AVERAGE($FC15:GR15),"")</f>
        <v>2.4147197249104035</v>
      </c>
      <c r="LH15" s="778">
        <f>IFERROR(AVERAGE($FC15:GS15),"")</f>
        <v>2.4147197249104035</v>
      </c>
      <c r="LI15" s="778">
        <f>IFERROR(AVERAGE($FC15:GT15),"")</f>
        <v>2.4147197249104035</v>
      </c>
      <c r="LJ15" s="778">
        <f>IFERROR(AVERAGE($FC15:GU15),"")</f>
        <v>2.4147197249104035</v>
      </c>
      <c r="LK15" s="778">
        <f>IFERROR(AVERAGE($FC15:GV15),"")</f>
        <v>2.4147197249104035</v>
      </c>
      <c r="LL15" s="778">
        <f>IFERROR(AVERAGE($FC15:GW15),"")</f>
        <v>2.4147197249104035</v>
      </c>
      <c r="LM15" s="778">
        <f>IFERROR(AVERAGE($FC15:GX15),"")</f>
        <v>2.4147197249104035</v>
      </c>
      <c r="LN15" s="778">
        <f>IFERROR(AVERAGE($FC15:GY15),"")</f>
        <v>2.4147197249104035</v>
      </c>
      <c r="LO15" s="778">
        <f>IFERROR(AVERAGE($FC15:GZ15),"")</f>
        <v>2.4147197249104035</v>
      </c>
      <c r="LP15" s="778">
        <f>IFERROR(AVERAGE($FC15:HA15),"")</f>
        <v>2.4147197249104035</v>
      </c>
      <c r="LQ15" s="778">
        <f>IFERROR(AVERAGE($FC15:HB15),"")</f>
        <v>2.4147197249104035</v>
      </c>
      <c r="LR15" s="778">
        <f>IFERROR(AVERAGE($FC15:HC15),"")</f>
        <v>2.4147197249104035</v>
      </c>
      <c r="LT15" s="777" t="str">
        <f>+$C15</f>
        <v>KPI C2</v>
      </c>
      <c r="LU15" s="773" t="str">
        <f>+$D15</f>
        <v>Cost</v>
      </c>
      <c r="LV15" s="773" t="str">
        <f t="shared" si="20"/>
        <v>Ratio of Gas / Elec emissions to prod Volume M2</v>
      </c>
      <c r="LW15" s="774" t="str">
        <f t="shared" si="21"/>
        <v>Ratio</v>
      </c>
      <c r="LX15" s="774" t="s">
        <v>285</v>
      </c>
      <c r="LY15" s="775">
        <f>IFERROR(AVERAGE($HJ15:HJ15),"")</f>
        <v>0</v>
      </c>
      <c r="LZ15" s="775">
        <f>IFERROR(IF(LAD$7&gt;$D$3,"",AVERAGE($HJ15:HK15)),"")</f>
        <v>0</v>
      </c>
      <c r="MA15" s="775">
        <f>IFERROR(IF(MA$7&gt;$D$3,"",AVERAGE($HJ15:HL15)),"")</f>
        <v>0</v>
      </c>
      <c r="MB15" s="775">
        <f>IFERROR(IF(MB$7&gt;$D$3,"",AVERAGE($HJ15:HM15)),"")</f>
        <v>0</v>
      </c>
      <c r="MC15" s="775">
        <f>IFERROR(IF(MC$7&gt;$D$3,"",AVERAGE($HJ15:HN15)),"")</f>
        <v>0</v>
      </c>
      <c r="MD15" s="775">
        <f>IFERROR(IF(MD$7&gt;$D$3,"",AVERAGE($HJ15:HO15)),"")</f>
        <v>0</v>
      </c>
      <c r="ME15" s="775">
        <f>IFERROR(IF(ME$7&gt;$D$3,"",AVERAGE($HJ15:HP15)),"")</f>
        <v>0</v>
      </c>
      <c r="MF15" s="775">
        <f>IFERROR(IF(MF$7&gt;$D$3,"",AVERAGE($HJ15:HQ15)),"")</f>
        <v>0</v>
      </c>
      <c r="MG15" s="775">
        <f>IFERROR(IF(MG$7&gt;$D$3,"",AVERAGE($HJ15:HR15)),"")</f>
        <v>0</v>
      </c>
      <c r="MH15" s="775">
        <f>IFERROR(IF(MH$7&gt;$D$3,"",AVERAGE($HJ15:HS15)),"")</f>
        <v>0</v>
      </c>
      <c r="MI15" s="775">
        <f>IFERROR(IF(MI$7&gt;$D$3,"",AVERAGE($HJ15:HT15)),"")</f>
        <v>0</v>
      </c>
      <c r="MJ15" s="775">
        <f>IFERROR(IF(MJ$7&gt;$D$3,"",AVERAGE($HJ15:HU15)),"")</f>
        <v>0</v>
      </c>
      <c r="MK15" s="775">
        <f>IFERROR(IF(MK$7&gt;$D$3,"",AVERAGE($HJ15:HV15)),"")</f>
        <v>0</v>
      </c>
      <c r="ML15" s="775">
        <f>IFERROR(IF(ML$7&gt;$D$3,"",AVERAGE($HJ15:HW15)),"")</f>
        <v>0.19642857142857142</v>
      </c>
      <c r="MM15" s="775">
        <f>IFERROR(IF(MM$7&gt;$D$3,"",AVERAGE($HJ15:HX15)),"")</f>
        <v>0.36666666666666664</v>
      </c>
      <c r="MN15" s="775">
        <f>IFERROR(IF(MN$7&gt;$D$3,"",AVERAGE($HJ15:HY15)),"")</f>
        <v>0.515625</v>
      </c>
      <c r="MO15" s="775">
        <f>IFERROR(IF(MO$7&gt;$D$3,"",AVERAGE($HJ15:HZ15)),"")</f>
        <v>0.6470588235294118</v>
      </c>
      <c r="MP15" s="775">
        <f>IFERROR(IF(MP$7&gt;$D$3,"",AVERAGE($HJ15:IA15)),"")</f>
        <v>0.76388888888888884</v>
      </c>
      <c r="MQ15" s="775">
        <f>IFERROR(IF(MQ$7&gt;$D$3,"",AVERAGE($HJ15:IB15)),"")</f>
        <v>0.86842105263157898</v>
      </c>
      <c r="MR15" s="775">
        <f>IFERROR(IF(MR$7&gt;$D$3,"",AVERAGE($HJ15:IC15)),"")</f>
        <v>0.96250000000000002</v>
      </c>
      <c r="MS15" s="775">
        <f>IFERROR(IF(MS$7&gt;$D$3,"",AVERAGE($HJ15:ID15)),"")</f>
        <v>1.0476190476190477</v>
      </c>
      <c r="MT15" s="775">
        <f>IFERROR(IF(MT$7&gt;$D$3,"",AVERAGE($HJ15:IE15)),"")</f>
        <v>1.125</v>
      </c>
      <c r="MU15" s="775">
        <f>IFERROR(IF(MU$7&gt;$D$3,"",AVERAGE($HJ15:IF15)),"")</f>
        <v>1.1956521739130435</v>
      </c>
      <c r="MV15" s="775">
        <f>IFERROR(IF(MV$7&gt;$D$3,"",AVERAGE($HJ15:IG15)),"")</f>
        <v>1.2604166666666667</v>
      </c>
      <c r="MW15" s="775">
        <f>IFERROR(IF(MW$7&gt;$D$3,"",AVERAGE($HJ15:IH15)),"")</f>
        <v>1.32</v>
      </c>
      <c r="MX15" s="775">
        <f>IFERROR(IF(MX$7&gt;$D$3,"",AVERAGE($HJ15:II15)),"")</f>
        <v>1.375</v>
      </c>
      <c r="MY15" s="775">
        <f>IFERROR(IF(MY$7&gt;$D$3,"",AVERAGE($HJ15:IJ15)),"")</f>
        <v>1.4259259259259258</v>
      </c>
      <c r="MZ15" s="775">
        <f>IFERROR(IF(MZ$7&gt;$D$3,"",AVERAGE($HJ15:IK15)),"")</f>
        <v>1.4732142857142858</v>
      </c>
      <c r="NA15" s="775">
        <f>IFERROR(IF(NA$7&gt;$D$3,"",AVERAGE($HJ15:IL15)),"")</f>
        <v>1.5172413793103448</v>
      </c>
      <c r="NB15" s="775">
        <f>IFERROR(IF(NB$7&gt;$D$3,"",AVERAGE($HJ15:IM15)),"")</f>
        <v>1.5583333333333333</v>
      </c>
      <c r="NC15" s="775">
        <f>IFERROR(IF(NC$7&gt;$D$3,"",AVERAGE($HJ15:IN15)),"")</f>
        <v>1.596774193548387</v>
      </c>
      <c r="ND15" s="775">
        <f>IFERROR(IF(ND$7&gt;$D$3,"",AVERAGE($HJ15:IO15)),"")</f>
        <v>1.6328125</v>
      </c>
      <c r="NE15" s="775">
        <f>IFERROR(IF(NE$7&gt;$D$3,"",AVERAGE($HJ15:IP15)),"")</f>
        <v>1.6666666666666667</v>
      </c>
      <c r="NF15" s="775">
        <f>IFERROR(IF(NF$7&gt;$D$3,"",AVERAGE($HJ15:IQ15)),"")</f>
        <v>1.6985294117647058</v>
      </c>
      <c r="NG15" s="775">
        <f>IFERROR(IF(NG$7&gt;$D$3,"",AVERAGE($HJ15:IR15)),"")</f>
        <v>1.7285714285714286</v>
      </c>
      <c r="NH15" s="775">
        <f>IFERROR(IF(NH$7&gt;$D$3,"",AVERAGE($HJ15:IS15)),"")</f>
        <v>1.7569444444444444</v>
      </c>
      <c r="NI15" s="775">
        <f>IFERROR(IF(NI$7&gt;$D$3,"",AVERAGE($HJ15:IT15)),"")</f>
        <v>1.7837837837837838</v>
      </c>
      <c r="NJ15" s="775">
        <f>IFERROR(IF(NJ$7&gt;$D$3,"",AVERAGE($HJ15:IU15)),"")</f>
        <v>1.8092105263157894</v>
      </c>
      <c r="NK15" s="775">
        <f>IFERROR(IF(NK$7&gt;$D$3,"",AVERAGE($HJ15:IV15)),"")</f>
        <v>1.8333333333333333</v>
      </c>
      <c r="NL15" s="775">
        <f>IFERROR(IF(NL$7&gt;$D$3,"",AVERAGE($HJ15:IW15)),"")</f>
        <v>1.85625</v>
      </c>
      <c r="NM15" s="775">
        <f>IFERROR(IF(NM$7&gt;$D$3,"",AVERAGE($HJ15:IX15)),"")</f>
        <v>1.8780487804878048</v>
      </c>
      <c r="NN15" s="775">
        <f>IFERROR(IF(NN$7&gt;$D$3,"",AVERAGE($HJ15:IY15)),"")</f>
        <v>1.8988095238095237</v>
      </c>
      <c r="NO15" s="775" t="str">
        <f>IFERROR(IF(NO$7&gt;$D$3,"",AVERAGE($HJ15:IZ15)),"")</f>
        <v/>
      </c>
      <c r="NP15" s="775" t="str">
        <f>IFERROR(IF(NP$7&gt;$D$3,"",AVERAGE($HJ15:JA15)),"")</f>
        <v/>
      </c>
      <c r="NQ15" s="775" t="str">
        <f>IFERROR(IF(NQ$7&gt;$D$3,"",AVERAGE($HJ15:JB15)),"")</f>
        <v/>
      </c>
      <c r="NR15" s="775" t="str">
        <f>IFERROR(IF(NR$7&gt;$D$3,"",AVERAGE($HJ15:JC15)),"")</f>
        <v/>
      </c>
      <c r="NS15" s="775" t="str">
        <f>IFERROR(IF(NS$7&gt;$D$3,"",AVERAGE($HJ15:JD15)),"")</f>
        <v/>
      </c>
      <c r="NT15" s="775" t="str">
        <f>IFERROR(IF(NT$7&gt;$D$3,"",AVERAGE($HJ15:JE15)),"")</f>
        <v/>
      </c>
      <c r="NU15" s="775" t="str">
        <f>IFERROR(IF(NU$7&gt;$D$3,"",AVERAGE($HJ15:JF15)),"")</f>
        <v/>
      </c>
      <c r="NV15" s="775" t="str">
        <f>IFERROR(IF(NV$7&gt;$D$3,"",AVERAGE($HJ15:JG15)),"")</f>
        <v/>
      </c>
      <c r="NW15" s="775" t="str">
        <f>IFERROR(IF(NW$7&gt;$D$3,"",AVERAGE($HJ15:JH15)),"")</f>
        <v/>
      </c>
      <c r="NX15" s="775" t="str">
        <f>IFERROR(IF(NX$7&gt;$D$3,"",AVERAGE($HJ15:JI15)),"")</f>
        <v/>
      </c>
      <c r="NY15" s="775" t="str">
        <f>IFERROR(IF(NY$7&gt;$D$3,"",AVERAGE($HJ15:JJ15)),"")</f>
        <v/>
      </c>
    </row>
    <row r="16" spans="1:389" ht="15" thickBot="1" x14ac:dyDescent="0.35">
      <c r="AB16" s="292"/>
      <c r="AH16" s="465"/>
      <c r="AN16" s="201"/>
      <c r="CO16" s="465"/>
      <c r="CV16" s="316"/>
      <c r="CW16" s="316"/>
      <c r="CX16" s="316"/>
      <c r="CY16" s="316"/>
      <c r="CZ16" s="316"/>
      <c r="DA16" s="316"/>
      <c r="DB16" s="316"/>
      <c r="DC16" s="316"/>
      <c r="DD16" s="316"/>
      <c r="DE16" s="316"/>
      <c r="DF16" s="316"/>
      <c r="DG16" s="316"/>
      <c r="DH16" s="316"/>
      <c r="DI16" s="316"/>
      <c r="DJ16" s="316"/>
      <c r="DK16" s="316"/>
      <c r="DL16" s="316"/>
      <c r="DM16" s="316"/>
      <c r="DN16" s="316"/>
      <c r="DO16" s="316"/>
      <c r="DP16" s="316"/>
      <c r="DQ16" s="316"/>
      <c r="DR16" s="316"/>
      <c r="DS16" s="316"/>
      <c r="DT16" s="316"/>
      <c r="DU16" s="316"/>
      <c r="DV16" s="316"/>
      <c r="DW16" s="316"/>
      <c r="DX16" s="316"/>
      <c r="DY16" s="316"/>
      <c r="DZ16" s="316"/>
      <c r="EA16" s="316"/>
      <c r="EB16" s="316"/>
      <c r="EC16" s="316"/>
      <c r="ED16" s="316"/>
      <c r="EE16" s="316"/>
      <c r="EF16" s="316"/>
      <c r="EG16" s="316"/>
      <c r="EH16" s="316"/>
      <c r="EI16" s="316"/>
      <c r="EJ16" s="316"/>
      <c r="EK16" s="316"/>
      <c r="EL16" s="316"/>
      <c r="EM16" s="316"/>
      <c r="EN16" s="316"/>
      <c r="EO16" s="316"/>
      <c r="EP16" s="316"/>
      <c r="EQ16" s="316"/>
      <c r="ER16" s="316"/>
      <c r="ES16" s="316"/>
      <c r="ET16" s="316"/>
      <c r="EU16" s="316"/>
      <c r="EW16" s="465"/>
      <c r="FC16" s="201"/>
      <c r="FD16" s="201"/>
      <c r="FE16" s="201"/>
      <c r="FF16" s="201"/>
      <c r="FG16" s="201"/>
      <c r="FH16" s="201"/>
      <c r="FI16" s="201"/>
      <c r="FJ16" s="201"/>
      <c r="FK16" s="201"/>
      <c r="FL16" s="201"/>
      <c r="FM16" s="201"/>
      <c r="FN16" s="201"/>
      <c r="FO16" s="201"/>
      <c r="FP16" s="201"/>
      <c r="FQ16" s="201"/>
      <c r="FR16" s="201"/>
      <c r="FS16" s="201"/>
      <c r="FT16" s="201"/>
      <c r="FU16" s="201"/>
      <c r="FV16" s="201"/>
      <c r="FW16" s="201"/>
      <c r="FX16" s="201"/>
      <c r="FY16" s="201"/>
      <c r="FZ16" s="201"/>
      <c r="GA16" s="201"/>
      <c r="GB16" s="201"/>
      <c r="GC16" s="201"/>
      <c r="GD16" s="201"/>
      <c r="GE16" s="201"/>
      <c r="GF16" s="201"/>
      <c r="GG16" s="201"/>
      <c r="GH16" s="201"/>
      <c r="GI16" s="201"/>
      <c r="GJ16" s="201"/>
      <c r="GK16" s="201"/>
      <c r="GL16" s="201"/>
      <c r="GM16" s="201"/>
      <c r="GN16" s="201"/>
      <c r="GO16" s="201"/>
      <c r="GP16" s="201"/>
      <c r="GQ16" s="201"/>
      <c r="GR16" s="201"/>
      <c r="GS16" s="201"/>
      <c r="GT16" s="201"/>
      <c r="GU16" s="201"/>
      <c r="GV16" s="201"/>
      <c r="GW16" s="201"/>
      <c r="GX16" s="201"/>
      <c r="GY16" s="201"/>
      <c r="GZ16" s="201"/>
      <c r="HA16" s="201"/>
      <c r="HB16" s="201"/>
      <c r="HC16" s="201"/>
      <c r="HJ16" s="201"/>
      <c r="HK16" s="201"/>
      <c r="HL16" s="249"/>
      <c r="HM16" s="249"/>
      <c r="HN16" s="249"/>
      <c r="HO16" s="249"/>
      <c r="HP16" s="249"/>
      <c r="HQ16" s="249"/>
      <c r="HR16" s="249"/>
      <c r="HS16" s="249"/>
      <c r="HT16" s="249"/>
      <c r="HU16" s="249"/>
      <c r="HV16" s="249"/>
      <c r="HW16" s="249"/>
      <c r="HX16" s="249"/>
      <c r="HY16" s="249"/>
      <c r="HZ16" s="249"/>
      <c r="IA16" s="249"/>
      <c r="IB16" s="249"/>
      <c r="IC16" s="249"/>
      <c r="ID16" s="249"/>
      <c r="IE16" s="249"/>
      <c r="IF16" s="249"/>
      <c r="IG16" s="249"/>
      <c r="IH16" s="249"/>
      <c r="II16" s="249"/>
      <c r="IJ16" s="249"/>
      <c r="IK16" s="249"/>
      <c r="IL16" s="249"/>
      <c r="IM16" s="249"/>
      <c r="IN16" s="249"/>
      <c r="IO16" s="249"/>
      <c r="IP16" s="249"/>
      <c r="IQ16" s="249"/>
      <c r="IR16" s="249"/>
      <c r="IS16" s="249"/>
      <c r="IT16" s="249"/>
      <c r="IU16" s="249"/>
      <c r="IV16" s="249"/>
      <c r="IW16" s="249"/>
      <c r="IX16" s="249"/>
      <c r="IY16" s="249"/>
      <c r="IZ16" s="249"/>
      <c r="JA16" s="249"/>
      <c r="JB16" s="249"/>
      <c r="JC16" s="249"/>
      <c r="JD16" s="249"/>
      <c r="JE16" s="249"/>
      <c r="JF16" s="249"/>
      <c r="JG16" s="249"/>
      <c r="JH16" s="249"/>
      <c r="JI16" s="249"/>
      <c r="JJ16" s="249"/>
      <c r="JR16" s="249"/>
      <c r="JS16" s="249"/>
      <c r="JT16" s="249"/>
      <c r="JU16" s="249"/>
      <c r="JV16" s="249"/>
      <c r="JW16" s="249"/>
      <c r="JX16" s="249"/>
      <c r="JY16" s="249"/>
      <c r="JZ16" s="249"/>
      <c r="KA16" s="249"/>
      <c r="KB16" s="249"/>
      <c r="KC16" s="249"/>
      <c r="KD16" s="249"/>
      <c r="KE16" s="249"/>
      <c r="KF16" s="249"/>
      <c r="KG16" s="249"/>
      <c r="KH16" s="249"/>
      <c r="KI16" s="249"/>
      <c r="KJ16" s="249"/>
      <c r="KK16" s="249"/>
      <c r="KL16" s="249"/>
      <c r="KM16" s="249"/>
      <c r="KN16" s="249"/>
      <c r="KO16" s="249"/>
      <c r="KP16" s="249"/>
      <c r="KQ16" s="249"/>
      <c r="KR16" s="249"/>
      <c r="KS16" s="249"/>
      <c r="KT16" s="249"/>
      <c r="KU16" s="249"/>
      <c r="KV16" s="249"/>
      <c r="KW16" s="249"/>
      <c r="KX16" s="249"/>
      <c r="KY16" s="249"/>
      <c r="KZ16" s="249"/>
      <c r="LA16" s="249"/>
      <c r="LB16" s="249"/>
      <c r="LC16" s="249"/>
      <c r="LD16" s="249"/>
      <c r="LE16" s="249"/>
      <c r="LF16" s="249"/>
      <c r="LG16" s="249"/>
      <c r="LH16" s="249"/>
      <c r="LI16" s="249"/>
      <c r="LJ16" s="249"/>
      <c r="LK16" s="249"/>
      <c r="LL16" s="249"/>
      <c r="LM16" s="249"/>
      <c r="LN16" s="249"/>
      <c r="LO16" s="249"/>
      <c r="LP16" s="249"/>
      <c r="LQ16" s="249"/>
      <c r="LR16" s="249"/>
      <c r="LY16" s="201"/>
      <c r="LZ16" s="201"/>
      <c r="MA16" s="201"/>
      <c r="MB16" s="201"/>
      <c r="MC16" s="201"/>
      <c r="MD16" s="201"/>
      <c r="ME16" s="201"/>
      <c r="MF16" s="201"/>
      <c r="MG16" s="201"/>
      <c r="MH16" s="201"/>
      <c r="MI16" s="201"/>
      <c r="MJ16" s="201"/>
      <c r="MK16" s="201"/>
      <c r="ML16" s="201"/>
      <c r="MM16" s="201"/>
      <c r="MN16" s="201"/>
      <c r="MO16" s="201"/>
      <c r="MP16" s="201"/>
      <c r="MQ16" s="201"/>
      <c r="MR16" s="201"/>
      <c r="MS16" s="201"/>
      <c r="MT16" s="201"/>
      <c r="MU16" s="201"/>
      <c r="MV16" s="201"/>
      <c r="MW16" s="201"/>
      <c r="MX16" s="201"/>
      <c r="MY16" s="201"/>
      <c r="MZ16" s="201"/>
      <c r="NA16" s="201"/>
      <c r="NB16" s="201"/>
      <c r="NC16" s="201"/>
      <c r="ND16" s="201"/>
      <c r="NE16" s="201"/>
      <c r="NF16" s="201"/>
      <c r="NG16" s="201"/>
      <c r="NH16" s="201"/>
      <c r="NI16" s="201"/>
      <c r="NJ16" s="201"/>
      <c r="NK16" s="201"/>
      <c r="NL16" s="201"/>
      <c r="NM16" s="201"/>
      <c r="NN16" s="201"/>
      <c r="NO16" s="201"/>
      <c r="NP16" s="201"/>
      <c r="NQ16" s="201"/>
      <c r="NR16" s="201"/>
      <c r="NS16" s="201"/>
      <c r="NT16" s="201"/>
      <c r="NU16" s="201"/>
      <c r="NV16" s="201"/>
      <c r="NW16" s="201"/>
      <c r="NX16" s="201"/>
      <c r="NY16" s="201"/>
    </row>
    <row r="17" spans="1:389" ht="15" thickBot="1" x14ac:dyDescent="0.35">
      <c r="B17" s="180" t="str">
        <f>+'KPI Stats'!B16</f>
        <v>Estimating</v>
      </c>
      <c r="C17" s="133" t="str">
        <f>+'KPI Stats'!C16</f>
        <v>Julian Sparrow</v>
      </c>
      <c r="D17" s="134"/>
      <c r="E17" s="141" t="str">
        <f>+'KPI Stats'!E16</f>
        <v>Completed to Week</v>
      </c>
      <c r="F17" s="141">
        <f>+'KPI Stats'!F16</f>
        <v>42</v>
      </c>
      <c r="G17" s="181" t="s">
        <v>506</v>
      </c>
      <c r="J17" s="181" t="str">
        <f>+$B17</f>
        <v>Estimating</v>
      </c>
      <c r="K17" s="181"/>
      <c r="L17" s="182"/>
      <c r="M17" s="183"/>
      <c r="P17" s="181" t="str">
        <f>+$B17</f>
        <v>Estimating</v>
      </c>
      <c r="Q17" s="181"/>
      <c r="R17" s="181"/>
      <c r="S17" s="183"/>
      <c r="T17" s="183"/>
      <c r="U17" s="291"/>
      <c r="X17" s="181" t="str">
        <f>+$B17</f>
        <v>Estimating</v>
      </c>
      <c r="Y17" s="181"/>
      <c r="Z17" s="181"/>
      <c r="AA17" s="183"/>
      <c r="AB17" s="291"/>
      <c r="AC17" s="181" t="str">
        <f>+$B17</f>
        <v>Estimating</v>
      </c>
      <c r="AD17" s="181"/>
      <c r="AE17" s="181"/>
      <c r="AF17" s="183"/>
      <c r="AH17" s="465"/>
      <c r="AI17" s="191" t="str">
        <f>+B18</f>
        <v>Estimating</v>
      </c>
      <c r="AJ17" s="192"/>
      <c r="AK17" s="141" t="str">
        <f t="shared" ref="AK17:AL21" si="36">+E17</f>
        <v>Completed to Week</v>
      </c>
      <c r="AL17" s="141">
        <f t="shared" si="36"/>
        <v>42</v>
      </c>
      <c r="AM17" s="181" t="str">
        <f t="shared" ref="AM17:BR17" si="37">+$B17</f>
        <v>Estimating</v>
      </c>
      <c r="AN17" s="197" t="str">
        <f t="shared" si="37"/>
        <v>Estimating</v>
      </c>
      <c r="AO17" s="181" t="str">
        <f t="shared" si="37"/>
        <v>Estimating</v>
      </c>
      <c r="AP17" s="181" t="str">
        <f t="shared" si="37"/>
        <v>Estimating</v>
      </c>
      <c r="AQ17" s="181" t="str">
        <f t="shared" si="37"/>
        <v>Estimating</v>
      </c>
      <c r="AR17" s="181" t="str">
        <f t="shared" si="37"/>
        <v>Estimating</v>
      </c>
      <c r="AS17" s="181" t="str">
        <f t="shared" si="37"/>
        <v>Estimating</v>
      </c>
      <c r="AT17" s="181" t="str">
        <f t="shared" si="37"/>
        <v>Estimating</v>
      </c>
      <c r="AU17" s="181" t="str">
        <f t="shared" si="37"/>
        <v>Estimating</v>
      </c>
      <c r="AV17" s="181" t="str">
        <f t="shared" si="37"/>
        <v>Estimating</v>
      </c>
      <c r="AW17" s="181" t="str">
        <f t="shared" si="37"/>
        <v>Estimating</v>
      </c>
      <c r="AX17" s="181" t="str">
        <f t="shared" si="37"/>
        <v>Estimating</v>
      </c>
      <c r="AY17" s="181" t="str">
        <f t="shared" si="37"/>
        <v>Estimating</v>
      </c>
      <c r="AZ17" s="181" t="str">
        <f t="shared" si="37"/>
        <v>Estimating</v>
      </c>
      <c r="BA17" s="181" t="str">
        <f t="shared" si="37"/>
        <v>Estimating</v>
      </c>
      <c r="BB17" s="181" t="str">
        <f t="shared" si="37"/>
        <v>Estimating</v>
      </c>
      <c r="BC17" s="181" t="str">
        <f t="shared" si="37"/>
        <v>Estimating</v>
      </c>
      <c r="BD17" s="181" t="str">
        <f t="shared" si="37"/>
        <v>Estimating</v>
      </c>
      <c r="BE17" s="181" t="str">
        <f t="shared" si="37"/>
        <v>Estimating</v>
      </c>
      <c r="BF17" s="181" t="str">
        <f t="shared" si="37"/>
        <v>Estimating</v>
      </c>
      <c r="BG17" s="181" t="str">
        <f t="shared" si="37"/>
        <v>Estimating</v>
      </c>
      <c r="BH17" s="181" t="str">
        <f t="shared" si="37"/>
        <v>Estimating</v>
      </c>
      <c r="BI17" s="181" t="str">
        <f t="shared" si="37"/>
        <v>Estimating</v>
      </c>
      <c r="BJ17" s="181" t="str">
        <f t="shared" si="37"/>
        <v>Estimating</v>
      </c>
      <c r="BK17" s="181" t="str">
        <f t="shared" si="37"/>
        <v>Estimating</v>
      </c>
      <c r="BL17" s="181" t="str">
        <f t="shared" si="37"/>
        <v>Estimating</v>
      </c>
      <c r="BM17" s="181" t="str">
        <f t="shared" si="37"/>
        <v>Estimating</v>
      </c>
      <c r="BN17" s="181" t="str">
        <f t="shared" si="37"/>
        <v>Estimating</v>
      </c>
      <c r="BO17" s="181" t="str">
        <f t="shared" si="37"/>
        <v>Estimating</v>
      </c>
      <c r="BP17" s="181" t="str">
        <f t="shared" si="37"/>
        <v>Estimating</v>
      </c>
      <c r="BQ17" s="181" t="str">
        <f t="shared" si="37"/>
        <v>Estimating</v>
      </c>
      <c r="BR17" s="181" t="str">
        <f t="shared" si="37"/>
        <v>Estimating</v>
      </c>
      <c r="BS17" s="181" t="str">
        <f t="shared" ref="BS17:CM17" si="38">+$B17</f>
        <v>Estimating</v>
      </c>
      <c r="BT17" s="181" t="str">
        <f t="shared" si="38"/>
        <v>Estimating</v>
      </c>
      <c r="BU17" s="181" t="str">
        <f t="shared" si="38"/>
        <v>Estimating</v>
      </c>
      <c r="BV17" s="181" t="str">
        <f t="shared" si="38"/>
        <v>Estimating</v>
      </c>
      <c r="BW17" s="181" t="str">
        <f t="shared" si="38"/>
        <v>Estimating</v>
      </c>
      <c r="BX17" s="181" t="str">
        <f t="shared" si="38"/>
        <v>Estimating</v>
      </c>
      <c r="BY17" s="181" t="str">
        <f t="shared" si="38"/>
        <v>Estimating</v>
      </c>
      <c r="BZ17" s="181" t="str">
        <f t="shared" si="38"/>
        <v>Estimating</v>
      </c>
      <c r="CA17" s="181" t="str">
        <f t="shared" si="38"/>
        <v>Estimating</v>
      </c>
      <c r="CB17" s="181" t="str">
        <f t="shared" si="38"/>
        <v>Estimating</v>
      </c>
      <c r="CC17" s="181" t="str">
        <f t="shared" si="38"/>
        <v>Estimating</v>
      </c>
      <c r="CD17" s="181" t="str">
        <f t="shared" si="38"/>
        <v>Estimating</v>
      </c>
      <c r="CE17" s="181" t="str">
        <f t="shared" si="38"/>
        <v>Estimating</v>
      </c>
      <c r="CF17" s="181" t="str">
        <f t="shared" si="38"/>
        <v>Estimating</v>
      </c>
      <c r="CG17" s="181" t="str">
        <f t="shared" si="38"/>
        <v>Estimating</v>
      </c>
      <c r="CH17" s="181" t="str">
        <f t="shared" si="38"/>
        <v>Estimating</v>
      </c>
      <c r="CI17" s="181" t="str">
        <f t="shared" si="38"/>
        <v>Estimating</v>
      </c>
      <c r="CJ17" s="181" t="str">
        <f t="shared" si="38"/>
        <v>Estimating</v>
      </c>
      <c r="CK17" s="181" t="str">
        <f t="shared" si="38"/>
        <v>Estimating</v>
      </c>
      <c r="CL17" s="181" t="str">
        <f t="shared" si="38"/>
        <v>Estimating</v>
      </c>
      <c r="CM17" s="181" t="str">
        <f t="shared" si="38"/>
        <v>Estimating</v>
      </c>
      <c r="CO17" s="465"/>
      <c r="CP17" s="191" t="str">
        <f>+B18</f>
        <v>Estimating</v>
      </c>
      <c r="CQ17" s="192"/>
      <c r="CR17" s="141" t="str">
        <f>+E17</f>
        <v>Completed to Week</v>
      </c>
      <c r="CS17" s="141">
        <f>+F17</f>
        <v>42</v>
      </c>
      <c r="CT17" s="167" t="str">
        <f>+G17</f>
        <v>Weekly KPI</v>
      </c>
      <c r="CU17" s="322" t="str">
        <f t="shared" ref="CU17:EU17" si="39">+$B17</f>
        <v>Estimating</v>
      </c>
      <c r="CV17" s="317" t="str">
        <f t="shared" si="39"/>
        <v>Estimating</v>
      </c>
      <c r="CW17" s="317" t="str">
        <f t="shared" si="39"/>
        <v>Estimating</v>
      </c>
      <c r="CX17" s="317" t="str">
        <f t="shared" si="39"/>
        <v>Estimating</v>
      </c>
      <c r="CY17" s="317" t="str">
        <f t="shared" si="39"/>
        <v>Estimating</v>
      </c>
      <c r="CZ17" s="317" t="str">
        <f t="shared" si="39"/>
        <v>Estimating</v>
      </c>
      <c r="DA17" s="317" t="str">
        <f t="shared" si="39"/>
        <v>Estimating</v>
      </c>
      <c r="DB17" s="317" t="str">
        <f t="shared" si="39"/>
        <v>Estimating</v>
      </c>
      <c r="DC17" s="317" t="str">
        <f t="shared" si="39"/>
        <v>Estimating</v>
      </c>
      <c r="DD17" s="317" t="str">
        <f t="shared" si="39"/>
        <v>Estimating</v>
      </c>
      <c r="DE17" s="317" t="str">
        <f t="shared" si="39"/>
        <v>Estimating</v>
      </c>
      <c r="DF17" s="317" t="str">
        <f t="shared" si="39"/>
        <v>Estimating</v>
      </c>
      <c r="DG17" s="317" t="str">
        <f t="shared" si="39"/>
        <v>Estimating</v>
      </c>
      <c r="DH17" s="317" t="str">
        <f t="shared" si="39"/>
        <v>Estimating</v>
      </c>
      <c r="DI17" s="317" t="str">
        <f t="shared" si="39"/>
        <v>Estimating</v>
      </c>
      <c r="DJ17" s="317" t="str">
        <f t="shared" si="39"/>
        <v>Estimating</v>
      </c>
      <c r="DK17" s="317" t="str">
        <f t="shared" si="39"/>
        <v>Estimating</v>
      </c>
      <c r="DL17" s="317" t="str">
        <f t="shared" si="39"/>
        <v>Estimating</v>
      </c>
      <c r="DM17" s="317" t="str">
        <f t="shared" si="39"/>
        <v>Estimating</v>
      </c>
      <c r="DN17" s="317" t="str">
        <f t="shared" si="39"/>
        <v>Estimating</v>
      </c>
      <c r="DO17" s="317" t="str">
        <f t="shared" si="39"/>
        <v>Estimating</v>
      </c>
      <c r="DP17" s="317" t="str">
        <f t="shared" si="39"/>
        <v>Estimating</v>
      </c>
      <c r="DQ17" s="317" t="str">
        <f t="shared" si="39"/>
        <v>Estimating</v>
      </c>
      <c r="DR17" s="317" t="str">
        <f t="shared" si="39"/>
        <v>Estimating</v>
      </c>
      <c r="DS17" s="317" t="str">
        <f t="shared" si="39"/>
        <v>Estimating</v>
      </c>
      <c r="DT17" s="317" t="str">
        <f t="shared" si="39"/>
        <v>Estimating</v>
      </c>
      <c r="DU17" s="317" t="str">
        <f t="shared" si="39"/>
        <v>Estimating</v>
      </c>
      <c r="DV17" s="317" t="str">
        <f t="shared" si="39"/>
        <v>Estimating</v>
      </c>
      <c r="DW17" s="317" t="str">
        <f t="shared" si="39"/>
        <v>Estimating</v>
      </c>
      <c r="DX17" s="317" t="str">
        <f t="shared" si="39"/>
        <v>Estimating</v>
      </c>
      <c r="DY17" s="317" t="str">
        <f t="shared" si="39"/>
        <v>Estimating</v>
      </c>
      <c r="DZ17" s="317" t="str">
        <f t="shared" si="39"/>
        <v>Estimating</v>
      </c>
      <c r="EA17" s="317" t="str">
        <f t="shared" si="39"/>
        <v>Estimating</v>
      </c>
      <c r="EB17" s="317" t="str">
        <f t="shared" si="39"/>
        <v>Estimating</v>
      </c>
      <c r="EC17" s="317" t="str">
        <f t="shared" si="39"/>
        <v>Estimating</v>
      </c>
      <c r="ED17" s="317" t="str">
        <f t="shared" si="39"/>
        <v>Estimating</v>
      </c>
      <c r="EE17" s="317" t="str">
        <f t="shared" si="39"/>
        <v>Estimating</v>
      </c>
      <c r="EF17" s="317" t="str">
        <f t="shared" si="39"/>
        <v>Estimating</v>
      </c>
      <c r="EG17" s="317" t="str">
        <f t="shared" si="39"/>
        <v>Estimating</v>
      </c>
      <c r="EH17" s="317" t="str">
        <f t="shared" si="39"/>
        <v>Estimating</v>
      </c>
      <c r="EI17" s="317" t="str">
        <f t="shared" si="39"/>
        <v>Estimating</v>
      </c>
      <c r="EJ17" s="317" t="str">
        <f t="shared" si="39"/>
        <v>Estimating</v>
      </c>
      <c r="EK17" s="317" t="str">
        <f t="shared" si="39"/>
        <v>Estimating</v>
      </c>
      <c r="EL17" s="317" t="str">
        <f t="shared" si="39"/>
        <v>Estimating</v>
      </c>
      <c r="EM17" s="317" t="str">
        <f t="shared" si="39"/>
        <v>Estimating</v>
      </c>
      <c r="EN17" s="317" t="str">
        <f t="shared" si="39"/>
        <v>Estimating</v>
      </c>
      <c r="EO17" s="317" t="str">
        <f t="shared" si="39"/>
        <v>Estimating</v>
      </c>
      <c r="EP17" s="317" t="str">
        <f t="shared" si="39"/>
        <v>Estimating</v>
      </c>
      <c r="EQ17" s="317" t="str">
        <f t="shared" si="39"/>
        <v>Estimating</v>
      </c>
      <c r="ER17" s="317" t="str">
        <f t="shared" si="39"/>
        <v>Estimating</v>
      </c>
      <c r="ES17" s="317" t="str">
        <f t="shared" si="39"/>
        <v>Estimating</v>
      </c>
      <c r="ET17" s="317" t="str">
        <f t="shared" si="39"/>
        <v>Estimating</v>
      </c>
      <c r="EU17" s="317" t="str">
        <f t="shared" si="39"/>
        <v>Estimating</v>
      </c>
      <c r="EW17" s="465"/>
      <c r="EX17" s="191" t="str">
        <f>+$B17</f>
        <v>Estimating</v>
      </c>
      <c r="EY17" s="192"/>
      <c r="EZ17" s="141" t="str">
        <f>+$E17</f>
        <v>Completed to Week</v>
      </c>
      <c r="FA17" s="141">
        <f>+$F17</f>
        <v>42</v>
      </c>
      <c r="FB17" s="141"/>
      <c r="FC17" s="197" t="str">
        <f t="shared" ref="FC17:GH17" si="40">+$B17</f>
        <v>Estimating</v>
      </c>
      <c r="FD17" s="197" t="str">
        <f t="shared" si="40"/>
        <v>Estimating</v>
      </c>
      <c r="FE17" s="197" t="str">
        <f t="shared" si="40"/>
        <v>Estimating</v>
      </c>
      <c r="FF17" s="197" t="str">
        <f t="shared" si="40"/>
        <v>Estimating</v>
      </c>
      <c r="FG17" s="197" t="str">
        <f t="shared" si="40"/>
        <v>Estimating</v>
      </c>
      <c r="FH17" s="197" t="str">
        <f t="shared" si="40"/>
        <v>Estimating</v>
      </c>
      <c r="FI17" s="197" t="str">
        <f t="shared" si="40"/>
        <v>Estimating</v>
      </c>
      <c r="FJ17" s="197" t="str">
        <f t="shared" si="40"/>
        <v>Estimating</v>
      </c>
      <c r="FK17" s="197" t="str">
        <f t="shared" si="40"/>
        <v>Estimating</v>
      </c>
      <c r="FL17" s="197" t="str">
        <f t="shared" si="40"/>
        <v>Estimating</v>
      </c>
      <c r="FM17" s="197" t="str">
        <f t="shared" si="40"/>
        <v>Estimating</v>
      </c>
      <c r="FN17" s="197" t="str">
        <f t="shared" si="40"/>
        <v>Estimating</v>
      </c>
      <c r="FO17" s="197" t="str">
        <f t="shared" si="40"/>
        <v>Estimating</v>
      </c>
      <c r="FP17" s="197" t="str">
        <f t="shared" si="40"/>
        <v>Estimating</v>
      </c>
      <c r="FQ17" s="197" t="str">
        <f t="shared" si="40"/>
        <v>Estimating</v>
      </c>
      <c r="FR17" s="197" t="str">
        <f t="shared" si="40"/>
        <v>Estimating</v>
      </c>
      <c r="FS17" s="197" t="str">
        <f t="shared" si="40"/>
        <v>Estimating</v>
      </c>
      <c r="FT17" s="197" t="str">
        <f t="shared" si="40"/>
        <v>Estimating</v>
      </c>
      <c r="FU17" s="197" t="str">
        <f t="shared" si="40"/>
        <v>Estimating</v>
      </c>
      <c r="FV17" s="197" t="str">
        <f t="shared" si="40"/>
        <v>Estimating</v>
      </c>
      <c r="FW17" s="197" t="str">
        <f t="shared" si="40"/>
        <v>Estimating</v>
      </c>
      <c r="FX17" s="197" t="str">
        <f t="shared" si="40"/>
        <v>Estimating</v>
      </c>
      <c r="FY17" s="197" t="str">
        <f t="shared" si="40"/>
        <v>Estimating</v>
      </c>
      <c r="FZ17" s="197" t="str">
        <f t="shared" si="40"/>
        <v>Estimating</v>
      </c>
      <c r="GA17" s="197" t="str">
        <f t="shared" si="40"/>
        <v>Estimating</v>
      </c>
      <c r="GB17" s="197" t="str">
        <f t="shared" si="40"/>
        <v>Estimating</v>
      </c>
      <c r="GC17" s="197" t="str">
        <f t="shared" si="40"/>
        <v>Estimating</v>
      </c>
      <c r="GD17" s="197" t="str">
        <f t="shared" si="40"/>
        <v>Estimating</v>
      </c>
      <c r="GE17" s="197" t="str">
        <f t="shared" si="40"/>
        <v>Estimating</v>
      </c>
      <c r="GF17" s="197" t="str">
        <f t="shared" si="40"/>
        <v>Estimating</v>
      </c>
      <c r="GG17" s="197" t="str">
        <f t="shared" si="40"/>
        <v>Estimating</v>
      </c>
      <c r="GH17" s="197" t="str">
        <f t="shared" si="40"/>
        <v>Estimating</v>
      </c>
      <c r="GI17" s="197" t="str">
        <f t="shared" ref="GI17:HC17" si="41">+$B17</f>
        <v>Estimating</v>
      </c>
      <c r="GJ17" s="197" t="str">
        <f t="shared" si="41"/>
        <v>Estimating</v>
      </c>
      <c r="GK17" s="197" t="str">
        <f t="shared" si="41"/>
        <v>Estimating</v>
      </c>
      <c r="GL17" s="197" t="str">
        <f t="shared" si="41"/>
        <v>Estimating</v>
      </c>
      <c r="GM17" s="197" t="str">
        <f t="shared" si="41"/>
        <v>Estimating</v>
      </c>
      <c r="GN17" s="197" t="str">
        <f t="shared" si="41"/>
        <v>Estimating</v>
      </c>
      <c r="GO17" s="197" t="str">
        <f t="shared" si="41"/>
        <v>Estimating</v>
      </c>
      <c r="GP17" s="197" t="str">
        <f t="shared" si="41"/>
        <v>Estimating</v>
      </c>
      <c r="GQ17" s="197" t="str">
        <f t="shared" si="41"/>
        <v>Estimating</v>
      </c>
      <c r="GR17" s="197" t="str">
        <f t="shared" si="41"/>
        <v>Estimating</v>
      </c>
      <c r="GS17" s="197" t="str">
        <f t="shared" si="41"/>
        <v>Estimating</v>
      </c>
      <c r="GT17" s="197" t="str">
        <f t="shared" si="41"/>
        <v>Estimating</v>
      </c>
      <c r="GU17" s="197" t="str">
        <f t="shared" si="41"/>
        <v>Estimating</v>
      </c>
      <c r="GV17" s="197" t="str">
        <f t="shared" si="41"/>
        <v>Estimating</v>
      </c>
      <c r="GW17" s="197" t="str">
        <f t="shared" si="41"/>
        <v>Estimating</v>
      </c>
      <c r="GX17" s="197" t="str">
        <f t="shared" si="41"/>
        <v>Estimating</v>
      </c>
      <c r="GY17" s="197" t="str">
        <f t="shared" si="41"/>
        <v>Estimating</v>
      </c>
      <c r="GZ17" s="197" t="str">
        <f t="shared" si="41"/>
        <v>Estimating</v>
      </c>
      <c r="HA17" s="197" t="str">
        <f t="shared" si="41"/>
        <v>Estimating</v>
      </c>
      <c r="HB17" s="197" t="str">
        <f t="shared" si="41"/>
        <v>Estimating</v>
      </c>
      <c r="HC17" s="197" t="str">
        <f t="shared" si="41"/>
        <v>Estimating</v>
      </c>
      <c r="HE17" s="191" t="str">
        <f>+$B17</f>
        <v>Estimating</v>
      </c>
      <c r="HF17" s="192"/>
      <c r="HG17" s="141" t="str">
        <f>+$E17</f>
        <v>Completed to Week</v>
      </c>
      <c r="HH17" s="141">
        <f>+$F17</f>
        <v>42</v>
      </c>
      <c r="HI17" s="141" t="str">
        <f>+GJ17</f>
        <v>Estimating</v>
      </c>
      <c r="HJ17" s="197" t="str">
        <f t="shared" ref="HJ17:IO17" si="42">+$B17</f>
        <v>Estimating</v>
      </c>
      <c r="HK17" s="197" t="str">
        <f t="shared" si="42"/>
        <v>Estimating</v>
      </c>
      <c r="HL17" s="250" t="str">
        <f t="shared" si="42"/>
        <v>Estimating</v>
      </c>
      <c r="HM17" s="250" t="str">
        <f t="shared" si="42"/>
        <v>Estimating</v>
      </c>
      <c r="HN17" s="250" t="str">
        <f t="shared" si="42"/>
        <v>Estimating</v>
      </c>
      <c r="HO17" s="250" t="str">
        <f t="shared" si="42"/>
        <v>Estimating</v>
      </c>
      <c r="HP17" s="250" t="str">
        <f t="shared" si="42"/>
        <v>Estimating</v>
      </c>
      <c r="HQ17" s="250" t="str">
        <f t="shared" si="42"/>
        <v>Estimating</v>
      </c>
      <c r="HR17" s="250" t="str">
        <f t="shared" si="42"/>
        <v>Estimating</v>
      </c>
      <c r="HS17" s="250" t="str">
        <f t="shared" si="42"/>
        <v>Estimating</v>
      </c>
      <c r="HT17" s="250" t="str">
        <f t="shared" si="42"/>
        <v>Estimating</v>
      </c>
      <c r="HU17" s="250" t="str">
        <f t="shared" si="42"/>
        <v>Estimating</v>
      </c>
      <c r="HV17" s="250" t="str">
        <f t="shared" si="42"/>
        <v>Estimating</v>
      </c>
      <c r="HW17" s="250" t="str">
        <f t="shared" si="42"/>
        <v>Estimating</v>
      </c>
      <c r="HX17" s="250" t="str">
        <f t="shared" si="42"/>
        <v>Estimating</v>
      </c>
      <c r="HY17" s="250" t="str">
        <f t="shared" si="42"/>
        <v>Estimating</v>
      </c>
      <c r="HZ17" s="250" t="str">
        <f t="shared" si="42"/>
        <v>Estimating</v>
      </c>
      <c r="IA17" s="250" t="str">
        <f t="shared" si="42"/>
        <v>Estimating</v>
      </c>
      <c r="IB17" s="250" t="str">
        <f t="shared" si="42"/>
        <v>Estimating</v>
      </c>
      <c r="IC17" s="250" t="str">
        <f t="shared" si="42"/>
        <v>Estimating</v>
      </c>
      <c r="ID17" s="250" t="str">
        <f t="shared" si="42"/>
        <v>Estimating</v>
      </c>
      <c r="IE17" s="250" t="str">
        <f t="shared" si="42"/>
        <v>Estimating</v>
      </c>
      <c r="IF17" s="250" t="str">
        <f t="shared" si="42"/>
        <v>Estimating</v>
      </c>
      <c r="IG17" s="250" t="str">
        <f t="shared" si="42"/>
        <v>Estimating</v>
      </c>
      <c r="IH17" s="250" t="str">
        <f t="shared" si="42"/>
        <v>Estimating</v>
      </c>
      <c r="II17" s="250" t="str">
        <f t="shared" si="42"/>
        <v>Estimating</v>
      </c>
      <c r="IJ17" s="250" t="str">
        <f t="shared" si="42"/>
        <v>Estimating</v>
      </c>
      <c r="IK17" s="250" t="str">
        <f t="shared" si="42"/>
        <v>Estimating</v>
      </c>
      <c r="IL17" s="250" t="str">
        <f t="shared" si="42"/>
        <v>Estimating</v>
      </c>
      <c r="IM17" s="250" t="str">
        <f t="shared" si="42"/>
        <v>Estimating</v>
      </c>
      <c r="IN17" s="250" t="str">
        <f t="shared" si="42"/>
        <v>Estimating</v>
      </c>
      <c r="IO17" s="250" t="str">
        <f t="shared" si="42"/>
        <v>Estimating</v>
      </c>
      <c r="IP17" s="250" t="str">
        <f t="shared" ref="IP17:JJ17" si="43">+$B17</f>
        <v>Estimating</v>
      </c>
      <c r="IQ17" s="250" t="str">
        <f t="shared" si="43"/>
        <v>Estimating</v>
      </c>
      <c r="IR17" s="250" t="str">
        <f t="shared" si="43"/>
        <v>Estimating</v>
      </c>
      <c r="IS17" s="250" t="str">
        <f t="shared" si="43"/>
        <v>Estimating</v>
      </c>
      <c r="IT17" s="250" t="str">
        <f t="shared" si="43"/>
        <v>Estimating</v>
      </c>
      <c r="IU17" s="250" t="str">
        <f t="shared" si="43"/>
        <v>Estimating</v>
      </c>
      <c r="IV17" s="250" t="str">
        <f t="shared" si="43"/>
        <v>Estimating</v>
      </c>
      <c r="IW17" s="250" t="str">
        <f t="shared" si="43"/>
        <v>Estimating</v>
      </c>
      <c r="IX17" s="250" t="str">
        <f t="shared" si="43"/>
        <v>Estimating</v>
      </c>
      <c r="IY17" s="250" t="str">
        <f t="shared" si="43"/>
        <v>Estimating</v>
      </c>
      <c r="IZ17" s="250" t="str">
        <f t="shared" si="43"/>
        <v>Estimating</v>
      </c>
      <c r="JA17" s="250" t="str">
        <f t="shared" si="43"/>
        <v>Estimating</v>
      </c>
      <c r="JB17" s="250" t="str">
        <f t="shared" si="43"/>
        <v>Estimating</v>
      </c>
      <c r="JC17" s="250" t="str">
        <f t="shared" si="43"/>
        <v>Estimating</v>
      </c>
      <c r="JD17" s="250" t="str">
        <f t="shared" si="43"/>
        <v>Estimating</v>
      </c>
      <c r="JE17" s="250" t="str">
        <f t="shared" si="43"/>
        <v>Estimating</v>
      </c>
      <c r="JF17" s="250" t="str">
        <f t="shared" si="43"/>
        <v>Estimating</v>
      </c>
      <c r="JG17" s="250" t="str">
        <f t="shared" si="43"/>
        <v>Estimating</v>
      </c>
      <c r="JH17" s="250" t="str">
        <f t="shared" si="43"/>
        <v>Estimating</v>
      </c>
      <c r="JI17" s="250" t="str">
        <f t="shared" si="43"/>
        <v>Estimating</v>
      </c>
      <c r="JJ17" s="250" t="str">
        <f t="shared" si="43"/>
        <v>Estimating</v>
      </c>
      <c r="JM17" s="191" t="str">
        <f>+$B17</f>
        <v>Estimating</v>
      </c>
      <c r="JN17" s="192"/>
      <c r="JO17" s="141" t="str">
        <f>+$E17</f>
        <v>Completed to Week</v>
      </c>
      <c r="JP17" s="141">
        <f>+$F17</f>
        <v>42</v>
      </c>
      <c r="JQ17" s="141"/>
      <c r="JR17" s="250" t="str">
        <f t="shared" ref="JR17:KW17" si="44">+$B17</f>
        <v>Estimating</v>
      </c>
      <c r="JS17" s="250" t="str">
        <f t="shared" si="44"/>
        <v>Estimating</v>
      </c>
      <c r="JT17" s="250" t="str">
        <f t="shared" si="44"/>
        <v>Estimating</v>
      </c>
      <c r="JU17" s="250" t="str">
        <f t="shared" si="44"/>
        <v>Estimating</v>
      </c>
      <c r="JV17" s="250" t="str">
        <f t="shared" si="44"/>
        <v>Estimating</v>
      </c>
      <c r="JW17" s="250" t="str">
        <f t="shared" si="44"/>
        <v>Estimating</v>
      </c>
      <c r="JX17" s="250" t="str">
        <f t="shared" si="44"/>
        <v>Estimating</v>
      </c>
      <c r="JY17" s="250" t="str">
        <f t="shared" si="44"/>
        <v>Estimating</v>
      </c>
      <c r="JZ17" s="250" t="str">
        <f t="shared" si="44"/>
        <v>Estimating</v>
      </c>
      <c r="KA17" s="250" t="str">
        <f t="shared" si="44"/>
        <v>Estimating</v>
      </c>
      <c r="KB17" s="250" t="str">
        <f t="shared" si="44"/>
        <v>Estimating</v>
      </c>
      <c r="KC17" s="250" t="str">
        <f t="shared" si="44"/>
        <v>Estimating</v>
      </c>
      <c r="KD17" s="250" t="str">
        <f t="shared" si="44"/>
        <v>Estimating</v>
      </c>
      <c r="KE17" s="250" t="str">
        <f t="shared" si="44"/>
        <v>Estimating</v>
      </c>
      <c r="KF17" s="250" t="str">
        <f t="shared" si="44"/>
        <v>Estimating</v>
      </c>
      <c r="KG17" s="250" t="str">
        <f t="shared" si="44"/>
        <v>Estimating</v>
      </c>
      <c r="KH17" s="250" t="str">
        <f t="shared" si="44"/>
        <v>Estimating</v>
      </c>
      <c r="KI17" s="250" t="str">
        <f t="shared" si="44"/>
        <v>Estimating</v>
      </c>
      <c r="KJ17" s="250" t="str">
        <f t="shared" si="44"/>
        <v>Estimating</v>
      </c>
      <c r="KK17" s="250" t="str">
        <f t="shared" si="44"/>
        <v>Estimating</v>
      </c>
      <c r="KL17" s="250" t="str">
        <f t="shared" si="44"/>
        <v>Estimating</v>
      </c>
      <c r="KM17" s="250" t="str">
        <f t="shared" si="44"/>
        <v>Estimating</v>
      </c>
      <c r="KN17" s="250" t="str">
        <f t="shared" si="44"/>
        <v>Estimating</v>
      </c>
      <c r="KO17" s="250" t="str">
        <f t="shared" si="44"/>
        <v>Estimating</v>
      </c>
      <c r="KP17" s="250" t="str">
        <f t="shared" si="44"/>
        <v>Estimating</v>
      </c>
      <c r="KQ17" s="250" t="str">
        <f t="shared" si="44"/>
        <v>Estimating</v>
      </c>
      <c r="KR17" s="250" t="str">
        <f t="shared" si="44"/>
        <v>Estimating</v>
      </c>
      <c r="KS17" s="250" t="str">
        <f t="shared" si="44"/>
        <v>Estimating</v>
      </c>
      <c r="KT17" s="250" t="str">
        <f t="shared" si="44"/>
        <v>Estimating</v>
      </c>
      <c r="KU17" s="250" t="str">
        <f t="shared" si="44"/>
        <v>Estimating</v>
      </c>
      <c r="KV17" s="250" t="str">
        <f t="shared" si="44"/>
        <v>Estimating</v>
      </c>
      <c r="KW17" s="250" t="str">
        <f t="shared" si="44"/>
        <v>Estimating</v>
      </c>
      <c r="KX17" s="250" t="str">
        <f t="shared" ref="KX17:LR17" si="45">+$B17</f>
        <v>Estimating</v>
      </c>
      <c r="KY17" s="250" t="str">
        <f t="shared" si="45"/>
        <v>Estimating</v>
      </c>
      <c r="KZ17" s="250" t="str">
        <f t="shared" si="45"/>
        <v>Estimating</v>
      </c>
      <c r="LA17" s="250" t="str">
        <f t="shared" si="45"/>
        <v>Estimating</v>
      </c>
      <c r="LB17" s="250" t="str">
        <f t="shared" si="45"/>
        <v>Estimating</v>
      </c>
      <c r="LC17" s="250" t="str">
        <f t="shared" si="45"/>
        <v>Estimating</v>
      </c>
      <c r="LD17" s="250" t="str">
        <f t="shared" si="45"/>
        <v>Estimating</v>
      </c>
      <c r="LE17" s="250" t="str">
        <f t="shared" si="45"/>
        <v>Estimating</v>
      </c>
      <c r="LF17" s="250" t="str">
        <f t="shared" si="45"/>
        <v>Estimating</v>
      </c>
      <c r="LG17" s="250" t="str">
        <f t="shared" si="45"/>
        <v>Estimating</v>
      </c>
      <c r="LH17" s="250" t="str">
        <f t="shared" si="45"/>
        <v>Estimating</v>
      </c>
      <c r="LI17" s="250" t="str">
        <f t="shared" si="45"/>
        <v>Estimating</v>
      </c>
      <c r="LJ17" s="250" t="str">
        <f t="shared" si="45"/>
        <v>Estimating</v>
      </c>
      <c r="LK17" s="250" t="str">
        <f t="shared" si="45"/>
        <v>Estimating</v>
      </c>
      <c r="LL17" s="250" t="str">
        <f t="shared" si="45"/>
        <v>Estimating</v>
      </c>
      <c r="LM17" s="250" t="str">
        <f t="shared" si="45"/>
        <v>Estimating</v>
      </c>
      <c r="LN17" s="250" t="str">
        <f t="shared" si="45"/>
        <v>Estimating</v>
      </c>
      <c r="LO17" s="250" t="str">
        <f t="shared" si="45"/>
        <v>Estimating</v>
      </c>
      <c r="LP17" s="250" t="str">
        <f t="shared" si="45"/>
        <v>Estimating</v>
      </c>
      <c r="LQ17" s="250" t="str">
        <f t="shared" si="45"/>
        <v>Estimating</v>
      </c>
      <c r="LR17" s="250" t="str">
        <f t="shared" si="45"/>
        <v>Estimating</v>
      </c>
      <c r="LT17" s="191" t="str">
        <f>+$B17</f>
        <v>Estimating</v>
      </c>
      <c r="LU17" s="192"/>
      <c r="LV17" s="141" t="str">
        <f>+$E17</f>
        <v>Completed to Week</v>
      </c>
      <c r="LW17" s="141">
        <f>+$F17</f>
        <v>42</v>
      </c>
      <c r="LX17" s="141"/>
      <c r="LY17" s="197" t="str">
        <f t="shared" ref="LY17:ND17" si="46">+$B17</f>
        <v>Estimating</v>
      </c>
      <c r="LZ17" s="197" t="str">
        <f t="shared" si="46"/>
        <v>Estimating</v>
      </c>
      <c r="MA17" s="197" t="str">
        <f t="shared" si="46"/>
        <v>Estimating</v>
      </c>
      <c r="MB17" s="197" t="str">
        <f t="shared" si="46"/>
        <v>Estimating</v>
      </c>
      <c r="MC17" s="197" t="str">
        <f t="shared" si="46"/>
        <v>Estimating</v>
      </c>
      <c r="MD17" s="197" t="str">
        <f t="shared" si="46"/>
        <v>Estimating</v>
      </c>
      <c r="ME17" s="197" t="str">
        <f t="shared" si="46"/>
        <v>Estimating</v>
      </c>
      <c r="MF17" s="197" t="str">
        <f t="shared" si="46"/>
        <v>Estimating</v>
      </c>
      <c r="MG17" s="197" t="str">
        <f t="shared" si="46"/>
        <v>Estimating</v>
      </c>
      <c r="MH17" s="197" t="str">
        <f t="shared" si="46"/>
        <v>Estimating</v>
      </c>
      <c r="MI17" s="197" t="str">
        <f t="shared" si="46"/>
        <v>Estimating</v>
      </c>
      <c r="MJ17" s="197" t="str">
        <f t="shared" si="46"/>
        <v>Estimating</v>
      </c>
      <c r="MK17" s="197" t="str">
        <f t="shared" si="46"/>
        <v>Estimating</v>
      </c>
      <c r="ML17" s="197" t="str">
        <f t="shared" si="46"/>
        <v>Estimating</v>
      </c>
      <c r="MM17" s="197" t="str">
        <f t="shared" si="46"/>
        <v>Estimating</v>
      </c>
      <c r="MN17" s="197" t="str">
        <f t="shared" si="46"/>
        <v>Estimating</v>
      </c>
      <c r="MO17" s="197" t="str">
        <f t="shared" si="46"/>
        <v>Estimating</v>
      </c>
      <c r="MP17" s="197" t="str">
        <f t="shared" si="46"/>
        <v>Estimating</v>
      </c>
      <c r="MQ17" s="197" t="str">
        <f t="shared" si="46"/>
        <v>Estimating</v>
      </c>
      <c r="MR17" s="197" t="str">
        <f t="shared" si="46"/>
        <v>Estimating</v>
      </c>
      <c r="MS17" s="197" t="str">
        <f t="shared" si="46"/>
        <v>Estimating</v>
      </c>
      <c r="MT17" s="197" t="str">
        <f t="shared" si="46"/>
        <v>Estimating</v>
      </c>
      <c r="MU17" s="197" t="str">
        <f t="shared" si="46"/>
        <v>Estimating</v>
      </c>
      <c r="MV17" s="197" t="str">
        <f t="shared" si="46"/>
        <v>Estimating</v>
      </c>
      <c r="MW17" s="197" t="str">
        <f t="shared" si="46"/>
        <v>Estimating</v>
      </c>
      <c r="MX17" s="197" t="str">
        <f t="shared" si="46"/>
        <v>Estimating</v>
      </c>
      <c r="MY17" s="197" t="str">
        <f t="shared" si="46"/>
        <v>Estimating</v>
      </c>
      <c r="MZ17" s="197" t="str">
        <f t="shared" si="46"/>
        <v>Estimating</v>
      </c>
      <c r="NA17" s="197" t="str">
        <f t="shared" si="46"/>
        <v>Estimating</v>
      </c>
      <c r="NB17" s="197" t="str">
        <f t="shared" si="46"/>
        <v>Estimating</v>
      </c>
      <c r="NC17" s="197" t="str">
        <f t="shared" si="46"/>
        <v>Estimating</v>
      </c>
      <c r="ND17" s="197" t="str">
        <f t="shared" si="46"/>
        <v>Estimating</v>
      </c>
      <c r="NE17" s="197" t="str">
        <f t="shared" ref="NE17:NY17" si="47">+$B17</f>
        <v>Estimating</v>
      </c>
      <c r="NF17" s="197" t="str">
        <f t="shared" si="47"/>
        <v>Estimating</v>
      </c>
      <c r="NG17" s="197" t="str">
        <f t="shared" si="47"/>
        <v>Estimating</v>
      </c>
      <c r="NH17" s="197" t="str">
        <f t="shared" si="47"/>
        <v>Estimating</v>
      </c>
      <c r="NI17" s="197" t="str">
        <f t="shared" si="47"/>
        <v>Estimating</v>
      </c>
      <c r="NJ17" s="197" t="str">
        <f t="shared" si="47"/>
        <v>Estimating</v>
      </c>
      <c r="NK17" s="197" t="str">
        <f t="shared" si="47"/>
        <v>Estimating</v>
      </c>
      <c r="NL17" s="197" t="str">
        <f t="shared" si="47"/>
        <v>Estimating</v>
      </c>
      <c r="NM17" s="197" t="str">
        <f t="shared" si="47"/>
        <v>Estimating</v>
      </c>
      <c r="NN17" s="197" t="str">
        <f t="shared" si="47"/>
        <v>Estimating</v>
      </c>
      <c r="NO17" s="197" t="str">
        <f t="shared" si="47"/>
        <v>Estimating</v>
      </c>
      <c r="NP17" s="197" t="str">
        <f t="shared" si="47"/>
        <v>Estimating</v>
      </c>
      <c r="NQ17" s="197" t="str">
        <f t="shared" si="47"/>
        <v>Estimating</v>
      </c>
      <c r="NR17" s="197" t="str">
        <f t="shared" si="47"/>
        <v>Estimating</v>
      </c>
      <c r="NS17" s="197" t="str">
        <f t="shared" si="47"/>
        <v>Estimating</v>
      </c>
      <c r="NT17" s="197" t="str">
        <f t="shared" si="47"/>
        <v>Estimating</v>
      </c>
      <c r="NU17" s="197" t="str">
        <f t="shared" si="47"/>
        <v>Estimating</v>
      </c>
      <c r="NV17" s="197" t="str">
        <f t="shared" si="47"/>
        <v>Estimating</v>
      </c>
      <c r="NW17" s="197" t="str">
        <f t="shared" si="47"/>
        <v>Estimating</v>
      </c>
      <c r="NX17" s="197" t="str">
        <f t="shared" si="47"/>
        <v>Estimating</v>
      </c>
      <c r="NY17" s="197" t="str">
        <f t="shared" si="47"/>
        <v>Estimating</v>
      </c>
    </row>
    <row r="18" spans="1:389" ht="14.4" customHeight="1" x14ac:dyDescent="0.3">
      <c r="A18" t="str">
        <f>$B$17&amp;"-"&amp;C18</f>
        <v>Estimating-KPI P1</v>
      </c>
      <c r="B18" s="917" t="str">
        <f>+'KPI Stats'!B17</f>
        <v>Estimating</v>
      </c>
      <c r="C18" s="133" t="str">
        <f>+'KPI Stats'!C17</f>
        <v>KPI P1</v>
      </c>
      <c r="D18" s="142" t="str">
        <f>+'KPI Stats'!D17</f>
        <v>Productivity</v>
      </c>
      <c r="E18" s="142" t="str">
        <f>+'KPI Stats'!E17</f>
        <v>Quotes Issued</v>
      </c>
      <c r="F18" s="143" t="str">
        <f>+'KPI Stats'!F17</f>
        <v>Count</v>
      </c>
      <c r="G18" s="168" t="str">
        <f>+'KPI Stats'!G17</f>
        <v>Under</v>
      </c>
      <c r="J18" s="159" t="str">
        <f>_xlfn.XLOOKUP(J$7,$AM$7:$CM$7,$AM18:$CM18,,FALSE)</f>
        <v>A</v>
      </c>
      <c r="K18" s="262">
        <f>_xlfn.XLOOKUP(K$7,$FC$7:$HC$7,$FC18:$HC18,,FALSE)</f>
        <v>123</v>
      </c>
      <c r="L18" s="277">
        <f>_xlfn.XLOOKUP(L$7,$HJ$7:$JJ$7,$HJ18:$JJ18,,FALSE)</f>
        <v>126</v>
      </c>
      <c r="M18" s="274">
        <f>_xlfn.XLOOKUP(M$7,$CU$7:$EU$7,$CU18:$EU18,,FALSE)</f>
        <v>0.97619047619047616</v>
      </c>
      <c r="P18" s="159" t="str">
        <f>_xlfn.XLOOKUP(P$7,$AM$7:$CM$7,$AM18:$CM18,,FALSE)</f>
        <v>A</v>
      </c>
      <c r="Q18" s="262">
        <f t="shared" ref="Q18:R21" si="48">_xlfn.XLOOKUP(Q$7,$FC$7:$HC$7,$FC18:$HC18,FALSE)</f>
        <v>123</v>
      </c>
      <c r="R18" s="277">
        <f t="shared" si="48"/>
        <v>124</v>
      </c>
      <c r="S18" s="262">
        <f t="shared" ref="S18:T21" si="49">_xlfn.XLOOKUP(S$7,$CU$7:$EU$7,$CU18:$EU18,,FALSE)</f>
        <v>0.97619047619047616</v>
      </c>
      <c r="T18" s="277">
        <f t="shared" si="49"/>
        <v>0.98412698412698407</v>
      </c>
      <c r="U18" s="294" t="str">
        <f>IF(F17&lt;$R$2,"Not Complete",IF(Q18=R18,"Same −",IF($G18="Over",IF(Q18&lt;R18,"Better ↑","Worse ↓"),IF($G18="Under",IF(Q18&gt;R18,"Better ↑","Worse ↓"),"err"))))</f>
        <v>Worse ↓</v>
      </c>
      <c r="X18" s="159" t="str">
        <f>IF(Y18="","",IF(Y18="Blank","",IF(AND(G18="above zero",Y18&gt;0),"R",IF(AA18&gt;1,"G",IF(AA18&gt;0.95,"A","R")))))</f>
        <v>A</v>
      </c>
      <c r="Y18" s="161">
        <f>_xlfn.XLOOKUP(Y$7,$JR$7:$LR$7,$JR18:$LR18,FALSE)</f>
        <v>120.36585365853658</v>
      </c>
      <c r="Z18" s="161">
        <f>_xlfn.XLOOKUP(Z$7,$LY$7:$NY$7,$LY18:$NY18,FALSE)</f>
        <v>126</v>
      </c>
      <c r="AA18" s="162">
        <f>IFERROR(IF(G18="Undefined","",IF(G18="under",Y18/Z18,IF(G18="over",Z18/Y18,"err"))),"")</f>
        <v>0.95528455284552838</v>
      </c>
      <c r="AB18" s="294" t="str">
        <f>IF(F17&lt;$R$2,"TBC",IF(Y18=Z18,"Same −",IF($G18="Over",IF(Z18&lt;Y18,"Better ↑ ","Worse ↓ "),IF($G18="Under",IF(Y18&gt;Z18,"Better ↑ ","Worse ↓ "),"err"))))</f>
        <v xml:space="preserve">Worse ↓ </v>
      </c>
      <c r="AC18" s="159" t="str">
        <f>IF(AND(G18="above adero",AD18&gt;0),"R",IF(AF18&gt;1,"G",IF(AF18&gt;0.95,"A","R")))</f>
        <v>A</v>
      </c>
      <c r="AD18" s="161">
        <f>_xlfn.XLOOKUP(AD$7,$JR$7:$LR$7,$JR18:$LR18,FALSE)</f>
        <v>120.3</v>
      </c>
      <c r="AE18" s="161">
        <f>_xlfn.XLOOKUP(AE$7,$LY$7:$NY$7,$LY18:$NY18,FALSE)</f>
        <v>126</v>
      </c>
      <c r="AF18" s="162">
        <f>IF(G18="Undefined","",IF(G18="under",AD18/AE18,IF(G18="over",AE18/AD18,"err")))</f>
        <v>0.9547619047619047</v>
      </c>
      <c r="AH18" s="465" t="str">
        <f>+$A18</f>
        <v>Estimating-KPI P1</v>
      </c>
      <c r="AI18" s="133" t="str">
        <f t="shared" ref="AI18:AJ21" si="50">+C18</f>
        <v>KPI P1</v>
      </c>
      <c r="AJ18" s="142" t="str">
        <f t="shared" si="50"/>
        <v>Productivity</v>
      </c>
      <c r="AK18" s="142" t="str">
        <f t="shared" si="36"/>
        <v>Quotes Issued</v>
      </c>
      <c r="AL18" s="143" t="str">
        <f t="shared" si="36"/>
        <v>Count</v>
      </c>
      <c r="AM18" s="159" t="str">
        <f>IF(AM$7&gt;$D$3,"",_xlfn.XLOOKUP(AM$7,Estimating!$M$6:$BM$6,Estimating!$M$10:$BM$10))</f>
        <v>Blank</v>
      </c>
      <c r="AN18" s="198" t="str">
        <f>IF(AN$7&gt;$D$3,"",_xlfn.XLOOKUP(AN$7,Estimating!$M$6:$BM$6,Estimating!$M$10:$BM$10))</f>
        <v>R</v>
      </c>
      <c r="AO18" s="159" t="str">
        <f>IF(AO$7&gt;$D$3,"",_xlfn.XLOOKUP(AO$7,Estimating!$M$6:$BM$6,Estimating!$M$10:$BM$10))</f>
        <v>G</v>
      </c>
      <c r="AP18" s="159" t="str">
        <f>IF(AP$7&gt;$D$3,"",_xlfn.XLOOKUP(AP$7,Estimating!$M$6:$BM$6,Estimating!$M$10:$BM$10))</f>
        <v>R</v>
      </c>
      <c r="AQ18" s="159" t="str">
        <f>IF(AQ$7&gt;$D$3,"",_xlfn.XLOOKUP(AQ$7,Estimating!$M$6:$BM$6,Estimating!$M$10:$BM$10))</f>
        <v>G</v>
      </c>
      <c r="AR18" s="159" t="str">
        <f>IF(AR$7&gt;$D$3,"",_xlfn.XLOOKUP(AR$7,Estimating!$M$6:$BM$6,Estimating!$M$10:$BM$10))</f>
        <v>G</v>
      </c>
      <c r="AS18" s="159" t="str">
        <f>IF(AS$7&gt;$D$3,"",_xlfn.XLOOKUP(AS$7,Estimating!$M$6:$BM$6,Estimating!$M$10:$BM$10))</f>
        <v>G</v>
      </c>
      <c r="AT18" s="159" t="str">
        <f>IF(AT$7&gt;$D$3,"",_xlfn.XLOOKUP(AT$7,Estimating!$M$6:$BM$6,Estimating!$M$10:$BM$10))</f>
        <v>G</v>
      </c>
      <c r="AU18" s="159" t="str">
        <f>IF(AU$7&gt;$D$3,"",_xlfn.XLOOKUP(AU$7,Estimating!$M$6:$BM$6,Estimating!$M$10:$BM$10))</f>
        <v>G</v>
      </c>
      <c r="AV18" s="159" t="str">
        <f>IF(AV$7&gt;$D$3,"",_xlfn.XLOOKUP(AV$7,Estimating!$M$6:$BM$6,Estimating!$M$10:$BM$10))</f>
        <v>A</v>
      </c>
      <c r="AW18" s="159" t="str">
        <f>IF(AW$7&gt;$D$3,"",_xlfn.XLOOKUP(AW$7,Estimating!$M$6:$BM$6,Estimating!$M$10:$BM$10))</f>
        <v>R</v>
      </c>
      <c r="AX18" s="159" t="str">
        <f>IF(AX$7&gt;$D$3,"",_xlfn.XLOOKUP(AX$7,Estimating!$M$6:$BM$6,Estimating!$M$10:$BM$10))</f>
        <v>A</v>
      </c>
      <c r="AY18" s="159" t="str">
        <f>IF(AY$7&gt;$D$3,"",_xlfn.XLOOKUP(AY$7,Estimating!$M$6:$BM$6,Estimating!$M$10:$BM$10))</f>
        <v>G</v>
      </c>
      <c r="AZ18" s="159" t="str">
        <f>IF(AZ$7&gt;$D$3,"",_xlfn.XLOOKUP(AZ$7,Estimating!$M$6:$BM$6,Estimating!$M$10:$BM$10))</f>
        <v>R</v>
      </c>
      <c r="BA18" s="159" t="str">
        <f>IF(BA$7&gt;$D$3,"",_xlfn.XLOOKUP(BA$7,Estimating!$M$6:$BM$6,Estimating!$M$10:$BM$10))</f>
        <v>G</v>
      </c>
      <c r="BB18" s="159" t="str">
        <f>IF(BB$7&gt;$D$3,"",_xlfn.XLOOKUP(BB$7,Estimating!$M$6:$BM$6,Estimating!$M$10:$BM$10))</f>
        <v>R</v>
      </c>
      <c r="BC18" s="159" t="str">
        <f>IF(BC$7&gt;$D$3,"",_xlfn.XLOOKUP(BC$7,Estimating!$M$6:$BM$6,Estimating!$M$10:$BM$10))</f>
        <v>R</v>
      </c>
      <c r="BD18" s="159" t="str">
        <f>IF(BD$7&gt;$D$3,"",_xlfn.XLOOKUP(BD$7,Estimating!$M$6:$BM$6,Estimating!$M$10:$BM$10))</f>
        <v>G</v>
      </c>
      <c r="BE18" s="159" t="str">
        <f>IF(BE$7&gt;$D$3,"",_xlfn.XLOOKUP(BE$7,Estimating!$M$6:$BM$6,Estimating!$M$10:$BM$10))</f>
        <v>R</v>
      </c>
      <c r="BF18" s="159" t="str">
        <f>IF(BF$7&gt;$D$3,"",_xlfn.XLOOKUP(BF$7,Estimating!$M$6:$BM$6,Estimating!$M$10:$BM$10))</f>
        <v>G</v>
      </c>
      <c r="BG18" s="159" t="str">
        <f>IF(BG$7&gt;$D$3,"",_xlfn.XLOOKUP(BG$7,Estimating!$M$6:$BM$6,Estimating!$M$10:$BM$10))</f>
        <v>G</v>
      </c>
      <c r="BH18" s="159" t="str">
        <f>IF(BH$7&gt;$D$3,"",_xlfn.XLOOKUP(BH$7,Estimating!$M$6:$BM$6,Estimating!$M$10:$BM$10))</f>
        <v>R</v>
      </c>
      <c r="BI18" s="159" t="str">
        <f>IF(BI$7&gt;$D$3,"",_xlfn.XLOOKUP(BI$7,Estimating!$M$6:$BM$6,Estimating!$M$10:$BM$10))</f>
        <v>R</v>
      </c>
      <c r="BJ18" s="159" t="str">
        <f>IF(BJ$7&gt;$D$3,"",_xlfn.XLOOKUP(BJ$7,Estimating!$M$6:$BM$6,Estimating!$M$10:$BM$10))</f>
        <v>R</v>
      </c>
      <c r="BK18" s="159" t="str">
        <f>IF(BK$7&gt;$D$3,"",_xlfn.XLOOKUP(BK$7,Estimating!$M$6:$BM$6,Estimating!$M$10:$BM$10))</f>
        <v>G</v>
      </c>
      <c r="BL18" s="159" t="str">
        <f>IF(BL$7&gt;$D$3,"",_xlfn.XLOOKUP(BL$7,Estimating!$M$6:$BM$6,Estimating!$M$10:$BM$10))</f>
        <v>G</v>
      </c>
      <c r="BM18" s="159" t="str">
        <f>IF(BM$7&gt;$D$3,"",_xlfn.XLOOKUP(BM$7,Estimating!$M$6:$BM$6,Estimating!$M$10:$BM$10))</f>
        <v>G</v>
      </c>
      <c r="BN18" s="159" t="str">
        <f>IF(BN$7&gt;$D$3,"",_xlfn.XLOOKUP(BN$7,Estimating!$M$6:$BM$6,Estimating!$M$10:$BM$10))</f>
        <v>A</v>
      </c>
      <c r="BO18" s="159" t="str">
        <f>IF(BO$7&gt;$D$3,"",_xlfn.XLOOKUP(BO$7,Estimating!$M$6:$BM$6,Estimating!$M$10:$BM$10))</f>
        <v>R</v>
      </c>
      <c r="BP18" s="159" t="str">
        <f>IF(BP$7&gt;$D$3,"",_xlfn.XLOOKUP(BP$7,Estimating!$M$6:$BM$6,Estimating!$M$10:$BM$10))</f>
        <v>G</v>
      </c>
      <c r="BQ18" s="159" t="str">
        <f>IF(BQ$7&gt;$D$3,"",_xlfn.XLOOKUP(BQ$7,Estimating!$M$6:$BM$6,Estimating!$M$10:$BM$10))</f>
        <v>R</v>
      </c>
      <c r="BR18" s="159" t="str">
        <f>IF(BR$7&gt;$D$3,"",_xlfn.XLOOKUP(BR$7,Estimating!$M$6:$BM$6,Estimating!$M$10:$BM$10))</f>
        <v>G</v>
      </c>
      <c r="BS18" s="159" t="str">
        <f>IF(BS$7&gt;$D$3,"",_xlfn.XLOOKUP(BS$7,Estimating!$M$6:$BM$6,Estimating!$M$10:$BM$10))</f>
        <v>R</v>
      </c>
      <c r="BT18" s="159" t="str">
        <f>IF(BT$7&gt;$D$3,"",_xlfn.XLOOKUP(BT$7,Estimating!$M$6:$BM$6,Estimating!$M$10:$BM$10))</f>
        <v>A</v>
      </c>
      <c r="BU18" s="159" t="str">
        <f>IF(BU$7&gt;$D$3,"",_xlfn.XLOOKUP(BU$7,Estimating!$M$6:$BM$6,Estimating!$M$10:$BM$10))</f>
        <v>R</v>
      </c>
      <c r="BV18" s="159" t="str">
        <f>IF(BV$7&gt;$D$3,"",_xlfn.XLOOKUP(BV$7,Estimating!$M$6:$BM$6,Estimating!$M$10:$BM$10))</f>
        <v>R</v>
      </c>
      <c r="BW18" s="159" t="str">
        <f>IF(BW$7&gt;$D$3,"",_xlfn.XLOOKUP(BW$7,Estimating!$M$6:$BM$6,Estimating!$M$10:$BM$10))</f>
        <v>G</v>
      </c>
      <c r="BX18" s="159" t="str">
        <f>IF(BX$7&gt;$D$3,"",_xlfn.XLOOKUP(BX$7,Estimating!$M$6:$BM$6,Estimating!$M$10:$BM$10))</f>
        <v>R</v>
      </c>
      <c r="BY18" s="159" t="str">
        <f>IF(BY$7&gt;$D$3,"",_xlfn.XLOOKUP(BY$7,Estimating!$M$6:$BM$6,Estimating!$M$10:$BM$10))</f>
        <v>R</v>
      </c>
      <c r="BZ18" s="159" t="str">
        <f>IF(BZ$7&gt;$D$3,"",_xlfn.XLOOKUP(BZ$7,Estimating!$M$6:$BM$6,Estimating!$M$10:$BM$10))</f>
        <v>R</v>
      </c>
      <c r="CA18" s="159" t="str">
        <f>IF(CA$7&gt;$D$3,"",_xlfn.XLOOKUP(CA$7,Estimating!$M$6:$BM$6,Estimating!$M$10:$BM$10))</f>
        <v>A</v>
      </c>
      <c r="CB18" s="159" t="str">
        <f>IF(CB$7&gt;$D$3,"",_xlfn.XLOOKUP(CB$7,Estimating!$M$6:$BM$6,Estimating!$M$10:$BM$10))</f>
        <v>A</v>
      </c>
      <c r="CC18" s="159" t="str">
        <f>IF(CC$7&gt;$D$3,"",_xlfn.XLOOKUP(CC$7,Estimating!$M$6:$BM$6,Estimating!$M$10:$BM$10))</f>
        <v/>
      </c>
      <c r="CD18" s="159" t="str">
        <f>IF(CD$7&gt;$D$3,"",_xlfn.XLOOKUP(CD$7,Estimating!$M$6:$BM$6,Estimating!$M$10:$BM$10))</f>
        <v/>
      </c>
      <c r="CE18" s="159" t="str">
        <f>IF(CE$7&gt;$D$3,"",_xlfn.XLOOKUP(CE$7,Estimating!$M$6:$BM$6,Estimating!$M$10:$BM$10))</f>
        <v/>
      </c>
      <c r="CF18" s="159" t="str">
        <f>IF(CF$7&gt;$D$3,"",_xlfn.XLOOKUP(CF$7,Estimating!$M$6:$BM$6,Estimating!$M$10:$BM$10))</f>
        <v/>
      </c>
      <c r="CG18" s="159" t="str">
        <f>IF(CG$7&gt;$D$3,"",_xlfn.XLOOKUP(CG$7,Estimating!$M$6:$BM$6,Estimating!$M$10:$BM$10))</f>
        <v/>
      </c>
      <c r="CH18" s="159" t="str">
        <f>IF(CH$7&gt;$D$3,"",_xlfn.XLOOKUP(CH$7,Estimating!$M$6:$BM$6,Estimating!$M$10:$BM$10))</f>
        <v/>
      </c>
      <c r="CI18" s="159" t="str">
        <f>IF(CI$7&gt;$D$3,"",_xlfn.XLOOKUP(CI$7,Estimating!$M$6:$BM$6,Estimating!$M$10:$BM$10))</f>
        <v/>
      </c>
      <c r="CJ18" s="159" t="str">
        <f>IF(CJ$7&gt;$D$3,"",_xlfn.XLOOKUP(CJ$7,Estimating!$M$6:$BM$6,Estimating!$M$10:$BM$10))</f>
        <v/>
      </c>
      <c r="CK18" s="159" t="str">
        <f>IF(CK$7&gt;$D$3,"",_xlfn.XLOOKUP(CK$7,Estimating!$M$6:$BM$6,Estimating!$M$10:$BM$10))</f>
        <v/>
      </c>
      <c r="CL18" s="159" t="str">
        <f>IF(CL$7&gt;$D$3,"",_xlfn.XLOOKUP(CL$7,Estimating!$M$6:$BM$6,Estimating!$M$10:$BM$10))</f>
        <v/>
      </c>
      <c r="CM18" s="159" t="str">
        <f>IF(CM$7&gt;$D$3,"",_xlfn.XLOOKUP(CM$7,Estimating!$M$6:$BM$6,Estimating!$M$10:$BM$10))</f>
        <v/>
      </c>
      <c r="CO18" s="465" t="str">
        <f>+$A18</f>
        <v>Estimating-KPI P1</v>
      </c>
      <c r="CP18" s="133" t="str">
        <f t="shared" ref="CP18:CS21" si="51">+C18</f>
        <v>KPI P1</v>
      </c>
      <c r="CQ18" s="142" t="str">
        <f t="shared" si="51"/>
        <v>Productivity</v>
      </c>
      <c r="CR18" s="142" t="str">
        <f t="shared" si="51"/>
        <v>Quotes Issued</v>
      </c>
      <c r="CS18" s="143" t="str">
        <f t="shared" si="51"/>
        <v>Count</v>
      </c>
      <c r="CT18" s="588" t="s">
        <v>246</v>
      </c>
      <c r="CU18" s="159" t="str">
        <f>IF(CU$7&gt;$D$3,"",_xlfn.XLOOKUP(CU$7,Estimating!$M$6:$BM$6,Estimating!$M$10:$BM$10))</f>
        <v>Blank</v>
      </c>
      <c r="CV18" s="323">
        <f>IFERROR(IF(CV$7&gt;$D$3,"",IF(AN18="OD","OD",IF(AN18="Missed","Missed",IF(AN18="TBC","TBC",IF(AN18="Undefined","Undefined",_xlfn.XLOOKUP(CV$7,Estimating!$M$6:$BM$6,Estimating!$M$9:$BM$9)/_xlfn.XLOOKUP(CV$7,Estimating!$M$6:$BM$6,Estimating!$M$8:$BM$8)))))),"")</f>
        <v>0.80952380952380953</v>
      </c>
      <c r="CW18" s="315">
        <f>IFERROR(IF(CW$7&gt;$D$3,"",IF(AO18="OD","OD",IF(AO18="Missed","Missed",IF(AO18="TBC","TBC",IF(AO18="Undefined","Undefined",_xlfn.XLOOKUP(CW$7,Estimating!$M$6:$BM$6,Estimating!$M$9:$BM$9)/_xlfn.XLOOKUP(CW$7,Estimating!$M$6:$BM$6,Estimating!$M$8:$BM$8)))))),"")</f>
        <v>1.0079365079365079</v>
      </c>
      <c r="CX18" s="315">
        <f>IFERROR(IF(CX$7&gt;$D$3,"",IF(AP18="OD","OD",IF(AP18="Missed","Missed",IF(AP18="TBC","TBC",IF(AP18="Undefined","Undefined",_xlfn.XLOOKUP(CX$7,Estimating!$M$6:$BM$6,Estimating!$M$9:$BM$9)/_xlfn.XLOOKUP(CX$7,Estimating!$M$6:$BM$6,Estimating!$M$8:$BM$8)))))),"")</f>
        <v>0.84126984126984128</v>
      </c>
      <c r="CY18" s="315">
        <f>IFERROR(IF(CY$7&gt;$D$3,"",IF(AQ18="OD","OD",IF(AQ18="Missed","Missed",IF(AQ18="TBC","TBC",IF(AQ18="Undefined","Undefined",_xlfn.XLOOKUP(CY$7,Estimating!$M$6:$BM$6,Estimating!$M$9:$BM$9)/_xlfn.XLOOKUP(CY$7,Estimating!$M$6:$BM$6,Estimating!$M$8:$BM$8)))))),"")</f>
        <v>1.1904761904761905</v>
      </c>
      <c r="CZ18" s="315">
        <f>IFERROR(IF(CZ$7&gt;$D$3,"",IF(AR18="OD","OD",IF(AR18="Missed","Missed",IF(AR18="TBC","TBC",IF(AR18="Undefined","Undefined",_xlfn.XLOOKUP(CZ$7,Estimating!$M$6:$BM$6,Estimating!$M$9:$BM$9)/_xlfn.XLOOKUP(CZ$7,Estimating!$M$6:$BM$6,Estimating!$M$8:$BM$8)))))),"")</f>
        <v>1.0714285714285714</v>
      </c>
      <c r="DA18" s="315">
        <f>IFERROR(IF(DA$7&gt;$D$3,"",IF(AS18="OD","OD",IF(AS18="Missed","Missed",IF(AS18="TBC","TBC",IF(AS18="Undefined","Undefined",_xlfn.XLOOKUP(DA$7,Estimating!$M$6:$BM$6,Estimating!$M$9:$BM$9)/_xlfn.XLOOKUP(DA$7,Estimating!$M$6:$BM$6,Estimating!$M$8:$BM$8)))))),"")</f>
        <v>1.0555555555555556</v>
      </c>
      <c r="DB18" s="315">
        <f>IFERROR(IF(DB$7&gt;$D$3,"",IF(AT18="OD","OD",IF(AT18="Missed","Missed",IF(AT18="TBC","TBC",IF(AT18="Undefined","Undefined",_xlfn.XLOOKUP(DB$7,Estimating!$M$6:$BM$6,Estimating!$M$9:$BM$9)/_xlfn.XLOOKUP(DB$7,Estimating!$M$6:$BM$6,Estimating!$M$8:$BM$8)))))),"")</f>
        <v>1.0317460317460319</v>
      </c>
      <c r="DC18" s="315">
        <f>IFERROR(IF(DC$7&gt;$D$3,"",IF(AU18="OD","OD",IF(AU18="Missed","Missed",IF(AU18="TBC","TBC",IF(AU18="Undefined","Undefined",_xlfn.XLOOKUP(DC$7,Estimating!$M$6:$BM$6,Estimating!$M$9:$BM$9)/_xlfn.XLOOKUP(DC$7,Estimating!$M$6:$BM$6,Estimating!$M$8:$BM$8)))))),"")</f>
        <v>1.0476190476190477</v>
      </c>
      <c r="DD18" s="315">
        <f>IFERROR(IF(DD$7&gt;$D$3,"",IF(AV18="OD","OD",IF(AV18="Missed","Missed",IF(AV18="TBC","TBC",IF(AV18="Undefined","Undefined",_xlfn.XLOOKUP(DD$7,Estimating!$M$6:$BM$6,Estimating!$M$9:$BM$9)/_xlfn.XLOOKUP(DD$7,Estimating!$M$6:$BM$6,Estimating!$M$8:$BM$8)))))),"")</f>
        <v>0.98412698412698407</v>
      </c>
      <c r="DE18" s="315">
        <f>IFERROR(IF(DE$7&gt;$D$3,"",IF(AW18="OD","OD",IF(AW18="Missed","Missed",IF(AW18="TBC","TBC",IF(AW18="Undefined","Undefined",_xlfn.XLOOKUP(DE$7,Estimating!$M$6:$BM$6,Estimating!$M$9:$BM$9)/_xlfn.XLOOKUP(DE$7,Estimating!$M$6:$BM$6,Estimating!$M$8:$BM$8)))))),"")</f>
        <v>0.94444444444444442</v>
      </c>
      <c r="DF18" s="315">
        <f>IFERROR(IF(DF$7&gt;$D$3,"",IF(AX18="OD","OD",IF(AX18="Missed","Missed",IF(AX18="TBC","TBC",IF(AX18="Undefined","Undefined",_xlfn.XLOOKUP(DF$7,Estimating!$M$6:$BM$6,Estimating!$M$9:$BM$9)/_xlfn.XLOOKUP(DF$7,Estimating!$M$6:$BM$6,Estimating!$M$8:$BM$8)))))),"")</f>
        <v>0.98412698412698407</v>
      </c>
      <c r="DG18" s="315">
        <f>IFERROR(IF(DG$7&gt;$D$3,"",IF(AY18="OD","OD",IF(AY18="Missed","Missed",IF(AY18="TBC","TBC",IF(AY18="Undefined","Undefined",_xlfn.XLOOKUP(DG$7,Estimating!$M$6:$BM$6,Estimating!$M$9:$BM$9)/_xlfn.XLOOKUP(DG$7,Estimating!$M$6:$BM$6,Estimating!$M$8:$BM$8)))))),"")</f>
        <v>1.1111111111111112</v>
      </c>
      <c r="DH18" s="315">
        <f>IFERROR(IF(DH$7&gt;$D$3,"",IF(AZ18="OD","OD",IF(AZ18="Missed","Missed",IF(AZ18="TBC","TBC",IF(AZ18="Undefined","Undefined",_xlfn.XLOOKUP(DH$7,Estimating!$M$6:$BM$6,Estimating!$M$9:$BM$9)/_xlfn.XLOOKUP(DH$7,Estimating!$M$6:$BM$6,Estimating!$M$8:$BM$8)))))),"")</f>
        <v>0.91269841269841268</v>
      </c>
      <c r="DI18" s="315">
        <f>IFERROR(IF(DI$7&gt;$D$3,"",IF(BA18="OD","OD",IF(BA18="Missed","Missed",IF(BA18="TBC","TBC",IF(BA18="Undefined","Undefined",_xlfn.XLOOKUP(DI$7,Estimating!$M$6:$BM$6,Estimating!$M$9:$BM$9)/_xlfn.XLOOKUP(DI$7,Estimating!$M$6:$BM$6,Estimating!$M$8:$BM$8)))))),"")</f>
        <v>1.1031746031746033</v>
      </c>
      <c r="DJ18" s="315">
        <f>IFERROR(IF(DJ$7&gt;$D$3,"",IF(BB18="OD","OD",IF(BB18="Missed","Missed",IF(BB18="TBC","TBC",IF(BB18="Undefined","Undefined",_xlfn.XLOOKUP(DJ$7,Estimating!$M$6:$BM$6,Estimating!$M$9:$BM$9)/_xlfn.XLOOKUP(DJ$7,Estimating!$M$6:$BM$6,Estimating!$M$8:$BM$8)))))),"")</f>
        <v>0.76984126984126988</v>
      </c>
      <c r="DK18" s="315">
        <f>IFERROR(IF(DK$7&gt;$D$3,"",IF(BC18="OD","OD",IF(BC18="Missed","Missed",IF(BC18="TBC","TBC",IF(BC18="Undefined","Undefined",_xlfn.XLOOKUP(DK$7,Estimating!$M$6:$BM$6,Estimating!$M$9:$BM$9)/_xlfn.XLOOKUP(DK$7,Estimating!$M$6:$BM$6,Estimating!$M$8:$BM$8)))))),"")</f>
        <v>0.83333333333333337</v>
      </c>
      <c r="DL18" s="315">
        <f>IFERROR(IF(DL$7&gt;$D$3,"",IF(BD18="OD","OD",IF(BD18="Missed","Missed",IF(BD18="TBC","TBC",IF(BD18="Undefined","Undefined",_xlfn.XLOOKUP(DL$7,Estimating!$M$6:$BM$6,Estimating!$M$9:$BM$9)/_xlfn.XLOOKUP(DL$7,Estimating!$M$6:$BM$6,Estimating!$M$8:$BM$8)))))),"")</f>
        <v>1.0238095238095237</v>
      </c>
      <c r="DM18" s="315">
        <f>IFERROR(IF(DM$7&gt;$D$3,"",IF(BE18="OD","OD",IF(BE18="Missed","Missed",IF(BE18="TBC","TBC",IF(BE18="Undefined","Undefined",_xlfn.XLOOKUP(DM$7,Estimating!$M$6:$BM$6,Estimating!$M$9:$BM$9)/_xlfn.XLOOKUP(DM$7,Estimating!$M$6:$BM$6,Estimating!$M$8:$BM$8)))))),"")</f>
        <v>0.69841269841269837</v>
      </c>
      <c r="DN18" s="315">
        <f>IFERROR(IF(DN$7&gt;$D$3,"",IF(BF18="OD","OD",IF(BF18="Missed","Missed",IF(BF18="TBC","TBC",IF(BF18="Undefined","Undefined",_xlfn.XLOOKUP(DN$7,Estimating!$M$6:$BM$6,Estimating!$M$9:$BM$9)/_xlfn.XLOOKUP(DN$7,Estimating!$M$6:$BM$6,Estimating!$M$8:$BM$8)))))),"")</f>
        <v>1.0714285714285714</v>
      </c>
      <c r="DO18" s="315">
        <f>IFERROR(IF(DO$7&gt;$D$3,"",IF(BG18="OD","OD",IF(BG18="Missed","Missed",IF(BG18="TBC","TBC",IF(BG18="Undefined","Undefined",_xlfn.XLOOKUP(DO$7,Estimating!$M$6:$BM$6,Estimating!$M$9:$BM$9)/_xlfn.XLOOKUP(DO$7,Estimating!$M$6:$BM$6,Estimating!$M$8:$BM$8)))))),"")</f>
        <v>1.253968253968254</v>
      </c>
      <c r="DP18" s="315">
        <f>IFERROR(IF(DP$7&gt;$D$3,"",IF(BH18="OD","OD",IF(BH18="Missed","Missed",IF(BH18="TBC","TBC",IF(BH18="Undefined","Undefined",_xlfn.XLOOKUP(DP$7,Estimating!$M$6:$BM$6,Estimating!$M$9:$BM$9)/_xlfn.XLOOKUP(DP$7,Estimating!$M$6:$BM$6,Estimating!$M$8:$BM$8)))))),"")</f>
        <v>0.67460317460317465</v>
      </c>
      <c r="DQ18" s="315">
        <f>IFERROR(IF(DQ$7&gt;$D$3,"",IF(BI18="OD","OD",IF(BI18="Missed","Missed",IF(BI18="TBC","TBC",IF(BI18="Undefined","Undefined",_xlfn.XLOOKUP(DQ$7,Estimating!$M$6:$BM$6,Estimating!$M$9:$BM$9)/_xlfn.XLOOKUP(DQ$7,Estimating!$M$6:$BM$6,Estimating!$M$8:$BM$8)))))),"")</f>
        <v>0.83333333333333337</v>
      </c>
      <c r="DR18" s="315">
        <f>IFERROR(IF(DR$7&gt;$D$3,"",IF(BJ18="OD","OD",IF(BJ18="Missed","Missed",IF(BJ18="TBC","TBC",IF(BJ18="Undefined","Undefined",_xlfn.XLOOKUP(DR$7,Estimating!$M$6:$BM$6,Estimating!$M$9:$BM$9)/_xlfn.XLOOKUP(DR$7,Estimating!$M$6:$BM$6,Estimating!$M$8:$BM$8)))))),"")</f>
        <v>0.93650793650793651</v>
      </c>
      <c r="DS18" s="315">
        <f>IFERROR(IF(DS$7&gt;$D$3,"",IF(BK18="OD","OD",IF(BK18="Missed","Missed",IF(BK18="TBC","TBC",IF(BK18="Undefined","Undefined",_xlfn.XLOOKUP(DS$7,Estimating!$M$6:$BM$6,Estimating!$M$9:$BM$9)/_xlfn.XLOOKUP(DS$7,Estimating!$M$6:$BM$6,Estimating!$M$8:$BM$8)))))),"")</f>
        <v>1.126984126984127</v>
      </c>
      <c r="DT18" s="315">
        <f>IFERROR(IF(DT$7&gt;$D$3,"",IF(BL18="OD","OD",IF(BL18="Missed","Missed",IF(BL18="TBC","TBC",IF(BL18="Undefined","Undefined",_xlfn.XLOOKUP(DT$7,Estimating!$M$6:$BM$6,Estimating!$M$9:$BM$9)/_xlfn.XLOOKUP(DT$7,Estimating!$M$6:$BM$6,Estimating!$M$8:$BM$8)))))),"")</f>
        <v>1.0396825396825398</v>
      </c>
      <c r="DU18" s="315">
        <f>IFERROR(IF(DU$7&gt;$D$3,"",IF(BM18="OD","OD",IF(BM18="Missed","Missed",IF(BM18="TBC","TBC",IF(BM18="Undefined","Undefined",_xlfn.XLOOKUP(DU$7,Estimating!$M$6:$BM$6,Estimating!$M$9:$BM$9)/_xlfn.XLOOKUP(DU$7,Estimating!$M$6:$BM$6,Estimating!$M$8:$BM$8)))))),"")</f>
        <v>1.0714285714285714</v>
      </c>
      <c r="DV18" s="315">
        <f>IFERROR(IF(DV$7&gt;$D$3,"",IF(BN18="OD","OD",IF(BN18="Missed","Missed",IF(BN18="TBC","TBC",IF(BN18="Undefined","Undefined",_xlfn.XLOOKUP(DV$7,Estimating!$M$6:$BM$6,Estimating!$M$9:$BM$9)/_xlfn.XLOOKUP(DV$7,Estimating!$M$6:$BM$6,Estimating!$M$8:$BM$8)))))),"")</f>
        <v>0.98412698412698407</v>
      </c>
      <c r="DW18" s="315">
        <f>IFERROR(IF(DW$7&gt;$D$3,"",IF(BO18="OD","OD",IF(BO18="Missed","Missed",IF(BO18="TBC","TBC",IF(BO18="Undefined","Undefined",_xlfn.XLOOKUP(DW$7,Estimating!$M$6:$BM$6,Estimating!$M$9:$BM$9)/_xlfn.XLOOKUP(DW$7,Estimating!$M$6:$BM$6,Estimating!$M$8:$BM$8)))))),"")</f>
        <v>0.84126984126984128</v>
      </c>
      <c r="DX18" s="315">
        <f>IFERROR(IF(DX$7&gt;$D$3,"",IF(BP18="OD","OD",IF(BP18="Missed","Missed",IF(BP18="TBC","TBC",IF(BP18="Undefined","Undefined",_xlfn.XLOOKUP(DX$7,Estimating!$M$6:$BM$6,Estimating!$M$9:$BM$9)/_xlfn.XLOOKUP(DX$7,Estimating!$M$6:$BM$6,Estimating!$M$8:$BM$8)))))),"")</f>
        <v>1.253968253968254</v>
      </c>
      <c r="DY18" s="315">
        <f>IFERROR(IF(DY$7&gt;$D$3,"",IF(BQ18="OD","OD",IF(BQ18="Missed","Missed",IF(BQ18="TBC","TBC",IF(BQ18="Undefined","Undefined",_xlfn.XLOOKUP(DY$7,Estimating!$M$6:$BM$6,Estimating!$M$9:$BM$9)/_xlfn.XLOOKUP(DY$7,Estimating!$M$6:$BM$6,Estimating!$M$8:$BM$8)))))),"")</f>
        <v>0.81746031746031744</v>
      </c>
      <c r="DZ18" s="315">
        <f>IFERROR(IF(DZ$7&gt;$D$3,"",IF(BR18="OD","OD",IF(BR18="Missed","Missed",IF(BR18="TBC","TBC",IF(BR18="Undefined","Undefined",_xlfn.XLOOKUP(DZ$7,Estimating!$M$6:$BM$6,Estimating!$M$9:$BM$9)/_xlfn.XLOOKUP(DZ$7,Estimating!$M$6:$BM$6,Estimating!$M$8:$BM$8)))))),"")</f>
        <v>1.0238095238095237</v>
      </c>
      <c r="EA18" s="315">
        <f>IFERROR(IF(EA$7&gt;$D$3,"",IF(BS18="OD","OD",IF(BS18="Missed","Missed",IF(BS18="TBC","TBC",IF(BS18="Undefined","Undefined",_xlfn.XLOOKUP(EA$7,Estimating!$M$6:$BM$6,Estimating!$M$9:$BM$9)/_xlfn.XLOOKUP(EA$7,Estimating!$M$6:$BM$6,Estimating!$M$8:$BM$8)))))),"")</f>
        <v>0.75396825396825395</v>
      </c>
      <c r="EB18" s="315">
        <f>IFERROR(IF(EB$7&gt;$D$3,"",IF(BT18="OD","OD",IF(BT18="Missed","Missed",IF(BT18="TBC","TBC",IF(BT18="Undefined","Undefined",_xlfn.XLOOKUP(EB$7,Estimating!$M$6:$BM$6,Estimating!$M$9:$BM$9)/_xlfn.XLOOKUP(EB$7,Estimating!$M$6:$BM$6,Estimating!$M$8:$BM$8)))))),"")</f>
        <v>0.96031746031746035</v>
      </c>
      <c r="EC18" s="315">
        <f>IFERROR(IF(EC$7&gt;$D$3,"",IF(BU18="OD","OD",IF(BU18="Missed","Missed",IF(BU18="TBC","TBC",IF(BU18="Undefined","Undefined",_xlfn.XLOOKUP(EC$7,Estimating!$M$6:$BM$6,Estimating!$M$9:$BM$9)/_xlfn.XLOOKUP(EC$7,Estimating!$M$6:$BM$6,Estimating!$M$8:$BM$8)))))),"")</f>
        <v>0.65873015873015872</v>
      </c>
      <c r="ED18" s="315">
        <f>IFERROR(IF(ED$7&gt;$D$3,"",IF(BV18="OD","OD",IF(BV18="Missed","Missed",IF(BV18="TBC","TBC",IF(BV18="Undefined","Undefined",_xlfn.XLOOKUP(ED$7,Estimating!$M$6:$BM$6,Estimating!$M$9:$BM$9)/_xlfn.XLOOKUP(ED$7,Estimating!$M$6:$BM$6,Estimating!$M$8:$BM$8)))))),"")</f>
        <v>0.84920634920634919</v>
      </c>
      <c r="EE18" s="315">
        <f>IFERROR(IF(EE$7&gt;$D$3,"",IF(BW18="OD","OD",IF(BW18="Missed","Missed",IF(BW18="TBC","TBC",IF(BW18="Undefined","Undefined",_xlfn.XLOOKUP(EE$7,Estimating!$M$6:$BM$6,Estimating!$M$9:$BM$9)/_xlfn.XLOOKUP(EE$7,Estimating!$M$6:$BM$6,Estimating!$M$8:$BM$8)))))),"")</f>
        <v>1.1190476190476191</v>
      </c>
      <c r="EF18" s="315">
        <f>IFERROR(IF(EF$7&gt;$D$3,"",IF(BX18="OD","OD",IF(BX18="Missed","Missed",IF(BX18="TBC","TBC",IF(BX18="Undefined","Undefined",_xlfn.XLOOKUP(EF$7,Estimating!$M$6:$BM$6,Estimating!$M$9:$BM$9)/_xlfn.XLOOKUP(EF$7,Estimating!$M$6:$BM$6,Estimating!$M$8:$BM$8)))))),"")</f>
        <v>0.91269841269841268</v>
      </c>
      <c r="EG18" s="315">
        <f>IFERROR(IF(EG$7&gt;$D$3,"",IF(BY18="OD","OD",IF(BY18="Missed","Missed",IF(BY18="TBC","TBC",IF(BY18="Undefined","Undefined",_xlfn.XLOOKUP(EG$7,Estimating!$M$6:$BM$6,Estimating!$M$9:$BM$9)/_xlfn.XLOOKUP(EG$7,Estimating!$M$6:$BM$6,Estimating!$M$8:$BM$8)))))),"")</f>
        <v>0.86507936507936511</v>
      </c>
      <c r="EH18" s="315">
        <f>IFERROR(IF(EH$7&gt;$D$3,"",IF(BZ18="OD","OD",IF(BZ18="Missed","Missed",IF(BZ18="TBC","TBC",IF(BZ18="Undefined","Undefined",_xlfn.XLOOKUP(EH$7,Estimating!$M$6:$BM$6,Estimating!$M$9:$BM$9)/_xlfn.XLOOKUP(EH$7,Estimating!$M$6:$BM$6,Estimating!$M$8:$BM$8)))))),"")</f>
        <v>0.73809523809523814</v>
      </c>
      <c r="EI18" s="315">
        <f>IFERROR(IF(EI$7&gt;$D$3,"",IF(CA18="OD","OD",IF(CA18="Missed","Missed",IF(CA18="TBC","TBC",IF(CA18="Undefined","Undefined",_xlfn.XLOOKUP(EI$7,Estimating!$M$6:$BM$6,Estimating!$M$9:$BM$9)/_xlfn.XLOOKUP(EI$7,Estimating!$M$6:$BM$6,Estimating!$M$8:$BM$8)))))),"")</f>
        <v>0.98412698412698407</v>
      </c>
      <c r="EJ18" s="315">
        <f>IFERROR(IF(EJ$7&gt;$D$3,"",IF(CB18="OD","OD",IF(CB18="Missed","Missed",IF(CB18="TBC","TBC",IF(CB18="Undefined","Undefined",_xlfn.XLOOKUP(EJ$7,Estimating!$M$6:$BM$6,Estimating!$M$9:$BM$9)/_xlfn.XLOOKUP(EJ$7,Estimating!$M$6:$BM$6,Estimating!$M$8:$BM$8)))))),"")</f>
        <v>0.97619047619047616</v>
      </c>
      <c r="EK18" s="315" t="str">
        <f>IFERROR(IF(EK$7&gt;$D$3,"",IF(CC18="OD","OD",IF(CC18="Missed","Missed",IF(CC18="TBC","TBC",IF(CC18="Undefined","Undefined",_xlfn.XLOOKUP(EK$7,Estimating!$M$6:$BM$6,Estimating!$M$9:$BM$9)/_xlfn.XLOOKUP(EK$7,Estimating!$M$6:$BM$6,Estimating!$M$8:$BM$8)))))),"")</f>
        <v/>
      </c>
      <c r="EL18" s="315" t="str">
        <f>IFERROR(IF(EL$7&gt;$D$3,"",IF(CD18="OD","OD",IF(CD18="Missed","Missed",IF(CD18="TBC","TBC",IF(CD18="Undefined","Undefined",_xlfn.XLOOKUP(EL$7,Estimating!$M$6:$BM$6,Estimating!$M$9:$BM$9)/_xlfn.XLOOKUP(EL$7,Estimating!$M$6:$BM$6,Estimating!$M$8:$BM$8)))))),"")</f>
        <v/>
      </c>
      <c r="EM18" s="315" t="str">
        <f>IFERROR(IF(EM$7&gt;$D$3,"",IF(CE18="OD","OD",IF(CE18="Missed","Missed",IF(CE18="TBC","TBC",IF(CE18="Undefined","Undefined",_xlfn.XLOOKUP(EM$7,Estimating!$M$6:$BM$6,Estimating!$M$9:$BM$9)/_xlfn.XLOOKUP(EM$7,Estimating!$M$6:$BM$6,Estimating!$M$8:$BM$8)))))),"")</f>
        <v/>
      </c>
      <c r="EN18" s="315" t="str">
        <f>IFERROR(IF(EN$7&gt;$D$3,"",IF(CF18="OD","OD",IF(CF18="Missed","Missed",IF(CF18="TBC","TBC",IF(CF18="Undefined","Undefined",_xlfn.XLOOKUP(EN$7,Estimating!$M$6:$BM$6,Estimating!$M$9:$BM$9)/_xlfn.XLOOKUP(EN$7,Estimating!$M$6:$BM$6,Estimating!$M$8:$BM$8)))))),"")</f>
        <v/>
      </c>
      <c r="EO18" s="315" t="str">
        <f>IFERROR(IF(EO$7&gt;$D$3,"",IF(CG18="OD","OD",IF(CG18="Missed","Missed",IF(CG18="TBC","TBC",IF(CG18="Undefined","Undefined",_xlfn.XLOOKUP(EO$7,Estimating!$M$6:$BM$6,Estimating!$M$9:$BM$9)/_xlfn.XLOOKUP(EO$7,Estimating!$M$6:$BM$6,Estimating!$M$8:$BM$8)))))),"")</f>
        <v/>
      </c>
      <c r="EP18" s="315" t="str">
        <f>IFERROR(IF(EP$7&gt;$D$3,"",IF(CH18="OD","OD",IF(CH18="Missed","Missed",IF(CH18="TBC","TBC",IF(CH18="Undefined","Undefined",_xlfn.XLOOKUP(EP$7,Estimating!$M$6:$BM$6,Estimating!$M$9:$BM$9)/_xlfn.XLOOKUP(EP$7,Estimating!$M$6:$BM$6,Estimating!$M$8:$BM$8)))))),"")</f>
        <v/>
      </c>
      <c r="EQ18" s="315" t="str">
        <f>IFERROR(IF(EQ$7&gt;$D$3,"",IF(CI18="OD","OD",IF(CI18="Missed","Missed",IF(CI18="TBC","TBC",IF(CI18="Undefined","Undefined",_xlfn.XLOOKUP(EQ$7,Estimating!$M$6:$BM$6,Estimating!$M$9:$BM$9)/_xlfn.XLOOKUP(EQ$7,Estimating!$M$6:$BM$6,Estimating!$M$8:$BM$8)))))),"")</f>
        <v/>
      </c>
      <c r="ER18" s="315" t="str">
        <f>IFERROR(IF(ER$7&gt;$D$3,"",IF(CJ18="OD","OD",IF(CJ18="Missed","Missed",IF(CJ18="TBC","TBC",IF(CJ18="Undefined","Undefined",_xlfn.XLOOKUP(ER$7,Estimating!$M$6:$BM$6,Estimating!$M$9:$BM$9)/_xlfn.XLOOKUP(ER$7,Estimating!$M$6:$BM$6,Estimating!$M$8:$BM$8)))))),"")</f>
        <v/>
      </c>
      <c r="ES18" s="315" t="str">
        <f>IFERROR(IF(ES$7&gt;$D$3,"",IF(CK18="OD","OD",IF(CK18="Missed","Missed",IF(CK18="TBC","TBC",IF(CK18="Undefined","Undefined",_xlfn.XLOOKUP(ES$7,Estimating!$M$6:$BM$6,Estimating!$M$9:$BM$9)/_xlfn.XLOOKUP(ES$7,Estimating!$M$6:$BM$6,Estimating!$M$8:$BM$8)))))),"")</f>
        <v/>
      </c>
      <c r="ET18" s="315" t="str">
        <f>IFERROR(IF(ET$7&gt;$D$3,"",IF(CL18="OD","OD",IF(CL18="Missed","Missed",IF(CL18="TBC","TBC",IF(CL18="Undefined","Undefined",_xlfn.XLOOKUP(ET$7,Estimating!$M$6:$BM$6,Estimating!$M$9:$BM$9)/_xlfn.XLOOKUP(ET$7,Estimating!$M$6:$BM$6,Estimating!$M$8:$BM$8)))))),"")</f>
        <v/>
      </c>
      <c r="EU18" s="315" t="str">
        <f>IFERROR(IF(EU$7&gt;$D$3,"",IF(CM18="OD","OD",IF(CM18="Missed","Missed",IF(CM18="TBC","TBC",IF(CM18="Undefined","Undefined",_xlfn.XLOOKUP(EU$7,Estimating!$M$6:$BM$6,Estimating!$M$9:$BM$9)/_xlfn.XLOOKUP(EU$7,Estimating!$M$6:$BM$6,Estimating!$M$8:$BM$8)))))),"")</f>
        <v/>
      </c>
      <c r="EW18" s="465" t="str">
        <f>+$A18</f>
        <v>Estimating-KPI P1</v>
      </c>
      <c r="EX18" s="133" t="str">
        <f>+$C18</f>
        <v>KPI P1</v>
      </c>
      <c r="EY18" s="142" t="str">
        <f>+$D18</f>
        <v>Productivity</v>
      </c>
      <c r="EZ18" s="142" t="str">
        <f>+$E18</f>
        <v>Quotes Issued</v>
      </c>
      <c r="FA18" s="143" t="str">
        <f>+$F18</f>
        <v>Count</v>
      </c>
      <c r="FB18" s="143" t="s">
        <v>251</v>
      </c>
      <c r="FC18" s="198" t="str">
        <f>IF(FC$7&gt;$D$3,"",IF($FA17&lt;FC$7,"OD",_xlfn.XLOOKUP(FC$7,Estimating!$M$6:$BM$6,Estimating!$M$9:$BM$9)))</f>
        <v>Blank</v>
      </c>
      <c r="FD18" s="198">
        <f>IF(FD$7&gt;$D$3,"",IF($FA17&lt;FD$7,"OD",_xlfn.XLOOKUP(FD$7,Estimating!$M$6:$BM$6,Estimating!$M$9:$BM$9)))</f>
        <v>102</v>
      </c>
      <c r="FE18" s="198">
        <f>IF(FE$7&gt;$D$3,"",IF($FA17&lt;FE$7,"OD",_xlfn.XLOOKUP(FE$7,Estimating!$M$6:$BM$6,Estimating!$M$9:$BM$9)))</f>
        <v>127</v>
      </c>
      <c r="FF18" s="198">
        <f>IF(FF$7&gt;$D$3,"",IF($FA17&lt;FF$7,"OD",_xlfn.XLOOKUP(FF$7,Estimating!$M$6:$BM$6,Estimating!$M$9:$BM$9)))</f>
        <v>106</v>
      </c>
      <c r="FG18" s="198">
        <f>IF(FG$7&gt;$D$3,"",IF($FA17&lt;FG$7,"OD",_xlfn.XLOOKUP(FG$7,Estimating!$M$6:$BM$6,Estimating!$M$9:$BM$9)))</f>
        <v>150</v>
      </c>
      <c r="FH18" s="198">
        <f>IF(FH$7&gt;$D$3,"",IF($FA17&lt;FH$7,"OD",_xlfn.XLOOKUP(FH$7,Estimating!$M$6:$BM$6,Estimating!$M$9:$BM$9)))</f>
        <v>135</v>
      </c>
      <c r="FI18" s="198">
        <f>IF(FI$7&gt;$D$3,"",IF($FA17&lt;FI$7,"OD",_xlfn.XLOOKUP(FI$7,Estimating!$M$6:$BM$6,Estimating!$M$9:$BM$9)))</f>
        <v>133</v>
      </c>
      <c r="FJ18" s="198">
        <f>IF(FJ$7&gt;$D$3,"",IF($FA17&lt;FJ$7,"OD",_xlfn.XLOOKUP(FJ$7,Estimating!$M$6:$BM$6,Estimating!$M$9:$BM$9)))</f>
        <v>130</v>
      </c>
      <c r="FK18" s="198">
        <f>IF(FK$7&gt;$D$3,"",IF($FA17&lt;FK$7,"OD",_xlfn.XLOOKUP(FK$7,Estimating!$M$6:$BM$6,Estimating!$M$9:$BM$9)))</f>
        <v>132</v>
      </c>
      <c r="FL18" s="198">
        <f>IF(FL$7&gt;$D$3,"",IF($FA17&lt;FL$7,"OD",_xlfn.XLOOKUP(FL$7,Estimating!$M$6:$BM$6,Estimating!$M$9:$BM$9)))</f>
        <v>124</v>
      </c>
      <c r="FM18" s="198">
        <f>IF(FM$7&gt;$D$3,"",IF($FA17&lt;FM$7,"OD",_xlfn.XLOOKUP(FM$7,Estimating!$M$6:$BM$6,Estimating!$M$9:$BM$9)))</f>
        <v>119</v>
      </c>
      <c r="FN18" s="198">
        <f>IF(FN$7&gt;$D$3,"",IF($FA17&lt;FN$7,"OD",_xlfn.XLOOKUP(FN$7,Estimating!$M$6:$BM$6,Estimating!$M$9:$BM$9)))</f>
        <v>124</v>
      </c>
      <c r="FO18" s="198">
        <f>IF(FO$7&gt;$D$3,"",IF($FA17&lt;FO$7,"OD",_xlfn.XLOOKUP(FO$7,Estimating!$M$6:$BM$6,Estimating!$M$9:$BM$9)))</f>
        <v>140</v>
      </c>
      <c r="FP18" s="198">
        <f>IF(FP$7&gt;$D$3,"",IF($FA17&lt;FP$7,"OD",_xlfn.XLOOKUP(FP$7,Estimating!$M$6:$BM$6,Estimating!$M$9:$BM$9)))</f>
        <v>115</v>
      </c>
      <c r="FQ18" s="198">
        <f>IF(FQ$7&gt;$D$3,"",IF($FA17&lt;FQ$7,"OD",_xlfn.XLOOKUP(FQ$7,Estimating!$M$6:$BM$6,Estimating!$M$9:$BM$9)))</f>
        <v>139</v>
      </c>
      <c r="FR18" s="198">
        <f>IF(FR$7&gt;$D$3,"",IF($FA17&lt;FR$7,"OD",_xlfn.XLOOKUP(FR$7,Estimating!$M$6:$BM$6,Estimating!$M$9:$BM$9)))</f>
        <v>97</v>
      </c>
      <c r="FS18" s="198">
        <f>IF(FS$7&gt;$D$3,"",IF($FA17&lt;FS$7,"OD",_xlfn.XLOOKUP(FS$7,Estimating!$M$6:$BM$6,Estimating!$M$9:$BM$9)))</f>
        <v>105</v>
      </c>
      <c r="FT18" s="198">
        <f>IF(FT$7&gt;$D$3,"",IF($FA17&lt;FT$7,"OD",_xlfn.XLOOKUP(FT$7,Estimating!$M$6:$BM$6,Estimating!$M$9:$BM$9)))</f>
        <v>129</v>
      </c>
      <c r="FU18" s="198">
        <f>IF(FU$7&gt;$D$3,"",IF($FA17&lt;FU$7,"OD",_xlfn.XLOOKUP(FU$7,Estimating!$M$6:$BM$6,Estimating!$M$9:$BM$9)))</f>
        <v>88</v>
      </c>
      <c r="FV18" s="198">
        <f>IF(FV$7&gt;$D$3,"",IF($FA17&lt;FV$7,"OD",_xlfn.XLOOKUP(FV$7,Estimating!$M$6:$BM$6,Estimating!$M$9:$BM$9)))</f>
        <v>135</v>
      </c>
      <c r="FW18" s="198">
        <f>IF(FW$7&gt;$D$3,"",IF($FA17&lt;FW$7,"OD",_xlfn.XLOOKUP(FW$7,Estimating!$M$6:$BM$6,Estimating!$M$9:$BM$9)))</f>
        <v>158</v>
      </c>
      <c r="FX18" s="198">
        <f>IF(FX$7&gt;$D$3,"",IF($FA17&lt;FX$7,"OD",_xlfn.XLOOKUP(FX$7,Estimating!$M$6:$BM$6,Estimating!$M$9:$BM$9)))</f>
        <v>85</v>
      </c>
      <c r="FY18" s="198">
        <f>IF(FY$7&gt;$D$3,"",IF($FA17&lt;FY$7,"OD",_xlfn.XLOOKUP(FY$7,Estimating!$M$6:$BM$6,Estimating!$M$9:$BM$9)))</f>
        <v>105</v>
      </c>
      <c r="FZ18" s="198">
        <f>IF(FZ$7&gt;$D$3,"",IF($FA17&lt;FZ$7,"OD",_xlfn.XLOOKUP(FZ$7,Estimating!$M$6:$BM$6,Estimating!$M$9:$BM$9)))</f>
        <v>118</v>
      </c>
      <c r="GA18" s="198">
        <f>IF(GA$7&gt;$D$3,"",IF($FA17&lt;GA$7,"OD",_xlfn.XLOOKUP(GA$7,Estimating!$M$6:$BM$6,Estimating!$M$9:$BM$9)))</f>
        <v>142</v>
      </c>
      <c r="GB18" s="198">
        <f>IF(GB$7&gt;$D$3,"",IF($FA17&lt;GB$7,"OD",_xlfn.XLOOKUP(GB$7,Estimating!$M$6:$BM$6,Estimating!$M$9:$BM$9)))</f>
        <v>131</v>
      </c>
      <c r="GC18" s="198">
        <f>IF(GC$7&gt;$D$3,"",IF($FA17&lt;GC$7,"OD",_xlfn.XLOOKUP(GC$7,Estimating!$M$6:$BM$6,Estimating!$M$9:$BM$9)))</f>
        <v>135</v>
      </c>
      <c r="GD18" s="198">
        <f>IF(GD$7&gt;$D$3,"",IF($FA17&lt;GD$7,"OD",_xlfn.XLOOKUP(GD$7,Estimating!$M$6:$BM$6,Estimating!$M$9:$BM$9)))</f>
        <v>124</v>
      </c>
      <c r="GE18" s="198">
        <f>IF(GE$7&gt;$D$3,"",IF($FA17&lt;GE$7,"OD",_xlfn.XLOOKUP(GE$7,Estimating!$M$6:$BM$6,Estimating!$M$9:$BM$9)))</f>
        <v>106</v>
      </c>
      <c r="GF18" s="198">
        <f>IF(GF$7&gt;$D$3,"",IF($FA17&lt;GF$7,"OD",_xlfn.XLOOKUP(GF$7,Estimating!$M$6:$BM$6,Estimating!$M$9:$BM$9)))</f>
        <v>158</v>
      </c>
      <c r="GG18" s="198">
        <f>IF(GG$7&gt;$D$3,"",IF($FA17&lt;GG$7,"OD",_xlfn.XLOOKUP(GG$7,Estimating!$M$6:$BM$6,Estimating!$M$9:$BM$9)))</f>
        <v>103</v>
      </c>
      <c r="GH18" s="198">
        <f>IF(GH$7&gt;$D$3,"",IF($FA17&lt;GH$7,"OD",_xlfn.XLOOKUP(GH$7,Estimating!$M$6:$BM$6,Estimating!$M$9:$BM$9)))</f>
        <v>129</v>
      </c>
      <c r="GI18" s="198">
        <f>IF(GI$7&gt;$D$3,"",IF($FA17&lt;GI$7,"OD",_xlfn.XLOOKUP(GI$7,Estimating!$M$6:$BM$6,Estimating!$M$9:$BM$9)))</f>
        <v>95</v>
      </c>
      <c r="GJ18" s="198">
        <f>IF(GJ$7&gt;$D$3,"",IF($FA17&lt;GJ$7,"OD",_xlfn.XLOOKUP(GJ$7,Estimating!$M$6:$BM$6,Estimating!$M$9:$BM$9)))</f>
        <v>121</v>
      </c>
      <c r="GK18" s="198">
        <f>IF(GK$7&gt;$D$3,"",IF($FA17&lt;GK$7,"OD",_xlfn.XLOOKUP(GK$7,Estimating!$M$6:$BM$6,Estimating!$M$9:$BM$9)))</f>
        <v>83</v>
      </c>
      <c r="GL18" s="198">
        <f>IF(GL$7&gt;$D$3,"",IF($FA17&lt;GL$7,"OD",_xlfn.XLOOKUP(GL$7,Estimating!$M$6:$BM$6,Estimating!$M$9:$BM$9)))</f>
        <v>107</v>
      </c>
      <c r="GM18" s="198">
        <f>IF(GM$7&gt;$D$3,"",IF($FA17&lt;GM$7,"OD",_xlfn.XLOOKUP(GM$7,Estimating!$M$6:$BM$6,Estimating!$M$9:$BM$9)))</f>
        <v>141</v>
      </c>
      <c r="GN18" s="198">
        <f>IF(GN$7&gt;$D$3,"",IF($FA17&lt;GN$7,"OD",_xlfn.XLOOKUP(GN$7,Estimating!$M$6:$BM$6,Estimating!$M$9:$BM$9)))</f>
        <v>115</v>
      </c>
      <c r="GO18" s="198">
        <f>IF(GO$7&gt;$D$3,"",IF($FA17&lt;GO$7,"OD",_xlfn.XLOOKUP(GO$7,Estimating!$M$6:$BM$6,Estimating!$M$9:$BM$9)))</f>
        <v>109</v>
      </c>
      <c r="GP18" s="198">
        <f>IF(GP$7&gt;$D$3,"",IF($FA17&lt;GP$7,"OD",_xlfn.XLOOKUP(GP$7,Estimating!$M$6:$BM$6,Estimating!$M$9:$BM$9)))</f>
        <v>93</v>
      </c>
      <c r="GQ18" s="198">
        <f>IF(GQ$7&gt;$D$3,"",IF($FA17&lt;GQ$7,"OD",_xlfn.XLOOKUP(GQ$7,Estimating!$M$6:$BM$6,Estimating!$M$9:$BM$9)))</f>
        <v>124</v>
      </c>
      <c r="GR18" s="198">
        <f>IF(GR$7&gt;$D$3,"",IF($FA17&lt;GR$7,"OD",_xlfn.XLOOKUP(GR$7,Estimating!$M$6:$BM$6,Estimating!$M$9:$BM$9)))</f>
        <v>123</v>
      </c>
      <c r="GS18" s="198" t="str">
        <f>IF(GS$7&gt;$D$3,"",IF($FA17&lt;GS$7,"OD",_xlfn.XLOOKUP(GS$7,Estimating!$M$6:$BM$6,Estimating!$M$9:$BM$9)))</f>
        <v/>
      </c>
      <c r="GT18" s="198" t="str">
        <f>IF(GT$7&gt;$D$3,"",IF($FA17&lt;GT$7,"OD",_xlfn.XLOOKUP(GT$7,Estimating!$M$6:$BM$6,Estimating!$M$9:$BM$9)))</f>
        <v/>
      </c>
      <c r="GU18" s="198" t="str">
        <f>IF(GU$7&gt;$D$3,"",IF($FA17&lt;GU$7,"OD",_xlfn.XLOOKUP(GU$7,Estimating!$M$6:$BM$6,Estimating!$M$9:$BM$9)))</f>
        <v/>
      </c>
      <c r="GV18" s="198" t="str">
        <f>IF(GV$7&gt;$D$3,"",IF($FA17&lt;GV$7,"OD",_xlfn.XLOOKUP(GV$7,Estimating!$M$6:$BM$6,Estimating!$M$9:$BM$9)))</f>
        <v/>
      </c>
      <c r="GW18" s="198" t="str">
        <f>IF(GW$7&gt;$D$3,"",IF($FA17&lt;GW$7,"OD",_xlfn.XLOOKUP(GW$7,Estimating!$M$6:$BM$6,Estimating!$M$9:$BM$9)))</f>
        <v/>
      </c>
      <c r="GX18" s="198" t="str">
        <f>IF(GX$7&gt;$D$3,"",IF($FA17&lt;GX$7,"OD",_xlfn.XLOOKUP(GX$7,Estimating!$M$6:$BM$6,Estimating!$M$9:$BM$9)))</f>
        <v/>
      </c>
      <c r="GY18" s="198" t="str">
        <f>IF(GY$7&gt;$D$3,"",IF($FA17&lt;GY$7,"OD",_xlfn.XLOOKUP(GY$7,Estimating!$M$6:$BM$6,Estimating!$M$9:$BM$9)))</f>
        <v/>
      </c>
      <c r="GZ18" s="198" t="str">
        <f>IF(GZ$7&gt;$D$3,"",IF($FA17&lt;GZ$7,"OD",_xlfn.XLOOKUP(GZ$7,Estimating!$M$6:$BM$6,Estimating!$M$9:$BM$9)))</f>
        <v/>
      </c>
      <c r="HA18" s="198" t="str">
        <f>IF(HA$7&gt;$D$3,"",IF($FA17&lt;HA$7,"OD",_xlfn.XLOOKUP(HA$7,Estimating!$M$6:$BM$6,Estimating!$M$9:$BM$9)))</f>
        <v/>
      </c>
      <c r="HB18" s="198" t="str">
        <f>IF(HB$7&gt;$D$3,"",IF($FA17&lt;HB$7,"OD",_xlfn.XLOOKUP(HB$7,Estimating!$M$6:$BM$6,Estimating!$M$9:$BM$9)))</f>
        <v/>
      </c>
      <c r="HC18" s="198" t="str">
        <f>IF(HC$7&gt;$D$3,"",IF($FA17&lt;HC$7,"OD",_xlfn.XLOOKUP(HC$7,Estimating!$M$6:$BM$6,Estimating!$M$9:$BM$9)))</f>
        <v/>
      </c>
      <c r="HE18" s="133" t="str">
        <f>+$C18</f>
        <v>KPI P1</v>
      </c>
      <c r="HF18" s="142" t="str">
        <f>+$D18</f>
        <v>Productivity</v>
      </c>
      <c r="HG18" s="142" t="str">
        <f>+$E18</f>
        <v>Quotes Issued</v>
      </c>
      <c r="HH18" s="143" t="str">
        <f>+$F18</f>
        <v>Count</v>
      </c>
      <c r="HI18" s="143" t="s">
        <v>44</v>
      </c>
      <c r="HJ18" s="198" t="str">
        <f>IF(HJ$7&gt;$D$3,"",IF($FA17&lt;HJ$7,"OD",_xlfn.XLOOKUP(HJ$7,Estimating!$M$6:$BM$6,Estimating!$M$8:$BM$8)))</f>
        <v>Blank</v>
      </c>
      <c r="HK18" s="198">
        <f>IF(HK$7&gt;$D$3,"",IF($FA17&lt;HK$7,"OD",_xlfn.XLOOKUP(HK$7,Estimating!$M$6:$BM$6,Estimating!$M$8:$BM$8)))</f>
        <v>126</v>
      </c>
      <c r="HL18" s="198">
        <f>IF(HL$7&gt;$D$3,"",IF($FA17&lt;HL$7,"OD",_xlfn.XLOOKUP(HL$7,Estimating!$M$6:$BM$6,Estimating!$M$8:$BM$8)))</f>
        <v>126</v>
      </c>
      <c r="HM18" s="198">
        <f>IF(HM$7&gt;$D$3,"",IF($FA17&lt;HM$7,"OD",_xlfn.XLOOKUP(HM$7,Estimating!$M$6:$BM$6,Estimating!$M$8:$BM$8)))</f>
        <v>126</v>
      </c>
      <c r="HN18" s="198">
        <f>IF(HN$7&gt;$D$3,"",IF($FA17&lt;HN$7,"OD",_xlfn.XLOOKUP(HN$7,Estimating!$M$6:$BM$6,Estimating!$M$8:$BM$8)))</f>
        <v>126</v>
      </c>
      <c r="HO18" s="198">
        <f>IF(HO$7&gt;$D$3,"",IF($FA17&lt;HO$7,"OD",_xlfn.XLOOKUP(HO$7,Estimating!$M$6:$BM$6,Estimating!$M$8:$BM$8)))</f>
        <v>126</v>
      </c>
      <c r="HP18" s="198">
        <f>IF(HP$7&gt;$D$3,"",IF($FA17&lt;HP$7,"OD",_xlfn.XLOOKUP(HP$7,Estimating!$M$6:$BM$6,Estimating!$M$8:$BM$8)))</f>
        <v>126</v>
      </c>
      <c r="HQ18" s="198">
        <f>IF(HQ$7&gt;$D$3,"",IF($FA17&lt;HQ$7,"OD",_xlfn.XLOOKUP(HQ$7,Estimating!$M$6:$BM$6,Estimating!$M$8:$BM$8)))</f>
        <v>126</v>
      </c>
      <c r="HR18" s="198">
        <f>IF(HR$7&gt;$D$3,"",IF($FA17&lt;HR$7,"OD",_xlfn.XLOOKUP(HR$7,Estimating!$M$6:$BM$6,Estimating!$M$8:$BM$8)))</f>
        <v>126</v>
      </c>
      <c r="HS18" s="198">
        <f>IF(HS$7&gt;$D$3,"",IF($FA17&lt;HS$7,"OD",_xlfn.XLOOKUP(HS$7,Estimating!$M$6:$BM$6,Estimating!$M$8:$BM$8)))</f>
        <v>126</v>
      </c>
      <c r="HT18" s="198">
        <f>IF(HT$7&gt;$D$3,"",IF($FA17&lt;HT$7,"OD",_xlfn.XLOOKUP(HT$7,Estimating!$M$6:$BM$6,Estimating!$M$8:$BM$8)))</f>
        <v>126</v>
      </c>
      <c r="HU18" s="198">
        <f>IF(HU$7&gt;$D$3,"",IF($FA17&lt;HU$7,"OD",_xlfn.XLOOKUP(HU$7,Estimating!$M$6:$BM$6,Estimating!$M$8:$BM$8)))</f>
        <v>126</v>
      </c>
      <c r="HV18" s="198">
        <f>IF(HV$7&gt;$D$3,"",IF($FA17&lt;HV$7,"OD",_xlfn.XLOOKUP(HV$7,Estimating!$M$6:$BM$6,Estimating!$M$8:$BM$8)))</f>
        <v>126</v>
      </c>
      <c r="HW18" s="198">
        <f>IF(HW$7&gt;$D$3,"",IF($FA17&lt;HW$7,"OD",_xlfn.XLOOKUP(HW$7,Estimating!$M$6:$BM$6,Estimating!$M$8:$BM$8)))</f>
        <v>126</v>
      </c>
      <c r="HX18" s="198">
        <f>IF(HX$7&gt;$D$3,"",IF($FA17&lt;HX$7,"OD",_xlfn.XLOOKUP(HX$7,Estimating!$M$6:$BM$6,Estimating!$M$8:$BM$8)))</f>
        <v>126</v>
      </c>
      <c r="HY18" s="198">
        <f>IF(HY$7&gt;$D$3,"",IF($FA17&lt;HY$7,"OD",_xlfn.XLOOKUP(HY$7,Estimating!$M$6:$BM$6,Estimating!$M$8:$BM$8)))</f>
        <v>126</v>
      </c>
      <c r="HZ18" s="198">
        <f>IF(HZ$7&gt;$D$3,"",IF($FA17&lt;HZ$7,"OD",_xlfn.XLOOKUP(HZ$7,Estimating!$M$6:$BM$6,Estimating!$M$8:$BM$8)))</f>
        <v>126</v>
      </c>
      <c r="IA18" s="198">
        <f>IF(IA$7&gt;$D$3,"",IF($FA17&lt;IA$7,"OD",_xlfn.XLOOKUP(IA$7,Estimating!$M$6:$BM$6,Estimating!$M$8:$BM$8)))</f>
        <v>126</v>
      </c>
      <c r="IB18" s="198">
        <f>IF(IB$7&gt;$D$3,"",IF($FA17&lt;IB$7,"OD",_xlfn.XLOOKUP(IB$7,Estimating!$M$6:$BM$6,Estimating!$M$8:$BM$8)))</f>
        <v>126</v>
      </c>
      <c r="IC18" s="198">
        <f>IF(IC$7&gt;$D$3,"",IF($FA17&lt;IC$7,"OD",_xlfn.XLOOKUP(IC$7,Estimating!$M$6:$BM$6,Estimating!$M$8:$BM$8)))</f>
        <v>126</v>
      </c>
      <c r="ID18" s="198">
        <f>IF(ID$7&gt;$D$3,"",IF($FA17&lt;ID$7,"OD",_xlfn.XLOOKUP(ID$7,Estimating!$M$6:$BM$6,Estimating!$M$8:$BM$8)))</f>
        <v>126</v>
      </c>
      <c r="IE18" s="198">
        <f>IF(IE$7&gt;$D$3,"",IF($FA17&lt;IE$7,"OD",_xlfn.XLOOKUP(IE$7,Estimating!$M$6:$BM$6,Estimating!$M$8:$BM$8)))</f>
        <v>126</v>
      </c>
      <c r="IF18" s="198">
        <f>IF(IF$7&gt;$D$3,"",IF($FA17&lt;IF$7,"OD",_xlfn.XLOOKUP(IF$7,Estimating!$M$6:$BM$6,Estimating!$M$8:$BM$8)))</f>
        <v>126</v>
      </c>
      <c r="IG18" s="198">
        <f>IF(IG$7&gt;$D$3,"",IF($FA17&lt;IG$7,"OD",_xlfn.XLOOKUP(IG$7,Estimating!$M$6:$BM$6,Estimating!$M$8:$BM$8)))</f>
        <v>126</v>
      </c>
      <c r="IH18" s="198">
        <f>IF(IH$7&gt;$D$3,"",IF($FA17&lt;IH$7,"OD",_xlfn.XLOOKUP(IH$7,Estimating!$M$6:$BM$6,Estimating!$M$8:$BM$8)))</f>
        <v>126</v>
      </c>
      <c r="II18" s="198">
        <f>IF(II$7&gt;$D$3,"",IF($FA17&lt;II$7,"OD",_xlfn.XLOOKUP(II$7,Estimating!$M$6:$BM$6,Estimating!$M$8:$BM$8)))</f>
        <v>126</v>
      </c>
      <c r="IJ18" s="198">
        <f>IF(IJ$7&gt;$D$3,"",IF($FA17&lt;IJ$7,"OD",_xlfn.XLOOKUP(IJ$7,Estimating!$M$6:$BM$6,Estimating!$M$8:$BM$8)))</f>
        <v>126</v>
      </c>
      <c r="IK18" s="198">
        <f>IF(IK$7&gt;$D$3,"",IF($FA17&lt;IK$7,"OD",_xlfn.XLOOKUP(IK$7,Estimating!$M$6:$BM$6,Estimating!$M$8:$BM$8)))</f>
        <v>126</v>
      </c>
      <c r="IL18" s="198">
        <f>IF(IL$7&gt;$D$3,"",IF($FA17&lt;IL$7,"OD",_xlfn.XLOOKUP(IL$7,Estimating!$M$6:$BM$6,Estimating!$M$8:$BM$8)))</f>
        <v>126</v>
      </c>
      <c r="IM18" s="198">
        <f>IF(IM$7&gt;$D$3,"",IF($FA17&lt;IM$7,"OD",_xlfn.XLOOKUP(IM$7,Estimating!$M$6:$BM$6,Estimating!$M$8:$BM$8)))</f>
        <v>126</v>
      </c>
      <c r="IN18" s="198">
        <f>IF(IN$7&gt;$D$3,"",IF($FA17&lt;IN$7,"OD",_xlfn.XLOOKUP(IN$7,Estimating!$M$6:$BM$6,Estimating!$M$8:$BM$8)))</f>
        <v>126</v>
      </c>
      <c r="IO18" s="198">
        <f>IF(IO$7&gt;$D$3,"",IF($FA17&lt;IO$7,"OD",_xlfn.XLOOKUP(IO$7,Estimating!$M$6:$BM$6,Estimating!$M$8:$BM$8)))</f>
        <v>126</v>
      </c>
      <c r="IP18" s="198">
        <f>IF(IP$7&gt;$D$3,"",IF($FA17&lt;IP$7,"OD",_xlfn.XLOOKUP(IP$7,Estimating!$M$6:$BM$6,Estimating!$M$8:$BM$8)))</f>
        <v>126</v>
      </c>
      <c r="IQ18" s="198">
        <f>IF(IQ$7&gt;$D$3,"",IF($FA17&lt;IQ$7,"OD",_xlfn.XLOOKUP(IQ$7,Estimating!$M$6:$BM$6,Estimating!$M$8:$BM$8)))</f>
        <v>126</v>
      </c>
      <c r="IR18" s="198">
        <f>IF(IR$7&gt;$D$3,"",IF($FA17&lt;IR$7,"OD",_xlfn.XLOOKUP(IR$7,Estimating!$M$6:$BM$6,Estimating!$M$8:$BM$8)))</f>
        <v>126</v>
      </c>
      <c r="IS18" s="198">
        <f>IF(IS$7&gt;$D$3,"",IF($FA17&lt;IS$7,"OD",_xlfn.XLOOKUP(IS$7,Estimating!$M$6:$BM$6,Estimating!$M$8:$BM$8)))</f>
        <v>126</v>
      </c>
      <c r="IT18" s="198">
        <f>IF(IT$7&gt;$D$3,"",IF($FA17&lt;IT$7,"OD",_xlfn.XLOOKUP(IT$7,Estimating!$M$6:$BM$6,Estimating!$M$8:$BM$8)))</f>
        <v>126</v>
      </c>
      <c r="IU18" s="198">
        <f>IF(IU$7&gt;$D$3,"",IF($FA17&lt;IU$7,"OD",_xlfn.XLOOKUP(IU$7,Estimating!$M$6:$BM$6,Estimating!$M$8:$BM$8)))</f>
        <v>126</v>
      </c>
      <c r="IV18" s="198">
        <f>IF(IV$7&gt;$D$3,"",IF($FA17&lt;IV$7,"OD",_xlfn.XLOOKUP(IV$7,Estimating!$M$6:$BM$6,Estimating!$M$8:$BM$8)))</f>
        <v>126</v>
      </c>
      <c r="IW18" s="198">
        <f>IF(IW$7&gt;$D$3,"",IF($FA17&lt;IW$7,"OD",_xlfn.XLOOKUP(IW$7,Estimating!$M$6:$BM$6,Estimating!$M$8:$BM$8)))</f>
        <v>126</v>
      </c>
      <c r="IX18" s="198">
        <f>IF(IX$7&gt;$D$3,"",IF($FA17&lt;IX$7,"OD",_xlfn.XLOOKUP(IX$7,Estimating!$M$6:$BM$6,Estimating!$M$8:$BM$8)))</f>
        <v>126</v>
      </c>
      <c r="IY18" s="198">
        <f>IF(IY$7&gt;$D$3,"",IF($FA17&lt;IY$7,"OD",_xlfn.XLOOKUP(IY$7,Estimating!$M$6:$BM$6,Estimating!$M$8:$BM$8)))</f>
        <v>126</v>
      </c>
      <c r="IZ18" s="198" t="str">
        <f>IF(IZ$7&gt;$D$3,"",IF($FA17&lt;IZ$7,"OD",_xlfn.XLOOKUP(IZ$7,Estimating!$M$6:$BM$6,Estimating!$M$8:$BM$8)))</f>
        <v/>
      </c>
      <c r="JA18" s="198" t="str">
        <f>IF(JA$7&gt;$D$3,"",IF($FA17&lt;JA$7,"OD",_xlfn.XLOOKUP(JA$7,Estimating!$M$6:$BM$6,Estimating!$M$8:$BM$8)))</f>
        <v/>
      </c>
      <c r="JB18" s="198" t="str">
        <f>IF(JB$7&gt;$D$3,"",IF($FA17&lt;JB$7,"OD",_xlfn.XLOOKUP(JB$7,Estimating!$M$6:$BM$6,Estimating!$M$8:$BM$8)))</f>
        <v/>
      </c>
      <c r="JC18" s="198" t="str">
        <f>IF(JC$7&gt;$D$3,"",IF($FA17&lt;JC$7,"OD",_xlfn.XLOOKUP(JC$7,Estimating!$M$6:$BM$6,Estimating!$M$8:$BM$8)))</f>
        <v/>
      </c>
      <c r="JD18" s="198" t="str">
        <f>IF(JD$7&gt;$D$3,"",IF($FA17&lt;JD$7,"OD",_xlfn.XLOOKUP(JD$7,Estimating!$M$6:$BM$6,Estimating!$M$8:$BM$8)))</f>
        <v/>
      </c>
      <c r="JE18" s="198" t="str">
        <f>IF(JE$7&gt;$D$3,"",IF($FA17&lt;JE$7,"OD",_xlfn.XLOOKUP(JE$7,Estimating!$M$6:$BM$6,Estimating!$M$8:$BM$8)))</f>
        <v/>
      </c>
      <c r="JF18" s="198" t="str">
        <f>IF(JF$7&gt;$D$3,"",IF($FA17&lt;JF$7,"OD",_xlfn.XLOOKUP(JF$7,Estimating!$M$6:$BM$6,Estimating!$M$8:$BM$8)))</f>
        <v/>
      </c>
      <c r="JG18" s="198" t="str">
        <f>IF(JG$7&gt;$D$3,"",IF($FA17&lt;JG$7,"OD",_xlfn.XLOOKUP(JG$7,Estimating!$M$6:$BM$6,Estimating!$M$8:$BM$8)))</f>
        <v/>
      </c>
      <c r="JH18" s="198" t="str">
        <f>IF(JH$7&gt;$D$3,"",IF($FA17&lt;JH$7,"OD",_xlfn.XLOOKUP(JH$7,Estimating!$M$6:$BM$6,Estimating!$M$8:$BM$8)))</f>
        <v/>
      </c>
      <c r="JI18" s="198" t="str">
        <f>IF(JI$7&gt;$D$3,"",IF($FA17&lt;JI$7,"OD",_xlfn.XLOOKUP(JI$7,Estimating!$M$6:$BM$6,Estimating!$M$8:$BM$8)))</f>
        <v/>
      </c>
      <c r="JJ18" s="198" t="str">
        <f>IF(JJ$7&gt;$D$3,"",IF($FA17&lt;JJ$7,"OD",_xlfn.XLOOKUP(JJ$7,Estimating!$M$6:$BM$6,Estimating!$M$8:$BM$8)))</f>
        <v/>
      </c>
      <c r="JM18" s="133" t="str">
        <f>+$C18</f>
        <v>KPI P1</v>
      </c>
      <c r="JN18" s="142" t="str">
        <f>+$D18</f>
        <v>Productivity</v>
      </c>
      <c r="JO18" s="142" t="str">
        <f>+$E18</f>
        <v>Quotes Issued</v>
      </c>
      <c r="JP18" s="143" t="str">
        <f>+$F18</f>
        <v>Count</v>
      </c>
      <c r="JQ18" s="143" t="s">
        <v>284</v>
      </c>
      <c r="JR18" s="246" t="str">
        <f>IFERROR(AVERAGE(FC18:$FC18),"")</f>
        <v/>
      </c>
      <c r="JS18" s="246">
        <f>IFERROR(AVERAGE($FC18:FD18),"")</f>
        <v>102</v>
      </c>
      <c r="JT18" s="246">
        <f>IFERROR(AVERAGE($FC18:FE18),"")</f>
        <v>114.5</v>
      </c>
      <c r="JU18" s="246">
        <f>IFERROR(AVERAGE($FC18:FF18),"")</f>
        <v>111.66666666666667</v>
      </c>
      <c r="JV18" s="246">
        <f>IFERROR(AVERAGE($FC18:FG18),"")</f>
        <v>121.25</v>
      </c>
      <c r="JW18" s="246">
        <f>IFERROR(AVERAGE($FC18:FH18),"")</f>
        <v>124</v>
      </c>
      <c r="JX18" s="246">
        <f>IFERROR(AVERAGE($FC18:FI18),"")</f>
        <v>125.5</v>
      </c>
      <c r="JY18" s="246">
        <f>IFERROR(AVERAGE($FC18:FJ18),"")</f>
        <v>126.14285714285714</v>
      </c>
      <c r="JZ18" s="246">
        <f>IFERROR(AVERAGE($FC18:FK18),"")</f>
        <v>126.875</v>
      </c>
      <c r="KA18" s="246">
        <f>IFERROR(AVERAGE($FC18:FL18),"")</f>
        <v>126.55555555555556</v>
      </c>
      <c r="KB18" s="246">
        <f>IFERROR(AVERAGE($FC18:FM18),"")</f>
        <v>125.8</v>
      </c>
      <c r="KC18" s="246">
        <f>IFERROR(AVERAGE($FC18:FN18),"")</f>
        <v>125.63636363636364</v>
      </c>
      <c r="KD18" s="246">
        <f>IFERROR(AVERAGE($FC18:FO18),"")</f>
        <v>126.83333333333333</v>
      </c>
      <c r="KE18" s="246">
        <f>IFERROR(AVERAGE($FC18:FP18),"")</f>
        <v>125.92307692307692</v>
      </c>
      <c r="KF18" s="246">
        <f>IFERROR(AVERAGE($FC18:FQ18),"")</f>
        <v>126.85714285714286</v>
      </c>
      <c r="KG18" s="246">
        <f>IFERROR(AVERAGE($FC18:FR18),"")</f>
        <v>124.86666666666666</v>
      </c>
      <c r="KH18" s="246">
        <f>IFERROR(AVERAGE($FC18:FS18),"")</f>
        <v>123.625</v>
      </c>
      <c r="KI18" s="246">
        <f>IFERROR(AVERAGE($FC18:FT18),"")</f>
        <v>123.94117647058823</v>
      </c>
      <c r="KJ18" s="246">
        <f>IFERROR(AVERAGE($FC18:FU18),"")</f>
        <v>121.94444444444444</v>
      </c>
      <c r="KK18" s="246">
        <f>IFERROR(AVERAGE($FC18:FV18),"")</f>
        <v>122.63157894736842</v>
      </c>
      <c r="KL18" s="246">
        <f>IFERROR(AVERAGE($FC18:FW18),"")</f>
        <v>124.4</v>
      </c>
      <c r="KM18" s="246">
        <f>IFERROR(AVERAGE($FC18:FX18),"")</f>
        <v>122.52380952380952</v>
      </c>
      <c r="KN18" s="246">
        <f>IFERROR(AVERAGE($FC18:FY18),"")</f>
        <v>121.72727272727273</v>
      </c>
      <c r="KO18" s="246">
        <f>IFERROR(AVERAGE($FC18:FZ18),"")</f>
        <v>121.56521739130434</v>
      </c>
      <c r="KP18" s="246">
        <f>IFERROR(AVERAGE($FC18:GA18),"")</f>
        <v>122.41666666666667</v>
      </c>
      <c r="KQ18" s="246">
        <f>IFERROR(AVERAGE($FC18:GB18),"")</f>
        <v>122.76</v>
      </c>
      <c r="KR18" s="246">
        <f>IFERROR(AVERAGE($FC18:GC18),"")</f>
        <v>123.23076923076923</v>
      </c>
      <c r="KS18" s="246">
        <f>IFERROR(AVERAGE($FC18:GD18),"")</f>
        <v>123.25925925925925</v>
      </c>
      <c r="KT18" s="246">
        <f>IFERROR(AVERAGE($FC18:GE18),"")</f>
        <v>122.64285714285714</v>
      </c>
      <c r="KU18" s="246">
        <f>IFERROR(AVERAGE($FC18:GF18),"")</f>
        <v>123.86206896551724</v>
      </c>
      <c r="KV18" s="246">
        <f>IFERROR(AVERAGE($FC18:GG18),"")</f>
        <v>123.16666666666667</v>
      </c>
      <c r="KW18" s="246">
        <f>IFERROR(AVERAGE($FC18:GH18),"")</f>
        <v>123.35483870967742</v>
      </c>
      <c r="KX18" s="246">
        <f>IFERROR(AVERAGE($FC18:GI18),"")</f>
        <v>122.46875</v>
      </c>
      <c r="KY18" s="246">
        <f>IFERROR(AVERAGE($FC18:GJ18),"")</f>
        <v>122.42424242424242</v>
      </c>
      <c r="KZ18" s="246">
        <f>IFERROR(AVERAGE($FC18:GK18),"")</f>
        <v>121.26470588235294</v>
      </c>
      <c r="LA18" s="246">
        <f>IFERROR(AVERAGE($FC18:GL18),"")</f>
        <v>120.85714285714286</v>
      </c>
      <c r="LB18" s="246">
        <f>IFERROR(AVERAGE($FC18:GM18),"")</f>
        <v>121.41666666666667</v>
      </c>
      <c r="LC18" s="246">
        <f>IFERROR(AVERAGE($FC18:GN18),"")</f>
        <v>121.24324324324324</v>
      </c>
      <c r="LD18" s="246">
        <f>IFERROR(AVERAGE($FC18:GO18),"")</f>
        <v>120.92105263157895</v>
      </c>
      <c r="LE18" s="246">
        <f>IFERROR(AVERAGE($FC18:GP18),"")</f>
        <v>120.2051282051282</v>
      </c>
      <c r="LF18" s="246">
        <f>IFERROR(AVERAGE($FC18:GQ18),"")</f>
        <v>120.3</v>
      </c>
      <c r="LG18" s="246">
        <f>IFERROR(AVERAGE($FC18:GR18),"")</f>
        <v>120.36585365853658</v>
      </c>
      <c r="LH18" s="246">
        <f>IFERROR(AVERAGE($FC18:GS18),"")</f>
        <v>120.36585365853658</v>
      </c>
      <c r="LI18" s="246">
        <f>IFERROR(AVERAGE($FC18:GT18),"")</f>
        <v>120.36585365853658</v>
      </c>
      <c r="LJ18" s="246">
        <f>IFERROR(AVERAGE($FC18:GU18),"")</f>
        <v>120.36585365853658</v>
      </c>
      <c r="LK18" s="246">
        <f>IFERROR(AVERAGE($FC18:GV18),"")</f>
        <v>120.36585365853658</v>
      </c>
      <c r="LL18" s="246">
        <f>IFERROR(AVERAGE($FC18:GW18),"")</f>
        <v>120.36585365853658</v>
      </c>
      <c r="LM18" s="246">
        <f>IFERROR(AVERAGE($FC18:GX18),"")</f>
        <v>120.36585365853658</v>
      </c>
      <c r="LN18" s="246">
        <f>IFERROR(AVERAGE($FC18:GY18),"")</f>
        <v>120.36585365853658</v>
      </c>
      <c r="LO18" s="246">
        <f>IFERROR(AVERAGE($FC18:GZ18),"")</f>
        <v>120.36585365853658</v>
      </c>
      <c r="LP18" s="246">
        <f>IFERROR(AVERAGE($FC18:HA18),"")</f>
        <v>120.36585365853658</v>
      </c>
      <c r="LQ18" s="246">
        <f>IFERROR(AVERAGE($FC18:HB18),"")</f>
        <v>120.36585365853658</v>
      </c>
      <c r="LR18" s="246">
        <f>IFERROR(AVERAGE($FC18:HC18),"")</f>
        <v>120.36585365853658</v>
      </c>
      <c r="LT18" s="133" t="str">
        <f>+$C18</f>
        <v>KPI P1</v>
      </c>
      <c r="LU18" s="142" t="str">
        <f>+$D18</f>
        <v>Productivity</v>
      </c>
      <c r="LV18" s="142" t="str">
        <f>+$E18</f>
        <v>Quotes Issued</v>
      </c>
      <c r="LW18" s="143" t="str">
        <f>+$F18</f>
        <v>Count</v>
      </c>
      <c r="LX18" s="143" t="s">
        <v>285</v>
      </c>
      <c r="LY18" s="198" t="str">
        <f>IFERROR(AVERAGE($HJ18:HJ18),"")</f>
        <v/>
      </c>
      <c r="LZ18" s="198">
        <f>IFERROR(IF(LAD$7&gt;$D$3,"",AVERAGE($HJ18:HK18)),"")</f>
        <v>126</v>
      </c>
      <c r="MA18" s="198">
        <f>IFERROR(IF(MA$7&gt;$D$3,"",AVERAGE($HJ18:HL18)),"")</f>
        <v>126</v>
      </c>
      <c r="MB18" s="198">
        <f>IFERROR(IF(MB$7&gt;$D$3,"",AVERAGE($HJ18:HM18)),"")</f>
        <v>126</v>
      </c>
      <c r="MC18" s="198">
        <f>IFERROR(IF(MC$7&gt;$D$3,"",AVERAGE($HJ18:HN18)),"")</f>
        <v>126</v>
      </c>
      <c r="MD18" s="198">
        <f>IFERROR(IF(MD$7&gt;$D$3,"",AVERAGE($HJ18:HO18)),"")</f>
        <v>126</v>
      </c>
      <c r="ME18" s="198">
        <f>IFERROR(IF(ME$7&gt;$D$3,"",AVERAGE($HJ18:HP18)),"")</f>
        <v>126</v>
      </c>
      <c r="MF18" s="198">
        <f>IFERROR(IF(MF$7&gt;$D$3,"",AVERAGE($HJ18:HQ18)),"")</f>
        <v>126</v>
      </c>
      <c r="MG18" s="198">
        <f>IFERROR(IF(MG$7&gt;$D$3,"",AVERAGE($HJ18:HR18)),"")</f>
        <v>126</v>
      </c>
      <c r="MH18" s="198">
        <f>IFERROR(IF(MH$7&gt;$D$3,"",AVERAGE($HJ18:HS18)),"")</f>
        <v>126</v>
      </c>
      <c r="MI18" s="198">
        <f>IFERROR(IF(MI$7&gt;$D$3,"",AVERAGE($HJ18:HT18)),"")</f>
        <v>126</v>
      </c>
      <c r="MJ18" s="198">
        <f>IFERROR(IF(MJ$7&gt;$D$3,"",AVERAGE($HJ18:HU18)),"")</f>
        <v>126</v>
      </c>
      <c r="MK18" s="198">
        <f>IFERROR(IF(MK$7&gt;$D$3,"",AVERAGE($HJ18:HV18)),"")</f>
        <v>126</v>
      </c>
      <c r="ML18" s="198">
        <f>IFERROR(IF(ML$7&gt;$D$3,"",AVERAGE($HJ18:HW18)),"")</f>
        <v>126</v>
      </c>
      <c r="MM18" s="198">
        <f>IFERROR(IF(MM$7&gt;$D$3,"",AVERAGE($HJ18:HX18)),"")</f>
        <v>126</v>
      </c>
      <c r="MN18" s="198">
        <f>IFERROR(IF(MN$7&gt;$D$3,"",AVERAGE($HJ18:HY18)),"")</f>
        <v>126</v>
      </c>
      <c r="MO18" s="198">
        <f>IFERROR(IF(MO$7&gt;$D$3,"",AVERAGE($HJ18:HZ18)),"")</f>
        <v>126</v>
      </c>
      <c r="MP18" s="198">
        <f>IFERROR(IF(MP$7&gt;$D$3,"",AVERAGE($HJ18:IA18)),"")</f>
        <v>126</v>
      </c>
      <c r="MQ18" s="198">
        <f>IFERROR(IF(MQ$7&gt;$D$3,"",AVERAGE($HJ18:IB18)),"")</f>
        <v>126</v>
      </c>
      <c r="MR18" s="198">
        <f>IFERROR(IF(MR$7&gt;$D$3,"",AVERAGE($HJ18:IC18)),"")</f>
        <v>126</v>
      </c>
      <c r="MS18" s="198">
        <f>IFERROR(IF(MS$7&gt;$D$3,"",AVERAGE($HJ18:ID18)),"")</f>
        <v>126</v>
      </c>
      <c r="MT18" s="198">
        <f>IFERROR(IF(MT$7&gt;$D$3,"",AVERAGE($HJ18:IE18)),"")</f>
        <v>126</v>
      </c>
      <c r="MU18" s="198">
        <f>IFERROR(IF(MU$7&gt;$D$3,"",AVERAGE($HJ18:IF18)),"")</f>
        <v>126</v>
      </c>
      <c r="MV18" s="198">
        <f>IFERROR(IF(MV$7&gt;$D$3,"",AVERAGE($HJ18:IG18)),"")</f>
        <v>126</v>
      </c>
      <c r="MW18" s="198">
        <f>IFERROR(IF(MW$7&gt;$D$3,"",AVERAGE($HJ18:IH18)),"")</f>
        <v>126</v>
      </c>
      <c r="MX18" s="198">
        <f>IFERROR(IF(MX$7&gt;$D$3,"",AVERAGE($HJ18:II18)),"")</f>
        <v>126</v>
      </c>
      <c r="MY18" s="198">
        <f>IFERROR(IF(MY$7&gt;$D$3,"",AVERAGE($HJ18:IJ18)),"")</f>
        <v>126</v>
      </c>
      <c r="MZ18" s="198">
        <f>IFERROR(IF(MZ$7&gt;$D$3,"",AVERAGE($HJ18:IK18)),"")</f>
        <v>126</v>
      </c>
      <c r="NA18" s="198">
        <f>IFERROR(IF(NA$7&gt;$D$3,"",AVERAGE($HJ18:IL18)),"")</f>
        <v>126</v>
      </c>
      <c r="NB18" s="198">
        <f>IFERROR(IF(NB$7&gt;$D$3,"",AVERAGE($HJ18:IM18)),"")</f>
        <v>126</v>
      </c>
      <c r="NC18" s="198">
        <f>IFERROR(IF(NC$7&gt;$D$3,"",AVERAGE($HJ18:IN18)),"")</f>
        <v>126</v>
      </c>
      <c r="ND18" s="198">
        <f>IFERROR(IF(ND$7&gt;$D$3,"",AVERAGE($HJ18:IO18)),"")</f>
        <v>126</v>
      </c>
      <c r="NE18" s="198">
        <f>IFERROR(IF(NE$7&gt;$D$3,"",AVERAGE($HJ18:IP18)),"")</f>
        <v>126</v>
      </c>
      <c r="NF18" s="198">
        <f>IFERROR(IF(NF$7&gt;$D$3,"",AVERAGE($HJ18:IQ18)),"")</f>
        <v>126</v>
      </c>
      <c r="NG18" s="198">
        <f>IFERROR(IF(NG$7&gt;$D$3,"",AVERAGE($HJ18:IR18)),"")</f>
        <v>126</v>
      </c>
      <c r="NH18" s="198">
        <f>IFERROR(IF(NH$7&gt;$D$3,"",AVERAGE($HJ18:IS18)),"")</f>
        <v>126</v>
      </c>
      <c r="NI18" s="198">
        <f>IFERROR(IF(NI$7&gt;$D$3,"",AVERAGE($HJ18:IT18)),"")</f>
        <v>126</v>
      </c>
      <c r="NJ18" s="198">
        <f>IFERROR(IF(NJ$7&gt;$D$3,"",AVERAGE($HJ18:IU18)),"")</f>
        <v>126</v>
      </c>
      <c r="NK18" s="198">
        <f>IFERROR(IF(NK$7&gt;$D$3,"",AVERAGE($HJ18:IV18)),"")</f>
        <v>126</v>
      </c>
      <c r="NL18" s="198">
        <f>IFERROR(IF(NL$7&gt;$D$3,"",AVERAGE($HJ18:IW18)),"")</f>
        <v>126</v>
      </c>
      <c r="NM18" s="198">
        <f>IFERROR(IF(NM$7&gt;$D$3,"",AVERAGE($HJ18:IX18)),"")</f>
        <v>126</v>
      </c>
      <c r="NN18" s="198">
        <f>IFERROR(IF(NN$7&gt;$D$3,"",AVERAGE($HJ18:IY18)),"")</f>
        <v>126</v>
      </c>
      <c r="NO18" s="198" t="str">
        <f>IFERROR(IF(NO$7&gt;$D$3,"",AVERAGE($HJ18:IZ18)),"")</f>
        <v/>
      </c>
      <c r="NP18" s="198" t="str">
        <f>IFERROR(IF(NP$7&gt;$D$3,"",AVERAGE($HJ18:JA18)),"")</f>
        <v/>
      </c>
      <c r="NQ18" s="198" t="str">
        <f>IFERROR(IF(NQ$7&gt;$D$3,"",AVERAGE($HJ18:JB18)),"")</f>
        <v/>
      </c>
      <c r="NR18" s="198" t="str">
        <f>IFERROR(IF(NR$7&gt;$D$3,"",AVERAGE($HJ18:JC18)),"")</f>
        <v/>
      </c>
      <c r="NS18" s="198" t="str">
        <f>IFERROR(IF(NS$7&gt;$D$3,"",AVERAGE($HJ18:JD18)),"")</f>
        <v/>
      </c>
      <c r="NT18" s="198" t="str">
        <f>IFERROR(IF(NT$7&gt;$D$3,"",AVERAGE($HJ18:JE18)),"")</f>
        <v/>
      </c>
      <c r="NU18" s="198" t="str">
        <f>IFERROR(IF(NU$7&gt;$D$3,"",AVERAGE($HJ18:JF18)),"")</f>
        <v/>
      </c>
      <c r="NV18" s="198" t="str">
        <f>IFERROR(IF(NV$7&gt;$D$3,"",AVERAGE($HJ18:JG18)),"")</f>
        <v/>
      </c>
      <c r="NW18" s="198" t="str">
        <f>IFERROR(IF(NW$7&gt;$D$3,"",AVERAGE($HJ18:JH18)),"")</f>
        <v/>
      </c>
      <c r="NX18" s="198" t="str">
        <f>IFERROR(IF(NX$7&gt;$D$3,"",AVERAGE($HJ18:JI18)),"")</f>
        <v/>
      </c>
      <c r="NY18" s="198" t="str">
        <f>IFERROR(IF(NY$7&gt;$D$3,"",AVERAGE($HJ18:JJ18)),"")</f>
        <v/>
      </c>
    </row>
    <row r="19" spans="1:389" x14ac:dyDescent="0.3">
      <c r="A19" t="str">
        <f>$B$17&amp;"-"&amp;C19</f>
        <v>Estimating-KPI D1</v>
      </c>
      <c r="B19" s="918" t="str">
        <f>+'KPI Stats'!B18</f>
        <v>Rees Nanney</v>
      </c>
      <c r="C19" s="136" t="str">
        <f>+'KPI Stats'!C18</f>
        <v>KPI D1</v>
      </c>
      <c r="D19" s="144" t="str">
        <f>+'KPI Stats'!D18</f>
        <v>Delivery</v>
      </c>
      <c r="E19" s="144" t="str">
        <f>+'KPI Stats'!E18</f>
        <v>Quotes issued on time</v>
      </c>
      <c r="F19" s="145" t="str">
        <f>+'KPI Stats'!F18</f>
        <v>Percentage</v>
      </c>
      <c r="G19" s="169" t="str">
        <f>+'KPI Stats'!G18</f>
        <v>Under</v>
      </c>
      <c r="J19" s="69" t="str">
        <f>_xlfn.XLOOKUP(J$7,$AM$7:$CM$7,$AM19:$CM19,,FALSE)</f>
        <v>A</v>
      </c>
      <c r="K19" s="264">
        <f>_xlfn.XLOOKUP(K$7,$FC$7:$HC$7,$FC19:$HC19,,FALSE)</f>
        <v>82.1</v>
      </c>
      <c r="L19" s="278">
        <f>_xlfn.XLOOKUP(L$7,$HJ$7:$JJ$7,$HJ19:$JJ19,,FALSE)</f>
        <v>85</v>
      </c>
      <c r="M19" s="275">
        <f>_xlfn.XLOOKUP(M$7,$CU$7:$EU$7,$CU19:$EU19,,FALSE)</f>
        <v>0.96588235294117641</v>
      </c>
      <c r="P19" s="69" t="str">
        <f>_xlfn.XLOOKUP(P$7,$AM$7:$CM$7,$AM19:$CM19,,FALSE)</f>
        <v>A</v>
      </c>
      <c r="Q19" s="264">
        <f t="shared" si="48"/>
        <v>82.1</v>
      </c>
      <c r="R19" s="278">
        <f t="shared" si="48"/>
        <v>75</v>
      </c>
      <c r="S19" s="288">
        <f t="shared" si="49"/>
        <v>0.96588235294117641</v>
      </c>
      <c r="T19" s="265">
        <f t="shared" si="49"/>
        <v>0.88235294117647056</v>
      </c>
      <c r="U19" s="295" t="str">
        <f>IF(F17&lt;$R$2,"Not Complete",IF(Q19=R19,"Same −",IF($G19="Over",IF(Q19&lt;R19,"Better ↑","Worse ↓"),IF($G19="Under",IF(Q19&gt;R19,"Better ↑","Worse ↓"),"err"))))</f>
        <v>Better ↑</v>
      </c>
      <c r="X19" s="69" t="str">
        <f>IF(Y19="","",IF(Y19="Blank","",IF(AND(G19="above zero",Y19&gt;0),"R",IF(AA19&gt;1,"G",IF(AA19&gt;0.95,"A","R")))))</f>
        <v>R</v>
      </c>
      <c r="Y19" s="114">
        <f>_xlfn.XLOOKUP(Y$7,$JR$7:$LR$7,$JR19:$LR19,FALSE)</f>
        <v>78.819723618384543</v>
      </c>
      <c r="Z19" s="114">
        <f>_xlfn.XLOOKUP(Z$7,$LY$7:$NY$7,$LY19:$NY19,FALSE)</f>
        <v>85</v>
      </c>
      <c r="AA19" s="252">
        <f>IFERROR(IF(G19="Undefined","",IF(G19="under",Y19/Z19,IF(G19="over",Z19/Y19,"err"))),"")</f>
        <v>0.92729086609864164</v>
      </c>
      <c r="AB19" s="295" t="str">
        <f>IF(F17&lt;$R$2,"TBC",IF(Y19=Z19,"Same −",IF($G19="Over",IF(Z19&lt;Y19,"Better ↑ ","Worse ↓ "),IF($G19="Under",IF(Y19&gt;Z19,"Better ↑ ","Worse ↓ "),"err"))))</f>
        <v xml:space="preserve">Worse ↓ </v>
      </c>
      <c r="AC19" s="69" t="str">
        <f>IF(AND(G19="above adero",AD19&gt;0),"R",IF(AF19&gt;1,"G",IF(AF19&gt;0.95,"A","R")))</f>
        <v>R</v>
      </c>
      <c r="AD19" s="114">
        <f>_xlfn.XLOOKUP(AD$7,$JR$7:$LR$7,$JR19:$LR19,FALSE)</f>
        <v>78.737716708844147</v>
      </c>
      <c r="AE19" s="114">
        <f>_xlfn.XLOOKUP(AE$7,$LY$7:$NY$7,$LY19:$NY19,FALSE)</f>
        <v>85</v>
      </c>
      <c r="AF19" s="252">
        <f>IF(G19="Undefined","",IF(G19="under",AD19/AE19,IF(G19="over",AE19/AD19,"err")))</f>
        <v>0.92632607892757823</v>
      </c>
      <c r="AH19" s="465" t="str">
        <f>+$A19</f>
        <v>Estimating-KPI D1</v>
      </c>
      <c r="AI19" s="136" t="str">
        <f t="shared" si="50"/>
        <v>KPI D1</v>
      </c>
      <c r="AJ19" s="144" t="str">
        <f t="shared" si="50"/>
        <v>Delivery</v>
      </c>
      <c r="AK19" s="144" t="str">
        <f t="shared" si="36"/>
        <v>Quotes issued on time</v>
      </c>
      <c r="AL19" s="145" t="str">
        <f t="shared" si="36"/>
        <v>Percentage</v>
      </c>
      <c r="AM19" s="69" t="str">
        <f>IF(AM$7&gt;$D$3,"",_xlfn.XLOOKUP(AM$7,Estimating!$M$6:$BM$6,Estimating!$M$13:$BM$13))</f>
        <v>Blank</v>
      </c>
      <c r="AN19" s="199" t="str">
        <f>IF(AN$7&gt;$D$3,"",_xlfn.XLOOKUP(AN$7,Estimating!$M$6:$BM$6,Estimating!$M$13:$BM$13))</f>
        <v>G</v>
      </c>
      <c r="AO19" s="69" t="str">
        <f>IF(AO$7&gt;$D$3,"",_xlfn.XLOOKUP(AO$7,Estimating!$M$6:$BM$6,Estimating!$M$13:$BM$13))</f>
        <v>G</v>
      </c>
      <c r="AP19" s="69" t="str">
        <f>IF(AP$7&gt;$D$3,"",_xlfn.XLOOKUP(AP$7,Estimating!$M$6:$BM$6,Estimating!$M$13:$BM$13))</f>
        <v>R</v>
      </c>
      <c r="AQ19" s="69" t="str">
        <f>IF(AQ$7&gt;$D$3,"",_xlfn.XLOOKUP(AQ$7,Estimating!$M$6:$BM$6,Estimating!$M$13:$BM$13))</f>
        <v>A</v>
      </c>
      <c r="AR19" s="69" t="str">
        <f>IF(AR$7&gt;$D$3,"",_xlfn.XLOOKUP(AR$7,Estimating!$M$6:$BM$6,Estimating!$M$13:$BM$13))</f>
        <v>G</v>
      </c>
      <c r="AS19" s="69" t="str">
        <f>IF(AS$7&gt;$D$3,"",_xlfn.XLOOKUP(AS$7,Estimating!$M$6:$BM$6,Estimating!$M$13:$BM$13))</f>
        <v>G</v>
      </c>
      <c r="AT19" s="69" t="str">
        <f>IF(AT$7&gt;$D$3,"",_xlfn.XLOOKUP(AT$7,Estimating!$M$6:$BM$6,Estimating!$M$13:$BM$13))</f>
        <v>G</v>
      </c>
      <c r="AU19" s="69" t="str">
        <f>IF(AU$7&gt;$D$3,"",_xlfn.XLOOKUP(AU$7,Estimating!$M$6:$BM$6,Estimating!$M$13:$BM$13))</f>
        <v>G</v>
      </c>
      <c r="AV19" s="69" t="str">
        <f>IF(AV$7&gt;$D$3,"",_xlfn.XLOOKUP(AV$7,Estimating!$M$6:$BM$6,Estimating!$M$13:$BM$13))</f>
        <v>R</v>
      </c>
      <c r="AW19" s="69" t="str">
        <f>IF(AW$7&gt;$D$3,"",_xlfn.XLOOKUP(AW$7,Estimating!$M$6:$BM$6,Estimating!$M$13:$BM$13))</f>
        <v>G</v>
      </c>
      <c r="AX19" s="69" t="str">
        <f>IF(AX$7&gt;$D$3,"",_xlfn.XLOOKUP(AX$7,Estimating!$M$6:$BM$6,Estimating!$M$13:$BM$13))</f>
        <v>R</v>
      </c>
      <c r="AY19" s="69" t="str">
        <f>IF(AY$7&gt;$D$3,"",_xlfn.XLOOKUP(AY$7,Estimating!$M$6:$BM$6,Estimating!$M$13:$BM$13))</f>
        <v>A</v>
      </c>
      <c r="AZ19" s="69" t="str">
        <f>IF(AZ$7&gt;$D$3,"",_xlfn.XLOOKUP(AZ$7,Estimating!$M$6:$BM$6,Estimating!$M$13:$BM$13))</f>
        <v>R</v>
      </c>
      <c r="BA19" s="69" t="str">
        <f>IF(BA$7&gt;$D$3,"",_xlfn.XLOOKUP(BA$7,Estimating!$M$6:$BM$6,Estimating!$M$13:$BM$13))</f>
        <v>A</v>
      </c>
      <c r="BB19" s="69" t="str">
        <f>IF(BB$7&gt;$D$3,"",_xlfn.XLOOKUP(BB$7,Estimating!$M$6:$BM$6,Estimating!$M$13:$BM$13))</f>
        <v>R</v>
      </c>
      <c r="BC19" s="69" t="str">
        <f>IF(BC$7&gt;$D$3,"",_xlfn.XLOOKUP(BC$7,Estimating!$M$6:$BM$6,Estimating!$M$13:$BM$13))</f>
        <v>R</v>
      </c>
      <c r="BD19" s="69" t="str">
        <f>IF(BD$7&gt;$D$3,"",_xlfn.XLOOKUP(BD$7,Estimating!$M$6:$BM$6,Estimating!$M$13:$BM$13))</f>
        <v>R</v>
      </c>
      <c r="BE19" s="69" t="str">
        <f>IF(BE$7&gt;$D$3,"",_xlfn.XLOOKUP(BE$7,Estimating!$M$6:$BM$6,Estimating!$M$13:$BM$13))</f>
        <v>R</v>
      </c>
      <c r="BF19" s="69" t="str">
        <f>IF(BF$7&gt;$D$3,"",_xlfn.XLOOKUP(BF$7,Estimating!$M$6:$BM$6,Estimating!$M$13:$BM$13))</f>
        <v>G</v>
      </c>
      <c r="BG19" s="69" t="str">
        <f>IF(BG$7&gt;$D$3,"",_xlfn.XLOOKUP(BG$7,Estimating!$M$6:$BM$6,Estimating!$M$13:$BM$13))</f>
        <v>R</v>
      </c>
      <c r="BH19" s="69" t="str">
        <f>IF(BH$7&gt;$D$3,"",_xlfn.XLOOKUP(BH$7,Estimating!$M$6:$BM$6,Estimating!$M$13:$BM$13))</f>
        <v>R</v>
      </c>
      <c r="BI19" s="69" t="str">
        <f>IF(BI$7&gt;$D$3,"",_xlfn.XLOOKUP(BI$7,Estimating!$M$6:$BM$6,Estimating!$M$13:$BM$13))</f>
        <v>R</v>
      </c>
      <c r="BJ19" s="69" t="str">
        <f>IF(BJ$7&gt;$D$3,"",_xlfn.XLOOKUP(BJ$7,Estimating!$M$6:$BM$6,Estimating!$M$13:$BM$13))</f>
        <v>R</v>
      </c>
      <c r="BK19" s="69" t="str">
        <f>IF(BK$7&gt;$D$3,"",_xlfn.XLOOKUP(BK$7,Estimating!$M$6:$BM$6,Estimating!$M$13:$BM$13))</f>
        <v>R</v>
      </c>
      <c r="BL19" s="69" t="str">
        <f>IF(BL$7&gt;$D$3,"",_xlfn.XLOOKUP(BL$7,Estimating!$M$6:$BM$6,Estimating!$M$13:$BM$13))</f>
        <v>R</v>
      </c>
      <c r="BM19" s="69" t="str">
        <f>IF(BM$7&gt;$D$3,"",_xlfn.XLOOKUP(BM$7,Estimating!$M$6:$BM$6,Estimating!$M$13:$BM$13))</f>
        <v>R</v>
      </c>
      <c r="BN19" s="69" t="str">
        <f>IF(BN$7&gt;$D$3,"",_xlfn.XLOOKUP(BN$7,Estimating!$M$6:$BM$6,Estimating!$M$13:$BM$13))</f>
        <v>G</v>
      </c>
      <c r="BO19" s="69" t="str">
        <f>IF(BO$7&gt;$D$3,"",_xlfn.XLOOKUP(BO$7,Estimating!$M$6:$BM$6,Estimating!$M$13:$BM$13))</f>
        <v>R</v>
      </c>
      <c r="BP19" s="69" t="str">
        <f>IF(BP$7&gt;$D$3,"",_xlfn.XLOOKUP(BP$7,Estimating!$M$6:$BM$6,Estimating!$M$13:$BM$13))</f>
        <v>A</v>
      </c>
      <c r="BQ19" s="69" t="str">
        <f>IF(BQ$7&gt;$D$3,"",_xlfn.XLOOKUP(BQ$7,Estimating!$M$6:$BM$6,Estimating!$M$13:$BM$13))</f>
        <v>R</v>
      </c>
      <c r="BR19" s="69" t="str">
        <f>IF(BR$7&gt;$D$3,"",_xlfn.XLOOKUP(BR$7,Estimating!$M$6:$BM$6,Estimating!$M$13:$BM$13))</f>
        <v>R</v>
      </c>
      <c r="BS19" s="69" t="str">
        <f>IF(BS$7&gt;$D$3,"",_xlfn.XLOOKUP(BS$7,Estimating!$M$6:$BM$6,Estimating!$M$13:$BM$13))</f>
        <v>R</v>
      </c>
      <c r="BT19" s="69" t="str">
        <f>IF(BT$7&gt;$D$3,"",_xlfn.XLOOKUP(BT$7,Estimating!$M$6:$BM$6,Estimating!$M$13:$BM$13))</f>
        <v>R</v>
      </c>
      <c r="BU19" s="69" t="str">
        <f>IF(BU$7&gt;$D$3,"",_xlfn.XLOOKUP(BU$7,Estimating!$M$6:$BM$6,Estimating!$M$13:$BM$13))</f>
        <v>G</v>
      </c>
      <c r="BV19" s="69" t="str">
        <f>IF(BV$7&gt;$D$3,"",_xlfn.XLOOKUP(BV$7,Estimating!$M$6:$BM$6,Estimating!$M$13:$BM$13))</f>
        <v>G</v>
      </c>
      <c r="BW19" s="69" t="str">
        <f>IF(BW$7&gt;$D$3,"",_xlfn.XLOOKUP(BW$7,Estimating!$M$6:$BM$6,Estimating!$M$13:$BM$13))</f>
        <v>R</v>
      </c>
      <c r="BX19" s="69" t="str">
        <f>IF(BX$7&gt;$D$3,"",_xlfn.XLOOKUP(BX$7,Estimating!$M$6:$BM$6,Estimating!$M$13:$BM$13))</f>
        <v>R</v>
      </c>
      <c r="BY19" s="69" t="str">
        <f>IF(BY$7&gt;$D$3,"",_xlfn.XLOOKUP(BY$7,Estimating!$M$6:$BM$6,Estimating!$M$13:$BM$13))</f>
        <v>R</v>
      </c>
      <c r="BZ19" s="69" t="str">
        <f>IF(BZ$7&gt;$D$3,"",_xlfn.XLOOKUP(BZ$7,Estimating!$M$6:$BM$6,Estimating!$M$13:$BM$13))</f>
        <v>A</v>
      </c>
      <c r="CA19" s="69" t="str">
        <f>IF(CA$7&gt;$D$3,"",_xlfn.XLOOKUP(CA$7,Estimating!$M$6:$BM$6,Estimating!$M$13:$BM$13))</f>
        <v>R</v>
      </c>
      <c r="CB19" s="69" t="str">
        <f>IF(CB$7&gt;$D$3,"",_xlfn.XLOOKUP(CB$7,Estimating!$M$6:$BM$6,Estimating!$M$13:$BM$13))</f>
        <v>A</v>
      </c>
      <c r="CC19" s="69" t="str">
        <f>IF(CC$7&gt;$D$3,"",_xlfn.XLOOKUP(CC$7,Estimating!$M$6:$BM$6,Estimating!$M$13:$BM$13))</f>
        <v/>
      </c>
      <c r="CD19" s="69" t="str">
        <f>IF(CD$7&gt;$D$3,"",_xlfn.XLOOKUP(CD$7,Estimating!$M$6:$BM$6,Estimating!$M$13:$BM$13))</f>
        <v/>
      </c>
      <c r="CE19" s="69" t="str">
        <f>IF(CE$7&gt;$D$3,"",_xlfn.XLOOKUP(CE$7,Estimating!$M$6:$BM$6,Estimating!$M$13:$BM$13))</f>
        <v/>
      </c>
      <c r="CF19" s="69" t="str">
        <f>IF(CF$7&gt;$D$3,"",_xlfn.XLOOKUP(CF$7,Estimating!$M$6:$BM$6,Estimating!$M$13:$BM$13))</f>
        <v/>
      </c>
      <c r="CG19" s="69" t="str">
        <f>IF(CG$7&gt;$D$3,"",_xlfn.XLOOKUP(CG$7,Estimating!$M$6:$BM$6,Estimating!$M$13:$BM$13))</f>
        <v/>
      </c>
      <c r="CH19" s="69" t="str">
        <f>IF(CH$7&gt;$D$3,"",_xlfn.XLOOKUP(CH$7,Estimating!$M$6:$BM$6,Estimating!$M$13:$BM$13))</f>
        <v/>
      </c>
      <c r="CI19" s="69" t="str">
        <f>IF(CI$7&gt;$D$3,"",_xlfn.XLOOKUP(CI$7,Estimating!$M$6:$BM$6,Estimating!$M$13:$BM$13))</f>
        <v/>
      </c>
      <c r="CJ19" s="69" t="str">
        <f>IF(CJ$7&gt;$D$3,"",_xlfn.XLOOKUP(CJ$7,Estimating!$M$6:$BM$6,Estimating!$M$13:$BM$13))</f>
        <v/>
      </c>
      <c r="CK19" s="69" t="str">
        <f>IF(CK$7&gt;$D$3,"",_xlfn.XLOOKUP(CK$7,Estimating!$M$6:$BM$6,Estimating!$M$13:$BM$13))</f>
        <v/>
      </c>
      <c r="CL19" s="69" t="str">
        <f>IF(CL$7&gt;$D$3,"",_xlfn.XLOOKUP(CL$7,Estimating!$M$6:$BM$6,Estimating!$M$13:$BM$13))</f>
        <v/>
      </c>
      <c r="CM19" s="69" t="str">
        <f>IF(CM$7&gt;$D$3,"",_xlfn.XLOOKUP(CM$7,Estimating!$M$6:$BM$6,Estimating!$M$13:$BM$13))</f>
        <v/>
      </c>
      <c r="CO19" s="465" t="str">
        <f>+$A19</f>
        <v>Estimating-KPI D1</v>
      </c>
      <c r="CP19" s="136" t="str">
        <f t="shared" si="51"/>
        <v>KPI D1</v>
      </c>
      <c r="CQ19" s="144" t="str">
        <f t="shared" si="51"/>
        <v>Delivery</v>
      </c>
      <c r="CR19" s="144" t="str">
        <f t="shared" si="51"/>
        <v>Quotes issued on time</v>
      </c>
      <c r="CS19" s="145" t="str">
        <f t="shared" si="51"/>
        <v>Percentage</v>
      </c>
      <c r="CT19" s="589" t="s">
        <v>246</v>
      </c>
      <c r="CU19" s="69" t="str">
        <f>IF(CU$7&gt;$D$3,"",_xlfn.XLOOKUP(CU$7,Estimating!$M$6:$BM$6,Estimating!$M$13:$BM$13))</f>
        <v>Blank</v>
      </c>
      <c r="CV19" s="323">
        <f>IFERROR(IF(CV$7&gt;$D$3,"",IF(AN19="Undefined","Undefined",IF(AN19="Missed","Missed",IF(AN19="TBC","TBC",IF(AN19="OD","OD",_xlfn.XLOOKUP(CV$7,Estimating!$M$6:$BM$6,Estimating!$M$12:$BM$12)/_xlfn.XLOOKUP(CV$7,Estimating!$M$6:$BM$6,Estimating!$M$11:$BM$11)))))),"")</f>
        <v>1.1303344867358709</v>
      </c>
      <c r="CW19" s="315">
        <f>IFERROR(IF(CW$7&gt;$D$3,"",IF(AO19="Undefined","Undefined",IF(AO19="Missed","Missed",IF(AO19="TBC","TBC",IF(AO19="OD","OD",_xlfn.XLOOKUP(CW$7,Estimating!$M$6:$BM$6,Estimating!$M$12:$BM$12)/_xlfn.XLOOKUP(CW$7,Estimating!$M$6:$BM$6,Estimating!$M$11:$BM$11)))))),"")</f>
        <v>1.0282538212135246</v>
      </c>
      <c r="CX19" s="315">
        <f>IFERROR(IF(CX$7&gt;$D$3,"",IF(AP19="Undefined","Undefined",IF(AP19="Missed","Missed",IF(AP19="TBC","TBC",IF(AP19="OD","OD",_xlfn.XLOOKUP(CX$7,Estimating!$M$6:$BM$6,Estimating!$M$12:$BM$12)/_xlfn.XLOOKUP(CX$7,Estimating!$M$6:$BM$6,Estimating!$M$11:$BM$11)))))),"")</f>
        <v>0.93229744728079911</v>
      </c>
      <c r="CY19" s="315">
        <f>IFERROR(IF(CY$7&gt;$D$3,"",IF(AQ19="Undefined","Undefined",IF(AQ19="Missed","Missed",IF(AQ19="TBC","TBC",IF(AQ19="OD","OD",_xlfn.XLOOKUP(CY$7,Estimating!$M$6:$BM$6,Estimating!$M$12:$BM$12)/_xlfn.XLOOKUP(CY$7,Estimating!$M$6:$BM$6,Estimating!$M$11:$BM$11)))))),"")</f>
        <v>0.9882352941176471</v>
      </c>
      <c r="CZ19" s="315">
        <f>IFERROR(IF(CZ$7&gt;$D$3,"",IF(AR19="Undefined","Undefined",IF(AR19="Missed","Missed",IF(AR19="TBC","TBC",IF(AR19="OD","OD",_xlfn.XLOOKUP(CZ$7,Estimating!$M$6:$BM$6,Estimating!$M$12:$BM$12)/_xlfn.XLOOKUP(CZ$7,Estimating!$M$6:$BM$6,Estimating!$M$11:$BM$11)))))),"")</f>
        <v>1.0021786492374729</v>
      </c>
      <c r="DA19" s="315">
        <f>IFERROR(IF(DA$7&gt;$D$3,"",IF(AS19="Undefined","Undefined",IF(AS19="Missed","Missed",IF(AS19="TBC","TBC",IF(AS19="OD","OD",_xlfn.XLOOKUP(DA$7,Estimating!$M$6:$BM$6,Estimating!$M$12:$BM$12)/_xlfn.XLOOKUP(DA$7,Estimating!$M$6:$BM$6,Estimating!$M$11:$BM$11)))))),"")</f>
        <v>1.0260946483856701</v>
      </c>
      <c r="DB19" s="315">
        <f>IFERROR(IF(DB$7&gt;$D$3,"",IF(AT19="Undefined","Undefined",IF(AT19="Missed","Missed",IF(AT19="TBC","TBC",IF(AT19="OD","OD",_xlfn.XLOOKUP(DB$7,Estimating!$M$6:$BM$6,Estimating!$M$12:$BM$12)/_xlfn.XLOOKUP(DB$7,Estimating!$M$6:$BM$6,Estimating!$M$11:$BM$11)))))),"")</f>
        <v>1.0316742081447965</v>
      </c>
      <c r="DC19" s="315">
        <f>IFERROR(IF(DC$7&gt;$D$3,"",IF(AU19="Undefined","Undefined",IF(AU19="Missed","Missed",IF(AU19="TBC","TBC",IF(AU19="OD","OD",_xlfn.XLOOKUP(DC$7,Estimating!$M$6:$BM$6,Estimating!$M$12:$BM$12)/_xlfn.XLOOKUP(DC$7,Estimating!$M$6:$BM$6,Estimating!$M$11:$BM$11)))))),"")</f>
        <v>1.0160427807486632</v>
      </c>
      <c r="DD19" s="315">
        <f>IFERROR(IF(DD$7&gt;$D$3,"",IF(AV19="Undefined","Undefined",IF(AV19="Missed","Missed",IF(AV19="TBC","TBC",IF(AV19="OD","OD",_xlfn.XLOOKUP(DD$7,Estimating!$M$6:$BM$6,Estimating!$M$12:$BM$12)/_xlfn.XLOOKUP(DD$7,Estimating!$M$6:$BM$6,Estimating!$M$11:$BM$11)))))),"")</f>
        <v>0.90132827324478171</v>
      </c>
      <c r="DE19" s="315">
        <f>IFERROR(IF(DE$7&gt;$D$3,"",IF(AW19="Undefined","Undefined",IF(AW19="Missed","Missed",IF(AW19="TBC","TBC",IF(AW19="OD","OD",_xlfn.XLOOKUP(DE$7,Estimating!$M$6:$BM$6,Estimating!$M$12:$BM$12)/_xlfn.XLOOKUP(DE$7,Estimating!$M$6:$BM$6,Estimating!$M$11:$BM$11)))))),"")</f>
        <v>1.0479485912011866</v>
      </c>
      <c r="DF19" s="315">
        <f>IFERROR(IF(DF$7&gt;$D$3,"",IF(AX19="Undefined","Undefined",IF(AX19="Missed","Missed",IF(AX19="TBC","TBC",IF(AX19="OD","OD",_xlfn.XLOOKUP(DF$7,Estimating!$M$6:$BM$6,Estimating!$M$12:$BM$12)/_xlfn.XLOOKUP(DF$7,Estimating!$M$6:$BM$6,Estimating!$M$11:$BM$11)))))),"")</f>
        <v>0.87286527514231493</v>
      </c>
      <c r="DG19" s="315">
        <f>IFERROR(IF(DG$7&gt;$D$3,"",IF(AY19="Undefined","Undefined",IF(AY19="Missed","Missed",IF(AY19="TBC","TBC",IF(AY19="OD","OD",_xlfn.XLOOKUP(DG$7,Estimating!$M$6:$BM$6,Estimating!$M$12:$BM$12)/_xlfn.XLOOKUP(DG$7,Estimating!$M$6:$BM$6,Estimating!$M$11:$BM$11)))))),"")</f>
        <v>0.95798319327731096</v>
      </c>
      <c r="DH19" s="315">
        <f>IFERROR(IF(DH$7&gt;$D$3,"",IF(AZ19="Undefined","Undefined",IF(AZ19="Missed","Missed",IF(AZ19="TBC","TBC",IF(AZ19="OD","OD",_xlfn.XLOOKUP(DH$7,Estimating!$M$6:$BM$6,Estimating!$M$12:$BM$12)/_xlfn.XLOOKUP(DH$7,Estimating!$M$6:$BM$6,Estimating!$M$11:$BM$11)))))),"")</f>
        <v>0.89002557544757022</v>
      </c>
      <c r="DI19" s="315">
        <f>IFERROR(IF(DI$7&gt;$D$3,"",IF(BA19="Undefined","Undefined",IF(BA19="Missed","Missed",IF(BA19="TBC","TBC",IF(BA19="OD","OD",_xlfn.XLOOKUP(DI$7,Estimating!$M$6:$BM$6,Estimating!$M$12:$BM$12)/_xlfn.XLOOKUP(DI$7,Estimating!$M$6:$BM$6,Estimating!$M$11:$BM$11)))))),"")</f>
        <v>0.99026661024121865</v>
      </c>
      <c r="DJ19" s="315">
        <f>IFERROR(IF(DJ$7&gt;$D$3,"",IF(BB19="Undefined","Undefined",IF(BB19="Missed","Missed",IF(BB19="TBC","TBC",IF(BB19="OD","OD",_xlfn.XLOOKUP(DJ$7,Estimating!$M$6:$BM$6,Estimating!$M$12:$BM$12)/_xlfn.XLOOKUP(DJ$7,Estimating!$M$6:$BM$6,Estimating!$M$11:$BM$11)))))),"")</f>
        <v>0.89751364463311101</v>
      </c>
      <c r="DK19" s="315">
        <f>IFERROR(IF(DK$7&gt;$D$3,"",IF(BC19="Undefined","Undefined",IF(BC19="Missed","Missed",IF(BC19="TBC","TBC",IF(BC19="OD","OD",_xlfn.XLOOKUP(DK$7,Estimating!$M$6:$BM$6,Estimating!$M$12:$BM$12)/_xlfn.XLOOKUP(DK$7,Estimating!$M$6:$BM$6,Estimating!$M$11:$BM$11)))))),"")</f>
        <v>0.73949579831932766</v>
      </c>
      <c r="DL19" s="315">
        <f>IFERROR(IF(DL$7&gt;$D$3,"",IF(BD19="Undefined","Undefined",IF(BD19="Missed","Missed",IF(BD19="TBC","TBC",IF(BD19="OD","OD",_xlfn.XLOOKUP(DL$7,Estimating!$M$6:$BM$6,Estimating!$M$12:$BM$12)/_xlfn.XLOOKUP(DL$7,Estimating!$M$6:$BM$6,Estimating!$M$11:$BM$11)))))),"")</f>
        <v>0.85727314181486547</v>
      </c>
      <c r="DM19" s="315">
        <f>IFERROR(IF(DM$7&gt;$D$3,"",IF(BE19="Undefined","Undefined",IF(BE19="Missed","Missed",IF(BE19="TBC","TBC",IF(BE19="OD","OD",_xlfn.XLOOKUP(DM$7,Estimating!$M$6:$BM$6,Estimating!$M$12:$BM$12)/_xlfn.XLOOKUP(DM$7,Estimating!$M$6:$BM$6,Estimating!$M$11:$BM$11)))))),"")</f>
        <v>0.82887700534759357</v>
      </c>
      <c r="DN19" s="315">
        <f>IFERROR(IF(DN$7&gt;$D$3,"",IF(BF19="Undefined","Undefined",IF(BF19="Missed","Missed",IF(BF19="TBC","TBC",IF(BF19="OD","OD",_xlfn.XLOOKUP(DN$7,Estimating!$M$6:$BM$6,Estimating!$M$12:$BM$12)/_xlfn.XLOOKUP(DN$7,Estimating!$M$6:$BM$6,Estimating!$M$11:$BM$11)))))),"")</f>
        <v>1.0196078431372551</v>
      </c>
      <c r="DO19" s="315">
        <f>IFERROR(IF(DO$7&gt;$D$3,"",IF(BG19="Undefined","Undefined",IF(BG19="Missed","Missed",IF(BG19="TBC","TBC",IF(BG19="OD","OD",_xlfn.XLOOKUP(DO$7,Estimating!$M$6:$BM$6,Estimating!$M$12:$BM$12)/_xlfn.XLOOKUP(DO$7,Estimating!$M$6:$BM$6,Estimating!$M$11:$BM$11)))))),"")</f>
        <v>0.87862993298585246</v>
      </c>
      <c r="DP19" s="315">
        <f>IFERROR(IF(DP$7&gt;$D$3,"",IF(BH19="Undefined","Undefined",IF(BH19="Missed","Missed",IF(BH19="TBC","TBC",IF(BH19="OD","OD",_xlfn.XLOOKUP(DP$7,Estimating!$M$6:$BM$6,Estimating!$M$12:$BM$12)/_xlfn.XLOOKUP(DP$7,Estimating!$M$6:$BM$6,Estimating!$M$11:$BM$11)))))),"")</f>
        <v>0.84429065743944642</v>
      </c>
      <c r="DQ19" s="315">
        <f>IFERROR(IF(DQ$7&gt;$D$3,"",IF(BI19="Undefined","Undefined",IF(BI19="Missed","Missed",IF(BI19="TBC","TBC",IF(BI19="OD","OD",_xlfn.XLOOKUP(DQ$7,Estimating!$M$6:$BM$6,Estimating!$M$12:$BM$12)/_xlfn.XLOOKUP(DQ$7,Estimating!$M$6:$BM$6,Estimating!$M$11:$BM$11)))))),"")</f>
        <v>0.85154061624649857</v>
      </c>
      <c r="DR19" s="315">
        <f>IFERROR(IF(DR$7&gt;$D$3,"",IF(BJ19="Undefined","Undefined",IF(BJ19="Missed","Missed",IF(BJ19="TBC","TBC",IF(BJ19="OD","OD",_xlfn.XLOOKUP(DR$7,Estimating!$M$6:$BM$6,Estimating!$M$12:$BM$12)/_xlfn.XLOOKUP(DR$7,Estimating!$M$6:$BM$6,Estimating!$M$11:$BM$11)))))),"")</f>
        <v>0.79760717846460605</v>
      </c>
      <c r="DS19" s="315">
        <f>IFERROR(IF(DS$7&gt;$D$3,"",IF(BK19="Undefined","Undefined",IF(BK19="Missed","Missed",IF(BK19="TBC","TBC",IF(BK19="OD","OD",_xlfn.XLOOKUP(DS$7,Estimating!$M$6:$BM$6,Estimating!$M$12:$BM$12)/_xlfn.XLOOKUP(DS$7,Estimating!$M$6:$BM$6,Estimating!$M$11:$BM$11)))))),"")</f>
        <v>0.82021541010770505</v>
      </c>
      <c r="DT19" s="315">
        <f>IFERROR(IF(DT$7&gt;$D$3,"",IF(BL19="Undefined","Undefined",IF(BL19="Missed","Missed",IF(BL19="TBC","TBC",IF(BL19="OD","OD",_xlfn.XLOOKUP(DT$7,Estimating!$M$6:$BM$6,Estimating!$M$12:$BM$12)/_xlfn.XLOOKUP(DT$7,Estimating!$M$6:$BM$6,Estimating!$M$11:$BM$11)))))),"")</f>
        <v>0.92501122586439155</v>
      </c>
      <c r="DU19" s="315">
        <f>IFERROR(IF(DU$7&gt;$D$3,"",IF(BM19="Undefined","Undefined",IF(BM19="Missed","Missed",IF(BM19="TBC","TBC",IF(BM19="OD","OD",_xlfn.XLOOKUP(DU$7,Estimating!$M$6:$BM$6,Estimating!$M$12:$BM$12)/_xlfn.XLOOKUP(DU$7,Estimating!$M$6:$BM$6,Estimating!$M$11:$BM$11)))))),"")</f>
        <v>0.92374727668845313</v>
      </c>
      <c r="DV19" s="315">
        <f>IFERROR(IF(DV$7&gt;$D$3,"",IF(BN19="Undefined","Undefined",IF(BN19="Missed","Missed",IF(BN19="TBC","TBC",IF(BN19="OD","OD",_xlfn.XLOOKUP(DV$7,Estimating!$M$6:$BM$6,Estimating!$M$12:$BM$12)/_xlfn.XLOOKUP(DV$7,Estimating!$M$6:$BM$6,Estimating!$M$11:$BM$11)))))),"")</f>
        <v>1.0529411764705883</v>
      </c>
      <c r="DW19" s="315">
        <f>IFERROR(IF(DW$7&gt;$D$3,"",IF(BO19="Undefined","Undefined",IF(BO19="Missed","Missed",IF(BO19="TBC","TBC",IF(BO19="OD","OD",_xlfn.XLOOKUP(DW$7,Estimating!$M$6:$BM$6,Estimating!$M$12:$BM$12)/_xlfn.XLOOKUP(DW$7,Estimating!$M$6:$BM$6,Estimating!$M$11:$BM$11)))))),"")</f>
        <v>0.86588235294117644</v>
      </c>
      <c r="DX19" s="315">
        <f>IFERROR(IF(DX$7&gt;$D$3,"",IF(BP19="Undefined","Undefined",IF(BP19="Missed","Missed",IF(BP19="TBC","TBC",IF(BP19="OD","OD",_xlfn.XLOOKUP(DX$7,Estimating!$M$6:$BM$6,Estimating!$M$12:$BM$12)/_xlfn.XLOOKUP(DX$7,Estimating!$M$6:$BM$6,Estimating!$M$11:$BM$11)))))),"")</f>
        <v>0.96823529411764697</v>
      </c>
      <c r="DY19" s="315">
        <f>IFERROR(IF(DY$7&gt;$D$3,"",IF(BQ19="Undefined","Undefined",IF(BQ19="Missed","Missed",IF(BQ19="TBC","TBC",IF(BQ19="OD","OD",_xlfn.XLOOKUP(DY$7,Estimating!$M$6:$BM$6,Estimating!$M$12:$BM$12)/_xlfn.XLOOKUP(DY$7,Estimating!$M$6:$BM$6,Estimating!$M$11:$BM$11)))))),"")</f>
        <v>0.94802969731581954</v>
      </c>
      <c r="DZ19" s="315">
        <f>IFERROR(IF(DZ$7&gt;$D$3,"",IF(BR19="Undefined","Undefined",IF(BR19="Missed","Missed",IF(BR19="TBC","TBC",IF(BR19="OD","OD",_xlfn.XLOOKUP(DZ$7,Estimating!$M$6:$BM$6,Estimating!$M$12:$BM$12)/_xlfn.XLOOKUP(DZ$7,Estimating!$M$6:$BM$6,Estimating!$M$11:$BM$11)))))),"")</f>
        <v>0.8893006021306159</v>
      </c>
      <c r="EA19" s="315">
        <f>IFERROR(IF(EA$7&gt;$D$3,"",IF(BS19="Undefined","Undefined",IF(BS19="Missed","Missed",IF(BS19="TBC","TBC",IF(BS19="OD","OD",_xlfn.XLOOKUP(EA$7,Estimating!$M$6:$BM$6,Estimating!$M$12:$BM$12)/_xlfn.XLOOKUP(EA$7,Estimating!$M$6:$BM$6,Estimating!$M$11:$BM$11)))))),"")</f>
        <v>0.8173374613003096</v>
      </c>
      <c r="EB19" s="315">
        <f>IFERROR(IF(EB$7&gt;$D$3,"",IF(BT19="Undefined","Undefined",IF(BT19="Missed","Missed",IF(BT19="TBC","TBC",IF(BT19="OD","OD",_xlfn.XLOOKUP(EB$7,Estimating!$M$6:$BM$6,Estimating!$M$12:$BM$12)/_xlfn.XLOOKUP(EB$7,Estimating!$M$6:$BM$6,Estimating!$M$11:$BM$11)))))),"")</f>
        <v>0.93339815264948967</v>
      </c>
      <c r="EC19" s="315">
        <f>IFERROR(IF(EC$7&gt;$D$3,"",IF(BU19="Undefined","Undefined",IF(BU19="Missed","Missed",IF(BU19="TBC","TBC",IF(BU19="OD","OD",_xlfn.XLOOKUP(EC$7,Estimating!$M$6:$BM$6,Estimating!$M$12:$BM$12)/_xlfn.XLOOKUP(EC$7,Estimating!$M$6:$BM$6,Estimating!$M$11:$BM$11)))))),"")</f>
        <v>1.0063784549964563</v>
      </c>
      <c r="ED19" s="315">
        <f>IFERROR(IF(ED$7&gt;$D$3,"",IF(BV19="Undefined","Undefined",IF(BV19="Missed","Missed",IF(BV19="TBC","TBC",IF(BV19="OD","OD",_xlfn.XLOOKUP(ED$7,Estimating!$M$6:$BM$6,Estimating!$M$12:$BM$12)/_xlfn.XLOOKUP(ED$7,Estimating!$M$6:$BM$6,Estimating!$M$11:$BM$11)))))),"")</f>
        <v>1.0225398570643209</v>
      </c>
      <c r="EE19" s="315">
        <f>IFERROR(IF(EE$7&gt;$D$3,"",IF(BW19="Undefined","Undefined",IF(BW19="Missed","Missed",IF(BW19="TBC","TBC",IF(BW19="OD","OD",_xlfn.XLOOKUP(EE$7,Estimating!$M$6:$BM$6,Estimating!$M$12:$BM$12)/_xlfn.XLOOKUP(EE$7,Estimating!$M$6:$BM$6,Estimating!$M$11:$BM$11)))))),"")</f>
        <v>0.76762619941593668</v>
      </c>
      <c r="EF19" s="315">
        <f>IFERROR(IF(EF$7&gt;$D$3,"",IF(BX19="Undefined","Undefined",IF(BX19="Missed","Missed",IF(BX19="TBC","TBC",IF(BX19="OD","OD",_xlfn.XLOOKUP(EF$7,Estimating!$M$6:$BM$6,Estimating!$M$12:$BM$12)/_xlfn.XLOOKUP(EF$7,Estimating!$M$6:$BM$6,Estimating!$M$11:$BM$11)))))),"")</f>
        <v>0.80818414322250642</v>
      </c>
      <c r="EG19" s="315">
        <f>IFERROR(IF(EG$7&gt;$D$3,"",IF(BY19="Undefined","Undefined",IF(BY19="Missed","Missed",IF(BY19="TBC","TBC",IF(BY19="OD","OD",_xlfn.XLOOKUP(EG$7,Estimating!$M$6:$BM$6,Estimating!$M$12:$BM$12)/_xlfn.XLOOKUP(EG$7,Estimating!$M$6:$BM$6,Estimating!$M$11:$BM$11)))))),"")</f>
        <v>0.9174311926605504</v>
      </c>
      <c r="EH19" s="315">
        <f>IFERROR(IF(EH$7&gt;$D$3,"",IF(BZ19="Undefined","Undefined",IF(BZ19="Missed","Missed",IF(BZ19="TBC","TBC",IF(BZ19="OD","OD",_xlfn.XLOOKUP(EH$7,Estimating!$M$6:$BM$6,Estimating!$M$12:$BM$12)/_xlfn.XLOOKUP(EH$7,Estimating!$M$6:$BM$6,Estimating!$M$11:$BM$11)))))),"")</f>
        <v>0.97406704617330808</v>
      </c>
      <c r="EI19" s="315">
        <f>IFERROR(IF(EI$7&gt;$D$3,"",IF(CA19="Undefined","Undefined",IF(CA19="Missed","Missed",IF(CA19="TBC","TBC",IF(CA19="OD","OD",_xlfn.XLOOKUP(EI$7,Estimating!$M$6:$BM$6,Estimating!$M$12:$BM$12)/_xlfn.XLOOKUP(EI$7,Estimating!$M$6:$BM$6,Estimating!$M$11:$BM$11)))))),"")</f>
        <v>0.88235294117647056</v>
      </c>
      <c r="EJ19" s="315">
        <f>IFERROR(IF(EJ$7&gt;$D$3,"",IF(CB19="Undefined","Undefined",IF(CB19="Missed","Missed",IF(CB19="TBC","TBC",IF(CB19="OD","OD",_xlfn.XLOOKUP(EJ$7,Estimating!$M$6:$BM$6,Estimating!$M$12:$BM$12)/_xlfn.XLOOKUP(EJ$7,Estimating!$M$6:$BM$6,Estimating!$M$11:$BM$11)))))),"")</f>
        <v>0.96588235294117641</v>
      </c>
      <c r="EK19" s="315" t="str">
        <f>IFERROR(IF(EK$7&gt;$D$3,"",IF(CC19="Undefined","Undefined",IF(CC19="Missed","Missed",IF(CC19="TBC","TBC",IF(CC19="OD","OD",_xlfn.XLOOKUP(EK$7,Estimating!$M$6:$BM$6,Estimating!$M$12:$BM$12)/_xlfn.XLOOKUP(EK$7,Estimating!$M$6:$BM$6,Estimating!$M$11:$BM$11)))))),"")</f>
        <v/>
      </c>
      <c r="EL19" s="315" t="str">
        <f>IFERROR(IF(EL$7&gt;$D$3,"",IF(CD19="Undefined","Undefined",IF(CD19="Missed","Missed",IF(CD19="TBC","TBC",IF(CD19="OD","OD",_xlfn.XLOOKUP(EL$7,Estimating!$M$6:$BM$6,Estimating!$M$12:$BM$12)/_xlfn.XLOOKUP(EL$7,Estimating!$M$6:$BM$6,Estimating!$M$11:$BM$11)))))),"")</f>
        <v/>
      </c>
      <c r="EM19" s="315" t="str">
        <f>IFERROR(IF(EM$7&gt;$D$3,"",IF(CE19="Undefined","Undefined",IF(CE19="Missed","Missed",IF(CE19="TBC","TBC",IF(CE19="OD","OD",_xlfn.XLOOKUP(EM$7,Estimating!$M$6:$BM$6,Estimating!$M$12:$BM$12)/_xlfn.XLOOKUP(EM$7,Estimating!$M$6:$BM$6,Estimating!$M$11:$BM$11)))))),"")</f>
        <v/>
      </c>
      <c r="EN19" s="315" t="str">
        <f>IFERROR(IF(EN$7&gt;$D$3,"",IF(CF19="Undefined","Undefined",IF(CF19="Missed","Missed",IF(CF19="TBC","TBC",IF(CF19="OD","OD",_xlfn.XLOOKUP(EN$7,Estimating!$M$6:$BM$6,Estimating!$M$12:$BM$12)/_xlfn.XLOOKUP(EN$7,Estimating!$M$6:$BM$6,Estimating!$M$11:$BM$11)))))),"")</f>
        <v/>
      </c>
      <c r="EO19" s="315" t="str">
        <f>IFERROR(IF(EO$7&gt;$D$3,"",IF(CG19="Undefined","Undefined",IF(CG19="Missed","Missed",IF(CG19="TBC","TBC",IF(CG19="OD","OD",_xlfn.XLOOKUP(EO$7,Estimating!$M$6:$BM$6,Estimating!$M$12:$BM$12)/_xlfn.XLOOKUP(EO$7,Estimating!$M$6:$BM$6,Estimating!$M$11:$BM$11)))))),"")</f>
        <v/>
      </c>
      <c r="EP19" s="315" t="str">
        <f>IFERROR(IF(EP$7&gt;$D$3,"",IF(CH19="Undefined","Undefined",IF(CH19="Missed","Missed",IF(CH19="TBC","TBC",IF(CH19="OD","OD",_xlfn.XLOOKUP(EP$7,Estimating!$M$6:$BM$6,Estimating!$M$12:$BM$12)/_xlfn.XLOOKUP(EP$7,Estimating!$M$6:$BM$6,Estimating!$M$11:$BM$11)))))),"")</f>
        <v/>
      </c>
      <c r="EQ19" s="315" t="str">
        <f>IFERROR(IF(EQ$7&gt;$D$3,"",IF(CI19="Undefined","Undefined",IF(CI19="Missed","Missed",IF(CI19="TBC","TBC",IF(CI19="OD","OD",_xlfn.XLOOKUP(EQ$7,Estimating!$M$6:$BM$6,Estimating!$M$12:$BM$12)/_xlfn.XLOOKUP(EQ$7,Estimating!$M$6:$BM$6,Estimating!$M$11:$BM$11)))))),"")</f>
        <v/>
      </c>
      <c r="ER19" s="315" t="str">
        <f>IFERROR(IF(ER$7&gt;$D$3,"",IF(CJ19="Undefined","Undefined",IF(CJ19="Missed","Missed",IF(CJ19="TBC","TBC",IF(CJ19="OD","OD",_xlfn.XLOOKUP(ER$7,Estimating!$M$6:$BM$6,Estimating!$M$12:$BM$12)/_xlfn.XLOOKUP(ER$7,Estimating!$M$6:$BM$6,Estimating!$M$11:$BM$11)))))),"")</f>
        <v/>
      </c>
      <c r="ES19" s="315" t="str">
        <f>IFERROR(IF(ES$7&gt;$D$3,"",IF(CK19="Undefined","Undefined",IF(CK19="Missed","Missed",IF(CK19="TBC","TBC",IF(CK19="OD","OD",_xlfn.XLOOKUP(ES$7,Estimating!$M$6:$BM$6,Estimating!$M$12:$BM$12)/_xlfn.XLOOKUP(ES$7,Estimating!$M$6:$BM$6,Estimating!$M$11:$BM$11)))))),"")</f>
        <v/>
      </c>
      <c r="ET19" s="315" t="str">
        <f>IFERROR(IF(ET$7&gt;$D$3,"",IF(CL19="Undefined","Undefined",IF(CL19="Missed","Missed",IF(CL19="TBC","TBC",IF(CL19="OD","OD",_xlfn.XLOOKUP(ET$7,Estimating!$M$6:$BM$6,Estimating!$M$12:$BM$12)/_xlfn.XLOOKUP(ET$7,Estimating!$M$6:$BM$6,Estimating!$M$11:$BM$11)))))),"")</f>
        <v/>
      </c>
      <c r="EU19" s="315" t="str">
        <f>IFERROR(IF(EU$7&gt;$D$3,"",IF(CM19="Undefined","Undefined",IF(CM19="Missed","Missed",IF(CM19="TBC","TBC",IF(CM19="OD","OD",_xlfn.XLOOKUP(EU$7,Estimating!$M$6:$BM$6,Estimating!$M$12:$BM$12)/_xlfn.XLOOKUP(EU$7,Estimating!$M$6:$BM$6,Estimating!$M$11:$BM$11)))))),"")</f>
        <v/>
      </c>
      <c r="EW19" s="465" t="str">
        <f>+$A19</f>
        <v>Estimating-KPI D1</v>
      </c>
      <c r="EX19" s="136" t="str">
        <f>+$C19</f>
        <v>KPI D1</v>
      </c>
      <c r="EY19" s="144" t="str">
        <f>+$D19</f>
        <v>Delivery</v>
      </c>
      <c r="EZ19" s="144" t="str">
        <f>+$E19</f>
        <v>Quotes issued on time</v>
      </c>
      <c r="FA19" s="145" t="str">
        <f>+$F19</f>
        <v>Percentage</v>
      </c>
      <c r="FB19" s="145" t="s">
        <v>251</v>
      </c>
      <c r="FC19" s="199" t="str">
        <f>IF(FC$7&gt;$D$3,"",IF($FA17&lt;FC$7,"OD",_xlfn.XLOOKUP(FC$7,Estimating!$M$6:$BM$6,Estimating!$M$12:$BM$12)))</f>
        <v>Blank</v>
      </c>
      <c r="FD19" s="199">
        <f>IF(FD$7&gt;$D$3,"",IF($FA17&lt;FD$7,"OD",_xlfn.XLOOKUP(FD$7,Estimating!$M$6:$BM$6,Estimating!$M$12:$BM$12)))</f>
        <v>96.078431372549019</v>
      </c>
      <c r="FE19" s="199">
        <f>IF(FE$7&gt;$D$3,"",IF($FA17&lt;FE$7,"OD",_xlfn.XLOOKUP(FE$7,Estimating!$M$6:$BM$6,Estimating!$M$12:$BM$12)))</f>
        <v>87.4015748031496</v>
      </c>
      <c r="FF19" s="199">
        <f>IF(FF$7&gt;$D$3,"",IF($FA17&lt;FF$7,"OD",_xlfn.XLOOKUP(FF$7,Estimating!$M$6:$BM$6,Estimating!$M$12:$BM$12)))</f>
        <v>79.245283018867923</v>
      </c>
      <c r="FG19" s="199">
        <f>IF(FG$7&gt;$D$3,"",IF($FA17&lt;FG$7,"OD",_xlfn.XLOOKUP(FG$7,Estimating!$M$6:$BM$6,Estimating!$M$12:$BM$12)))</f>
        <v>84</v>
      </c>
      <c r="FH19" s="199">
        <f>IF(FH$7&gt;$D$3,"",IF($FA17&lt;FH$7,"OD",_xlfn.XLOOKUP(FH$7,Estimating!$M$6:$BM$6,Estimating!$M$12:$BM$12)))</f>
        <v>85.18518518518519</v>
      </c>
      <c r="FI19" s="199">
        <f>IF(FI$7&gt;$D$3,"",IF($FA17&lt;FI$7,"OD",_xlfn.XLOOKUP(FI$7,Estimating!$M$6:$BM$6,Estimating!$M$12:$BM$12)))</f>
        <v>87.218045112781951</v>
      </c>
      <c r="FJ19" s="199">
        <f>IF(FJ$7&gt;$D$3,"",IF($FA17&lt;FJ$7,"OD",_xlfn.XLOOKUP(FJ$7,Estimating!$M$6:$BM$6,Estimating!$M$12:$BM$12)))</f>
        <v>87.692307692307693</v>
      </c>
      <c r="FK19" s="199">
        <f>IF(FK$7&gt;$D$3,"",IF($FA17&lt;FK$7,"OD",_xlfn.XLOOKUP(FK$7,Estimating!$M$6:$BM$6,Estimating!$M$12:$BM$12)))</f>
        <v>86.36363636363636</v>
      </c>
      <c r="FL19" s="199">
        <f>IF(FL$7&gt;$D$3,"",IF($FA17&lt;FL$7,"OD",_xlfn.XLOOKUP(FL$7,Estimating!$M$6:$BM$6,Estimating!$M$12:$BM$12)))</f>
        <v>76.612903225806448</v>
      </c>
      <c r="FM19" s="199">
        <f>IF(FM$7&gt;$D$3,"",IF($FA17&lt;FM$7,"OD",_xlfn.XLOOKUP(FM$7,Estimating!$M$6:$BM$6,Estimating!$M$12:$BM$12)))</f>
        <v>89.075630252100851</v>
      </c>
      <c r="FN19" s="199">
        <f>IF(FN$7&gt;$D$3,"",IF($FA17&lt;FN$7,"OD",_xlfn.XLOOKUP(FN$7,Estimating!$M$6:$BM$6,Estimating!$M$12:$BM$12)))</f>
        <v>74.193548387096769</v>
      </c>
      <c r="FO19" s="199">
        <f>IF(FO$7&gt;$D$3,"",IF($FA17&lt;FO$7,"OD",_xlfn.XLOOKUP(FO$7,Estimating!$M$6:$BM$6,Estimating!$M$12:$BM$12)))</f>
        <v>81.428571428571431</v>
      </c>
      <c r="FP19" s="199">
        <f>IF(FP$7&gt;$D$3,"",IF($FA17&lt;FP$7,"OD",_xlfn.XLOOKUP(FP$7,Estimating!$M$6:$BM$6,Estimating!$M$12:$BM$12)))</f>
        <v>75.65217391304347</v>
      </c>
      <c r="FQ19" s="199">
        <f>IF(FQ$7&gt;$D$3,"",IF($FA17&lt;FQ$7,"OD",_xlfn.XLOOKUP(FQ$7,Estimating!$M$6:$BM$6,Estimating!$M$12:$BM$12)))</f>
        <v>84.172661870503589</v>
      </c>
      <c r="FR19" s="199">
        <f>IF(FR$7&gt;$D$3,"",IF($FA17&lt;FR$7,"OD",_xlfn.XLOOKUP(FR$7,Estimating!$M$6:$BM$6,Estimating!$M$12:$BM$12)))</f>
        <v>76.288659793814432</v>
      </c>
      <c r="FS19" s="199">
        <f>IF(FS$7&gt;$D$3,"",IF($FA17&lt;FS$7,"OD",_xlfn.XLOOKUP(FS$7,Estimating!$M$6:$BM$6,Estimating!$M$12:$BM$12)))</f>
        <v>62.857142857142854</v>
      </c>
      <c r="FT19" s="199">
        <f>IF(FT$7&gt;$D$3,"",IF($FA17&lt;FT$7,"OD",_xlfn.XLOOKUP(FT$7,Estimating!$M$6:$BM$6,Estimating!$M$12:$BM$12)))</f>
        <v>72.868217054263567</v>
      </c>
      <c r="FU19" s="199">
        <f>IF(FU$7&gt;$D$3,"",IF($FA17&lt;FU$7,"OD",_xlfn.XLOOKUP(FU$7,Estimating!$M$6:$BM$6,Estimating!$M$12:$BM$12)))</f>
        <v>70.454545454545453</v>
      </c>
      <c r="FV19" s="199">
        <f>IF(FV$7&gt;$D$3,"",IF($FA17&lt;FV$7,"OD",_xlfn.XLOOKUP(FV$7,Estimating!$M$6:$BM$6,Estimating!$M$12:$BM$12)))</f>
        <v>86.666666666666671</v>
      </c>
      <c r="FW19" s="199">
        <f>IF(FW$7&gt;$D$3,"",IF($FA17&lt;FW$7,"OD",_xlfn.XLOOKUP(FW$7,Estimating!$M$6:$BM$6,Estimating!$M$12:$BM$12)))</f>
        <v>74.683544303797461</v>
      </c>
      <c r="FX19" s="199">
        <f>IF(FX$7&gt;$D$3,"",IF($FA17&lt;FX$7,"OD",_xlfn.XLOOKUP(FX$7,Estimating!$M$6:$BM$6,Estimating!$M$12:$BM$12)))</f>
        <v>71.764705882352942</v>
      </c>
      <c r="FY19" s="199">
        <f>IF(FY$7&gt;$D$3,"",IF($FA17&lt;FY$7,"OD",_xlfn.XLOOKUP(FY$7,Estimating!$M$6:$BM$6,Estimating!$M$12:$BM$12)))</f>
        <v>72.38095238095238</v>
      </c>
      <c r="FZ19" s="199">
        <f>IF(FZ$7&gt;$D$3,"",IF($FA17&lt;FZ$7,"OD",_xlfn.XLOOKUP(FZ$7,Estimating!$M$6:$BM$6,Estimating!$M$12:$BM$12)))</f>
        <v>67.796610169491515</v>
      </c>
      <c r="GA19" s="199">
        <f>IF(GA$7&gt;$D$3,"",IF($FA17&lt;GA$7,"OD",_xlfn.XLOOKUP(GA$7,Estimating!$M$6:$BM$6,Estimating!$M$12:$BM$12)))</f>
        <v>69.718309859154928</v>
      </c>
      <c r="GB19" s="199">
        <f>IF(GB$7&gt;$D$3,"",IF($FA17&lt;GB$7,"OD",_xlfn.XLOOKUP(GB$7,Estimating!$M$6:$BM$6,Estimating!$M$12:$BM$12)))</f>
        <v>78.625954198473281</v>
      </c>
      <c r="GC19" s="199">
        <f>IF(GC$7&gt;$D$3,"",IF($FA17&lt;GC$7,"OD",_xlfn.XLOOKUP(GC$7,Estimating!$M$6:$BM$6,Estimating!$M$12:$BM$12)))</f>
        <v>78.518518518518519</v>
      </c>
      <c r="GD19" s="199">
        <f>IF(GD$7&gt;$D$3,"",IF($FA17&lt;GD$7,"OD",_xlfn.XLOOKUP(GD$7,Estimating!$M$6:$BM$6,Estimating!$M$12:$BM$12)))</f>
        <v>89.5</v>
      </c>
      <c r="GE19" s="199">
        <f>IF(GE$7&gt;$D$3,"",IF($FA17&lt;GE$7,"OD",_xlfn.XLOOKUP(GE$7,Estimating!$M$6:$BM$6,Estimating!$M$12:$BM$12)))</f>
        <v>73.599999999999994</v>
      </c>
      <c r="GF19" s="199">
        <f>IF(GF$7&gt;$D$3,"",IF($FA17&lt;GF$7,"OD",_xlfn.XLOOKUP(GF$7,Estimating!$M$6:$BM$6,Estimating!$M$12:$BM$12)))</f>
        <v>82.3</v>
      </c>
      <c r="GG19" s="199">
        <f>IF(GG$7&gt;$D$3,"",IF($FA17&lt;GG$7,"OD",_xlfn.XLOOKUP(GG$7,Estimating!$M$6:$BM$6,Estimating!$M$12:$BM$12)))</f>
        <v>80.582524271844662</v>
      </c>
      <c r="GH19" s="199">
        <f>IF(GH$7&gt;$D$3,"",IF($FA17&lt;GH$7,"OD",_xlfn.XLOOKUP(GH$7,Estimating!$M$6:$BM$6,Estimating!$M$12:$BM$12)))</f>
        <v>75.590551181102356</v>
      </c>
      <c r="GI19" s="199">
        <f>IF(GI$7&gt;$D$3,"",IF($FA17&lt;GI$7,"OD",_xlfn.XLOOKUP(GI$7,Estimating!$M$6:$BM$6,Estimating!$M$12:$BM$12)))</f>
        <v>69.473684210526315</v>
      </c>
      <c r="GJ19" s="199">
        <f>IF(GJ$7&gt;$D$3,"",IF($FA17&lt;GJ$7,"OD",_xlfn.XLOOKUP(GJ$7,Estimating!$M$6:$BM$6,Estimating!$M$12:$BM$12)))</f>
        <v>79.338842975206617</v>
      </c>
      <c r="GK19" s="199">
        <f>IF(GK$7&gt;$D$3,"",IF($FA17&lt;GK$7,"OD",_xlfn.XLOOKUP(GK$7,Estimating!$M$6:$BM$6,Estimating!$M$12:$BM$12)))</f>
        <v>85.542168674698786</v>
      </c>
      <c r="GL19" s="199">
        <f>IF(GL$7&gt;$D$3,"",IF($FA17&lt;GL$7,"OD",_xlfn.XLOOKUP(GL$7,Estimating!$M$6:$BM$6,Estimating!$M$12:$BM$12)))</f>
        <v>86.915887850467286</v>
      </c>
      <c r="GM19" s="199">
        <f>IF(GM$7&gt;$D$3,"",IF($FA17&lt;GM$7,"OD",_xlfn.XLOOKUP(GM$7,Estimating!$M$6:$BM$6,Estimating!$M$12:$BM$12)))</f>
        <v>65.248226950354621</v>
      </c>
      <c r="GN19" s="199">
        <f>IF(GN$7&gt;$D$3,"",IF($FA17&lt;GN$7,"OD",_xlfn.XLOOKUP(GN$7,Estimating!$M$6:$BM$6,Estimating!$M$12:$BM$12)))</f>
        <v>68.695652173913047</v>
      </c>
      <c r="GO19" s="199">
        <f>IF(GO$7&gt;$D$3,"",IF($FA17&lt;GO$7,"OD",_xlfn.XLOOKUP(GO$7,Estimating!$M$6:$BM$6,Estimating!$M$12:$BM$12)))</f>
        <v>77.981651376146786</v>
      </c>
      <c r="GP19" s="199">
        <f>IF(GP$7&gt;$D$3,"",IF($FA17&lt;GP$7,"OD",_xlfn.XLOOKUP(GP$7,Estimating!$M$6:$BM$6,Estimating!$M$12:$BM$12)))</f>
        <v>82.795698924731184</v>
      </c>
      <c r="GQ19" s="199">
        <f>IF(GQ$7&gt;$D$3,"",IF($FA17&lt;GQ$7,"OD",_xlfn.XLOOKUP(GQ$7,Estimating!$M$6:$BM$6,Estimating!$M$12:$BM$12)))</f>
        <v>75</v>
      </c>
      <c r="GR19" s="199">
        <f>IF(GR$7&gt;$D$3,"",IF($FA17&lt;GR$7,"OD",_xlfn.XLOOKUP(GR$7,Estimating!$M$6:$BM$6,Estimating!$M$12:$BM$12)))</f>
        <v>82.1</v>
      </c>
      <c r="GS19" s="199" t="str">
        <f>IF(GS$7&gt;$D$3,"",IF($FA17&lt;GS$7,"OD",_xlfn.XLOOKUP(GS$7,Estimating!$M$6:$BM$6,Estimating!$M$12:$BM$12)))</f>
        <v/>
      </c>
      <c r="GT19" s="199" t="str">
        <f>IF(GT$7&gt;$D$3,"",IF($FA17&lt;GT$7,"OD",_xlfn.XLOOKUP(GT$7,Estimating!$M$6:$BM$6,Estimating!$M$12:$BM$12)))</f>
        <v/>
      </c>
      <c r="GU19" s="199" t="str">
        <f>IF(GU$7&gt;$D$3,"",IF($FA17&lt;GU$7,"OD",_xlfn.XLOOKUP(GU$7,Estimating!$M$6:$BM$6,Estimating!$M$12:$BM$12)))</f>
        <v/>
      </c>
      <c r="GV19" s="199" t="str">
        <f>IF(GV$7&gt;$D$3,"",IF($FA17&lt;GV$7,"OD",_xlfn.XLOOKUP(GV$7,Estimating!$M$6:$BM$6,Estimating!$M$12:$BM$12)))</f>
        <v/>
      </c>
      <c r="GW19" s="199" t="str">
        <f>IF(GW$7&gt;$D$3,"",IF($FA17&lt;GW$7,"OD",_xlfn.XLOOKUP(GW$7,Estimating!$M$6:$BM$6,Estimating!$M$12:$BM$12)))</f>
        <v/>
      </c>
      <c r="GX19" s="199" t="str">
        <f>IF(GX$7&gt;$D$3,"",IF($FA17&lt;GX$7,"OD",_xlfn.XLOOKUP(GX$7,Estimating!$M$6:$BM$6,Estimating!$M$12:$BM$12)))</f>
        <v/>
      </c>
      <c r="GY19" s="199" t="str">
        <f>IF(GY$7&gt;$D$3,"",IF($FA17&lt;GY$7,"OD",_xlfn.XLOOKUP(GY$7,Estimating!$M$6:$BM$6,Estimating!$M$12:$BM$12)))</f>
        <v/>
      </c>
      <c r="GZ19" s="199" t="str">
        <f>IF(GZ$7&gt;$D$3,"",IF($FA17&lt;GZ$7,"OD",_xlfn.XLOOKUP(GZ$7,Estimating!$M$6:$BM$6,Estimating!$M$12:$BM$12)))</f>
        <v/>
      </c>
      <c r="HA19" s="199" t="str">
        <f>IF(HA$7&gt;$D$3,"",IF($FA17&lt;HA$7,"OD",_xlfn.XLOOKUP(HA$7,Estimating!$M$6:$BM$6,Estimating!$M$12:$BM$12)))</f>
        <v/>
      </c>
      <c r="HB19" s="199" t="str">
        <f>IF(HB$7&gt;$D$3,"",IF($FA17&lt;HB$7,"OD",_xlfn.XLOOKUP(HB$7,Estimating!$M$6:$BM$6,Estimating!$M$12:$BM$12)))</f>
        <v/>
      </c>
      <c r="HC19" s="199" t="str">
        <f>IF(HC$7&gt;$D$3,"",IF($FA17&lt;HC$7,"OD",_xlfn.XLOOKUP(HC$7,Estimating!$M$6:$BM$6,Estimating!$M$12:$BM$12)))</f>
        <v/>
      </c>
      <c r="HE19" s="136" t="str">
        <f>+$C19</f>
        <v>KPI D1</v>
      </c>
      <c r="HF19" s="144" t="str">
        <f>+$D19</f>
        <v>Delivery</v>
      </c>
      <c r="HG19" s="144" t="str">
        <f>+$E19</f>
        <v>Quotes issued on time</v>
      </c>
      <c r="HH19" s="145" t="str">
        <f>+$F19</f>
        <v>Percentage</v>
      </c>
      <c r="HI19" s="145" t="s">
        <v>44</v>
      </c>
      <c r="HJ19" s="199" t="str">
        <f>IF(HJ$7&gt;$D$3,"",IF($FA17&lt;HJ$7,"OD",_xlfn.XLOOKUP(HJ$7,Estimating!$M$6:$BM$6,Estimating!$M$11:$BM$11)))</f>
        <v>Blank</v>
      </c>
      <c r="HK19" s="199">
        <f>IF(HK$7&gt;$D$3,"",IF($FA17&lt;HK$7,"OD",_xlfn.XLOOKUP(HK$7,Estimating!$M$6:$BM$6,Estimating!$M$11:$BM$11)))</f>
        <v>85</v>
      </c>
      <c r="HL19" s="199">
        <f>IF(HL$7&gt;$D$3,"",IF($FA17&lt;HL$7,"OD",_xlfn.XLOOKUP(HL$7,Estimating!$M$6:$BM$6,Estimating!$M$11:$BM$11)))</f>
        <v>85</v>
      </c>
      <c r="HM19" s="199">
        <f>IF(HM$7&gt;$D$3,"",IF($FA17&lt;HM$7,"OD",_xlfn.XLOOKUP(HM$7,Estimating!$M$6:$BM$6,Estimating!$M$11:$BM$11)))</f>
        <v>85</v>
      </c>
      <c r="HN19" s="199">
        <f>IF(HN$7&gt;$D$3,"",IF($FA17&lt;HN$7,"OD",_xlfn.XLOOKUP(HN$7,Estimating!$M$6:$BM$6,Estimating!$M$11:$BM$11)))</f>
        <v>85</v>
      </c>
      <c r="HO19" s="199">
        <f>IF(HO$7&gt;$D$3,"",IF($FA17&lt;HO$7,"OD",_xlfn.XLOOKUP(HO$7,Estimating!$M$6:$BM$6,Estimating!$M$11:$BM$11)))</f>
        <v>85</v>
      </c>
      <c r="HP19" s="199">
        <f>IF(HP$7&gt;$D$3,"",IF($FA17&lt;HP$7,"OD",_xlfn.XLOOKUP(HP$7,Estimating!$M$6:$BM$6,Estimating!$M$11:$BM$11)))</f>
        <v>85</v>
      </c>
      <c r="HQ19" s="199">
        <f>IF(HQ$7&gt;$D$3,"",IF($FA17&lt;HQ$7,"OD",_xlfn.XLOOKUP(HQ$7,Estimating!$M$6:$BM$6,Estimating!$M$11:$BM$11)))</f>
        <v>85</v>
      </c>
      <c r="HR19" s="199">
        <f>IF(HR$7&gt;$D$3,"",IF($FA17&lt;HR$7,"OD",_xlfn.XLOOKUP(HR$7,Estimating!$M$6:$BM$6,Estimating!$M$11:$BM$11)))</f>
        <v>85</v>
      </c>
      <c r="HS19" s="199">
        <f>IF(HS$7&gt;$D$3,"",IF($FA17&lt;HS$7,"OD",_xlfn.XLOOKUP(HS$7,Estimating!$M$6:$BM$6,Estimating!$M$11:$BM$11)))</f>
        <v>85</v>
      </c>
      <c r="HT19" s="199">
        <f>IF(HT$7&gt;$D$3,"",IF($FA17&lt;HT$7,"OD",_xlfn.XLOOKUP(HT$7,Estimating!$M$6:$BM$6,Estimating!$M$11:$BM$11)))</f>
        <v>85</v>
      </c>
      <c r="HU19" s="199">
        <f>IF(HU$7&gt;$D$3,"",IF($FA17&lt;HU$7,"OD",_xlfn.XLOOKUP(HU$7,Estimating!$M$6:$BM$6,Estimating!$M$11:$BM$11)))</f>
        <v>85</v>
      </c>
      <c r="HV19" s="199">
        <f>IF(HV$7&gt;$D$3,"",IF($FA17&lt;HV$7,"OD",_xlfn.XLOOKUP(HV$7,Estimating!$M$6:$BM$6,Estimating!$M$11:$BM$11)))</f>
        <v>85</v>
      </c>
      <c r="HW19" s="199">
        <f>IF(HW$7&gt;$D$3,"",IF($FA17&lt;HW$7,"OD",_xlfn.XLOOKUP(HW$7,Estimating!$M$6:$BM$6,Estimating!$M$11:$BM$11)))</f>
        <v>85</v>
      </c>
      <c r="HX19" s="199">
        <f>IF(HX$7&gt;$D$3,"",IF($FA17&lt;HX$7,"OD",_xlfn.XLOOKUP(HX$7,Estimating!$M$6:$BM$6,Estimating!$M$11:$BM$11)))</f>
        <v>85</v>
      </c>
      <c r="HY19" s="199">
        <f>IF(HY$7&gt;$D$3,"",IF($FA17&lt;HY$7,"OD",_xlfn.XLOOKUP(HY$7,Estimating!$M$6:$BM$6,Estimating!$M$11:$BM$11)))</f>
        <v>85</v>
      </c>
      <c r="HZ19" s="199">
        <f>IF(HZ$7&gt;$D$3,"",IF($FA17&lt;HZ$7,"OD",_xlfn.XLOOKUP(HZ$7,Estimating!$M$6:$BM$6,Estimating!$M$11:$BM$11)))</f>
        <v>85</v>
      </c>
      <c r="IA19" s="199">
        <f>IF(IA$7&gt;$D$3,"",IF($FA17&lt;IA$7,"OD",_xlfn.XLOOKUP(IA$7,Estimating!$M$6:$BM$6,Estimating!$M$11:$BM$11)))</f>
        <v>85</v>
      </c>
      <c r="IB19" s="199">
        <f>IF(IB$7&gt;$D$3,"",IF($FA17&lt;IB$7,"OD",_xlfn.XLOOKUP(IB$7,Estimating!$M$6:$BM$6,Estimating!$M$11:$BM$11)))</f>
        <v>85</v>
      </c>
      <c r="IC19" s="199">
        <f>IF(IC$7&gt;$D$3,"",IF($FA17&lt;IC$7,"OD",_xlfn.XLOOKUP(IC$7,Estimating!$M$6:$BM$6,Estimating!$M$11:$BM$11)))</f>
        <v>85</v>
      </c>
      <c r="ID19" s="199">
        <f>IF(ID$7&gt;$D$3,"",IF($FA17&lt;ID$7,"OD",_xlfn.XLOOKUP(ID$7,Estimating!$M$6:$BM$6,Estimating!$M$11:$BM$11)))</f>
        <v>85</v>
      </c>
      <c r="IE19" s="199">
        <f>IF(IE$7&gt;$D$3,"",IF($FA17&lt;IE$7,"OD",_xlfn.XLOOKUP(IE$7,Estimating!$M$6:$BM$6,Estimating!$M$11:$BM$11)))</f>
        <v>85</v>
      </c>
      <c r="IF19" s="199">
        <f>IF(IF$7&gt;$D$3,"",IF($FA17&lt;IF$7,"OD",_xlfn.XLOOKUP(IF$7,Estimating!$M$6:$BM$6,Estimating!$M$11:$BM$11)))</f>
        <v>85</v>
      </c>
      <c r="IG19" s="199">
        <f>IF(IG$7&gt;$D$3,"",IF($FA17&lt;IG$7,"OD",_xlfn.XLOOKUP(IG$7,Estimating!$M$6:$BM$6,Estimating!$M$11:$BM$11)))</f>
        <v>85</v>
      </c>
      <c r="IH19" s="199">
        <f>IF(IH$7&gt;$D$3,"",IF($FA17&lt;IH$7,"OD",_xlfn.XLOOKUP(IH$7,Estimating!$M$6:$BM$6,Estimating!$M$11:$BM$11)))</f>
        <v>85</v>
      </c>
      <c r="II19" s="199">
        <f>IF(II$7&gt;$D$3,"",IF($FA17&lt;II$7,"OD",_xlfn.XLOOKUP(II$7,Estimating!$M$6:$BM$6,Estimating!$M$11:$BM$11)))</f>
        <v>85</v>
      </c>
      <c r="IJ19" s="199">
        <f>IF(IJ$7&gt;$D$3,"",IF($FA17&lt;IJ$7,"OD",_xlfn.XLOOKUP(IJ$7,Estimating!$M$6:$BM$6,Estimating!$M$11:$BM$11)))</f>
        <v>85</v>
      </c>
      <c r="IK19" s="199">
        <f>IF(IK$7&gt;$D$3,"",IF($FA17&lt;IK$7,"OD",_xlfn.XLOOKUP(IK$7,Estimating!$M$6:$BM$6,Estimating!$M$11:$BM$11)))</f>
        <v>85</v>
      </c>
      <c r="IL19" s="199">
        <f>IF(IL$7&gt;$D$3,"",IF($FA17&lt;IL$7,"OD",_xlfn.XLOOKUP(IL$7,Estimating!$M$6:$BM$6,Estimating!$M$11:$BM$11)))</f>
        <v>85</v>
      </c>
      <c r="IM19" s="199">
        <f>IF(IM$7&gt;$D$3,"",IF($FA17&lt;IM$7,"OD",_xlfn.XLOOKUP(IM$7,Estimating!$M$6:$BM$6,Estimating!$M$11:$BM$11)))</f>
        <v>85</v>
      </c>
      <c r="IN19" s="199">
        <f>IF(IN$7&gt;$D$3,"",IF($FA17&lt;IN$7,"OD",_xlfn.XLOOKUP(IN$7,Estimating!$M$6:$BM$6,Estimating!$M$11:$BM$11)))</f>
        <v>85</v>
      </c>
      <c r="IO19" s="199">
        <f>IF(IO$7&gt;$D$3,"",IF($FA17&lt;IO$7,"OD",_xlfn.XLOOKUP(IO$7,Estimating!$M$6:$BM$6,Estimating!$M$11:$BM$11)))</f>
        <v>85</v>
      </c>
      <c r="IP19" s="199">
        <f>IF(IP$7&gt;$D$3,"",IF($FA17&lt;IP$7,"OD",_xlfn.XLOOKUP(IP$7,Estimating!$M$6:$BM$6,Estimating!$M$11:$BM$11)))</f>
        <v>85</v>
      </c>
      <c r="IQ19" s="199">
        <f>IF(IQ$7&gt;$D$3,"",IF($FA17&lt;IQ$7,"OD",_xlfn.XLOOKUP(IQ$7,Estimating!$M$6:$BM$6,Estimating!$M$11:$BM$11)))</f>
        <v>85</v>
      </c>
      <c r="IR19" s="199">
        <f>IF(IR$7&gt;$D$3,"",IF($FA17&lt;IR$7,"OD",_xlfn.XLOOKUP(IR$7,Estimating!$M$6:$BM$6,Estimating!$M$11:$BM$11)))</f>
        <v>85</v>
      </c>
      <c r="IS19" s="199">
        <f>IF(IS$7&gt;$D$3,"",IF($FA17&lt;IS$7,"OD",_xlfn.XLOOKUP(IS$7,Estimating!$M$6:$BM$6,Estimating!$M$11:$BM$11)))</f>
        <v>85</v>
      </c>
      <c r="IT19" s="199">
        <f>IF(IT$7&gt;$D$3,"",IF($FA17&lt;IT$7,"OD",_xlfn.XLOOKUP(IT$7,Estimating!$M$6:$BM$6,Estimating!$M$11:$BM$11)))</f>
        <v>85</v>
      </c>
      <c r="IU19" s="199">
        <f>IF(IU$7&gt;$D$3,"",IF($FA17&lt;IU$7,"OD",_xlfn.XLOOKUP(IU$7,Estimating!$M$6:$BM$6,Estimating!$M$11:$BM$11)))</f>
        <v>85</v>
      </c>
      <c r="IV19" s="199">
        <f>IF(IV$7&gt;$D$3,"",IF($FA17&lt;IV$7,"OD",_xlfn.XLOOKUP(IV$7,Estimating!$M$6:$BM$6,Estimating!$M$11:$BM$11)))</f>
        <v>85</v>
      </c>
      <c r="IW19" s="199">
        <f>IF(IW$7&gt;$D$3,"",IF($FA17&lt;IW$7,"OD",_xlfn.XLOOKUP(IW$7,Estimating!$M$6:$BM$6,Estimating!$M$11:$BM$11)))</f>
        <v>85</v>
      </c>
      <c r="IX19" s="199">
        <f>IF(IX$7&gt;$D$3,"",IF($FA17&lt;IX$7,"OD",_xlfn.XLOOKUP(IX$7,Estimating!$M$6:$BM$6,Estimating!$M$11:$BM$11)))</f>
        <v>85</v>
      </c>
      <c r="IY19" s="199">
        <f>IF(IY$7&gt;$D$3,"",IF($FA17&lt;IY$7,"OD",_xlfn.XLOOKUP(IY$7,Estimating!$M$6:$BM$6,Estimating!$M$11:$BM$11)))</f>
        <v>85</v>
      </c>
      <c r="IZ19" s="199" t="str">
        <f>IF(IZ$7&gt;$D$3,"",IF($FA17&lt;IZ$7,"OD",_xlfn.XLOOKUP(IZ$7,Estimating!$M$6:$BM$6,Estimating!$M$11:$BM$11)))</f>
        <v/>
      </c>
      <c r="JA19" s="199" t="str">
        <f>IF(JA$7&gt;$D$3,"",IF($FA17&lt;JA$7,"OD",_xlfn.XLOOKUP(JA$7,Estimating!$M$6:$BM$6,Estimating!$M$11:$BM$11)))</f>
        <v/>
      </c>
      <c r="JB19" s="199" t="str">
        <f>IF(JB$7&gt;$D$3,"",IF($FA17&lt;JB$7,"OD",_xlfn.XLOOKUP(JB$7,Estimating!$M$6:$BM$6,Estimating!$M$11:$BM$11)))</f>
        <v/>
      </c>
      <c r="JC19" s="199" t="str">
        <f>IF(JC$7&gt;$D$3,"",IF($FA17&lt;JC$7,"OD",_xlfn.XLOOKUP(JC$7,Estimating!$M$6:$BM$6,Estimating!$M$11:$BM$11)))</f>
        <v/>
      </c>
      <c r="JD19" s="199" t="str">
        <f>IF(JD$7&gt;$D$3,"",IF($FA17&lt;JD$7,"OD",_xlfn.XLOOKUP(JD$7,Estimating!$M$6:$BM$6,Estimating!$M$11:$BM$11)))</f>
        <v/>
      </c>
      <c r="JE19" s="199" t="str">
        <f>IF(JE$7&gt;$D$3,"",IF($FA17&lt;JE$7,"OD",_xlfn.XLOOKUP(JE$7,Estimating!$M$6:$BM$6,Estimating!$M$11:$BM$11)))</f>
        <v/>
      </c>
      <c r="JF19" s="199" t="str">
        <f>IF(JF$7&gt;$D$3,"",IF($FA17&lt;JF$7,"OD",_xlfn.XLOOKUP(JF$7,Estimating!$M$6:$BM$6,Estimating!$M$11:$BM$11)))</f>
        <v/>
      </c>
      <c r="JG19" s="199" t="str">
        <f>IF(JG$7&gt;$D$3,"",IF($FA17&lt;JG$7,"OD",_xlfn.XLOOKUP(JG$7,Estimating!$M$6:$BM$6,Estimating!$M$11:$BM$11)))</f>
        <v/>
      </c>
      <c r="JH19" s="199" t="str">
        <f>IF(JH$7&gt;$D$3,"",IF($FA17&lt;JH$7,"OD",_xlfn.XLOOKUP(JH$7,Estimating!$M$6:$BM$6,Estimating!$M$11:$BM$11)))</f>
        <v/>
      </c>
      <c r="JI19" s="199" t="str">
        <f>IF(JI$7&gt;$D$3,"",IF($FA17&lt;JI$7,"OD",_xlfn.XLOOKUP(JI$7,Estimating!$M$6:$BM$6,Estimating!$M$11:$BM$11)))</f>
        <v/>
      </c>
      <c r="JJ19" s="199" t="str">
        <f>IF(JJ$7&gt;$D$3,"",IF($FA17&lt;JJ$7,"OD",_xlfn.XLOOKUP(JJ$7,Estimating!$M$6:$BM$6,Estimating!$M$11:$BM$11)))</f>
        <v/>
      </c>
      <c r="JM19" s="136" t="str">
        <f>+$C19</f>
        <v>KPI D1</v>
      </c>
      <c r="JN19" s="144" t="str">
        <f>+$D19</f>
        <v>Delivery</v>
      </c>
      <c r="JO19" s="144" t="str">
        <f>+$E19</f>
        <v>Quotes issued on time</v>
      </c>
      <c r="JP19" s="145" t="str">
        <f>+$F19</f>
        <v>Percentage</v>
      </c>
      <c r="JQ19" s="145" t="s">
        <v>284</v>
      </c>
      <c r="JR19" s="247" t="str">
        <f>IFERROR(AVERAGE(FC19:$FC19),"")</f>
        <v/>
      </c>
      <c r="JS19" s="247">
        <f>IFERROR(AVERAGE($FC19:FD19),"")</f>
        <v>96.078431372549019</v>
      </c>
      <c r="JT19" s="247">
        <f>IFERROR(AVERAGE($FC19:FE19),"")</f>
        <v>91.740003087849317</v>
      </c>
      <c r="JU19" s="247">
        <f>IFERROR(AVERAGE($FC19:FF19),"")</f>
        <v>87.575096398188862</v>
      </c>
      <c r="JV19" s="247">
        <f>IFERROR(AVERAGE($FC19:FG19),"")</f>
        <v>86.681322298641646</v>
      </c>
      <c r="JW19" s="247">
        <f>IFERROR(AVERAGE($FC19:FH19),"")</f>
        <v>86.382094875950358</v>
      </c>
      <c r="JX19" s="247">
        <f>IFERROR(AVERAGE($FC19:FI19),"")</f>
        <v>86.5214199154223</v>
      </c>
      <c r="JY19" s="247">
        <f>IFERROR(AVERAGE($FC19:FJ19),"")</f>
        <v>86.688689597834497</v>
      </c>
      <c r="JZ19" s="247">
        <f>IFERROR(AVERAGE($FC19:FK19),"")</f>
        <v>86.648057943559735</v>
      </c>
      <c r="KA19" s="247">
        <f>IFERROR(AVERAGE($FC19:FL19),"")</f>
        <v>85.533040752698255</v>
      </c>
      <c r="KB19" s="247">
        <f>IFERROR(AVERAGE($FC19:FM19),"")</f>
        <v>85.887299702638515</v>
      </c>
      <c r="KC19" s="247">
        <f>IFERROR(AVERAGE($FC19:FN19),"")</f>
        <v>84.824231401225632</v>
      </c>
      <c r="KD19" s="247">
        <f>IFERROR(AVERAGE($FC19:FO19),"")</f>
        <v>84.541259736837773</v>
      </c>
      <c r="KE19" s="247">
        <f>IFERROR(AVERAGE($FC19:FP19),"")</f>
        <v>83.857483904238208</v>
      </c>
      <c r="KF19" s="247">
        <f>IFERROR(AVERAGE($FC19:FQ19),"")</f>
        <v>83.879996616114312</v>
      </c>
      <c r="KG19" s="247">
        <f>IFERROR(AVERAGE($FC19:FR19),"")</f>
        <v>83.373907494627659</v>
      </c>
      <c r="KH19" s="247">
        <f>IFERROR(AVERAGE($FC19:FS19),"")</f>
        <v>82.091609704784858</v>
      </c>
      <c r="KI19" s="247">
        <f>IFERROR(AVERAGE($FC19:FT19),"")</f>
        <v>81.549057195930672</v>
      </c>
      <c r="KJ19" s="247">
        <f>IFERROR(AVERAGE($FC19:FU19),"")</f>
        <v>80.932695432520376</v>
      </c>
      <c r="KK19" s="247">
        <f>IFERROR(AVERAGE($FC19:FV19),"")</f>
        <v>81.234483392212297</v>
      </c>
      <c r="KL19" s="247">
        <f>IFERROR(AVERAGE($FC19:FW19),"")</f>
        <v>80.906936437791543</v>
      </c>
      <c r="KM19" s="247">
        <f>IFERROR(AVERAGE($FC19:FX19),"")</f>
        <v>80.471592125627808</v>
      </c>
      <c r="KN19" s="247">
        <f>IFERROR(AVERAGE($FC19:FY19),"")</f>
        <v>80.103835773597098</v>
      </c>
      <c r="KO19" s="247">
        <f>IFERROR(AVERAGE($FC19:FZ19),"")</f>
        <v>79.568739008201206</v>
      </c>
      <c r="KP19" s="247">
        <f>IFERROR(AVERAGE($FC19:GA19),"")</f>
        <v>79.158304460324274</v>
      </c>
      <c r="KQ19" s="247">
        <f>IFERROR(AVERAGE($FC19:GB19),"")</f>
        <v>79.137010449850237</v>
      </c>
      <c r="KR19" s="247">
        <f>IFERROR(AVERAGE($FC19:GC19),"")</f>
        <v>79.113222298645169</v>
      </c>
      <c r="KS19" s="247">
        <f>IFERROR(AVERAGE($FC19:GD19),"")</f>
        <v>79.497917769065708</v>
      </c>
      <c r="KT19" s="247">
        <f>IFERROR(AVERAGE($FC19:GE19),"")</f>
        <v>79.287277848741937</v>
      </c>
      <c r="KU19" s="247">
        <f>IFERROR(AVERAGE($FC19:GF19),"")</f>
        <v>79.39116481947498</v>
      </c>
      <c r="KV19" s="247">
        <f>IFERROR(AVERAGE($FC19:GG19),"")</f>
        <v>79.430876801220634</v>
      </c>
      <c r="KW19" s="247">
        <f>IFERROR(AVERAGE($FC19:GH19),"")</f>
        <v>79.306995329603922</v>
      </c>
      <c r="KX19" s="247">
        <f>IFERROR(AVERAGE($FC19:GI19),"")</f>
        <v>78.999704357132742</v>
      </c>
      <c r="KY19" s="247">
        <f>IFERROR(AVERAGE($FC19:GJ19),"")</f>
        <v>79.00998128495317</v>
      </c>
      <c r="KZ19" s="247">
        <f>IFERROR(AVERAGE($FC19:GK19),"")</f>
        <v>79.202104443475093</v>
      </c>
      <c r="LA19" s="247">
        <f>IFERROR(AVERAGE($FC19:GL19),"")</f>
        <v>79.422498255103434</v>
      </c>
      <c r="LB19" s="247">
        <f>IFERROR(AVERAGE($FC19:GM19),"")</f>
        <v>79.028768496638193</v>
      </c>
      <c r="LC19" s="247">
        <f>IFERROR(AVERAGE($FC19:GN19),"")</f>
        <v>78.749495082510492</v>
      </c>
      <c r="LD19" s="247">
        <f>IFERROR(AVERAGE($FC19:GO19),"")</f>
        <v>78.729288669185124</v>
      </c>
      <c r="LE19" s="247">
        <f>IFERROR(AVERAGE($FC19:GP19),"")</f>
        <v>78.833555598814513</v>
      </c>
      <c r="LF19" s="247">
        <f>IFERROR(AVERAGE($FC19:GQ19),"")</f>
        <v>78.737716708844147</v>
      </c>
      <c r="LG19" s="247">
        <f>IFERROR(AVERAGE($FC19:GR19),"")</f>
        <v>78.819723618384543</v>
      </c>
      <c r="LH19" s="247">
        <f>IFERROR(AVERAGE($FC19:GS19),"")</f>
        <v>78.819723618384543</v>
      </c>
      <c r="LI19" s="247">
        <f>IFERROR(AVERAGE($FC19:GT19),"")</f>
        <v>78.819723618384543</v>
      </c>
      <c r="LJ19" s="247">
        <f>IFERROR(AVERAGE($FC19:GU19),"")</f>
        <v>78.819723618384543</v>
      </c>
      <c r="LK19" s="247">
        <f>IFERROR(AVERAGE($FC19:GV19),"")</f>
        <v>78.819723618384543</v>
      </c>
      <c r="LL19" s="247">
        <f>IFERROR(AVERAGE($FC19:GW19),"")</f>
        <v>78.819723618384543</v>
      </c>
      <c r="LM19" s="247">
        <f>IFERROR(AVERAGE($FC19:GX19),"")</f>
        <v>78.819723618384543</v>
      </c>
      <c r="LN19" s="247">
        <f>IFERROR(AVERAGE($FC19:GY19),"")</f>
        <v>78.819723618384543</v>
      </c>
      <c r="LO19" s="247">
        <f>IFERROR(AVERAGE($FC19:GZ19),"")</f>
        <v>78.819723618384543</v>
      </c>
      <c r="LP19" s="247">
        <f>IFERROR(AVERAGE($FC19:HA19),"")</f>
        <v>78.819723618384543</v>
      </c>
      <c r="LQ19" s="247">
        <f>IFERROR(AVERAGE($FC19:HB19),"")</f>
        <v>78.819723618384543</v>
      </c>
      <c r="LR19" s="247">
        <f>IFERROR(AVERAGE($FC19:HC19),"")</f>
        <v>78.819723618384543</v>
      </c>
      <c r="LT19" s="136" t="str">
        <f>+$C19</f>
        <v>KPI D1</v>
      </c>
      <c r="LU19" s="144" t="str">
        <f>+$D19</f>
        <v>Delivery</v>
      </c>
      <c r="LV19" s="144" t="str">
        <f>+$E19</f>
        <v>Quotes issued on time</v>
      </c>
      <c r="LW19" s="145" t="str">
        <f>+$F19</f>
        <v>Percentage</v>
      </c>
      <c r="LX19" s="145" t="s">
        <v>285</v>
      </c>
      <c r="LY19" s="199" t="str">
        <f>IFERROR(AVERAGE($HJ19:HJ19),"")</f>
        <v/>
      </c>
      <c r="LZ19" s="199">
        <f>IFERROR(IF(LAD$7&gt;$D$3,"",AVERAGE($HJ19:HK19)),"")</f>
        <v>85</v>
      </c>
      <c r="MA19" s="199">
        <f>IFERROR(IF(MA$7&gt;$D$3,"",AVERAGE($HJ19:HL19)),"")</f>
        <v>85</v>
      </c>
      <c r="MB19" s="199">
        <f>IFERROR(IF(MB$7&gt;$D$3,"",AVERAGE($HJ19:HM19)),"")</f>
        <v>85</v>
      </c>
      <c r="MC19" s="199">
        <f>IFERROR(IF(MC$7&gt;$D$3,"",AVERAGE($HJ19:HN19)),"")</f>
        <v>85</v>
      </c>
      <c r="MD19" s="199">
        <f>IFERROR(IF(MD$7&gt;$D$3,"",AVERAGE($HJ19:HO19)),"")</f>
        <v>85</v>
      </c>
      <c r="ME19" s="199">
        <f>IFERROR(IF(ME$7&gt;$D$3,"",AVERAGE($HJ19:HP19)),"")</f>
        <v>85</v>
      </c>
      <c r="MF19" s="199">
        <f>IFERROR(IF(MF$7&gt;$D$3,"",AVERAGE($HJ19:HQ19)),"")</f>
        <v>85</v>
      </c>
      <c r="MG19" s="199">
        <f>IFERROR(IF(MG$7&gt;$D$3,"",AVERAGE($HJ19:HR19)),"")</f>
        <v>85</v>
      </c>
      <c r="MH19" s="199">
        <f>IFERROR(IF(MH$7&gt;$D$3,"",AVERAGE($HJ19:HS19)),"")</f>
        <v>85</v>
      </c>
      <c r="MI19" s="199">
        <f>IFERROR(IF(MI$7&gt;$D$3,"",AVERAGE($HJ19:HT19)),"")</f>
        <v>85</v>
      </c>
      <c r="MJ19" s="199">
        <f>IFERROR(IF(MJ$7&gt;$D$3,"",AVERAGE($HJ19:HU19)),"")</f>
        <v>85</v>
      </c>
      <c r="MK19" s="199">
        <f>IFERROR(IF(MK$7&gt;$D$3,"",AVERAGE($HJ19:HV19)),"")</f>
        <v>85</v>
      </c>
      <c r="ML19" s="199">
        <f>IFERROR(IF(ML$7&gt;$D$3,"",AVERAGE($HJ19:HW19)),"")</f>
        <v>85</v>
      </c>
      <c r="MM19" s="199">
        <f>IFERROR(IF(MM$7&gt;$D$3,"",AVERAGE($HJ19:HX19)),"")</f>
        <v>85</v>
      </c>
      <c r="MN19" s="199">
        <f>IFERROR(IF(MN$7&gt;$D$3,"",AVERAGE($HJ19:HY19)),"")</f>
        <v>85</v>
      </c>
      <c r="MO19" s="199">
        <f>IFERROR(IF(MO$7&gt;$D$3,"",AVERAGE($HJ19:HZ19)),"")</f>
        <v>85</v>
      </c>
      <c r="MP19" s="199">
        <f>IFERROR(IF(MP$7&gt;$D$3,"",AVERAGE($HJ19:IA19)),"")</f>
        <v>85</v>
      </c>
      <c r="MQ19" s="199">
        <f>IFERROR(IF(MQ$7&gt;$D$3,"",AVERAGE($HJ19:IB19)),"")</f>
        <v>85</v>
      </c>
      <c r="MR19" s="199">
        <f>IFERROR(IF(MR$7&gt;$D$3,"",AVERAGE($HJ19:IC19)),"")</f>
        <v>85</v>
      </c>
      <c r="MS19" s="199">
        <f>IFERROR(IF(MS$7&gt;$D$3,"",AVERAGE($HJ19:ID19)),"")</f>
        <v>85</v>
      </c>
      <c r="MT19" s="199">
        <f>IFERROR(IF(MT$7&gt;$D$3,"",AVERAGE($HJ19:IE19)),"")</f>
        <v>85</v>
      </c>
      <c r="MU19" s="199">
        <f>IFERROR(IF(MU$7&gt;$D$3,"",AVERAGE($HJ19:IF19)),"")</f>
        <v>85</v>
      </c>
      <c r="MV19" s="199">
        <f>IFERROR(IF(MV$7&gt;$D$3,"",AVERAGE($HJ19:IG19)),"")</f>
        <v>85</v>
      </c>
      <c r="MW19" s="199">
        <f>IFERROR(IF(MW$7&gt;$D$3,"",AVERAGE($HJ19:IH19)),"")</f>
        <v>85</v>
      </c>
      <c r="MX19" s="199">
        <f>IFERROR(IF(MX$7&gt;$D$3,"",AVERAGE($HJ19:II19)),"")</f>
        <v>85</v>
      </c>
      <c r="MY19" s="199">
        <f>IFERROR(IF(MY$7&gt;$D$3,"",AVERAGE($HJ19:IJ19)),"")</f>
        <v>85</v>
      </c>
      <c r="MZ19" s="199">
        <f>IFERROR(IF(MZ$7&gt;$D$3,"",AVERAGE($HJ19:IK19)),"")</f>
        <v>85</v>
      </c>
      <c r="NA19" s="199">
        <f>IFERROR(IF(NA$7&gt;$D$3,"",AVERAGE($HJ19:IL19)),"")</f>
        <v>85</v>
      </c>
      <c r="NB19" s="199">
        <f>IFERROR(IF(NB$7&gt;$D$3,"",AVERAGE($HJ19:IM19)),"")</f>
        <v>85</v>
      </c>
      <c r="NC19" s="199">
        <f>IFERROR(IF(NC$7&gt;$D$3,"",AVERAGE($HJ19:IN19)),"")</f>
        <v>85</v>
      </c>
      <c r="ND19" s="199">
        <f>IFERROR(IF(ND$7&gt;$D$3,"",AVERAGE($HJ19:IO19)),"")</f>
        <v>85</v>
      </c>
      <c r="NE19" s="199">
        <f>IFERROR(IF(NE$7&gt;$D$3,"",AVERAGE($HJ19:IP19)),"")</f>
        <v>85</v>
      </c>
      <c r="NF19" s="199">
        <f>IFERROR(IF(NF$7&gt;$D$3,"",AVERAGE($HJ19:IQ19)),"")</f>
        <v>85</v>
      </c>
      <c r="NG19" s="199">
        <f>IFERROR(IF(NG$7&gt;$D$3,"",AVERAGE($HJ19:IR19)),"")</f>
        <v>85</v>
      </c>
      <c r="NH19" s="199">
        <f>IFERROR(IF(NH$7&gt;$D$3,"",AVERAGE($HJ19:IS19)),"")</f>
        <v>85</v>
      </c>
      <c r="NI19" s="199">
        <f>IFERROR(IF(NI$7&gt;$D$3,"",AVERAGE($HJ19:IT19)),"")</f>
        <v>85</v>
      </c>
      <c r="NJ19" s="199">
        <f>IFERROR(IF(NJ$7&gt;$D$3,"",AVERAGE($HJ19:IU19)),"")</f>
        <v>85</v>
      </c>
      <c r="NK19" s="199">
        <f>IFERROR(IF(NK$7&gt;$D$3,"",AVERAGE($HJ19:IV19)),"")</f>
        <v>85</v>
      </c>
      <c r="NL19" s="199">
        <f>IFERROR(IF(NL$7&gt;$D$3,"",AVERAGE($HJ19:IW19)),"")</f>
        <v>85</v>
      </c>
      <c r="NM19" s="199">
        <f>IFERROR(IF(NM$7&gt;$D$3,"",AVERAGE($HJ19:IX19)),"")</f>
        <v>85</v>
      </c>
      <c r="NN19" s="199">
        <f>IFERROR(IF(NN$7&gt;$D$3,"",AVERAGE($HJ19:IY19)),"")</f>
        <v>85</v>
      </c>
      <c r="NO19" s="199" t="str">
        <f>IFERROR(IF(NO$7&gt;$D$3,"",AVERAGE($HJ19:IZ19)),"")</f>
        <v/>
      </c>
      <c r="NP19" s="199" t="str">
        <f>IFERROR(IF(NP$7&gt;$D$3,"",AVERAGE($HJ19:JA19)),"")</f>
        <v/>
      </c>
      <c r="NQ19" s="199" t="str">
        <f>IFERROR(IF(NQ$7&gt;$D$3,"",AVERAGE($HJ19:JB19)),"")</f>
        <v/>
      </c>
      <c r="NR19" s="199" t="str">
        <f>IFERROR(IF(NR$7&gt;$D$3,"",AVERAGE($HJ19:JC19)),"")</f>
        <v/>
      </c>
      <c r="NS19" s="199" t="str">
        <f>IFERROR(IF(NS$7&gt;$D$3,"",AVERAGE($HJ19:JD19)),"")</f>
        <v/>
      </c>
      <c r="NT19" s="199" t="str">
        <f>IFERROR(IF(NT$7&gt;$D$3,"",AVERAGE($HJ19:JE19)),"")</f>
        <v/>
      </c>
      <c r="NU19" s="199" t="str">
        <f>IFERROR(IF(NU$7&gt;$D$3,"",AVERAGE($HJ19:JF19)),"")</f>
        <v/>
      </c>
      <c r="NV19" s="199" t="str">
        <f>IFERROR(IF(NV$7&gt;$D$3,"",AVERAGE($HJ19:JG19)),"")</f>
        <v/>
      </c>
      <c r="NW19" s="199" t="str">
        <f>IFERROR(IF(NW$7&gt;$D$3,"",AVERAGE($HJ19:JH19)),"")</f>
        <v/>
      </c>
      <c r="NX19" s="199" t="str">
        <f>IFERROR(IF(NX$7&gt;$D$3,"",AVERAGE($HJ19:JI19)),"")</f>
        <v/>
      </c>
      <c r="NY19" s="199" t="str">
        <f>IFERROR(IF(NY$7&gt;$D$3,"",AVERAGE($HJ19:JJ19)),"")</f>
        <v/>
      </c>
    </row>
    <row r="20" spans="1:389" x14ac:dyDescent="0.3">
      <c r="A20" t="str">
        <f>$B$17&amp;"-"&amp;C20</f>
        <v>Estimating-KPI Q1</v>
      </c>
      <c r="B20" s="918">
        <f>+'KPI Stats'!B19</f>
        <v>0</v>
      </c>
      <c r="C20" s="136" t="str">
        <f>+'KPI Stats'!C19</f>
        <v>KPI Q1</v>
      </c>
      <c r="D20" s="144" t="str">
        <f>+'KPI Stats'!D19</f>
        <v>Quality</v>
      </c>
      <c r="E20" s="144" t="str">
        <f>+'KPI Stats'!E19</f>
        <v>Hours on each Estimate</v>
      </c>
      <c r="F20" s="145" t="str">
        <f>+'KPI Stats'!F19</f>
        <v>Hours</v>
      </c>
      <c r="G20" s="169" t="str">
        <f>+'KPI Stats'!G19</f>
        <v>Over</v>
      </c>
      <c r="J20" s="69" t="str">
        <f>_xlfn.XLOOKUP(J$7,$AM$7:$CM$7,$AM20:$CM20,,FALSE)</f>
        <v>G</v>
      </c>
      <c r="K20" s="264">
        <f>_xlfn.XLOOKUP(K$7,$FC$7:$HC$7,$FC20:$HC20,,FALSE)</f>
        <v>26.2</v>
      </c>
      <c r="L20" s="278">
        <f>_xlfn.XLOOKUP(L$7,$HJ$7:$JJ$7,$HJ20:$JJ20,,FALSE)</f>
        <v>28</v>
      </c>
      <c r="M20" s="275">
        <f>_xlfn.XLOOKUP(M$7,$CU$7:$EU$7,$CU20:$EU20,,FALSE)</f>
        <v>1.0687022900763359</v>
      </c>
      <c r="P20" s="69" t="str">
        <f>_xlfn.XLOOKUP(P$7,$AM$7:$CM$7,$AM20:$CM20,,FALSE)</f>
        <v>G</v>
      </c>
      <c r="Q20" s="264">
        <f t="shared" si="48"/>
        <v>26.2</v>
      </c>
      <c r="R20" s="278">
        <f t="shared" si="48"/>
        <v>47.981481481481481</v>
      </c>
      <c r="S20" s="288">
        <f t="shared" si="49"/>
        <v>1.0687022900763359</v>
      </c>
      <c r="T20" s="265">
        <f t="shared" si="49"/>
        <v>0.58355847163257435</v>
      </c>
      <c r="U20" s="295" t="str">
        <f>IF(F17&lt;$R$2,"Not Complete",IF(Q20=R20,"Same −",IF($G20="Over",IF(Q20&lt;R20,"Better ↑","Worse ↓"),IF($G20="Under",IF(Q20&gt;R20,"Better ↑","Worse ↓"),"err"))))</f>
        <v>Better ↑</v>
      </c>
      <c r="X20" s="69" t="str">
        <f>IF(Y20="","",IF(Y20="Blank","",IF(AND(G20="above zero",Y20&gt;0),"R",IF(AA20&gt;1,"G",IF(AA20&gt;0.95,"A","R")))))</f>
        <v>R</v>
      </c>
      <c r="Y20" s="114">
        <f>_xlfn.XLOOKUP(Y$7,$JR$7:$LR$7,$JR20:$LR20,FALSE)</f>
        <v>31.749719344209868</v>
      </c>
      <c r="Z20" s="114">
        <f>_xlfn.XLOOKUP(Z$7,$LY$7:$NY$7,$LY20:$NY20,FALSE)</f>
        <v>28</v>
      </c>
      <c r="AA20" s="252">
        <f>IFERROR(IF(G20="Undefined","",IF(G20="under",Y20/Z20,IF(G20="over",Z20/Y20,"err"))),"")</f>
        <v>0.88189755935925473</v>
      </c>
      <c r="AB20" s="295" t="str">
        <f>IF(F17&lt;$R$2,"TBC",IF(Y20=Z20,"Same −",IF($G20="Over",IF(Z20&lt;Y20,"Better ↑ ","Worse ↓ "),IF($G20="Under",IF(Y20&gt;Z20,"Better ↑ ","Worse ↓ "),"err"))))</f>
        <v xml:space="preserve">Better ↑ </v>
      </c>
      <c r="AC20" s="69" t="str">
        <f>IF(AND(G20="above adero",AD20&gt;0),"R",IF(AF20&gt;1,"G",IF(AF20&gt;0.95,"A","R")))</f>
        <v>R</v>
      </c>
      <c r="AD20" s="114">
        <f>_xlfn.XLOOKUP(AD$7,$JR$7:$LR$7,$JR20:$LR20,FALSE)</f>
        <v>31.888462327815112</v>
      </c>
      <c r="AE20" s="114">
        <f>_xlfn.XLOOKUP(AE$7,$LY$7:$NY$7,$LY20:$NY20,FALSE)</f>
        <v>28</v>
      </c>
      <c r="AF20" s="252">
        <f>IF(G20="Undefined","",IF(G20="under",AD20/AE20,IF(G20="over",AE20/AD20,"err")))</f>
        <v>0.8780605258465739</v>
      </c>
      <c r="AH20" s="465" t="str">
        <f>+$A20</f>
        <v>Estimating-KPI Q1</v>
      </c>
      <c r="AI20" s="136" t="str">
        <f t="shared" si="50"/>
        <v>KPI Q1</v>
      </c>
      <c r="AJ20" s="144" t="str">
        <f t="shared" si="50"/>
        <v>Quality</v>
      </c>
      <c r="AK20" s="144" t="str">
        <f t="shared" si="36"/>
        <v>Hours on each Estimate</v>
      </c>
      <c r="AL20" s="145" t="str">
        <f t="shared" si="36"/>
        <v>Hours</v>
      </c>
      <c r="AM20" s="69" t="str">
        <f>IF(AM$7&gt;$D$3,"",_xlfn.XLOOKUP(AM$7,Estimating!$M$6:$BM$6,Estimating!$M$16:$BM$16))</f>
        <v>Blank</v>
      </c>
      <c r="AN20" s="199" t="str">
        <f>IF(AN$7&gt;$D$3,"",_xlfn.XLOOKUP(AN$7,Estimating!$M$6:$BM$6,Estimating!$M$16:$BM$16))</f>
        <v>R</v>
      </c>
      <c r="AO20" s="69" t="str">
        <f>IF(AO$7&gt;$D$3,"",_xlfn.XLOOKUP(AO$7,Estimating!$M$6:$BM$6,Estimating!$M$16:$BM$16))</f>
        <v>G</v>
      </c>
      <c r="AP20" s="69" t="str">
        <f>IF(AP$7&gt;$D$3,"",_xlfn.XLOOKUP(AP$7,Estimating!$M$6:$BM$6,Estimating!$M$16:$BM$16))</f>
        <v>R</v>
      </c>
      <c r="AQ20" s="69" t="str">
        <f>IF(AQ$7&gt;$D$3,"",_xlfn.XLOOKUP(AQ$7,Estimating!$M$6:$BM$6,Estimating!$M$16:$BM$16))</f>
        <v>A</v>
      </c>
      <c r="AR20" s="69" t="str">
        <f>IF(AR$7&gt;$D$3,"",_xlfn.XLOOKUP(AR$7,Estimating!$M$6:$BM$6,Estimating!$M$16:$BM$16))</f>
        <v>R</v>
      </c>
      <c r="AS20" s="69" t="str">
        <f>IF(AS$7&gt;$D$3,"",_xlfn.XLOOKUP(AS$7,Estimating!$M$6:$BM$6,Estimating!$M$16:$BM$16))</f>
        <v>G</v>
      </c>
      <c r="AT20" s="69" t="str">
        <f>IF(AT$7&gt;$D$3,"",_xlfn.XLOOKUP(AT$7,Estimating!$M$6:$BM$6,Estimating!$M$16:$BM$16))</f>
        <v>R</v>
      </c>
      <c r="AU20" s="69" t="str">
        <f>IF(AU$7&gt;$D$3,"",_xlfn.XLOOKUP(AU$7,Estimating!$M$6:$BM$6,Estimating!$M$16:$BM$16))</f>
        <v>G</v>
      </c>
      <c r="AV20" s="69" t="str">
        <f>IF(AV$7&gt;$D$3,"",_xlfn.XLOOKUP(AV$7,Estimating!$M$6:$BM$6,Estimating!$M$16:$BM$16))</f>
        <v>G</v>
      </c>
      <c r="AW20" s="69" t="str">
        <f>IF(AW$7&gt;$D$3,"",_xlfn.XLOOKUP(AW$7,Estimating!$M$6:$BM$6,Estimating!$M$16:$BM$16))</f>
        <v>G</v>
      </c>
      <c r="AX20" s="69" t="str">
        <f>IF(AX$7&gt;$D$3,"",_xlfn.XLOOKUP(AX$7,Estimating!$M$6:$BM$6,Estimating!$M$16:$BM$16))</f>
        <v>R</v>
      </c>
      <c r="AY20" s="69" t="str">
        <f>IF(AY$7&gt;$D$3,"",_xlfn.XLOOKUP(AY$7,Estimating!$M$6:$BM$6,Estimating!$M$16:$BM$16))</f>
        <v>G</v>
      </c>
      <c r="AZ20" s="69" t="str">
        <f>IF(AZ$7&gt;$D$3,"",_xlfn.XLOOKUP(AZ$7,Estimating!$M$6:$BM$6,Estimating!$M$16:$BM$16))</f>
        <v>R</v>
      </c>
      <c r="BA20" s="69" t="str">
        <f>IF(BA$7&gt;$D$3,"",_xlfn.XLOOKUP(BA$7,Estimating!$M$6:$BM$6,Estimating!$M$16:$BM$16))</f>
        <v>G</v>
      </c>
      <c r="BB20" s="69" t="str">
        <f>IF(BB$7&gt;$D$3,"",_xlfn.XLOOKUP(BB$7,Estimating!$M$6:$BM$6,Estimating!$M$16:$BM$16))</f>
        <v>G</v>
      </c>
      <c r="BC20" s="69" t="str">
        <f>IF(BC$7&gt;$D$3,"",_xlfn.XLOOKUP(BC$7,Estimating!$M$6:$BM$6,Estimating!$M$16:$BM$16))</f>
        <v>A</v>
      </c>
      <c r="BD20" s="69" t="str">
        <f>IF(BD$7&gt;$D$3,"",_xlfn.XLOOKUP(BD$7,Estimating!$M$6:$BM$6,Estimating!$M$16:$BM$16))</f>
        <v>R</v>
      </c>
      <c r="BE20" s="69" t="str">
        <f>IF(BE$7&gt;$D$3,"",_xlfn.XLOOKUP(BE$7,Estimating!$M$6:$BM$6,Estimating!$M$16:$BM$16))</f>
        <v>R</v>
      </c>
      <c r="BF20" s="69" t="str">
        <f>IF(BF$7&gt;$D$3,"",_xlfn.XLOOKUP(BF$7,Estimating!$M$6:$BM$6,Estimating!$M$16:$BM$16))</f>
        <v>G</v>
      </c>
      <c r="BG20" s="69" t="str">
        <f>IF(BG$7&gt;$D$3,"",_xlfn.XLOOKUP(BG$7,Estimating!$M$6:$BM$6,Estimating!$M$16:$BM$16))</f>
        <v>G</v>
      </c>
      <c r="BH20" s="69" t="str">
        <f>IF(BH$7&gt;$D$3,"",_xlfn.XLOOKUP(BH$7,Estimating!$M$6:$BM$6,Estimating!$M$16:$BM$16))</f>
        <v>A</v>
      </c>
      <c r="BI20" s="69" t="str">
        <f>IF(BI$7&gt;$D$3,"",_xlfn.XLOOKUP(BI$7,Estimating!$M$6:$BM$6,Estimating!$M$16:$BM$16))</f>
        <v>G</v>
      </c>
      <c r="BJ20" s="69" t="str">
        <f>IF(BJ$7&gt;$D$3,"",_xlfn.XLOOKUP(BJ$7,Estimating!$M$6:$BM$6,Estimating!$M$16:$BM$16))</f>
        <v>R</v>
      </c>
      <c r="BK20" s="69" t="str">
        <f>IF(BK$7&gt;$D$3,"",_xlfn.XLOOKUP(BK$7,Estimating!$M$6:$BM$6,Estimating!$M$16:$BM$16))</f>
        <v>R</v>
      </c>
      <c r="BL20" s="69" t="str">
        <f>IF(BL$7&gt;$D$3,"",_xlfn.XLOOKUP(BL$7,Estimating!$M$6:$BM$6,Estimating!$M$16:$BM$16))</f>
        <v>R</v>
      </c>
      <c r="BM20" s="69" t="str">
        <f>IF(BM$7&gt;$D$3,"",_xlfn.XLOOKUP(BM$7,Estimating!$M$6:$BM$6,Estimating!$M$16:$BM$16))</f>
        <v>G</v>
      </c>
      <c r="BN20" s="69" t="str">
        <f>IF(BN$7&gt;$D$3,"",_xlfn.XLOOKUP(BN$7,Estimating!$M$6:$BM$6,Estimating!$M$16:$BM$16))</f>
        <v>G</v>
      </c>
      <c r="BO20" s="69" t="str">
        <f>IF(BO$7&gt;$D$3,"",_xlfn.XLOOKUP(BO$7,Estimating!$M$6:$BM$6,Estimating!$M$16:$BM$16))</f>
        <v>R</v>
      </c>
      <c r="BP20" s="69" t="str">
        <f>IF(BP$7&gt;$D$3,"",_xlfn.XLOOKUP(BP$7,Estimating!$M$6:$BM$6,Estimating!$M$16:$BM$16))</f>
        <v>A</v>
      </c>
      <c r="BQ20" s="69" t="str">
        <f>IF(BQ$7&gt;$D$3,"",_xlfn.XLOOKUP(BQ$7,Estimating!$M$6:$BM$6,Estimating!$M$16:$BM$16))</f>
        <v>G</v>
      </c>
      <c r="BR20" s="69" t="str">
        <f>IF(BR$7&gt;$D$3,"",_xlfn.XLOOKUP(BR$7,Estimating!$M$6:$BM$6,Estimating!$M$16:$BM$16))</f>
        <v>R</v>
      </c>
      <c r="BS20" s="69" t="str">
        <f>IF(BS$7&gt;$D$3,"",_xlfn.XLOOKUP(BS$7,Estimating!$M$6:$BM$6,Estimating!$M$16:$BM$16))</f>
        <v>R</v>
      </c>
      <c r="BT20" s="69" t="str">
        <f>IF(BT$7&gt;$D$3,"",_xlfn.XLOOKUP(BT$7,Estimating!$M$6:$BM$6,Estimating!$M$16:$BM$16))</f>
        <v>R</v>
      </c>
      <c r="BU20" s="69" t="str">
        <f>IF(BU$7&gt;$D$3,"",_xlfn.XLOOKUP(BU$7,Estimating!$M$6:$BM$6,Estimating!$M$16:$BM$16))</f>
        <v>R</v>
      </c>
      <c r="BV20" s="69" t="str">
        <f>IF(BV$7&gt;$D$3,"",_xlfn.XLOOKUP(BV$7,Estimating!$M$6:$BM$6,Estimating!$M$16:$BM$16))</f>
        <v>R</v>
      </c>
      <c r="BW20" s="69" t="str">
        <f>IF(BW$7&gt;$D$3,"",_xlfn.XLOOKUP(BW$7,Estimating!$M$6:$BM$6,Estimating!$M$16:$BM$16))</f>
        <v>R</v>
      </c>
      <c r="BX20" s="69" t="str">
        <f>IF(BX$7&gt;$D$3,"",_xlfn.XLOOKUP(BX$7,Estimating!$M$6:$BM$6,Estimating!$M$16:$BM$16))</f>
        <v>R</v>
      </c>
      <c r="BY20" s="69" t="str">
        <f>IF(BY$7&gt;$D$3,"",_xlfn.XLOOKUP(BY$7,Estimating!$M$6:$BM$6,Estimating!$M$16:$BM$16))</f>
        <v>R</v>
      </c>
      <c r="BZ20" s="69" t="str">
        <f>IF(BZ$7&gt;$D$3,"",_xlfn.XLOOKUP(BZ$7,Estimating!$M$6:$BM$6,Estimating!$M$16:$BM$16))</f>
        <v>R</v>
      </c>
      <c r="CA20" s="69" t="str">
        <f>IF(CA$7&gt;$D$3,"",_xlfn.XLOOKUP(CA$7,Estimating!$M$6:$BM$6,Estimating!$M$16:$BM$16))</f>
        <v>R</v>
      </c>
      <c r="CB20" s="69" t="str">
        <f>IF(CB$7&gt;$D$3,"",_xlfn.XLOOKUP(CB$7,Estimating!$M$6:$BM$6,Estimating!$M$16:$BM$16))</f>
        <v>G</v>
      </c>
      <c r="CC20" s="69" t="str">
        <f>IF(CC$7&gt;$D$3,"",_xlfn.XLOOKUP(CC$7,Estimating!$M$6:$BM$6,Estimating!$M$16:$BM$16))</f>
        <v/>
      </c>
      <c r="CD20" s="69" t="str">
        <f>IF(CD$7&gt;$D$3,"",_xlfn.XLOOKUP(CD$7,Estimating!$M$6:$BM$6,Estimating!$M$16:$BM$16))</f>
        <v/>
      </c>
      <c r="CE20" s="69" t="str">
        <f>IF(CE$7&gt;$D$3,"",_xlfn.XLOOKUP(CE$7,Estimating!$M$6:$BM$6,Estimating!$M$16:$BM$16))</f>
        <v/>
      </c>
      <c r="CF20" s="69" t="str">
        <f>IF(CF$7&gt;$D$3,"",_xlfn.XLOOKUP(CF$7,Estimating!$M$6:$BM$6,Estimating!$M$16:$BM$16))</f>
        <v/>
      </c>
      <c r="CG20" s="69" t="str">
        <f>IF(CG$7&gt;$D$3,"",_xlfn.XLOOKUP(CG$7,Estimating!$M$6:$BM$6,Estimating!$M$16:$BM$16))</f>
        <v/>
      </c>
      <c r="CH20" s="69" t="str">
        <f>IF(CH$7&gt;$D$3,"",_xlfn.XLOOKUP(CH$7,Estimating!$M$6:$BM$6,Estimating!$M$16:$BM$16))</f>
        <v/>
      </c>
      <c r="CI20" s="69" t="str">
        <f>IF(CI$7&gt;$D$3,"",_xlfn.XLOOKUP(CI$7,Estimating!$M$6:$BM$6,Estimating!$M$16:$BM$16))</f>
        <v/>
      </c>
      <c r="CJ20" s="69" t="str">
        <f>IF(CJ$7&gt;$D$3,"",_xlfn.XLOOKUP(CJ$7,Estimating!$M$6:$BM$6,Estimating!$M$16:$BM$16))</f>
        <v/>
      </c>
      <c r="CK20" s="69" t="str">
        <f>IF(CK$7&gt;$D$3,"",_xlfn.XLOOKUP(CK$7,Estimating!$M$6:$BM$6,Estimating!$M$16:$BM$16))</f>
        <v/>
      </c>
      <c r="CL20" s="69" t="str">
        <f>IF(CL$7&gt;$D$3,"",_xlfn.XLOOKUP(CL$7,Estimating!$M$6:$BM$6,Estimating!$M$16:$BM$16))</f>
        <v/>
      </c>
      <c r="CM20" s="69" t="str">
        <f>IF(CM$7&gt;$D$3,"",_xlfn.XLOOKUP(CM$7,Estimating!$M$6:$BM$6,Estimating!$M$16:$BM$16))</f>
        <v/>
      </c>
      <c r="CO20" s="465" t="str">
        <f>+$A20</f>
        <v>Estimating-KPI Q1</v>
      </c>
      <c r="CP20" s="136" t="str">
        <f t="shared" si="51"/>
        <v>KPI Q1</v>
      </c>
      <c r="CQ20" s="144" t="str">
        <f t="shared" si="51"/>
        <v>Quality</v>
      </c>
      <c r="CR20" s="144" t="str">
        <f t="shared" si="51"/>
        <v>Hours on each Estimate</v>
      </c>
      <c r="CS20" s="145" t="str">
        <f t="shared" si="51"/>
        <v>Hours</v>
      </c>
      <c r="CT20" s="589" t="s">
        <v>246</v>
      </c>
      <c r="CU20" s="69" t="str">
        <f>IF(CU$7&gt;$D$3,"",_xlfn.XLOOKUP(CU$7,Estimating!$M$6:$BM$6,Estimating!$M$16:$BM$16))</f>
        <v>Blank</v>
      </c>
      <c r="CV20" s="323">
        <f>IFERROR(IF(CV$7&gt;$D$3,"",IF(AN20="Undefined","Undefined",IF(AN20="Missed","Missed",IF(AN20="OD","OD",IF(_xlfn.XLOOKUP(CV$7,Estimating!$M$6:$BM$6,Estimating!$M$14:$BM$14)/_xlfn.XLOOKUP(CV$7,Estimating!$M$6:$BM$6,Estimating!$M$15:$BM$15)=0,100%,_xlfn.XLOOKUP(CV$7,Estimating!$M$6:$BM$6,Estimating!$M$14:$BM$14)/_xlfn.XLOOKUP(CV$7,Estimating!$M$6:$BM$6,Estimating!$M$15:$BM$15)))))),"")</f>
        <v>0.46207080117114724</v>
      </c>
      <c r="CW20" s="315">
        <f>IFERROR(IF(CW$7&gt;$D$3,"",IF(AO20="Undefined","Undefined",IF(AO20="Missed","Missed",IF(AO20="OD","OD",IF(_xlfn.XLOOKUP(CW$7,Estimating!$M$6:$BM$6,Estimating!$M$14:$BM$14)/_xlfn.XLOOKUP(CW$7,Estimating!$M$6:$BM$6,Estimating!$M$15:$BM$15)=0,100%,_xlfn.XLOOKUP(CW$7,Estimating!$M$6:$BM$6,Estimating!$M$14:$BM$14)/_xlfn.XLOOKUP(CW$7,Estimating!$M$6:$BM$6,Estimating!$M$15:$BM$15)))))),"")</f>
        <v>1.3113924050632912</v>
      </c>
      <c r="CX20" s="315">
        <f>IFERROR(IF(CX$7&gt;$D$3,"",IF(AP20="Undefined","Undefined",IF(AP20="Missed","Missed",IF(AP20="OD","OD",IF(_xlfn.XLOOKUP(CX$7,Estimating!$M$6:$BM$6,Estimating!$M$14:$BM$14)/_xlfn.XLOOKUP(CX$7,Estimating!$M$6:$BM$6,Estimating!$M$15:$BM$15)=0,100%,_xlfn.XLOOKUP(CX$7,Estimating!$M$6:$BM$6,Estimating!$M$14:$BM$14)/_xlfn.XLOOKUP(CX$7,Estimating!$M$6:$BM$6,Estimating!$M$15:$BM$15)))))),"")</f>
        <v>0.94474327628361865</v>
      </c>
      <c r="CY20" s="315">
        <f>IFERROR(IF(CY$7&gt;$D$3,"",IF(AQ20="Undefined","Undefined",IF(AQ20="Missed","Missed",IF(AQ20="OD","OD",IF(_xlfn.XLOOKUP(CY$7,Estimating!$M$6:$BM$6,Estimating!$M$14:$BM$14)/_xlfn.XLOOKUP(CY$7,Estimating!$M$6:$BM$6,Estimating!$M$15:$BM$15)=0,100%,_xlfn.XLOOKUP(CY$7,Estimating!$M$6:$BM$6,Estimating!$M$14:$BM$14)/_xlfn.XLOOKUP(CY$7,Estimating!$M$6:$BM$6,Estimating!$M$15:$BM$15)))))),"")</f>
        <v>0.96156991005723624</v>
      </c>
      <c r="CZ20" s="315">
        <f>IFERROR(IF(CZ$7&gt;$D$3,"",IF(AR20="Undefined","Undefined",IF(AR20="Missed","Missed",IF(AR20="OD","OD",IF(_xlfn.XLOOKUP(CZ$7,Estimating!$M$6:$BM$6,Estimating!$M$14:$BM$14)/_xlfn.XLOOKUP(CZ$7,Estimating!$M$6:$BM$6,Estimating!$M$15:$BM$15)=0,100%,_xlfn.XLOOKUP(CZ$7,Estimating!$M$6:$BM$6,Estimating!$M$14:$BM$14)/_xlfn.XLOOKUP(CZ$7,Estimating!$M$6:$BM$6,Estimating!$M$15:$BM$15)))))),"")</f>
        <v>0.85808580858085803</v>
      </c>
      <c r="DA20" s="315">
        <f>IFERROR(IF(DA$7&gt;$D$3,"",IF(AS20="Undefined","Undefined",IF(AS20="Missed","Missed",IF(AS20="OD","OD",IF(_xlfn.XLOOKUP(DA$7,Estimating!$M$6:$BM$6,Estimating!$M$14:$BM$14)/_xlfn.XLOOKUP(DA$7,Estimating!$M$6:$BM$6,Estimating!$M$15:$BM$15)=0,100%,_xlfn.XLOOKUP(DA$7,Estimating!$M$6:$BM$6,Estimating!$M$14:$BM$14)/_xlfn.XLOOKUP(DA$7,Estimating!$M$6:$BM$6,Estimating!$M$15:$BM$15)))))),"")</f>
        <v>1.2397820163487738</v>
      </c>
      <c r="DB20" s="315">
        <f>IFERROR(IF(DB$7&gt;$D$3,"",IF(AT20="Undefined","Undefined",IF(AT20="Missed","Missed",IF(AT20="OD","OD",IF(_xlfn.XLOOKUP(DB$7,Estimating!$M$6:$BM$6,Estimating!$M$14:$BM$14)/_xlfn.XLOOKUP(DB$7,Estimating!$M$6:$BM$6,Estimating!$M$15:$BM$15)=0,100%,_xlfn.XLOOKUP(DB$7,Estimating!$M$6:$BM$6,Estimating!$M$14:$BM$14)/_xlfn.XLOOKUP(DB$7,Estimating!$M$6:$BM$6,Estimating!$M$15:$BM$15)))))),"")</f>
        <v>0.89902830587241234</v>
      </c>
      <c r="DC20" s="315">
        <f>IFERROR(IF(DC$7&gt;$D$3,"",IF(AU20="Undefined","Undefined",IF(AU20="Missed","Missed",IF(AU20="OD","OD",IF(_xlfn.XLOOKUP(DC$7,Estimating!$M$6:$BM$6,Estimating!$M$14:$BM$14)/_xlfn.XLOOKUP(DC$7,Estimating!$M$6:$BM$6,Estimating!$M$15:$BM$15)=0,100%,_xlfn.XLOOKUP(DC$7,Estimating!$M$6:$BM$6,Estimating!$M$14:$BM$14)/_xlfn.XLOOKUP(DC$7,Estimating!$M$6:$BM$6,Estimating!$M$15:$BM$15)))))),"")</f>
        <v>1.4274509803921567</v>
      </c>
      <c r="DD20" s="315">
        <f>IFERROR(IF(DD$7&gt;$D$3,"",IF(AV20="Undefined","Undefined",IF(AV20="Missed","Missed",IF(AV20="OD","OD",IF(_xlfn.XLOOKUP(DD$7,Estimating!$M$6:$BM$6,Estimating!$M$14:$BM$14)/_xlfn.XLOOKUP(DD$7,Estimating!$M$6:$BM$6,Estimating!$M$15:$BM$15)=0,100%,_xlfn.XLOOKUP(DD$7,Estimating!$M$6:$BM$6,Estimating!$M$14:$BM$14)/_xlfn.XLOOKUP(DD$7,Estimating!$M$6:$BM$6,Estimating!$M$15:$BM$15)))))),"")</f>
        <v>1.3193717277486912</v>
      </c>
      <c r="DE20" s="315">
        <f>IFERROR(IF(DE$7&gt;$D$3,"",IF(AW20="Undefined","Undefined",IF(AW20="Missed","Missed",IF(AW20="OD","OD",IF(_xlfn.XLOOKUP(DE$7,Estimating!$M$6:$BM$6,Estimating!$M$14:$BM$14)/_xlfn.XLOOKUP(DE$7,Estimating!$M$6:$BM$6,Estimating!$M$15:$BM$15)=0,100%,_xlfn.XLOOKUP(DE$7,Estimating!$M$6:$BM$6,Estimating!$M$14:$BM$14)/_xlfn.XLOOKUP(DE$7,Estimating!$M$6:$BM$6,Estimating!$M$15:$BM$15)))))),"")</f>
        <v>1.5043327556325823</v>
      </c>
      <c r="DF20" s="315">
        <f>IFERROR(IF(DF$7&gt;$D$3,"",IF(AX20="Undefined","Undefined",IF(AX20="Missed","Missed",IF(AX20="OD","OD",IF(_xlfn.XLOOKUP(DF$7,Estimating!$M$6:$BM$6,Estimating!$M$14:$BM$14)/_xlfn.XLOOKUP(DF$7,Estimating!$M$6:$BM$6,Estimating!$M$15:$BM$15)=0,100%,_xlfn.XLOOKUP(DF$7,Estimating!$M$6:$BM$6,Estimating!$M$14:$BM$14)/_xlfn.XLOOKUP(DF$7,Estimating!$M$6:$BM$6,Estimating!$M$15:$BM$15)))))),"")</f>
        <v>0.8999598232221776</v>
      </c>
      <c r="DG20" s="315">
        <f>IFERROR(IF(DG$7&gt;$D$3,"",IF(AY20="Undefined","Undefined",IF(AY20="Missed","Missed",IF(AY20="OD","OD",IF(_xlfn.XLOOKUP(DG$7,Estimating!$M$6:$BM$6,Estimating!$M$14:$BM$14)/_xlfn.XLOOKUP(DG$7,Estimating!$M$6:$BM$6,Estimating!$M$15:$BM$15)=0,100%,_xlfn.XLOOKUP(DG$7,Estimating!$M$6:$BM$6,Estimating!$M$14:$BM$14)/_xlfn.XLOOKUP(DG$7,Estimating!$M$6:$BM$6,Estimating!$M$15:$BM$15)))))),"")</f>
        <v>1.0437798006068486</v>
      </c>
      <c r="DH20" s="315">
        <f>IFERROR(IF(DH$7&gt;$D$3,"",IF(AZ20="Undefined","Undefined",IF(AZ20="Missed","Missed",IF(AZ20="OD","OD",IF(_xlfn.XLOOKUP(DH$7,Estimating!$M$6:$BM$6,Estimating!$M$14:$BM$14)/_xlfn.XLOOKUP(DH$7,Estimating!$M$6:$BM$6,Estimating!$M$15:$BM$15)=0,100%,_xlfn.XLOOKUP(DH$7,Estimating!$M$6:$BM$6,Estimating!$M$14:$BM$14)/_xlfn.XLOOKUP(DH$7,Estimating!$M$6:$BM$6,Estimating!$M$15:$BM$15)))))),"")</f>
        <v>0.76747373229785287</v>
      </c>
      <c r="DI20" s="315">
        <f>IFERROR(IF(DI$7&gt;$D$3,"",IF(BA20="Undefined","Undefined",IF(BA20="Missed","Missed",IF(BA20="OD","OD",IF(_xlfn.XLOOKUP(DI$7,Estimating!$M$6:$BM$6,Estimating!$M$14:$BM$14)/_xlfn.XLOOKUP(DI$7,Estimating!$M$6:$BM$6,Estimating!$M$15:$BM$15)=0,100%,_xlfn.XLOOKUP(DI$7,Estimating!$M$6:$BM$6,Estimating!$M$14:$BM$14)/_xlfn.XLOOKUP(DI$7,Estimating!$M$6:$BM$6,Estimating!$M$15:$BM$15)))))),"")</f>
        <v>1.63084495488105</v>
      </c>
      <c r="DJ20" s="315">
        <f>IFERROR(IF(DJ$7&gt;$D$3,"",IF(BB20="Undefined","Undefined",IF(BB20="Missed","Missed",IF(BB20="OD","OD",IF(_xlfn.XLOOKUP(DJ$7,Estimating!$M$6:$BM$6,Estimating!$M$14:$BM$14)/_xlfn.XLOOKUP(DJ$7,Estimating!$M$6:$BM$6,Estimating!$M$15:$BM$15)=0,100%,_xlfn.XLOOKUP(DJ$7,Estimating!$M$6:$BM$6,Estimating!$M$14:$BM$14)/_xlfn.XLOOKUP(DJ$7,Estimating!$M$6:$BM$6,Estimating!$M$15:$BM$15)))))),"")</f>
        <v>1.2668711656441718</v>
      </c>
      <c r="DK20" s="315">
        <f>IFERROR(IF(DK$7&gt;$D$3,"",IF(BC20="Undefined","Undefined",IF(BC20="Missed","Missed",IF(BC20="OD","OD",IF(_xlfn.XLOOKUP(DK$7,Estimating!$M$6:$BM$6,Estimating!$M$14:$BM$14)/_xlfn.XLOOKUP(DK$7,Estimating!$M$6:$BM$6,Estimating!$M$15:$BM$15)=0,100%,_xlfn.XLOOKUP(DK$7,Estimating!$M$6:$BM$6,Estimating!$M$14:$BM$14)/_xlfn.XLOOKUP(DK$7,Estimating!$M$6:$BM$6,Estimating!$M$15:$BM$15)))))),"")</f>
        <v>0.95594713656387664</v>
      </c>
      <c r="DL20" s="315">
        <f>IFERROR(IF(DL$7&gt;$D$3,"",IF(BD20="Undefined","Undefined",IF(BD20="Missed","Missed",IF(BD20="OD","OD",IF(_xlfn.XLOOKUP(DL$7,Estimating!$M$6:$BM$6,Estimating!$M$14:$BM$14)/_xlfn.XLOOKUP(DL$7,Estimating!$M$6:$BM$6,Estimating!$M$15:$BM$15)=0,100%,_xlfn.XLOOKUP(DL$7,Estimating!$M$6:$BM$6,Estimating!$M$14:$BM$14)/_xlfn.XLOOKUP(DL$7,Estimating!$M$6:$BM$6,Estimating!$M$15:$BM$15)))))),"")</f>
        <v>0.76413255360623777</v>
      </c>
      <c r="DM20" s="315">
        <f>IFERROR(IF(DM$7&gt;$D$3,"",IF(BE20="Undefined","Undefined",IF(BE20="Missed","Missed",IF(BE20="OD","OD",IF(_xlfn.XLOOKUP(DM$7,Estimating!$M$6:$BM$6,Estimating!$M$14:$BM$14)/_xlfn.XLOOKUP(DM$7,Estimating!$M$6:$BM$6,Estimating!$M$15:$BM$15)=0,100%,_xlfn.XLOOKUP(DM$7,Estimating!$M$6:$BM$6,Estimating!$M$14:$BM$14)/_xlfn.XLOOKUP(DM$7,Estimating!$M$6:$BM$6,Estimating!$M$15:$BM$15)))))),"")</f>
        <v>0.75336322869955163</v>
      </c>
      <c r="DN20" s="315">
        <f>IFERROR(IF(DN$7&gt;$D$3,"",IF(BF20="Undefined","Undefined",IF(BF20="Missed","Missed",IF(BF20="OD","OD",IF(_xlfn.XLOOKUP(DN$7,Estimating!$M$6:$BM$6,Estimating!$M$14:$BM$14)/_xlfn.XLOOKUP(DN$7,Estimating!$M$6:$BM$6,Estimating!$M$15:$BM$15)=0,100%,_xlfn.XLOOKUP(DN$7,Estimating!$M$6:$BM$6,Estimating!$M$14:$BM$14)/_xlfn.XLOOKUP(DN$7,Estimating!$M$6:$BM$6,Estimating!$M$15:$BM$15)))))),"")</f>
        <v>1.3452914798206279</v>
      </c>
      <c r="DO20" s="315">
        <f>IFERROR(IF(DO$7&gt;$D$3,"",IF(BG20="Undefined","Undefined",IF(BG20="Missed","Missed",IF(BG20="OD","OD",IF(_xlfn.XLOOKUP(DO$7,Estimating!$M$6:$BM$6,Estimating!$M$14:$BM$14)/_xlfn.XLOOKUP(DO$7,Estimating!$M$6:$BM$6,Estimating!$M$15:$BM$15)=0,100%,_xlfn.XLOOKUP(DO$7,Estimating!$M$6:$BM$6,Estimating!$M$14:$BM$14)/_xlfn.XLOOKUP(DO$7,Estimating!$M$6:$BM$6,Estimating!$M$15:$BM$15)))))),"")</f>
        <v>1.036101083032491</v>
      </c>
      <c r="DP20" s="315">
        <f>IFERROR(IF(DP$7&gt;$D$3,"",IF(BH20="Undefined","Undefined",IF(BH20="Missed","Missed",IF(BH20="OD","OD",IF(_xlfn.XLOOKUP(DP$7,Estimating!$M$6:$BM$6,Estimating!$M$14:$BM$14)/_xlfn.XLOOKUP(DP$7,Estimating!$M$6:$BM$6,Estimating!$M$15:$BM$15)=0,100%,_xlfn.XLOOKUP(DP$7,Estimating!$M$6:$BM$6,Estimating!$M$14:$BM$14)/_xlfn.XLOOKUP(DP$7,Estimating!$M$6:$BM$6,Estimating!$M$15:$BM$15)))))),"")</f>
        <v>0.96784565916398713</v>
      </c>
      <c r="DQ20" s="315">
        <f>IFERROR(IF(DQ$7&gt;$D$3,"",IF(BI20="Undefined","Undefined",IF(BI20="Missed","Missed",IF(BI20="OD","OD",IF(_xlfn.XLOOKUP(DQ$7,Estimating!$M$6:$BM$6,Estimating!$M$14:$BM$14)/_xlfn.XLOOKUP(DQ$7,Estimating!$M$6:$BM$6,Estimating!$M$15:$BM$15)=0,100%,_xlfn.XLOOKUP(DQ$7,Estimating!$M$6:$BM$6,Estimating!$M$14:$BM$14)/_xlfn.XLOOKUP(DQ$7,Estimating!$M$6:$BM$6,Estimating!$M$15:$BM$15)))))),"")</f>
        <v>1.2494929006085191</v>
      </c>
      <c r="DR20" s="315">
        <f>IFERROR(IF(DR$7&gt;$D$3,"",IF(BJ20="Undefined","Undefined",IF(BJ20="Missed","Missed",IF(BJ20="OD","OD",IF(_xlfn.XLOOKUP(DR$7,Estimating!$M$6:$BM$6,Estimating!$M$14:$BM$14)/_xlfn.XLOOKUP(DR$7,Estimating!$M$6:$BM$6,Estimating!$M$15:$BM$15)=0,100%,_xlfn.XLOOKUP(DR$7,Estimating!$M$6:$BM$6,Estimating!$M$14:$BM$14)/_xlfn.XLOOKUP(DR$7,Estimating!$M$6:$BM$6,Estimating!$M$15:$BM$15)))))),"")</f>
        <v>0.75210355987055022</v>
      </c>
      <c r="DS20" s="315">
        <f>IFERROR(IF(DS$7&gt;$D$3,"",IF(BK20="Undefined","Undefined",IF(BK20="Missed","Missed",IF(BK20="OD","OD",IF(_xlfn.XLOOKUP(DS$7,Estimating!$M$6:$BM$6,Estimating!$M$14:$BM$14)/_xlfn.XLOOKUP(DS$7,Estimating!$M$6:$BM$6,Estimating!$M$15:$BM$15)=0,100%,_xlfn.XLOOKUP(DS$7,Estimating!$M$6:$BM$6,Estimating!$M$14:$BM$14)/_xlfn.XLOOKUP(DS$7,Estimating!$M$6:$BM$6,Estimating!$M$15:$BM$15)))))),"")</f>
        <v>0.6668871981475355</v>
      </c>
      <c r="DT20" s="315">
        <f>IFERROR(IF(DT$7&gt;$D$3,"",IF(BL20="Undefined","Undefined",IF(BL20="Missed","Missed",IF(BL20="OD","OD",IF(_xlfn.XLOOKUP(DT$7,Estimating!$M$6:$BM$6,Estimating!$M$14:$BM$14)/_xlfn.XLOOKUP(DT$7,Estimating!$M$6:$BM$6,Estimating!$M$15:$BM$15)=0,100%,_xlfn.XLOOKUP(DT$7,Estimating!$M$6:$BM$6,Estimating!$M$14:$BM$14)/_xlfn.XLOOKUP(DT$7,Estimating!$M$6:$BM$6,Estimating!$M$15:$BM$15)))))),"")</f>
        <v>0.9494949494949495</v>
      </c>
      <c r="DU20" s="315">
        <f>IFERROR(IF(DU$7&gt;$D$3,"",IF(BM20="Undefined","Undefined",IF(BM20="Missed","Missed",IF(BM20="OD","OD",IF(_xlfn.XLOOKUP(DU$7,Estimating!$M$6:$BM$6,Estimating!$M$14:$BM$14)/_xlfn.XLOOKUP(DU$7,Estimating!$M$6:$BM$6,Estimating!$M$15:$BM$15)=0,100%,_xlfn.XLOOKUP(DU$7,Estimating!$M$6:$BM$6,Estimating!$M$14:$BM$14)/_xlfn.XLOOKUP(DU$7,Estimating!$M$6:$BM$6,Estimating!$M$15:$BM$15)))))),"")</f>
        <v>1.2956298200514138</v>
      </c>
      <c r="DV20" s="315">
        <f>IFERROR(IF(DV$7&gt;$D$3,"",IF(BN20="Undefined","Undefined",IF(BN20="Missed","Missed",IF(BN20="OD","OD",IF(_xlfn.XLOOKUP(DV$7,Estimating!$M$6:$BM$6,Estimating!$M$14:$BM$14)/_xlfn.XLOOKUP(DV$7,Estimating!$M$6:$BM$6,Estimating!$M$15:$BM$15)=0,100%,_xlfn.XLOOKUP(DV$7,Estimating!$M$6:$BM$6,Estimating!$M$14:$BM$14)/_xlfn.XLOOKUP(DV$7,Estimating!$M$6:$BM$6,Estimating!$M$15:$BM$15)))))),"")</f>
        <v>1.5909090909090908</v>
      </c>
      <c r="DW20" s="315">
        <f>IFERROR(IF(DW$7&gt;$D$3,"",IF(BO20="Undefined","Undefined",IF(BO20="Missed","Missed",IF(BO20="OD","OD",IF(_xlfn.XLOOKUP(DW$7,Estimating!$M$6:$BM$6,Estimating!$M$14:$BM$14)/_xlfn.XLOOKUP(DW$7,Estimating!$M$6:$BM$6,Estimating!$M$15:$BM$15)=0,100%,_xlfn.XLOOKUP(DW$7,Estimating!$M$6:$BM$6,Estimating!$M$14:$BM$14)/_xlfn.XLOOKUP(DW$7,Estimating!$M$6:$BM$6,Estimating!$M$15:$BM$15)))))),"")</f>
        <v>0.77994428969359331</v>
      </c>
      <c r="DX20" s="315">
        <f>IFERROR(IF(DX$7&gt;$D$3,"",IF(BP20="Undefined","Undefined",IF(BP20="Missed","Missed",IF(BP20="OD","OD",IF(_xlfn.XLOOKUP(DX$7,Estimating!$M$6:$BM$6,Estimating!$M$14:$BM$14)/_xlfn.XLOOKUP(DX$7,Estimating!$M$6:$BM$6,Estimating!$M$15:$BM$15)=0,100%,_xlfn.XLOOKUP(DX$7,Estimating!$M$6:$BM$6,Estimating!$M$14:$BM$14)/_xlfn.XLOOKUP(DX$7,Estimating!$M$6:$BM$6,Estimating!$M$15:$BM$15)))))),"")</f>
        <v>0.9859154929577465</v>
      </c>
      <c r="DY20" s="315">
        <f>IFERROR(IF(DY$7&gt;$D$3,"",IF(BQ20="Undefined","Undefined",IF(BQ20="Missed","Missed",IF(BQ20="OD","OD",IF(_xlfn.XLOOKUP(DY$7,Estimating!$M$6:$BM$6,Estimating!$M$14:$BM$14)/_xlfn.XLOOKUP(DY$7,Estimating!$M$6:$BM$6,Estimating!$M$15:$BM$15)=0,100%,_xlfn.XLOOKUP(DY$7,Estimating!$M$6:$BM$6,Estimating!$M$14:$BM$14)/_xlfn.XLOOKUP(DY$7,Estimating!$M$6:$BM$6,Estimating!$M$15:$BM$15)))))),"")</f>
        <v>1.0882171499074644</v>
      </c>
      <c r="DZ20" s="315">
        <f>IFERROR(IF(DZ$7&gt;$D$3,"",IF(BR20="Undefined","Undefined",IF(BR20="Missed","Missed",IF(BR20="OD","OD",IF(_xlfn.XLOOKUP(DZ$7,Estimating!$M$6:$BM$6,Estimating!$M$14:$BM$14)/_xlfn.XLOOKUP(DZ$7,Estimating!$M$6:$BM$6,Estimating!$M$15:$BM$15)=0,100%,_xlfn.XLOOKUP(DZ$7,Estimating!$M$6:$BM$6,Estimating!$M$14:$BM$14)/_xlfn.XLOOKUP(DZ$7,Estimating!$M$6:$BM$6,Estimating!$M$15:$BM$15)))))),"")</f>
        <v>0.68198970840480266</v>
      </c>
      <c r="EA20" s="315">
        <f>IFERROR(IF(EA$7&gt;$D$3,"",IF(BS20="Undefined","Undefined",IF(BS20="Missed","Missed",IF(BS20="OD","OD",IF(_xlfn.XLOOKUP(EA$7,Estimating!$M$6:$BM$6,Estimating!$M$14:$BM$14)/_xlfn.XLOOKUP(EA$7,Estimating!$M$6:$BM$6,Estimating!$M$15:$BM$15)=0,100%,_xlfn.XLOOKUP(EA$7,Estimating!$M$6:$BM$6,Estimating!$M$14:$BM$14)/_xlfn.XLOOKUP(EA$7,Estimating!$M$6:$BM$6,Estimating!$M$15:$BM$15)))))),"")</f>
        <v>0.76980428704566639</v>
      </c>
      <c r="EB20" s="315">
        <f>IFERROR(IF(EB$7&gt;$D$3,"",IF(BT20="Undefined","Undefined",IF(BT20="Missed","Missed",IF(BT20="OD","OD",IF(_xlfn.XLOOKUP(EB$7,Estimating!$M$6:$BM$6,Estimating!$M$14:$BM$14)/_xlfn.XLOOKUP(EB$7,Estimating!$M$6:$BM$6,Estimating!$M$15:$BM$15)=0,100%,_xlfn.XLOOKUP(EB$7,Estimating!$M$6:$BM$6,Estimating!$M$14:$BM$14)/_xlfn.XLOOKUP(EB$7,Estimating!$M$6:$BM$6,Estimating!$M$15:$BM$15)))))),"")</f>
        <v>0.69746886299718758</v>
      </c>
      <c r="EC20" s="315">
        <f>IFERROR(IF(EC$7&gt;$D$3,"",IF(BU20="Undefined","Undefined",IF(BU20="Missed","Missed",IF(BU20="OD","OD",IF(_xlfn.XLOOKUP(EC$7,Estimating!$M$6:$BM$6,Estimating!$M$14:$BM$14)/_xlfn.XLOOKUP(EC$7,Estimating!$M$6:$BM$6,Estimating!$M$15:$BM$15)=0,100%,_xlfn.XLOOKUP(EC$7,Estimating!$M$6:$BM$6,Estimating!$M$14:$BM$14)/_xlfn.XLOOKUP(EC$7,Estimating!$M$6:$BM$6,Estimating!$M$15:$BM$15)))))),"")</f>
        <v>0.74312796208530807</v>
      </c>
      <c r="ED20" s="315">
        <f>IFERROR(IF(ED$7&gt;$D$3,"",IF(BV20="Undefined","Undefined",IF(BV20="Missed","Missed",IF(BV20="OD","OD",IF(_xlfn.XLOOKUP(ED$7,Estimating!$M$6:$BM$6,Estimating!$M$14:$BM$14)/_xlfn.XLOOKUP(ED$7,Estimating!$M$6:$BM$6,Estimating!$M$15:$BM$15)=0,100%,_xlfn.XLOOKUP(ED$7,Estimating!$M$6:$BM$6,Estimating!$M$14:$BM$14)/_xlfn.XLOOKUP(ED$7,Estimating!$M$6:$BM$6,Estimating!$M$15:$BM$15)))))),"")</f>
        <v>0.67924528301886788</v>
      </c>
      <c r="EE20" s="315">
        <f>IFERROR(IF(EE$7&gt;$D$3,"",IF(BW20="Undefined","Undefined",IF(BW20="Missed","Missed",IF(BW20="OD","OD",IF(_xlfn.XLOOKUP(EE$7,Estimating!$M$6:$BM$6,Estimating!$M$14:$BM$14)/_xlfn.XLOOKUP(EE$7,Estimating!$M$6:$BM$6,Estimating!$M$15:$BM$15)=0,100%,_xlfn.XLOOKUP(EE$7,Estimating!$M$6:$BM$6,Estimating!$M$14:$BM$14)/_xlfn.XLOOKUP(EE$7,Estimating!$M$6:$BM$6,Estimating!$M$15:$BM$15)))))),"")</f>
        <v>0.52152878567972916</v>
      </c>
      <c r="EF20" s="315">
        <f>IFERROR(IF(EF$7&gt;$D$3,"",IF(BX20="Undefined","Undefined",IF(BX20="Missed","Missed",IF(BX20="OD","OD",IF(_xlfn.XLOOKUP(EF$7,Estimating!$M$6:$BM$6,Estimating!$M$14:$BM$14)/_xlfn.XLOOKUP(EF$7,Estimating!$M$6:$BM$6,Estimating!$M$15:$BM$15)=0,100%,_xlfn.XLOOKUP(EF$7,Estimating!$M$6:$BM$6,Estimating!$M$14:$BM$14)/_xlfn.XLOOKUP(EF$7,Estimating!$M$6:$BM$6,Estimating!$M$15:$BM$15)))))),"")</f>
        <v>0.52500000000000002</v>
      </c>
      <c r="EG20" s="315">
        <f>IFERROR(IF(EG$7&gt;$D$3,"",IF(BY20="Undefined","Undefined",IF(BY20="Missed","Missed",IF(BY20="OD","OD",IF(_xlfn.XLOOKUP(EG$7,Estimating!$M$6:$BM$6,Estimating!$M$14:$BM$14)/_xlfn.XLOOKUP(EG$7,Estimating!$M$6:$BM$6,Estimating!$M$15:$BM$15)=0,100%,_xlfn.XLOOKUP(EG$7,Estimating!$M$6:$BM$6,Estimating!$M$14:$BM$14)/_xlfn.XLOOKUP(EG$7,Estimating!$M$6:$BM$6,Estimating!$M$15:$BM$15)))))),"")</f>
        <v>0.94164193867457968</v>
      </c>
      <c r="EH20" s="315">
        <f>IFERROR(IF(EH$7&gt;$D$3,"",IF(BZ20="Undefined","Undefined",IF(BZ20="Missed","Missed",IF(BZ20="OD","OD",IF(_xlfn.XLOOKUP(EH$7,Estimating!$M$6:$BM$6,Estimating!$M$14:$BM$14)/_xlfn.XLOOKUP(EH$7,Estimating!$M$6:$BM$6,Estimating!$M$15:$BM$15)=0,100%,_xlfn.XLOOKUP(EH$7,Estimating!$M$6:$BM$6,Estimating!$M$14:$BM$14)/_xlfn.XLOOKUP(EH$7,Estimating!$M$6:$BM$6,Estimating!$M$15:$BM$15)))))),"")</f>
        <v>0.82608695652173925</v>
      </c>
      <c r="EI20" s="315">
        <f>IFERROR(IF(EI$7&gt;$D$3,"",IF(CA20="Undefined","Undefined",IF(CA20="Missed","Missed",IF(CA20="OD","OD",IF(_xlfn.XLOOKUP(EI$7,Estimating!$M$6:$BM$6,Estimating!$M$14:$BM$14)/_xlfn.XLOOKUP(EI$7,Estimating!$M$6:$BM$6,Estimating!$M$15:$BM$15)=0,100%,_xlfn.XLOOKUP(EI$7,Estimating!$M$6:$BM$6,Estimating!$M$14:$BM$14)/_xlfn.XLOOKUP(EI$7,Estimating!$M$6:$BM$6,Estimating!$M$15:$BM$15)))))),"")</f>
        <v>0.58355847163257435</v>
      </c>
      <c r="EJ20" s="315">
        <f>IFERROR(IF(EJ$7&gt;$D$3,"",IF(CB20="Undefined","Undefined",IF(CB20="Missed","Missed",IF(CB20="OD","OD",IF(_xlfn.XLOOKUP(EJ$7,Estimating!$M$6:$BM$6,Estimating!$M$14:$BM$14)/_xlfn.XLOOKUP(EJ$7,Estimating!$M$6:$BM$6,Estimating!$M$15:$BM$15)=0,100%,_xlfn.XLOOKUP(EJ$7,Estimating!$M$6:$BM$6,Estimating!$M$14:$BM$14)/_xlfn.XLOOKUP(EJ$7,Estimating!$M$6:$BM$6,Estimating!$M$15:$BM$15)))))),"")</f>
        <v>1.0687022900763359</v>
      </c>
      <c r="EK20" s="315" t="str">
        <f>IFERROR(IF(EK$7&gt;$D$3,"",IF(CC20="Undefined","Undefined",IF(CC20="Missed","Missed",IF(CC20="OD","OD",IF(_xlfn.XLOOKUP(EK$7,Estimating!$M$6:$BM$6,Estimating!$M$14:$BM$14)/_xlfn.XLOOKUP(EK$7,Estimating!$M$6:$BM$6,Estimating!$M$15:$BM$15)=0,100%,_xlfn.XLOOKUP(EK$7,Estimating!$M$6:$BM$6,Estimating!$M$14:$BM$14)/_xlfn.XLOOKUP(EK$7,Estimating!$M$6:$BM$6,Estimating!$M$15:$BM$15)))))),"")</f>
        <v/>
      </c>
      <c r="EL20" s="315" t="str">
        <f>IFERROR(IF(EL$7&gt;$D$3,"",IF(CD20="Undefined","Undefined",IF(CD20="Missed","Missed",IF(CD20="OD","OD",IF(_xlfn.XLOOKUP(EL$7,Estimating!$M$6:$BM$6,Estimating!$M$14:$BM$14)/_xlfn.XLOOKUP(EL$7,Estimating!$M$6:$BM$6,Estimating!$M$15:$BM$15)=0,100%,_xlfn.XLOOKUP(EL$7,Estimating!$M$6:$BM$6,Estimating!$M$14:$BM$14)/_xlfn.XLOOKUP(EL$7,Estimating!$M$6:$BM$6,Estimating!$M$15:$BM$15)))))),"")</f>
        <v/>
      </c>
      <c r="EM20" s="315" t="str">
        <f>IFERROR(IF(EM$7&gt;$D$3,"",IF(CE20="Undefined","Undefined",IF(CE20="Missed","Missed",IF(CE20="OD","OD",IF(_xlfn.XLOOKUP(EM$7,Estimating!$M$6:$BM$6,Estimating!$M$14:$BM$14)/_xlfn.XLOOKUP(EM$7,Estimating!$M$6:$BM$6,Estimating!$M$15:$BM$15)=0,100%,_xlfn.XLOOKUP(EM$7,Estimating!$M$6:$BM$6,Estimating!$M$14:$BM$14)/_xlfn.XLOOKUP(EM$7,Estimating!$M$6:$BM$6,Estimating!$M$15:$BM$15)))))),"")</f>
        <v/>
      </c>
      <c r="EN20" s="315" t="str">
        <f>IFERROR(IF(EN$7&gt;$D$3,"",IF(CF20="Undefined","Undefined",IF(CF20="Missed","Missed",IF(CF20="OD","OD",IF(_xlfn.XLOOKUP(EN$7,Estimating!$M$6:$BM$6,Estimating!$M$14:$BM$14)/_xlfn.XLOOKUP(EN$7,Estimating!$M$6:$BM$6,Estimating!$M$15:$BM$15)=0,100%,_xlfn.XLOOKUP(EN$7,Estimating!$M$6:$BM$6,Estimating!$M$14:$BM$14)/_xlfn.XLOOKUP(EN$7,Estimating!$M$6:$BM$6,Estimating!$M$15:$BM$15)))))),"")</f>
        <v/>
      </c>
      <c r="EO20" s="315" t="str">
        <f>IFERROR(IF(EO$7&gt;$D$3,"",IF(CG20="Undefined","Undefined",IF(CG20="Missed","Missed",IF(CG20="OD","OD",IF(_xlfn.XLOOKUP(EO$7,Estimating!$M$6:$BM$6,Estimating!$M$14:$BM$14)/_xlfn.XLOOKUP(EO$7,Estimating!$M$6:$BM$6,Estimating!$M$15:$BM$15)=0,100%,_xlfn.XLOOKUP(EO$7,Estimating!$M$6:$BM$6,Estimating!$M$14:$BM$14)/_xlfn.XLOOKUP(EO$7,Estimating!$M$6:$BM$6,Estimating!$M$15:$BM$15)))))),"")</f>
        <v/>
      </c>
      <c r="EP20" s="315" t="str">
        <f>IFERROR(IF(EP$7&gt;$D$3,"",IF(CH20="Undefined","Undefined",IF(CH20="Missed","Missed",IF(CH20="OD","OD",IF(_xlfn.XLOOKUP(EP$7,Estimating!$M$6:$BM$6,Estimating!$M$14:$BM$14)/_xlfn.XLOOKUP(EP$7,Estimating!$M$6:$BM$6,Estimating!$M$15:$BM$15)=0,100%,_xlfn.XLOOKUP(EP$7,Estimating!$M$6:$BM$6,Estimating!$M$14:$BM$14)/_xlfn.XLOOKUP(EP$7,Estimating!$M$6:$BM$6,Estimating!$M$15:$BM$15)))))),"")</f>
        <v/>
      </c>
      <c r="EQ20" s="315" t="str">
        <f>IFERROR(IF(EQ$7&gt;$D$3,"",IF(CI20="Undefined","Undefined",IF(CI20="Missed","Missed",IF(CI20="OD","OD",IF(_xlfn.XLOOKUP(EQ$7,Estimating!$M$6:$BM$6,Estimating!$M$14:$BM$14)/_xlfn.XLOOKUP(EQ$7,Estimating!$M$6:$BM$6,Estimating!$M$15:$BM$15)=0,100%,_xlfn.XLOOKUP(EQ$7,Estimating!$M$6:$BM$6,Estimating!$M$14:$BM$14)/_xlfn.XLOOKUP(EQ$7,Estimating!$M$6:$BM$6,Estimating!$M$15:$BM$15)))))),"")</f>
        <v/>
      </c>
      <c r="ER20" s="315" t="str">
        <f>IFERROR(IF(ER$7&gt;$D$3,"",IF(CJ20="Undefined","Undefined",IF(CJ20="Missed","Missed",IF(CJ20="OD","OD",IF(_xlfn.XLOOKUP(ER$7,Estimating!$M$6:$BM$6,Estimating!$M$14:$BM$14)/_xlfn.XLOOKUP(ER$7,Estimating!$M$6:$BM$6,Estimating!$M$15:$BM$15)=0,100%,_xlfn.XLOOKUP(ER$7,Estimating!$M$6:$BM$6,Estimating!$M$14:$BM$14)/_xlfn.XLOOKUP(ER$7,Estimating!$M$6:$BM$6,Estimating!$M$15:$BM$15)))))),"")</f>
        <v/>
      </c>
      <c r="ES20" s="315" t="str">
        <f>IFERROR(IF(ES$7&gt;$D$3,"",IF(CK20="Undefined","Undefined",IF(CK20="Missed","Missed",IF(CK20="OD","OD",IF(_xlfn.XLOOKUP(ES$7,Estimating!$M$6:$BM$6,Estimating!$M$14:$BM$14)/_xlfn.XLOOKUP(ES$7,Estimating!$M$6:$BM$6,Estimating!$M$15:$BM$15)=0,100%,_xlfn.XLOOKUP(ES$7,Estimating!$M$6:$BM$6,Estimating!$M$14:$BM$14)/_xlfn.XLOOKUP(ES$7,Estimating!$M$6:$BM$6,Estimating!$M$15:$BM$15)))))),"")</f>
        <v/>
      </c>
      <c r="ET20" s="315" t="str">
        <f>IFERROR(IF(ET$7&gt;$D$3,"",IF(CL20="Undefined","Undefined",IF(CL20="Missed","Missed",IF(CL20="OD","OD",IF(_xlfn.XLOOKUP(ET$7,Estimating!$M$6:$BM$6,Estimating!$M$14:$BM$14)/_xlfn.XLOOKUP(ET$7,Estimating!$M$6:$BM$6,Estimating!$M$15:$BM$15)=0,100%,_xlfn.XLOOKUP(ET$7,Estimating!$M$6:$BM$6,Estimating!$M$14:$BM$14)/_xlfn.XLOOKUP(ET$7,Estimating!$M$6:$BM$6,Estimating!$M$15:$BM$15)))))),"")</f>
        <v/>
      </c>
      <c r="EU20" s="315" t="str">
        <f>IFERROR(IF(EU$7&gt;$D$3,"",IF(CM20="Undefined","Undefined",IF(CM20="Missed","Missed",IF(CM20="OD","OD",IF(_xlfn.XLOOKUP(EU$7,Estimating!$M$6:$BM$6,Estimating!$M$14:$BM$14)/_xlfn.XLOOKUP(EU$7,Estimating!$M$6:$BM$6,Estimating!$M$15:$BM$15)=0,100%,_xlfn.XLOOKUP(EU$7,Estimating!$M$6:$BM$6,Estimating!$M$14:$BM$14)/_xlfn.XLOOKUP(EU$7,Estimating!$M$6:$BM$6,Estimating!$M$15:$BM$15)))))),"")</f>
        <v/>
      </c>
      <c r="EW20" s="465" t="str">
        <f>+$A20</f>
        <v>Estimating-KPI Q1</v>
      </c>
      <c r="EX20" s="136" t="str">
        <f>+$C20</f>
        <v>KPI Q1</v>
      </c>
      <c r="EY20" s="144" t="str">
        <f>+$D20</f>
        <v>Quality</v>
      </c>
      <c r="EZ20" s="144" t="str">
        <f>+$E20</f>
        <v>Hours on each Estimate</v>
      </c>
      <c r="FA20" s="145" t="str">
        <f>+$F20</f>
        <v>Hours</v>
      </c>
      <c r="FB20" s="145" t="s">
        <v>251</v>
      </c>
      <c r="FC20" s="199" t="str">
        <f>IF(FC$7&gt;$D$3,"",IF($FA17&lt;FC$7,"OD",_xlfn.XLOOKUP(FC$7,Estimating!$M$6:$BM$6,Estimating!$M$15:$BM$15)))</f>
        <v>Blank</v>
      </c>
      <c r="FD20" s="199">
        <f>IF(FD$7&gt;$D$3,"",IF($FA17&lt;FD$7,"OD",_xlfn.XLOOKUP(FD$7,Estimating!$M$6:$BM$6,Estimating!$M$15:$BM$15)))</f>
        <v>60.596774193548384</v>
      </c>
      <c r="FE20" s="199">
        <f>IF(FE$7&gt;$D$3,"",IF($FA17&lt;FE$7,"OD",_xlfn.XLOOKUP(FE$7,Estimating!$M$6:$BM$6,Estimating!$M$15:$BM$15)))</f>
        <v>21.351351351351351</v>
      </c>
      <c r="FF20" s="199">
        <f>IF(FF$7&gt;$D$3,"",IF($FA17&lt;FF$7,"OD",_xlfn.XLOOKUP(FF$7,Estimating!$M$6:$BM$6,Estimating!$M$15:$BM$15)))</f>
        <v>29.637681159420289</v>
      </c>
      <c r="FG20" s="199">
        <f>IF(FG$7&gt;$D$3,"",IF($FA17&lt;FG$7,"OD",_xlfn.XLOOKUP(FG$7,Estimating!$M$6:$BM$6,Estimating!$M$15:$BM$15)))</f>
        <v>29.11904761904762</v>
      </c>
      <c r="FH20" s="199">
        <f>IF(FH$7&gt;$D$3,"",IF($FA17&lt;FH$7,"OD",_xlfn.XLOOKUP(FH$7,Estimating!$M$6:$BM$6,Estimating!$M$15:$BM$15)))</f>
        <v>32.630769230769232</v>
      </c>
      <c r="FI20" s="199">
        <f>IF(FI$7&gt;$D$3,"",IF($FA17&lt;FI$7,"OD",_xlfn.XLOOKUP(FI$7,Estimating!$M$6:$BM$6,Estimating!$M$15:$BM$15)))</f>
        <v>22.584615384615386</v>
      </c>
      <c r="FJ20" s="199">
        <f>IF(FJ$7&gt;$D$3,"",IF($FA17&lt;FJ$7,"OD",_xlfn.XLOOKUP(FJ$7,Estimating!$M$6:$BM$6,Estimating!$M$15:$BM$15)))</f>
        <v>31.144736842105264</v>
      </c>
      <c r="FK20" s="199">
        <f>IF(FK$7&gt;$D$3,"",IF($FA17&lt;FK$7,"OD",_xlfn.XLOOKUP(FK$7,Estimating!$M$6:$BM$6,Estimating!$M$15:$BM$15)))</f>
        <v>19.615384615384617</v>
      </c>
      <c r="FL20" s="199">
        <f>IF(FL$7&gt;$D$3,"",IF($FA17&lt;FL$7,"OD",_xlfn.XLOOKUP(FL$7,Estimating!$M$6:$BM$6,Estimating!$M$15:$BM$15)))</f>
        <v>21.222222222222221</v>
      </c>
      <c r="FM20" s="199">
        <f>IF(FM$7&gt;$D$3,"",IF($FA17&lt;FM$7,"OD",_xlfn.XLOOKUP(FM$7,Estimating!$M$6:$BM$6,Estimating!$M$15:$BM$15)))</f>
        <v>18.612903225806452</v>
      </c>
      <c r="FN20" s="199">
        <f>IF(FN$7&gt;$D$3,"",IF($FA17&lt;FN$7,"OD",_xlfn.XLOOKUP(FN$7,Estimating!$M$6:$BM$6,Estimating!$M$15:$BM$15)))</f>
        <v>31.112500000000001</v>
      </c>
      <c r="FO20" s="199">
        <f>IF(FO$7&gt;$D$3,"",IF($FA17&lt;FO$7,"OD",_xlfn.XLOOKUP(FO$7,Estimating!$M$6:$BM$6,Estimating!$M$15:$BM$15)))</f>
        <v>26.825581395348838</v>
      </c>
      <c r="FP20" s="199">
        <f>IF(FP$7&gt;$D$3,"",IF($FA17&lt;FP$7,"OD",_xlfn.XLOOKUP(FP$7,Estimating!$M$6:$BM$6,Estimating!$M$15:$BM$15)))</f>
        <v>36.483333333333334</v>
      </c>
      <c r="FQ20" s="199">
        <f>IF(FQ$7&gt;$D$3,"",IF($FA17&lt;FQ$7,"OD",_xlfn.XLOOKUP(FQ$7,Estimating!$M$6:$BM$6,Estimating!$M$15:$BM$15)))</f>
        <v>17.169014084507044</v>
      </c>
      <c r="FR20" s="199">
        <f>IF(FR$7&gt;$D$3,"",IF($FA17&lt;FR$7,"OD",_xlfn.XLOOKUP(FR$7,Estimating!$M$6:$BM$6,Estimating!$M$15:$BM$15)))</f>
        <v>22.101694915254239</v>
      </c>
      <c r="FS20" s="199">
        <f>IF(FS$7&gt;$D$3,"",IF($FA17&lt;FS$7,"OD",_xlfn.XLOOKUP(FS$7,Estimating!$M$6:$BM$6,Estimating!$M$15:$BM$15)))</f>
        <v>29.29032258064516</v>
      </c>
      <c r="FT20" s="199">
        <f>IF(FT$7&gt;$D$3,"",IF($FA17&lt;FT$7,"OD",_xlfn.XLOOKUP(FT$7,Estimating!$M$6:$BM$6,Estimating!$M$15:$BM$15)))</f>
        <v>36.642857142857146</v>
      </c>
      <c r="FU20" s="199">
        <f>IF(FU$7&gt;$D$3,"",IF($FA17&lt;FU$7,"OD",_xlfn.XLOOKUP(FU$7,Estimating!$M$6:$BM$6,Estimating!$M$15:$BM$15)))</f>
        <v>37.166666666666664</v>
      </c>
      <c r="FV20" s="199">
        <f>IF(FV$7&gt;$D$3,"",IF($FA17&lt;FV$7,"OD",_xlfn.XLOOKUP(FV$7,Estimating!$M$6:$BM$6,Estimating!$M$15:$BM$15)))</f>
        <v>20.813333333333333</v>
      </c>
      <c r="FW20" s="199">
        <f>IF(FW$7&gt;$D$3,"",IF($FA17&lt;FW$7,"OD",_xlfn.XLOOKUP(FW$7,Estimating!$M$6:$BM$6,Estimating!$M$15:$BM$15)))</f>
        <v>27.024390243902438</v>
      </c>
      <c r="FX20" s="199">
        <f>IF(FX$7&gt;$D$3,"",IF($FA17&lt;FX$7,"OD",_xlfn.XLOOKUP(FX$7,Estimating!$M$6:$BM$6,Estimating!$M$15:$BM$15)))</f>
        <v>28.930232558139537</v>
      </c>
      <c r="FY20" s="199">
        <f>IF(FY$7&gt;$D$3,"",IF($FA17&lt;FY$7,"OD",_xlfn.XLOOKUP(FY$7,Estimating!$M$6:$BM$6,Estimating!$M$15:$BM$15)))</f>
        <v>22.40909090909091</v>
      </c>
      <c r="FZ20" s="199">
        <f>IF(FZ$7&gt;$D$3,"",IF($FA17&lt;FZ$7,"OD",_xlfn.XLOOKUP(FZ$7,Estimating!$M$6:$BM$6,Estimating!$M$15:$BM$15)))</f>
        <v>37.2289156626506</v>
      </c>
      <c r="GA20" s="199">
        <f>IF(GA$7&gt;$D$3,"",IF($FA17&lt;GA$7,"OD",_xlfn.XLOOKUP(GA$7,Estimating!$M$6:$BM$6,Estimating!$M$15:$BM$15)))</f>
        <v>41.986111111111114</v>
      </c>
      <c r="GB20" s="199">
        <f>IF(GB$7&gt;$D$3,"",IF($FA17&lt;GB$7,"OD",_xlfn.XLOOKUP(GB$7,Estimating!$M$6:$BM$6,Estimating!$M$15:$BM$15)))</f>
        <v>29.48936170212766</v>
      </c>
      <c r="GC20" s="199">
        <f>IF(GC$7&gt;$D$3,"",IF($FA17&lt;GC$7,"OD",_xlfn.XLOOKUP(GC$7,Estimating!$M$6:$BM$6,Estimating!$M$15:$BM$15)))</f>
        <v>21.611111111111111</v>
      </c>
      <c r="GD20" s="199">
        <f>IF(GD$7&gt;$D$3,"",IF($FA17&lt;GD$7,"OD",_xlfn.XLOOKUP(GD$7,Estimating!$M$6:$BM$6,Estimating!$M$15:$BM$15)))</f>
        <v>17.600000000000001</v>
      </c>
      <c r="GE20" s="199">
        <f>IF(GE$7&gt;$D$3,"",IF($FA17&lt;GE$7,"OD",_xlfn.XLOOKUP(GE$7,Estimating!$M$6:$BM$6,Estimating!$M$15:$BM$15)))</f>
        <v>35.9</v>
      </c>
      <c r="GF20" s="199">
        <f>IF(GF$7&gt;$D$3,"",IF($FA17&lt;GF$7,"OD",_xlfn.XLOOKUP(GF$7,Estimating!$M$6:$BM$6,Estimating!$M$15:$BM$15)))</f>
        <v>28.4</v>
      </c>
      <c r="GG20" s="199">
        <f>IF(GG$7&gt;$D$3,"",IF($FA17&lt;GG$7,"OD",_xlfn.XLOOKUP(GG$7,Estimating!$M$6:$BM$6,Estimating!$M$15:$BM$15)))</f>
        <v>25.730158730158731</v>
      </c>
      <c r="GH20" s="199">
        <f>IF(GH$7&gt;$D$3,"",IF($FA17&lt;GH$7,"OD",_xlfn.XLOOKUP(GH$7,Estimating!$M$6:$BM$6,Estimating!$M$15:$BM$15)))</f>
        <v>41.056338028169016</v>
      </c>
      <c r="GI20" s="199">
        <f>IF(GI$7&gt;$D$3,"",IF($FA17&lt;GI$7,"OD",_xlfn.XLOOKUP(GI$7,Estimating!$M$6:$BM$6,Estimating!$M$15:$BM$15)))</f>
        <v>36.372881355932201</v>
      </c>
      <c r="GJ20" s="199">
        <f>IF(GJ$7&gt;$D$3,"",IF($FA17&lt;GJ$7,"OD",_xlfn.XLOOKUP(GJ$7,Estimating!$M$6:$BM$6,Estimating!$M$15:$BM$15)))</f>
        <v>40.145161290322584</v>
      </c>
      <c r="GK20" s="199">
        <f>IF(GK$7&gt;$D$3,"",IF($FA17&lt;GK$7,"OD",_xlfn.XLOOKUP(GK$7,Estimating!$M$6:$BM$6,Estimating!$M$15:$BM$15)))</f>
        <v>37.678571428571431</v>
      </c>
      <c r="GL20" s="199">
        <f>IF(GL$7&gt;$D$3,"",IF($FA17&lt;GL$7,"OD",_xlfn.XLOOKUP(GL$7,Estimating!$M$6:$BM$6,Estimating!$M$15:$BM$15)))</f>
        <v>41.222222222222221</v>
      </c>
      <c r="GM20" s="199">
        <f>IF(GM$7&gt;$D$3,"",IF($FA17&lt;GM$7,"OD",_xlfn.XLOOKUP(GM$7,Estimating!$M$6:$BM$6,Estimating!$M$15:$BM$15)))</f>
        <v>53.688311688311686</v>
      </c>
      <c r="GN20" s="199">
        <f>IF(GN$7&gt;$D$3,"",IF($FA17&lt;GN$7,"OD",_xlfn.XLOOKUP(GN$7,Estimating!$M$6:$BM$6,Estimating!$M$15:$BM$15)))</f>
        <v>53.333333333333336</v>
      </c>
      <c r="GO20" s="199">
        <f>IF(GO$7&gt;$D$3,"",IF($FA17&lt;GO$7,"OD",_xlfn.XLOOKUP(GO$7,Estimating!$M$6:$BM$6,Estimating!$M$15:$BM$15)))</f>
        <v>29.735294117647058</v>
      </c>
      <c r="GP20" s="199">
        <f>IF(GP$7&gt;$D$3,"",IF($FA17&lt;GP$7,"OD",_xlfn.XLOOKUP(GP$7,Estimating!$M$6:$BM$6,Estimating!$M$15:$BM$15)))</f>
        <v>33.89473684210526</v>
      </c>
      <c r="GQ20" s="199">
        <f>IF(GQ$7&gt;$D$3,"",IF($FA17&lt;GQ$7,"OD",_xlfn.XLOOKUP(GQ$7,Estimating!$M$6:$BM$6,Estimating!$M$15:$BM$15)))</f>
        <v>47.981481481481481</v>
      </c>
      <c r="GR20" s="199">
        <f>IF(GR$7&gt;$D$3,"",IF($FA17&lt;GR$7,"OD",_xlfn.XLOOKUP(GR$7,Estimating!$M$6:$BM$6,Estimating!$M$15:$BM$15)))</f>
        <v>26.2</v>
      </c>
      <c r="GS20" s="199" t="str">
        <f>IF(GS$7&gt;$D$3,"",IF($FA17&lt;GS$7,"OD",_xlfn.XLOOKUP(GS$7,Estimating!$M$6:$BM$6,Estimating!$M$15:$BM$15)))</f>
        <v/>
      </c>
      <c r="GT20" s="199" t="str">
        <f>IF(GT$7&gt;$D$3,"",IF($FA17&lt;GT$7,"OD",_xlfn.XLOOKUP(GT$7,Estimating!$M$6:$BM$6,Estimating!$M$15:$BM$15)))</f>
        <v/>
      </c>
      <c r="GU20" s="199" t="str">
        <f>IF(GU$7&gt;$D$3,"",IF($FA17&lt;GU$7,"OD",_xlfn.XLOOKUP(GU$7,Estimating!$M$6:$BM$6,Estimating!$M$15:$BM$15)))</f>
        <v/>
      </c>
      <c r="GV20" s="199" t="str">
        <f>IF(GV$7&gt;$D$3,"",IF($FA17&lt;GV$7,"OD",_xlfn.XLOOKUP(GV$7,Estimating!$M$6:$BM$6,Estimating!$M$15:$BM$15)))</f>
        <v/>
      </c>
      <c r="GW20" s="199" t="str">
        <f>IF(GW$7&gt;$D$3,"",IF($FA17&lt;GW$7,"OD",_xlfn.XLOOKUP(GW$7,Estimating!$M$6:$BM$6,Estimating!$M$15:$BM$15)))</f>
        <v/>
      </c>
      <c r="GX20" s="199" t="str">
        <f>IF(GX$7&gt;$D$3,"",IF($FA17&lt;GX$7,"OD",_xlfn.XLOOKUP(GX$7,Estimating!$M$6:$BM$6,Estimating!$M$15:$BM$15)))</f>
        <v/>
      </c>
      <c r="GY20" s="199" t="str">
        <f>IF(GY$7&gt;$D$3,"",IF($FA17&lt;GY$7,"OD",_xlfn.XLOOKUP(GY$7,Estimating!$M$6:$BM$6,Estimating!$M$15:$BM$15)))</f>
        <v/>
      </c>
      <c r="GZ20" s="199" t="str">
        <f>IF(GZ$7&gt;$D$3,"",IF($FA17&lt;GZ$7,"OD",_xlfn.XLOOKUP(GZ$7,Estimating!$M$6:$BM$6,Estimating!$M$15:$BM$15)))</f>
        <v/>
      </c>
      <c r="HA20" s="199" t="str">
        <f>IF(HA$7&gt;$D$3,"",IF($FA17&lt;HA$7,"OD",_xlfn.XLOOKUP(HA$7,Estimating!$M$6:$BM$6,Estimating!$M$15:$BM$15)))</f>
        <v/>
      </c>
      <c r="HB20" s="199" t="str">
        <f>IF(HB$7&gt;$D$3,"",IF($FA17&lt;HB$7,"OD",_xlfn.XLOOKUP(HB$7,Estimating!$M$6:$BM$6,Estimating!$M$15:$BM$15)))</f>
        <v/>
      </c>
      <c r="HC20" s="199" t="str">
        <f>IF(HC$7&gt;$D$3,"",IF($FA17&lt;HC$7,"OD",_xlfn.XLOOKUP(HC$7,Estimating!$M$6:$BM$6,Estimating!$M$15:$BM$15)))</f>
        <v/>
      </c>
      <c r="HE20" s="136" t="str">
        <f>+$C20</f>
        <v>KPI Q1</v>
      </c>
      <c r="HF20" s="144" t="str">
        <f>+$D20</f>
        <v>Quality</v>
      </c>
      <c r="HG20" s="144" t="str">
        <f>+$E20</f>
        <v>Hours on each Estimate</v>
      </c>
      <c r="HH20" s="145" t="str">
        <f>+$F20</f>
        <v>Hours</v>
      </c>
      <c r="HI20" s="145" t="s">
        <v>44</v>
      </c>
      <c r="HJ20" s="199" t="str">
        <f>IF(HJ$7&gt;$D$3,"",IF($FA17&lt;HJ$7,"OD",_xlfn.XLOOKUP(HJ$7,Estimating!$M$6:$BM$6,Estimating!$M$14:$BM$14)))</f>
        <v>Blank</v>
      </c>
      <c r="HK20" s="199">
        <f>IF(HK$7&gt;$D$3,"",IF($FA17&lt;HK$7,"OD",_xlfn.XLOOKUP(HK$7,Estimating!$M$6:$BM$6,Estimating!$M$14:$BM$14)))</f>
        <v>28</v>
      </c>
      <c r="HL20" s="199">
        <f>IF(HL$7&gt;$D$3,"",IF($FA17&lt;HL$7,"OD",_xlfn.XLOOKUP(HL$7,Estimating!$M$6:$BM$6,Estimating!$M$14:$BM$14)))</f>
        <v>28</v>
      </c>
      <c r="HM20" s="199">
        <f>IF(HM$7&gt;$D$3,"",IF($FA17&lt;HM$7,"OD",_xlfn.XLOOKUP(HM$7,Estimating!$M$6:$BM$6,Estimating!$M$14:$BM$14)))</f>
        <v>28</v>
      </c>
      <c r="HN20" s="199">
        <f>IF(HN$7&gt;$D$3,"",IF($FA17&lt;HN$7,"OD",_xlfn.XLOOKUP(HN$7,Estimating!$M$6:$BM$6,Estimating!$M$14:$BM$14)))</f>
        <v>28</v>
      </c>
      <c r="HO20" s="199">
        <f>IF(HO$7&gt;$D$3,"",IF($FA17&lt;HO$7,"OD",_xlfn.XLOOKUP(HO$7,Estimating!$M$6:$BM$6,Estimating!$M$14:$BM$14)))</f>
        <v>28</v>
      </c>
      <c r="HP20" s="199">
        <f>IF(HP$7&gt;$D$3,"",IF($FA17&lt;HP$7,"OD",_xlfn.XLOOKUP(HP$7,Estimating!$M$6:$BM$6,Estimating!$M$14:$BM$14)))</f>
        <v>28</v>
      </c>
      <c r="HQ20" s="199">
        <f>IF(HQ$7&gt;$D$3,"",IF($FA17&lt;HQ$7,"OD",_xlfn.XLOOKUP(HQ$7,Estimating!$M$6:$BM$6,Estimating!$M$14:$BM$14)))</f>
        <v>28</v>
      </c>
      <c r="HR20" s="199">
        <f>IF(HR$7&gt;$D$3,"",IF($FA17&lt;HR$7,"OD",_xlfn.XLOOKUP(HR$7,Estimating!$M$6:$BM$6,Estimating!$M$14:$BM$14)))</f>
        <v>28</v>
      </c>
      <c r="HS20" s="199">
        <f>IF(HS$7&gt;$D$3,"",IF($FA17&lt;HS$7,"OD",_xlfn.XLOOKUP(HS$7,Estimating!$M$6:$BM$6,Estimating!$M$14:$BM$14)))</f>
        <v>28</v>
      </c>
      <c r="HT20" s="199">
        <f>IF(HT$7&gt;$D$3,"",IF($FA17&lt;HT$7,"OD",_xlfn.XLOOKUP(HT$7,Estimating!$M$6:$BM$6,Estimating!$M$14:$BM$14)))</f>
        <v>28</v>
      </c>
      <c r="HU20" s="199">
        <f>IF(HU$7&gt;$D$3,"",IF($FA17&lt;HU$7,"OD",_xlfn.XLOOKUP(HU$7,Estimating!$M$6:$BM$6,Estimating!$M$14:$BM$14)))</f>
        <v>28</v>
      </c>
      <c r="HV20" s="199">
        <f>IF(HV$7&gt;$D$3,"",IF($FA17&lt;HV$7,"OD",_xlfn.XLOOKUP(HV$7,Estimating!$M$6:$BM$6,Estimating!$M$14:$BM$14)))</f>
        <v>28</v>
      </c>
      <c r="HW20" s="199">
        <f>IF(HW$7&gt;$D$3,"",IF($FA17&lt;HW$7,"OD",_xlfn.XLOOKUP(HW$7,Estimating!$M$6:$BM$6,Estimating!$M$14:$BM$14)))</f>
        <v>28</v>
      </c>
      <c r="HX20" s="199">
        <f>IF(HX$7&gt;$D$3,"",IF($FA17&lt;HX$7,"OD",_xlfn.XLOOKUP(HX$7,Estimating!$M$6:$BM$6,Estimating!$M$14:$BM$14)))</f>
        <v>28</v>
      </c>
      <c r="HY20" s="199">
        <f>IF(HY$7&gt;$D$3,"",IF($FA17&lt;HY$7,"OD",_xlfn.XLOOKUP(HY$7,Estimating!$M$6:$BM$6,Estimating!$M$14:$BM$14)))</f>
        <v>28</v>
      </c>
      <c r="HZ20" s="199">
        <f>IF(HZ$7&gt;$D$3,"",IF($FA17&lt;HZ$7,"OD",_xlfn.XLOOKUP(HZ$7,Estimating!$M$6:$BM$6,Estimating!$M$14:$BM$14)))</f>
        <v>28</v>
      </c>
      <c r="IA20" s="199">
        <f>IF(IA$7&gt;$D$3,"",IF($FA17&lt;IA$7,"OD",_xlfn.XLOOKUP(IA$7,Estimating!$M$6:$BM$6,Estimating!$M$14:$BM$14)))</f>
        <v>28</v>
      </c>
      <c r="IB20" s="199">
        <f>IF(IB$7&gt;$D$3,"",IF($FA17&lt;IB$7,"OD",_xlfn.XLOOKUP(IB$7,Estimating!$M$6:$BM$6,Estimating!$M$14:$BM$14)))</f>
        <v>28</v>
      </c>
      <c r="IC20" s="199">
        <f>IF(IC$7&gt;$D$3,"",IF($FA17&lt;IC$7,"OD",_xlfn.XLOOKUP(IC$7,Estimating!$M$6:$BM$6,Estimating!$M$14:$BM$14)))</f>
        <v>28</v>
      </c>
      <c r="ID20" s="199">
        <f>IF(ID$7&gt;$D$3,"",IF($FA17&lt;ID$7,"OD",_xlfn.XLOOKUP(ID$7,Estimating!$M$6:$BM$6,Estimating!$M$14:$BM$14)))</f>
        <v>28</v>
      </c>
      <c r="IE20" s="199">
        <f>IF(IE$7&gt;$D$3,"",IF($FA17&lt;IE$7,"OD",_xlfn.XLOOKUP(IE$7,Estimating!$M$6:$BM$6,Estimating!$M$14:$BM$14)))</f>
        <v>28</v>
      </c>
      <c r="IF20" s="199">
        <f>IF(IF$7&gt;$D$3,"",IF($FA17&lt;IF$7,"OD",_xlfn.XLOOKUP(IF$7,Estimating!$M$6:$BM$6,Estimating!$M$14:$BM$14)))</f>
        <v>28</v>
      </c>
      <c r="IG20" s="199">
        <f>IF(IG$7&gt;$D$3,"",IF($FA17&lt;IG$7,"OD",_xlfn.XLOOKUP(IG$7,Estimating!$M$6:$BM$6,Estimating!$M$14:$BM$14)))</f>
        <v>28</v>
      </c>
      <c r="IH20" s="199">
        <f>IF(IH$7&gt;$D$3,"",IF($FA17&lt;IH$7,"OD",_xlfn.XLOOKUP(IH$7,Estimating!$M$6:$BM$6,Estimating!$M$14:$BM$14)))</f>
        <v>28</v>
      </c>
      <c r="II20" s="199">
        <f>IF(II$7&gt;$D$3,"",IF($FA17&lt;II$7,"OD",_xlfn.XLOOKUP(II$7,Estimating!$M$6:$BM$6,Estimating!$M$14:$BM$14)))</f>
        <v>28</v>
      </c>
      <c r="IJ20" s="199">
        <f>IF(IJ$7&gt;$D$3,"",IF($FA17&lt;IJ$7,"OD",_xlfn.XLOOKUP(IJ$7,Estimating!$M$6:$BM$6,Estimating!$M$14:$BM$14)))</f>
        <v>28</v>
      </c>
      <c r="IK20" s="199">
        <f>IF(IK$7&gt;$D$3,"",IF($FA17&lt;IK$7,"OD",_xlfn.XLOOKUP(IK$7,Estimating!$M$6:$BM$6,Estimating!$M$14:$BM$14)))</f>
        <v>28</v>
      </c>
      <c r="IL20" s="199">
        <f>IF(IL$7&gt;$D$3,"",IF($FA17&lt;IL$7,"OD",_xlfn.XLOOKUP(IL$7,Estimating!$M$6:$BM$6,Estimating!$M$14:$BM$14)))</f>
        <v>28</v>
      </c>
      <c r="IM20" s="199">
        <f>IF(IM$7&gt;$D$3,"",IF($FA17&lt;IM$7,"OD",_xlfn.XLOOKUP(IM$7,Estimating!$M$6:$BM$6,Estimating!$M$14:$BM$14)))</f>
        <v>28</v>
      </c>
      <c r="IN20" s="199">
        <f>IF(IN$7&gt;$D$3,"",IF($FA17&lt;IN$7,"OD",_xlfn.XLOOKUP(IN$7,Estimating!$M$6:$BM$6,Estimating!$M$14:$BM$14)))</f>
        <v>28</v>
      </c>
      <c r="IO20" s="199">
        <f>IF(IO$7&gt;$D$3,"",IF($FA17&lt;IO$7,"OD",_xlfn.XLOOKUP(IO$7,Estimating!$M$6:$BM$6,Estimating!$M$14:$BM$14)))</f>
        <v>28</v>
      </c>
      <c r="IP20" s="199">
        <f>IF(IP$7&gt;$D$3,"",IF($FA17&lt;IP$7,"OD",_xlfn.XLOOKUP(IP$7,Estimating!$M$6:$BM$6,Estimating!$M$14:$BM$14)))</f>
        <v>28</v>
      </c>
      <c r="IQ20" s="199">
        <f>IF(IQ$7&gt;$D$3,"",IF($FA17&lt;IQ$7,"OD",_xlfn.XLOOKUP(IQ$7,Estimating!$M$6:$BM$6,Estimating!$M$14:$BM$14)))</f>
        <v>28</v>
      </c>
      <c r="IR20" s="199">
        <f>IF(IR$7&gt;$D$3,"",IF($FA17&lt;IR$7,"OD",_xlfn.XLOOKUP(IR$7,Estimating!$M$6:$BM$6,Estimating!$M$14:$BM$14)))</f>
        <v>28</v>
      </c>
      <c r="IS20" s="199">
        <f>IF(IS$7&gt;$D$3,"",IF($FA17&lt;IS$7,"OD",_xlfn.XLOOKUP(IS$7,Estimating!$M$6:$BM$6,Estimating!$M$14:$BM$14)))</f>
        <v>28</v>
      </c>
      <c r="IT20" s="199">
        <f>IF(IT$7&gt;$D$3,"",IF($FA17&lt;IT$7,"OD",_xlfn.XLOOKUP(IT$7,Estimating!$M$6:$BM$6,Estimating!$M$14:$BM$14)))</f>
        <v>28</v>
      </c>
      <c r="IU20" s="199">
        <f>IF(IU$7&gt;$D$3,"",IF($FA17&lt;IU$7,"OD",_xlfn.XLOOKUP(IU$7,Estimating!$M$6:$BM$6,Estimating!$M$14:$BM$14)))</f>
        <v>28</v>
      </c>
      <c r="IV20" s="199">
        <f>IF(IV$7&gt;$D$3,"",IF($FA17&lt;IV$7,"OD",_xlfn.XLOOKUP(IV$7,Estimating!$M$6:$BM$6,Estimating!$M$14:$BM$14)))</f>
        <v>28</v>
      </c>
      <c r="IW20" s="199">
        <f>IF(IW$7&gt;$D$3,"",IF($FA17&lt;IW$7,"OD",_xlfn.XLOOKUP(IW$7,Estimating!$M$6:$BM$6,Estimating!$M$14:$BM$14)))</f>
        <v>28</v>
      </c>
      <c r="IX20" s="199">
        <f>IF(IX$7&gt;$D$3,"",IF($FA17&lt;IX$7,"OD",_xlfn.XLOOKUP(IX$7,Estimating!$M$6:$BM$6,Estimating!$M$14:$BM$14)))</f>
        <v>28</v>
      </c>
      <c r="IY20" s="199">
        <f>IF(IY$7&gt;$D$3,"",IF($FA17&lt;IY$7,"OD",_xlfn.XLOOKUP(IY$7,Estimating!$M$6:$BM$6,Estimating!$M$14:$BM$14)))</f>
        <v>28</v>
      </c>
      <c r="IZ20" s="199" t="str">
        <f>IF(IZ$7&gt;$D$3,"",IF($FA17&lt;IZ$7,"OD",_xlfn.XLOOKUP(IZ$7,Estimating!$M$6:$BM$6,Estimating!$M$14:$BM$14)))</f>
        <v/>
      </c>
      <c r="JA20" s="199" t="str">
        <f>IF(JA$7&gt;$D$3,"",IF($FA17&lt;JA$7,"OD",_xlfn.XLOOKUP(JA$7,Estimating!$M$6:$BM$6,Estimating!$M$14:$BM$14)))</f>
        <v/>
      </c>
      <c r="JB20" s="199" t="str">
        <f>IF(JB$7&gt;$D$3,"",IF($FA17&lt;JB$7,"OD",_xlfn.XLOOKUP(JB$7,Estimating!$M$6:$BM$6,Estimating!$M$14:$BM$14)))</f>
        <v/>
      </c>
      <c r="JC20" s="199" t="str">
        <f>IF(JC$7&gt;$D$3,"",IF($FA17&lt;JC$7,"OD",_xlfn.XLOOKUP(JC$7,Estimating!$M$6:$BM$6,Estimating!$M$14:$BM$14)))</f>
        <v/>
      </c>
      <c r="JD20" s="199" t="str">
        <f>IF(JD$7&gt;$D$3,"",IF($FA17&lt;JD$7,"OD",_xlfn.XLOOKUP(JD$7,Estimating!$M$6:$BM$6,Estimating!$M$14:$BM$14)))</f>
        <v/>
      </c>
      <c r="JE20" s="199" t="str">
        <f>IF(JE$7&gt;$D$3,"",IF($FA17&lt;JE$7,"OD",_xlfn.XLOOKUP(JE$7,Estimating!$M$6:$BM$6,Estimating!$M$14:$BM$14)))</f>
        <v/>
      </c>
      <c r="JF20" s="199" t="str">
        <f>IF(JF$7&gt;$D$3,"",IF($FA17&lt;JF$7,"OD",_xlfn.XLOOKUP(JF$7,Estimating!$M$6:$BM$6,Estimating!$M$14:$BM$14)))</f>
        <v/>
      </c>
      <c r="JG20" s="199" t="str">
        <f>IF(JG$7&gt;$D$3,"",IF($FA17&lt;JG$7,"OD",_xlfn.XLOOKUP(JG$7,Estimating!$M$6:$BM$6,Estimating!$M$14:$BM$14)))</f>
        <v/>
      </c>
      <c r="JH20" s="199" t="str">
        <f>IF(JH$7&gt;$D$3,"",IF($FA17&lt;JH$7,"OD",_xlfn.XLOOKUP(JH$7,Estimating!$M$6:$BM$6,Estimating!$M$14:$BM$14)))</f>
        <v/>
      </c>
      <c r="JI20" s="199" t="str">
        <f>IF(JI$7&gt;$D$3,"",IF($FA17&lt;JI$7,"OD",_xlfn.XLOOKUP(JI$7,Estimating!$M$6:$BM$6,Estimating!$M$14:$BM$14)))</f>
        <v/>
      </c>
      <c r="JJ20" s="199" t="str">
        <f>IF(JJ$7&gt;$D$3,"",IF($FA17&lt;JJ$7,"OD",_xlfn.XLOOKUP(JJ$7,Estimating!$M$6:$BM$6,Estimating!$M$14:$BM$14)))</f>
        <v/>
      </c>
      <c r="JM20" s="136" t="str">
        <f>+$C20</f>
        <v>KPI Q1</v>
      </c>
      <c r="JN20" s="144" t="str">
        <f>+$D20</f>
        <v>Quality</v>
      </c>
      <c r="JO20" s="144" t="str">
        <f>+$E20</f>
        <v>Hours on each Estimate</v>
      </c>
      <c r="JP20" s="145" t="str">
        <f>+$F20</f>
        <v>Hours</v>
      </c>
      <c r="JQ20" s="145" t="s">
        <v>284</v>
      </c>
      <c r="JR20" s="247" t="str">
        <f>IFERROR(AVERAGE(FC20:$FC20),"")</f>
        <v/>
      </c>
      <c r="JS20" s="247">
        <f>IFERROR(AVERAGE($FC20:FD20),"")</f>
        <v>60.596774193548384</v>
      </c>
      <c r="JT20" s="247">
        <f>IFERROR(AVERAGE($FC20:FE20),"")</f>
        <v>40.974062772449869</v>
      </c>
      <c r="JU20" s="247">
        <f>IFERROR(AVERAGE($FC20:FF20),"")</f>
        <v>37.195268901440009</v>
      </c>
      <c r="JV20" s="247">
        <f>IFERROR(AVERAGE($FC20:FG20),"")</f>
        <v>35.17621358084191</v>
      </c>
      <c r="JW20" s="247">
        <f>IFERROR(AVERAGE($FC20:FH20),"")</f>
        <v>34.667124710827373</v>
      </c>
      <c r="JX20" s="247">
        <f>IFERROR(AVERAGE($FC20:FI20),"")</f>
        <v>32.653373156458706</v>
      </c>
      <c r="JY20" s="247">
        <f>IFERROR(AVERAGE($FC20:FJ20),"")</f>
        <v>32.437853682979643</v>
      </c>
      <c r="JZ20" s="247">
        <f>IFERROR(AVERAGE($FC20:FK20),"")</f>
        <v>30.835045049530265</v>
      </c>
      <c r="KA20" s="247">
        <f>IFERROR(AVERAGE($FC20:FL20),"")</f>
        <v>29.766953624273818</v>
      </c>
      <c r="KB20" s="247">
        <f>IFERROR(AVERAGE($FC20:FM20),"")</f>
        <v>28.651548584427083</v>
      </c>
      <c r="KC20" s="247">
        <f>IFERROR(AVERAGE($FC20:FN20),"")</f>
        <v>28.875271440388257</v>
      </c>
      <c r="KD20" s="247">
        <f>IFERROR(AVERAGE($FC20:FO20),"")</f>
        <v>28.704463936634969</v>
      </c>
      <c r="KE20" s="247">
        <f>IFERROR(AVERAGE($FC20:FP20),"")</f>
        <v>29.302838505611767</v>
      </c>
      <c r="KF20" s="247">
        <f>IFERROR(AVERAGE($FC20:FQ20),"")</f>
        <v>28.436136761247148</v>
      </c>
      <c r="KG20" s="247">
        <f>IFERROR(AVERAGE($FC20:FR20),"")</f>
        <v>28.013840638180955</v>
      </c>
      <c r="KH20" s="247">
        <f>IFERROR(AVERAGE($FC20:FS20),"")</f>
        <v>28.093620759584969</v>
      </c>
      <c r="KI20" s="247">
        <f>IFERROR(AVERAGE($FC20:FT20),"")</f>
        <v>28.59651701742451</v>
      </c>
      <c r="KJ20" s="247">
        <f>IFERROR(AVERAGE($FC20:FU20),"")</f>
        <v>29.072636442382404</v>
      </c>
      <c r="KK20" s="247">
        <f>IFERROR(AVERAGE($FC20:FV20),"")</f>
        <v>28.637936278748242</v>
      </c>
      <c r="KL20" s="247">
        <f>IFERROR(AVERAGE($FC20:FW20),"")</f>
        <v>28.557258977005951</v>
      </c>
      <c r="KM20" s="247">
        <f>IFERROR(AVERAGE($FC20:FX20),"")</f>
        <v>28.575019623726597</v>
      </c>
      <c r="KN20" s="247">
        <f>IFERROR(AVERAGE($FC20:FY20),"")</f>
        <v>28.294750136697701</v>
      </c>
      <c r="KO20" s="247">
        <f>IFERROR(AVERAGE($FC20:FZ20),"")</f>
        <v>28.683192116086957</v>
      </c>
      <c r="KP20" s="247">
        <f>IFERROR(AVERAGE($FC20:GA20),"")</f>
        <v>29.237480407546297</v>
      </c>
      <c r="KQ20" s="247">
        <f>IFERROR(AVERAGE($FC20:GB20),"")</f>
        <v>29.247555659329549</v>
      </c>
      <c r="KR20" s="247">
        <f>IFERROR(AVERAGE($FC20:GC20),"")</f>
        <v>28.953846253628839</v>
      </c>
      <c r="KS20" s="247">
        <f>IFERROR(AVERAGE($FC20:GD20),"")</f>
        <v>28.533333429420367</v>
      </c>
      <c r="KT20" s="247">
        <f>IFERROR(AVERAGE($FC20:GE20),"")</f>
        <v>28.796428664083923</v>
      </c>
      <c r="KU20" s="247">
        <f>IFERROR(AVERAGE($FC20:GF20),"")</f>
        <v>28.782758710149995</v>
      </c>
      <c r="KV20" s="247">
        <f>IFERROR(AVERAGE($FC20:GG20),"")</f>
        <v>28.681005377483618</v>
      </c>
      <c r="KW20" s="247">
        <f>IFERROR(AVERAGE($FC20:GH20),"")</f>
        <v>29.080209656537981</v>
      </c>
      <c r="KX20" s="247">
        <f>IFERROR(AVERAGE($FC20:GI20),"")</f>
        <v>29.308105647144053</v>
      </c>
      <c r="KY20" s="247">
        <f>IFERROR(AVERAGE($FC20:GJ20),"")</f>
        <v>29.636501272694918</v>
      </c>
      <c r="KZ20" s="247">
        <f>IFERROR(AVERAGE($FC20:GK20),"")</f>
        <v>29.873032747867757</v>
      </c>
      <c r="LA20" s="247">
        <f>IFERROR(AVERAGE($FC20:GL20),"")</f>
        <v>30.197295304277883</v>
      </c>
      <c r="LB20" s="247">
        <f>IFERROR(AVERAGE($FC20:GM20),"")</f>
        <v>30.849823537167708</v>
      </c>
      <c r="LC20" s="247">
        <f>IFERROR(AVERAGE($FC20:GN20),"")</f>
        <v>31.457485964091102</v>
      </c>
      <c r="LD20" s="247">
        <f>IFERROR(AVERAGE($FC20:GO20),"")</f>
        <v>31.412165126026785</v>
      </c>
      <c r="LE20" s="247">
        <f>IFERROR(AVERAGE($FC20:GP20),"")</f>
        <v>31.475820811054437</v>
      </c>
      <c r="LF20" s="247">
        <f>IFERROR(AVERAGE($FC20:GQ20),"")</f>
        <v>31.888462327815112</v>
      </c>
      <c r="LG20" s="247">
        <f>IFERROR(AVERAGE($FC20:GR20),"")</f>
        <v>31.749719344209868</v>
      </c>
      <c r="LH20" s="247">
        <f>IFERROR(AVERAGE($FC20:GS20),"")</f>
        <v>31.749719344209868</v>
      </c>
      <c r="LI20" s="247">
        <f>IFERROR(AVERAGE($FC20:GT20),"")</f>
        <v>31.749719344209868</v>
      </c>
      <c r="LJ20" s="247">
        <f>IFERROR(AVERAGE($FC20:GU20),"")</f>
        <v>31.749719344209868</v>
      </c>
      <c r="LK20" s="247">
        <f>IFERROR(AVERAGE($FC20:GV20),"")</f>
        <v>31.749719344209868</v>
      </c>
      <c r="LL20" s="247">
        <f>IFERROR(AVERAGE($FC20:GW20),"")</f>
        <v>31.749719344209868</v>
      </c>
      <c r="LM20" s="247">
        <f>IFERROR(AVERAGE($FC20:GX20),"")</f>
        <v>31.749719344209868</v>
      </c>
      <c r="LN20" s="247">
        <f>IFERROR(AVERAGE($FC20:GY20),"")</f>
        <v>31.749719344209868</v>
      </c>
      <c r="LO20" s="247">
        <f>IFERROR(AVERAGE($FC20:GZ20),"")</f>
        <v>31.749719344209868</v>
      </c>
      <c r="LP20" s="247">
        <f>IFERROR(AVERAGE($FC20:HA20),"")</f>
        <v>31.749719344209868</v>
      </c>
      <c r="LQ20" s="247">
        <f>IFERROR(AVERAGE($FC20:HB20),"")</f>
        <v>31.749719344209868</v>
      </c>
      <c r="LR20" s="247">
        <f>IFERROR(AVERAGE($FC20:HC20),"")</f>
        <v>31.749719344209868</v>
      </c>
      <c r="LT20" s="136" t="str">
        <f>+$C20</f>
        <v>KPI Q1</v>
      </c>
      <c r="LU20" s="144" t="str">
        <f>+$D20</f>
        <v>Quality</v>
      </c>
      <c r="LV20" s="144" t="str">
        <f>+$E20</f>
        <v>Hours on each Estimate</v>
      </c>
      <c r="LW20" s="145" t="str">
        <f>+$F20</f>
        <v>Hours</v>
      </c>
      <c r="LX20" s="145" t="s">
        <v>285</v>
      </c>
      <c r="LY20" s="199" t="str">
        <f>IFERROR(AVERAGE($HJ20:HJ20),"")</f>
        <v/>
      </c>
      <c r="LZ20" s="199">
        <f>IFERROR(IF(LAD$7&gt;$D$3,"",AVERAGE($HJ20:HK20)),"")</f>
        <v>28</v>
      </c>
      <c r="MA20" s="199">
        <f>IFERROR(IF(MA$7&gt;$D$3,"",AVERAGE($HJ20:HL20)),"")</f>
        <v>28</v>
      </c>
      <c r="MB20" s="199">
        <f>IFERROR(IF(MB$7&gt;$D$3,"",AVERAGE($HJ20:HM20)),"")</f>
        <v>28</v>
      </c>
      <c r="MC20" s="199">
        <f>IFERROR(IF(MC$7&gt;$D$3,"",AVERAGE($HJ20:HN20)),"")</f>
        <v>28</v>
      </c>
      <c r="MD20" s="199">
        <f>IFERROR(IF(MD$7&gt;$D$3,"",AVERAGE($HJ20:HO20)),"")</f>
        <v>28</v>
      </c>
      <c r="ME20" s="199">
        <f>IFERROR(IF(ME$7&gt;$D$3,"",AVERAGE($HJ20:HP20)),"")</f>
        <v>28</v>
      </c>
      <c r="MF20" s="199">
        <f>IFERROR(IF(MF$7&gt;$D$3,"",AVERAGE($HJ20:HQ20)),"")</f>
        <v>28</v>
      </c>
      <c r="MG20" s="199">
        <f>IFERROR(IF(MG$7&gt;$D$3,"",AVERAGE($HJ20:HR20)),"")</f>
        <v>28</v>
      </c>
      <c r="MH20" s="199">
        <f>IFERROR(IF(MH$7&gt;$D$3,"",AVERAGE($HJ20:HS20)),"")</f>
        <v>28</v>
      </c>
      <c r="MI20" s="199">
        <f>IFERROR(IF(MI$7&gt;$D$3,"",AVERAGE($HJ20:HT20)),"")</f>
        <v>28</v>
      </c>
      <c r="MJ20" s="199">
        <f>IFERROR(IF(MJ$7&gt;$D$3,"",AVERAGE($HJ20:HU20)),"")</f>
        <v>28</v>
      </c>
      <c r="MK20" s="199">
        <f>IFERROR(IF(MK$7&gt;$D$3,"",AVERAGE($HJ20:HV20)),"")</f>
        <v>28</v>
      </c>
      <c r="ML20" s="199">
        <f>IFERROR(IF(ML$7&gt;$D$3,"",AVERAGE($HJ20:HW20)),"")</f>
        <v>28</v>
      </c>
      <c r="MM20" s="199">
        <f>IFERROR(IF(MM$7&gt;$D$3,"",AVERAGE($HJ20:HX20)),"")</f>
        <v>28</v>
      </c>
      <c r="MN20" s="199">
        <f>IFERROR(IF(MN$7&gt;$D$3,"",AVERAGE($HJ20:HY20)),"")</f>
        <v>28</v>
      </c>
      <c r="MO20" s="199">
        <f>IFERROR(IF(MO$7&gt;$D$3,"",AVERAGE($HJ20:HZ20)),"")</f>
        <v>28</v>
      </c>
      <c r="MP20" s="199">
        <f>IFERROR(IF(MP$7&gt;$D$3,"",AVERAGE($HJ20:IA20)),"")</f>
        <v>28</v>
      </c>
      <c r="MQ20" s="199">
        <f>IFERROR(IF(MQ$7&gt;$D$3,"",AVERAGE($HJ20:IB20)),"")</f>
        <v>28</v>
      </c>
      <c r="MR20" s="199">
        <f>IFERROR(IF(MR$7&gt;$D$3,"",AVERAGE($HJ20:IC20)),"")</f>
        <v>28</v>
      </c>
      <c r="MS20" s="199">
        <f>IFERROR(IF(MS$7&gt;$D$3,"",AVERAGE($HJ20:ID20)),"")</f>
        <v>28</v>
      </c>
      <c r="MT20" s="199">
        <f>IFERROR(IF(MT$7&gt;$D$3,"",AVERAGE($HJ20:IE20)),"")</f>
        <v>28</v>
      </c>
      <c r="MU20" s="199">
        <f>IFERROR(IF(MU$7&gt;$D$3,"",AVERAGE($HJ20:IF20)),"")</f>
        <v>28</v>
      </c>
      <c r="MV20" s="199">
        <f>IFERROR(IF(MV$7&gt;$D$3,"",AVERAGE($HJ20:IG20)),"")</f>
        <v>28</v>
      </c>
      <c r="MW20" s="199">
        <f>IFERROR(IF(MW$7&gt;$D$3,"",AVERAGE($HJ20:IH20)),"")</f>
        <v>28</v>
      </c>
      <c r="MX20" s="199">
        <f>IFERROR(IF(MX$7&gt;$D$3,"",AVERAGE($HJ20:II20)),"")</f>
        <v>28</v>
      </c>
      <c r="MY20" s="199">
        <f>IFERROR(IF(MY$7&gt;$D$3,"",AVERAGE($HJ20:IJ20)),"")</f>
        <v>28</v>
      </c>
      <c r="MZ20" s="199">
        <f>IFERROR(IF(MZ$7&gt;$D$3,"",AVERAGE($HJ20:IK20)),"")</f>
        <v>28</v>
      </c>
      <c r="NA20" s="199">
        <f>IFERROR(IF(NA$7&gt;$D$3,"",AVERAGE($HJ20:IL20)),"")</f>
        <v>28</v>
      </c>
      <c r="NB20" s="199">
        <f>IFERROR(IF(NB$7&gt;$D$3,"",AVERAGE($HJ20:IM20)),"")</f>
        <v>28</v>
      </c>
      <c r="NC20" s="199">
        <f>IFERROR(IF(NC$7&gt;$D$3,"",AVERAGE($HJ20:IN20)),"")</f>
        <v>28</v>
      </c>
      <c r="ND20" s="199">
        <f>IFERROR(IF(ND$7&gt;$D$3,"",AVERAGE($HJ20:IO20)),"")</f>
        <v>28</v>
      </c>
      <c r="NE20" s="199">
        <f>IFERROR(IF(NE$7&gt;$D$3,"",AVERAGE($HJ20:IP20)),"")</f>
        <v>28</v>
      </c>
      <c r="NF20" s="199">
        <f>IFERROR(IF(NF$7&gt;$D$3,"",AVERAGE($HJ20:IQ20)),"")</f>
        <v>28</v>
      </c>
      <c r="NG20" s="199">
        <f>IFERROR(IF(NG$7&gt;$D$3,"",AVERAGE($HJ20:IR20)),"")</f>
        <v>28</v>
      </c>
      <c r="NH20" s="199">
        <f>IFERROR(IF(NH$7&gt;$D$3,"",AVERAGE($HJ20:IS20)),"")</f>
        <v>28</v>
      </c>
      <c r="NI20" s="199">
        <f>IFERROR(IF(NI$7&gt;$D$3,"",AVERAGE($HJ20:IT20)),"")</f>
        <v>28</v>
      </c>
      <c r="NJ20" s="199">
        <f>IFERROR(IF(NJ$7&gt;$D$3,"",AVERAGE($HJ20:IU20)),"")</f>
        <v>28</v>
      </c>
      <c r="NK20" s="199">
        <f>IFERROR(IF(NK$7&gt;$D$3,"",AVERAGE($HJ20:IV20)),"")</f>
        <v>28</v>
      </c>
      <c r="NL20" s="199">
        <f>IFERROR(IF(NL$7&gt;$D$3,"",AVERAGE($HJ20:IW20)),"")</f>
        <v>28</v>
      </c>
      <c r="NM20" s="199">
        <f>IFERROR(IF(NM$7&gt;$D$3,"",AVERAGE($HJ20:IX20)),"")</f>
        <v>28</v>
      </c>
      <c r="NN20" s="199">
        <f>IFERROR(IF(NN$7&gt;$D$3,"",AVERAGE($HJ20:IY20)),"")</f>
        <v>28</v>
      </c>
      <c r="NO20" s="199" t="str">
        <f>IFERROR(IF(NO$7&gt;$D$3,"",AVERAGE($HJ20:IZ20)),"")</f>
        <v/>
      </c>
      <c r="NP20" s="199" t="str">
        <f>IFERROR(IF(NP$7&gt;$D$3,"",AVERAGE($HJ20:JA20)),"")</f>
        <v/>
      </c>
      <c r="NQ20" s="199" t="str">
        <f>IFERROR(IF(NQ$7&gt;$D$3,"",AVERAGE($HJ20:JB20)),"")</f>
        <v/>
      </c>
      <c r="NR20" s="199" t="str">
        <f>IFERROR(IF(NR$7&gt;$D$3,"",AVERAGE($HJ20:JC20)),"")</f>
        <v/>
      </c>
      <c r="NS20" s="199" t="str">
        <f>IFERROR(IF(NS$7&gt;$D$3,"",AVERAGE($HJ20:JD20)),"")</f>
        <v/>
      </c>
      <c r="NT20" s="199" t="str">
        <f>IFERROR(IF(NT$7&gt;$D$3,"",AVERAGE($HJ20:JE20)),"")</f>
        <v/>
      </c>
      <c r="NU20" s="199" t="str">
        <f>IFERROR(IF(NU$7&gt;$D$3,"",AVERAGE($HJ20:JF20)),"")</f>
        <v/>
      </c>
      <c r="NV20" s="199" t="str">
        <f>IFERROR(IF(NV$7&gt;$D$3,"",AVERAGE($HJ20:JG20)),"")</f>
        <v/>
      </c>
      <c r="NW20" s="199" t="str">
        <f>IFERROR(IF(NW$7&gt;$D$3,"",AVERAGE($HJ20:JH20)),"")</f>
        <v/>
      </c>
      <c r="NX20" s="199" t="str">
        <f>IFERROR(IF(NX$7&gt;$D$3,"",AVERAGE($HJ20:JI20)),"")</f>
        <v/>
      </c>
      <c r="NY20" s="199" t="str">
        <f>IFERROR(IF(NY$7&gt;$D$3,"",AVERAGE($HJ20:JJ20)),"")</f>
        <v/>
      </c>
    </row>
    <row r="21" spans="1:389" ht="15" thickBot="1" x14ac:dyDescent="0.35">
      <c r="A21" t="str">
        <f>$B$17&amp;"-"&amp;C21</f>
        <v>Estimating-KPI C1</v>
      </c>
      <c r="B21" s="138"/>
      <c r="C21" s="138" t="str">
        <f>+'KPI Stats'!C20</f>
        <v>KPI C1</v>
      </c>
      <c r="D21" s="146" t="str">
        <f>+'KPI Stats'!D20</f>
        <v>Cost</v>
      </c>
      <c r="E21" s="146" t="str">
        <f>+'KPI Stats'!E20</f>
        <v>Rate of Sales per sq Meter</v>
      </c>
      <c r="F21" s="147" t="str">
        <f>+'KPI Stats'!F20</f>
        <v>£</v>
      </c>
      <c r="G21" s="170" t="str">
        <f>+'KPI Stats'!G20</f>
        <v>Under</v>
      </c>
      <c r="J21" s="160" t="str">
        <f>_xlfn.XLOOKUP(J$7,$AM$7:$CM$7,$AM21:$CM21,,FALSE)</f>
        <v>G</v>
      </c>
      <c r="K21" s="266">
        <f>_xlfn.XLOOKUP(K$7,$FC$7:$HC$7,$FC21:$HC21,,FALSE)</f>
        <v>80.66</v>
      </c>
      <c r="L21" s="279">
        <f>_xlfn.XLOOKUP(L$7,$HJ$7:$JJ$7,$HJ21:$JJ21,,FALSE)</f>
        <v>75</v>
      </c>
      <c r="M21" s="276">
        <f>_xlfn.XLOOKUP(M$7,$CU$7:$EU$7,$CU21:$EU21,,FALSE)</f>
        <v>1.0754666666666666</v>
      </c>
      <c r="P21" s="160" t="str">
        <f>_xlfn.XLOOKUP(P$7,$AM$7:$CM$7,$AM21:$CM21,,FALSE)</f>
        <v>G</v>
      </c>
      <c r="Q21" s="266">
        <f t="shared" si="48"/>
        <v>80.66</v>
      </c>
      <c r="R21" s="279">
        <f t="shared" si="48"/>
        <v>79.488620689655193</v>
      </c>
      <c r="S21" s="289">
        <f t="shared" si="49"/>
        <v>1.0754666666666666</v>
      </c>
      <c r="T21" s="267">
        <f t="shared" si="49"/>
        <v>1.0598482758620693</v>
      </c>
      <c r="U21" s="296" t="str">
        <f>IF(F17&lt;$R$2,"Not Complete",IF(Q21=R21,"Same −",IF($G21="Over",IF(Q21&lt;R21,"Better ↑","Worse ↓"),IF($G21="Under",IF(Q21&gt;R21,"Better ↑","Worse ↓"),"err"))))</f>
        <v>Better ↑</v>
      </c>
      <c r="X21" s="160" t="str">
        <f>IF(Y21="","",IF(Y21="Blank","",IF(AND(G21="above zero",Y21&gt;0),"R",IF(AA21&gt;1,"G",IF(AA21&gt;0.95,"A","R")))))</f>
        <v>G</v>
      </c>
      <c r="Y21" s="164">
        <f>_xlfn.XLOOKUP(Y$7,$JR$7:$LR$7,$JR21:$LR21,FALSE)</f>
        <v>83.094635655329142</v>
      </c>
      <c r="Z21" s="164">
        <f>_xlfn.XLOOKUP(Z$7,$LY$7:$NY$7,$LY21:$NY21,FALSE)</f>
        <v>75</v>
      </c>
      <c r="AA21" s="255">
        <f>IFERROR(IF(G21="Undefined","",IF(G21="under",Y21/Z21,IF(G21="over",Z21/Y21,"err"))),"")</f>
        <v>1.1079284754043885</v>
      </c>
      <c r="AB21" s="296" t="str">
        <f>IF(F17&lt;$R$2,"TBC",IF(Y21=Z21,"Same −",IF($G21="Over",IF(Z21&lt;Y21,"Better ↑ ","Worse ↓ "),IF($G21="Under",IF(Y21&gt;Z21,"Better ↑ ","Worse ↓ "),"err"))))</f>
        <v xml:space="preserve">Better ↑ </v>
      </c>
      <c r="AC21" s="160" t="str">
        <f>IF(AND(G21="above adero",AD21&gt;0),"R",IF(AF21&gt;1,"G",IF(AF21&gt;0.95,"A","R")))</f>
        <v>G</v>
      </c>
      <c r="AD21" s="164">
        <f>_xlfn.XLOOKUP(AD$7,$JR$7:$LR$7,$JR21:$LR21,FALSE)</f>
        <v>83.216367438095602</v>
      </c>
      <c r="AE21" s="164">
        <f>_xlfn.XLOOKUP(AE$7,$LY$7:$NY$7,$LY21:$NY21,FALSE)</f>
        <v>75</v>
      </c>
      <c r="AF21" s="255">
        <f>IF(G21="Undefined","",IF(G21="under",AD21/AE21,IF(G21="over",AE21/AD21,"err")))</f>
        <v>1.1095515658412747</v>
      </c>
      <c r="AH21" s="465" t="str">
        <f>+$A21</f>
        <v>Estimating-KPI C1</v>
      </c>
      <c r="AI21" s="138" t="str">
        <f t="shared" si="50"/>
        <v>KPI C1</v>
      </c>
      <c r="AJ21" s="146" t="str">
        <f t="shared" si="50"/>
        <v>Cost</v>
      </c>
      <c r="AK21" s="146" t="str">
        <f t="shared" si="36"/>
        <v>Rate of Sales per sq Meter</v>
      </c>
      <c r="AL21" s="147" t="str">
        <f t="shared" si="36"/>
        <v>£</v>
      </c>
      <c r="AM21" s="160" t="str">
        <f>IF(AM$7&gt;$D$3,"",_xlfn.XLOOKUP(AM$7,Estimating!$M$6:$BM$6,Estimating!$M$19:$BM$19))</f>
        <v>Blank</v>
      </c>
      <c r="AN21" s="200" t="str">
        <f>IF(AN$7&gt;$D$3,"",_xlfn.XLOOKUP(AN$7,Estimating!$M$6:$BM$6,Estimating!$M$19:$BM$19))</f>
        <v>TBC</v>
      </c>
      <c r="AO21" s="160" t="str">
        <f>IF(AO$7&gt;$D$3,"",_xlfn.XLOOKUP(AO$7,Estimating!$M$6:$BM$6,Estimating!$M$19:$BM$19))</f>
        <v>TBC</v>
      </c>
      <c r="AP21" s="160" t="str">
        <f>IF(AP$7&gt;$D$3,"",_xlfn.XLOOKUP(AP$7,Estimating!$M$6:$BM$6,Estimating!$M$19:$BM$19))</f>
        <v>TBC</v>
      </c>
      <c r="AQ21" s="160" t="str">
        <f>IF(AQ$7&gt;$D$3,"",_xlfn.XLOOKUP(AQ$7,Estimating!$M$6:$BM$6,Estimating!$M$19:$BM$19))</f>
        <v>TBC</v>
      </c>
      <c r="AR21" s="160" t="str">
        <f>IF(AR$7&gt;$D$3,"",_xlfn.XLOOKUP(AR$7,Estimating!$M$6:$BM$6,Estimating!$M$19:$BM$19))</f>
        <v>TBC</v>
      </c>
      <c r="AS21" s="160" t="str">
        <f>IF(AS$7&gt;$D$3,"",_xlfn.XLOOKUP(AS$7,Estimating!$M$6:$BM$6,Estimating!$M$19:$BM$19))</f>
        <v>TBC</v>
      </c>
      <c r="AT21" s="160" t="str">
        <f>IF(AT$7&gt;$D$3,"",_xlfn.XLOOKUP(AT$7,Estimating!$M$6:$BM$6,Estimating!$M$19:$BM$19))</f>
        <v>TBC</v>
      </c>
      <c r="AU21" s="160" t="str">
        <f>IF(AU$7&gt;$D$3,"",_xlfn.XLOOKUP(AU$7,Estimating!$M$6:$BM$6,Estimating!$M$19:$BM$19))</f>
        <v>TBC</v>
      </c>
      <c r="AV21" s="160" t="str">
        <f>IF(AV$7&gt;$D$3,"",_xlfn.XLOOKUP(AV$7,Estimating!$M$6:$BM$6,Estimating!$M$19:$BM$19))</f>
        <v>TBC</v>
      </c>
      <c r="AW21" s="160" t="str">
        <f>IF(AW$7&gt;$D$3,"",_xlfn.XLOOKUP(AW$7,Estimating!$M$6:$BM$6,Estimating!$M$19:$BM$19))</f>
        <v>TBC</v>
      </c>
      <c r="AX21" s="160" t="str">
        <f>IF(AX$7&gt;$D$3,"",_xlfn.XLOOKUP(AX$7,Estimating!$M$6:$BM$6,Estimating!$M$19:$BM$19))</f>
        <v>TBC</v>
      </c>
      <c r="AY21" s="160" t="str">
        <f>IF(AY$7&gt;$D$3,"",_xlfn.XLOOKUP(AY$7,Estimating!$M$6:$BM$6,Estimating!$M$19:$BM$19))</f>
        <v>TBC</v>
      </c>
      <c r="AZ21" s="160" t="str">
        <f>IF(AZ$7&gt;$D$3,"",_xlfn.XLOOKUP(AZ$7,Estimating!$M$6:$BM$6,Estimating!$M$19:$BM$19))</f>
        <v>TBC</v>
      </c>
      <c r="BA21" s="160" t="str">
        <f>IF(BA$7&gt;$D$3,"",_xlfn.XLOOKUP(BA$7,Estimating!$M$6:$BM$6,Estimating!$M$19:$BM$19))</f>
        <v>TBC</v>
      </c>
      <c r="BB21" s="160" t="str">
        <f>IF(BB$7&gt;$D$3,"",_xlfn.XLOOKUP(BB$7,Estimating!$M$6:$BM$6,Estimating!$M$19:$BM$19))</f>
        <v>TBC</v>
      </c>
      <c r="BC21" s="160" t="str">
        <f>IF(BC$7&gt;$D$3,"",_xlfn.XLOOKUP(BC$7,Estimating!$M$6:$BM$6,Estimating!$M$19:$BM$19))</f>
        <v>TBC</v>
      </c>
      <c r="BD21" s="160" t="str">
        <f>IF(BD$7&gt;$D$3,"",_xlfn.XLOOKUP(BD$7,Estimating!$M$6:$BM$6,Estimating!$M$19:$BM$19))</f>
        <v>TBC</v>
      </c>
      <c r="BE21" s="160" t="str">
        <f>IF(BE$7&gt;$D$3,"",_xlfn.XLOOKUP(BE$7,Estimating!$M$6:$BM$6,Estimating!$M$19:$BM$19))</f>
        <v>TBC</v>
      </c>
      <c r="BF21" s="160" t="str">
        <f>IF(BF$7&gt;$D$3,"",_xlfn.XLOOKUP(BF$7,Estimating!$M$6:$BM$6,Estimating!$M$19:$BM$19))</f>
        <v>TBC</v>
      </c>
      <c r="BG21" s="160" t="str">
        <f>IF(BG$7&gt;$D$3,"",_xlfn.XLOOKUP(BG$7,Estimating!$M$6:$BM$6,Estimating!$M$19:$BM$19))</f>
        <v>TBC</v>
      </c>
      <c r="BH21" s="160" t="str">
        <f>IF(BH$7&gt;$D$3,"",_xlfn.XLOOKUP(BH$7,Estimating!$M$6:$BM$6,Estimating!$M$19:$BM$19))</f>
        <v>G</v>
      </c>
      <c r="BI21" s="160" t="str">
        <f>IF(BI$7&gt;$D$3,"",_xlfn.XLOOKUP(BI$7,Estimating!$M$6:$BM$6,Estimating!$M$19:$BM$19))</f>
        <v>G</v>
      </c>
      <c r="BJ21" s="160" t="str">
        <f>IF(BJ$7&gt;$D$3,"",_xlfn.XLOOKUP(BJ$7,Estimating!$M$6:$BM$6,Estimating!$M$19:$BM$19))</f>
        <v>G</v>
      </c>
      <c r="BK21" s="160" t="str">
        <f>IF(BK$7&gt;$D$3,"",_xlfn.XLOOKUP(BK$7,Estimating!$M$6:$BM$6,Estimating!$M$19:$BM$19))</f>
        <v>G</v>
      </c>
      <c r="BL21" s="160" t="str">
        <f>IF(BL$7&gt;$D$3,"",_xlfn.XLOOKUP(BL$7,Estimating!$M$6:$BM$6,Estimating!$M$19:$BM$19))</f>
        <v>A</v>
      </c>
      <c r="BM21" s="160" t="str">
        <f>IF(BM$7&gt;$D$3,"",_xlfn.XLOOKUP(BM$7,Estimating!$M$6:$BM$6,Estimating!$M$19:$BM$19))</f>
        <v>G</v>
      </c>
      <c r="BN21" s="160" t="str">
        <f>IF(BN$7&gt;$D$3,"",_xlfn.XLOOKUP(BN$7,Estimating!$M$6:$BM$6,Estimating!$M$19:$BM$19))</f>
        <v>G</v>
      </c>
      <c r="BO21" s="160" t="str">
        <f>IF(BO$7&gt;$D$3,"",_xlfn.XLOOKUP(BO$7,Estimating!$M$6:$BM$6,Estimating!$M$19:$BM$19))</f>
        <v>A</v>
      </c>
      <c r="BP21" s="160" t="str">
        <f>IF(BP$7&gt;$D$3,"",_xlfn.XLOOKUP(BP$7,Estimating!$M$6:$BM$6,Estimating!$M$19:$BM$19))</f>
        <v>R</v>
      </c>
      <c r="BQ21" s="160" t="str">
        <f>IF(BQ$7&gt;$D$3,"",_xlfn.XLOOKUP(BQ$7,Estimating!$M$6:$BM$6,Estimating!$M$19:$BM$19))</f>
        <v>G</v>
      </c>
      <c r="BR21" s="160" t="str">
        <f>IF(BR$7&gt;$D$3,"",_xlfn.XLOOKUP(BR$7,Estimating!$M$6:$BM$6,Estimating!$M$19:$BM$19))</f>
        <v>R</v>
      </c>
      <c r="BS21" s="160" t="str">
        <f>IF(BS$7&gt;$D$3,"",_xlfn.XLOOKUP(BS$7,Estimating!$M$6:$BM$6,Estimating!$M$19:$BM$19))</f>
        <v>G</v>
      </c>
      <c r="BT21" s="160" t="str">
        <f>IF(BT$7&gt;$D$3,"",_xlfn.XLOOKUP(BT$7,Estimating!$M$6:$BM$6,Estimating!$M$19:$BM$19))</f>
        <v>R</v>
      </c>
      <c r="BU21" s="160" t="str">
        <f>IF(BU$7&gt;$D$3,"",_xlfn.XLOOKUP(BU$7,Estimating!$M$6:$BM$6,Estimating!$M$19:$BM$19))</f>
        <v>G</v>
      </c>
      <c r="BV21" s="160" t="str">
        <f>IF(BV$7&gt;$D$3,"",_xlfn.XLOOKUP(BV$7,Estimating!$M$6:$BM$6,Estimating!$M$19:$BM$19))</f>
        <v>R</v>
      </c>
      <c r="BW21" s="160" t="str">
        <f>IF(BW$7&gt;$D$3,"",_xlfn.XLOOKUP(BW$7,Estimating!$M$6:$BM$6,Estimating!$M$19:$BM$19))</f>
        <v>G</v>
      </c>
      <c r="BX21" s="160" t="str">
        <f>IF(BX$7&gt;$D$3,"",_xlfn.XLOOKUP(BX$7,Estimating!$M$6:$BM$6,Estimating!$M$19:$BM$19))</f>
        <v>G</v>
      </c>
      <c r="BY21" s="160" t="str">
        <f>IF(BY$7&gt;$D$3,"",_xlfn.XLOOKUP(BY$7,Estimating!$M$6:$BM$6,Estimating!$M$19:$BM$19))</f>
        <v>G</v>
      </c>
      <c r="BZ21" s="160" t="str">
        <f>IF(BZ$7&gt;$D$3,"",_xlfn.XLOOKUP(BZ$7,Estimating!$M$6:$BM$6,Estimating!$M$19:$BM$19))</f>
        <v>G</v>
      </c>
      <c r="CA21" s="160" t="str">
        <f>IF(CA$7&gt;$D$3,"",_xlfn.XLOOKUP(CA$7,Estimating!$M$6:$BM$6,Estimating!$M$19:$BM$19))</f>
        <v>G</v>
      </c>
      <c r="CB21" s="160" t="str">
        <f>IF(CB$7&gt;$D$3,"",_xlfn.XLOOKUP(CB$7,Estimating!$M$6:$BM$6,Estimating!$M$19:$BM$19))</f>
        <v>G</v>
      </c>
      <c r="CC21" s="160" t="str">
        <f>IF(CC$7&gt;$D$3,"",_xlfn.XLOOKUP(CC$7,Estimating!$M$6:$BM$6,Estimating!$M$19:$BM$19))</f>
        <v/>
      </c>
      <c r="CD21" s="160" t="str">
        <f>IF(CD$7&gt;$D$3,"",_xlfn.XLOOKUP(CD$7,Estimating!$M$6:$BM$6,Estimating!$M$19:$BM$19))</f>
        <v/>
      </c>
      <c r="CE21" s="160" t="str">
        <f>IF(CE$7&gt;$D$3,"",_xlfn.XLOOKUP(CE$7,Estimating!$M$6:$BM$6,Estimating!$M$19:$BM$19))</f>
        <v/>
      </c>
      <c r="CF21" s="160" t="str">
        <f>IF(CF$7&gt;$D$3,"",_xlfn.XLOOKUP(CF$7,Estimating!$M$6:$BM$6,Estimating!$M$19:$BM$19))</f>
        <v/>
      </c>
      <c r="CG21" s="160" t="str">
        <f>IF(CG$7&gt;$D$3,"",_xlfn.XLOOKUP(CG$7,Estimating!$M$6:$BM$6,Estimating!$M$19:$BM$19))</f>
        <v/>
      </c>
      <c r="CH21" s="160" t="str">
        <f>IF(CH$7&gt;$D$3,"",_xlfn.XLOOKUP(CH$7,Estimating!$M$6:$BM$6,Estimating!$M$19:$BM$19))</f>
        <v/>
      </c>
      <c r="CI21" s="160" t="str">
        <f>IF(CI$7&gt;$D$3,"",_xlfn.XLOOKUP(CI$7,Estimating!$M$6:$BM$6,Estimating!$M$19:$BM$19))</f>
        <v/>
      </c>
      <c r="CJ21" s="160" t="str">
        <f>IF(CJ$7&gt;$D$3,"",_xlfn.XLOOKUP(CJ$7,Estimating!$M$6:$BM$6,Estimating!$M$19:$BM$19))</f>
        <v/>
      </c>
      <c r="CK21" s="160" t="str">
        <f>IF(CK$7&gt;$D$3,"",_xlfn.XLOOKUP(CK$7,Estimating!$M$6:$BM$6,Estimating!$M$19:$BM$19))</f>
        <v/>
      </c>
      <c r="CL21" s="160" t="str">
        <f>IF(CL$7&gt;$D$3,"",_xlfn.XLOOKUP(CL$7,Estimating!$M$6:$BM$6,Estimating!$M$19:$BM$19))</f>
        <v/>
      </c>
      <c r="CM21" s="160" t="str">
        <f>IF(CM$7&gt;$D$3,"",_xlfn.XLOOKUP(CM$7,Estimating!$M$6:$BM$6,Estimating!$M$19:$BM$19))</f>
        <v/>
      </c>
      <c r="CO21" s="465" t="str">
        <f>+$A21</f>
        <v>Estimating-KPI C1</v>
      </c>
      <c r="CP21" s="138" t="str">
        <f t="shared" si="51"/>
        <v>KPI C1</v>
      </c>
      <c r="CQ21" s="146" t="str">
        <f t="shared" si="51"/>
        <v>Cost</v>
      </c>
      <c r="CR21" s="146" t="str">
        <f t="shared" si="51"/>
        <v>Rate of Sales per sq Meter</v>
      </c>
      <c r="CS21" s="147" t="str">
        <f t="shared" si="51"/>
        <v>£</v>
      </c>
      <c r="CT21" s="590" t="s">
        <v>246</v>
      </c>
      <c r="CU21" s="160" t="str">
        <f>IF(CU$7&gt;$D$3,"",_xlfn.XLOOKUP(CU$7,Estimating!$M$6:$BM$6,Estimating!$M$19:$BM$19))</f>
        <v>Blank</v>
      </c>
      <c r="CV21" s="324" t="str">
        <f>IFERROR(IF(CV$7&gt;$D$3,"",IF(AN21="Undefined","Undefined",IF(AN21="TBC","TBC",IF(AN21="OD","OD",IF(AN21="Missed","Missed",IF(_xlfn.XLOOKUP(CV$7,Estimating!$M$6:$BM$6,Estimating!$M$18:$BM$18)/_xlfn.XLOOKUP(CV$7,Estimating!$M$6:$BM$6,Estimating!$M$17:$BM$17)=0,100%,_xlfn.XLOOKUP(CV$7,Estimating!$M$6:$BM$6,Estimating!$M$18:$BM$18)/_xlfn.XLOOKUP(CV$7,Estimating!$M$6:$BM$6,Estimating!$M$17:$BM$17))))))),"")</f>
        <v>TBC</v>
      </c>
      <c r="CW21" s="325" t="str">
        <f>IFERROR(IF(CW$7&gt;$D$3,"",IF(AO21="Undefined","Undefined",IF(AO21="TBC","TBC",IF(AO21="OD","OD",IF(AO21="Missed","Missed",IF(_xlfn.XLOOKUP(CW$7,Estimating!$M$6:$BM$6,Estimating!$M$18:$BM$18)/_xlfn.XLOOKUP(CW$7,Estimating!$M$6:$BM$6,Estimating!$M$17:$BM$17)=0,100%,_xlfn.XLOOKUP(CW$7,Estimating!$M$6:$BM$6,Estimating!$M$18:$BM$18)/_xlfn.XLOOKUP(CW$7,Estimating!$M$6:$BM$6,Estimating!$M$17:$BM$17))))))),"")</f>
        <v>TBC</v>
      </c>
      <c r="CX21" s="325" t="str">
        <f>IFERROR(IF(CX$7&gt;$D$3,"",IF(AP21="Undefined","Undefined",IF(AP21="TBC","TBC",IF(AP21="OD","OD",IF(AP21="Missed","Missed",IF(_xlfn.XLOOKUP(CX$7,Estimating!$M$6:$BM$6,Estimating!$M$18:$BM$18)/_xlfn.XLOOKUP(CX$7,Estimating!$M$6:$BM$6,Estimating!$M$17:$BM$17)=0,100%,_xlfn.XLOOKUP(CX$7,Estimating!$M$6:$BM$6,Estimating!$M$18:$BM$18)/_xlfn.XLOOKUP(CX$7,Estimating!$M$6:$BM$6,Estimating!$M$17:$BM$17))))))),"")</f>
        <v>TBC</v>
      </c>
      <c r="CY21" s="325" t="str">
        <f>IFERROR(IF(CY$7&gt;$D$3,"",IF(AQ21="Undefined","Undefined",IF(AQ21="TBC","TBC",IF(AQ21="OD","OD",IF(AQ21="Missed","Missed",IF(_xlfn.XLOOKUP(CY$7,Estimating!$M$6:$BM$6,Estimating!$M$18:$BM$18)/_xlfn.XLOOKUP(CY$7,Estimating!$M$6:$BM$6,Estimating!$M$17:$BM$17)=0,100%,_xlfn.XLOOKUP(CY$7,Estimating!$M$6:$BM$6,Estimating!$M$18:$BM$18)/_xlfn.XLOOKUP(CY$7,Estimating!$M$6:$BM$6,Estimating!$M$17:$BM$17))))))),"")</f>
        <v>TBC</v>
      </c>
      <c r="CZ21" s="325" t="str">
        <f>IFERROR(IF(CZ$7&gt;$D$3,"",IF(AR21="Undefined","Undefined",IF(AR21="TBC","TBC",IF(AR21="OD","OD",IF(AR21="Missed","Missed",IF(_xlfn.XLOOKUP(CZ$7,Estimating!$M$6:$BM$6,Estimating!$M$18:$BM$18)/_xlfn.XLOOKUP(CZ$7,Estimating!$M$6:$BM$6,Estimating!$M$17:$BM$17)=0,100%,_xlfn.XLOOKUP(CZ$7,Estimating!$M$6:$BM$6,Estimating!$M$18:$BM$18)/_xlfn.XLOOKUP(CZ$7,Estimating!$M$6:$BM$6,Estimating!$M$17:$BM$17))))))),"")</f>
        <v>TBC</v>
      </c>
      <c r="DA21" s="325" t="str">
        <f>IFERROR(IF(DA$7&gt;$D$3,"",IF(AS21="Undefined","Undefined",IF(AS21="TBC","TBC",IF(AS21="OD","OD",IF(AS21="Missed","Missed",IF(_xlfn.XLOOKUP(DA$7,Estimating!$M$6:$BM$6,Estimating!$M$18:$BM$18)/_xlfn.XLOOKUP(DA$7,Estimating!$M$6:$BM$6,Estimating!$M$17:$BM$17)=0,100%,_xlfn.XLOOKUP(DA$7,Estimating!$M$6:$BM$6,Estimating!$M$18:$BM$18)/_xlfn.XLOOKUP(DA$7,Estimating!$M$6:$BM$6,Estimating!$M$17:$BM$17))))))),"")</f>
        <v>TBC</v>
      </c>
      <c r="DB21" s="325" t="str">
        <f>IFERROR(IF(DB$7&gt;$D$3,"",IF(AT21="Undefined","Undefined",IF(AT21="TBC","TBC",IF(AT21="OD","OD",IF(AT21="Missed","Missed",IF(_xlfn.XLOOKUP(DB$7,Estimating!$M$6:$BM$6,Estimating!$M$18:$BM$18)/_xlfn.XLOOKUP(DB$7,Estimating!$M$6:$BM$6,Estimating!$M$17:$BM$17)=0,100%,_xlfn.XLOOKUP(DB$7,Estimating!$M$6:$BM$6,Estimating!$M$18:$BM$18)/_xlfn.XLOOKUP(DB$7,Estimating!$M$6:$BM$6,Estimating!$M$17:$BM$17))))))),"")</f>
        <v>TBC</v>
      </c>
      <c r="DC21" s="325" t="str">
        <f>IFERROR(IF(DC$7&gt;$D$3,"",IF(AU21="Undefined","Undefined",IF(AU21="TBC","TBC",IF(AU21="OD","OD",IF(AU21="Missed","Missed",IF(_xlfn.XLOOKUP(DC$7,Estimating!$M$6:$BM$6,Estimating!$M$18:$BM$18)/_xlfn.XLOOKUP(DC$7,Estimating!$M$6:$BM$6,Estimating!$M$17:$BM$17)=0,100%,_xlfn.XLOOKUP(DC$7,Estimating!$M$6:$BM$6,Estimating!$M$18:$BM$18)/_xlfn.XLOOKUP(DC$7,Estimating!$M$6:$BM$6,Estimating!$M$17:$BM$17))))))),"")</f>
        <v>TBC</v>
      </c>
      <c r="DD21" s="325" t="str">
        <f>IFERROR(IF(DD$7&gt;$D$3,"",IF(AV21="Undefined","Undefined",IF(AV21="TBC","TBC",IF(AV21="OD","OD",IF(AV21="Missed","Missed",IF(_xlfn.XLOOKUP(DD$7,Estimating!$M$6:$BM$6,Estimating!$M$18:$BM$18)/_xlfn.XLOOKUP(DD$7,Estimating!$M$6:$BM$6,Estimating!$M$17:$BM$17)=0,100%,_xlfn.XLOOKUP(DD$7,Estimating!$M$6:$BM$6,Estimating!$M$18:$BM$18)/_xlfn.XLOOKUP(DD$7,Estimating!$M$6:$BM$6,Estimating!$M$17:$BM$17))))))),"")</f>
        <v>TBC</v>
      </c>
      <c r="DE21" s="325" t="str">
        <f>IFERROR(IF(DE$7&gt;$D$3,"",IF(AW21="Undefined","Undefined",IF(AW21="TBC","TBC",IF(AW21="OD","OD",IF(AW21="Missed","Missed",IF(_xlfn.XLOOKUP(DE$7,Estimating!$M$6:$BM$6,Estimating!$M$18:$BM$18)/_xlfn.XLOOKUP(DE$7,Estimating!$M$6:$BM$6,Estimating!$M$17:$BM$17)=0,100%,_xlfn.XLOOKUP(DE$7,Estimating!$M$6:$BM$6,Estimating!$M$18:$BM$18)/_xlfn.XLOOKUP(DE$7,Estimating!$M$6:$BM$6,Estimating!$M$17:$BM$17))))))),"")</f>
        <v>TBC</v>
      </c>
      <c r="DF21" s="325" t="str">
        <f>IFERROR(IF(DF$7&gt;$D$3,"",IF(AX21="Undefined","Undefined",IF(AX21="TBC","TBC",IF(AX21="OD","OD",IF(AX21="Missed","Missed",IF(_xlfn.XLOOKUP(DF$7,Estimating!$M$6:$BM$6,Estimating!$M$18:$BM$18)/_xlfn.XLOOKUP(DF$7,Estimating!$M$6:$BM$6,Estimating!$M$17:$BM$17)=0,100%,_xlfn.XLOOKUP(DF$7,Estimating!$M$6:$BM$6,Estimating!$M$18:$BM$18)/_xlfn.XLOOKUP(DF$7,Estimating!$M$6:$BM$6,Estimating!$M$17:$BM$17))))))),"")</f>
        <v>TBC</v>
      </c>
      <c r="DG21" s="325" t="str">
        <f>IFERROR(IF(DG$7&gt;$D$3,"",IF(AY21="Undefined","Undefined",IF(AY21="TBC","TBC",IF(AY21="OD","OD",IF(AY21="Missed","Missed",IF(_xlfn.XLOOKUP(DG$7,Estimating!$M$6:$BM$6,Estimating!$M$18:$BM$18)/_xlfn.XLOOKUP(DG$7,Estimating!$M$6:$BM$6,Estimating!$M$17:$BM$17)=0,100%,_xlfn.XLOOKUP(DG$7,Estimating!$M$6:$BM$6,Estimating!$M$18:$BM$18)/_xlfn.XLOOKUP(DG$7,Estimating!$M$6:$BM$6,Estimating!$M$17:$BM$17))))))),"")</f>
        <v>TBC</v>
      </c>
      <c r="DH21" s="325" t="str">
        <f>IFERROR(IF(DH$7&gt;$D$3,"",IF(AZ21="Undefined","Undefined",IF(AZ21="TBC","TBC",IF(AZ21="OD","OD",IF(AZ21="Missed","Missed",IF(_xlfn.XLOOKUP(DH$7,Estimating!$M$6:$BM$6,Estimating!$M$18:$BM$18)/_xlfn.XLOOKUP(DH$7,Estimating!$M$6:$BM$6,Estimating!$M$17:$BM$17)=0,100%,_xlfn.XLOOKUP(DH$7,Estimating!$M$6:$BM$6,Estimating!$M$18:$BM$18)/_xlfn.XLOOKUP(DH$7,Estimating!$M$6:$BM$6,Estimating!$M$17:$BM$17))))))),"")</f>
        <v>TBC</v>
      </c>
      <c r="DI21" s="325" t="str">
        <f>IFERROR(IF(DI$7&gt;$D$3,"",IF(BA21="Undefined","Undefined",IF(BA21="TBC","TBC",IF(BA21="OD","OD",IF(BA21="Missed","Missed",IF(_xlfn.XLOOKUP(DI$7,Estimating!$M$6:$BM$6,Estimating!$M$18:$BM$18)/_xlfn.XLOOKUP(DI$7,Estimating!$M$6:$BM$6,Estimating!$M$17:$BM$17)=0,100%,_xlfn.XLOOKUP(DI$7,Estimating!$M$6:$BM$6,Estimating!$M$18:$BM$18)/_xlfn.XLOOKUP(DI$7,Estimating!$M$6:$BM$6,Estimating!$M$17:$BM$17))))))),"")</f>
        <v>TBC</v>
      </c>
      <c r="DJ21" s="325" t="str">
        <f>IFERROR(IF(DJ$7&gt;$D$3,"",IF(BB21="Undefined","Undefined",IF(BB21="TBC","TBC",IF(BB21="OD","OD",IF(BB21="Missed","Missed",IF(_xlfn.XLOOKUP(DJ$7,Estimating!$M$6:$BM$6,Estimating!$M$18:$BM$18)/_xlfn.XLOOKUP(DJ$7,Estimating!$M$6:$BM$6,Estimating!$M$17:$BM$17)=0,100%,_xlfn.XLOOKUP(DJ$7,Estimating!$M$6:$BM$6,Estimating!$M$18:$BM$18)/_xlfn.XLOOKUP(DJ$7,Estimating!$M$6:$BM$6,Estimating!$M$17:$BM$17))))))),"")</f>
        <v>TBC</v>
      </c>
      <c r="DK21" s="325" t="str">
        <f>IFERROR(IF(DK$7&gt;$D$3,"",IF(BC21="Undefined","Undefined",IF(BC21="TBC","TBC",IF(BC21="OD","OD",IF(BC21="Missed","Missed",IF(_xlfn.XLOOKUP(DK$7,Estimating!$M$6:$BM$6,Estimating!$M$18:$BM$18)/_xlfn.XLOOKUP(DK$7,Estimating!$M$6:$BM$6,Estimating!$M$17:$BM$17)=0,100%,_xlfn.XLOOKUP(DK$7,Estimating!$M$6:$BM$6,Estimating!$M$18:$BM$18)/_xlfn.XLOOKUP(DK$7,Estimating!$M$6:$BM$6,Estimating!$M$17:$BM$17))))))),"")</f>
        <v>TBC</v>
      </c>
      <c r="DL21" s="325" t="str">
        <f>IFERROR(IF(DL$7&gt;$D$3,"",IF(BD21="Undefined","Undefined",IF(BD21="TBC","TBC",IF(BD21="OD","OD",IF(BD21="Missed","Missed",IF(_xlfn.XLOOKUP(DL$7,Estimating!$M$6:$BM$6,Estimating!$M$18:$BM$18)/_xlfn.XLOOKUP(DL$7,Estimating!$M$6:$BM$6,Estimating!$M$17:$BM$17)=0,100%,_xlfn.XLOOKUP(DL$7,Estimating!$M$6:$BM$6,Estimating!$M$18:$BM$18)/_xlfn.XLOOKUP(DL$7,Estimating!$M$6:$BM$6,Estimating!$M$17:$BM$17))))))),"")</f>
        <v>TBC</v>
      </c>
      <c r="DM21" s="325" t="str">
        <f>IFERROR(IF(DM$7&gt;$D$3,"",IF(BE21="Undefined","Undefined",IF(BE21="TBC","TBC",IF(BE21="OD","OD",IF(BE21="Missed","Missed",IF(_xlfn.XLOOKUP(DM$7,Estimating!$M$6:$BM$6,Estimating!$M$18:$BM$18)/_xlfn.XLOOKUP(DM$7,Estimating!$M$6:$BM$6,Estimating!$M$17:$BM$17)=0,100%,_xlfn.XLOOKUP(DM$7,Estimating!$M$6:$BM$6,Estimating!$M$18:$BM$18)/_xlfn.XLOOKUP(DM$7,Estimating!$M$6:$BM$6,Estimating!$M$17:$BM$17))))))),"")</f>
        <v>TBC</v>
      </c>
      <c r="DN21" s="325" t="str">
        <f>IFERROR(IF(DN$7&gt;$D$3,"",IF(BF21="Undefined","Undefined",IF(BF21="TBC","TBC",IF(BF21="OD","OD",IF(BF21="Missed","Missed",IF(_xlfn.XLOOKUP(DN$7,Estimating!$M$6:$BM$6,Estimating!$M$18:$BM$18)/_xlfn.XLOOKUP(DN$7,Estimating!$M$6:$BM$6,Estimating!$M$17:$BM$17)=0,100%,_xlfn.XLOOKUP(DN$7,Estimating!$M$6:$BM$6,Estimating!$M$18:$BM$18)/_xlfn.XLOOKUP(DN$7,Estimating!$M$6:$BM$6,Estimating!$M$17:$BM$17))))))),"")</f>
        <v>TBC</v>
      </c>
      <c r="DO21" s="325" t="str">
        <f>IFERROR(IF(DO$7&gt;$D$3,"",IF(BG21="Undefined","Undefined",IF(BG21="TBC","TBC",IF(BG21="OD","OD",IF(BG21="Missed","Missed",IF(_xlfn.XLOOKUP(DO$7,Estimating!$M$6:$BM$6,Estimating!$M$18:$BM$18)/_xlfn.XLOOKUP(DO$7,Estimating!$M$6:$BM$6,Estimating!$M$17:$BM$17)=0,100%,_xlfn.XLOOKUP(DO$7,Estimating!$M$6:$BM$6,Estimating!$M$18:$BM$18)/_xlfn.XLOOKUP(DO$7,Estimating!$M$6:$BM$6,Estimating!$M$17:$BM$17))))))),"")</f>
        <v>TBC</v>
      </c>
      <c r="DP21" s="325">
        <f>IFERROR(IF(DP$7&gt;$D$3,"",IF(BH21="Undefined","Undefined",IF(BH21="TBC","TBC",IF(BH21="OD","OD",IF(BH21="Missed","Missed",IF(_xlfn.XLOOKUP(DP$7,Estimating!$M$6:$BM$6,Estimating!$M$18:$BM$18)/_xlfn.XLOOKUP(DP$7,Estimating!$M$6:$BM$6,Estimating!$M$17:$BM$17)=0,100%,_xlfn.XLOOKUP(DP$7,Estimating!$M$6:$BM$6,Estimating!$M$18:$BM$18)/_xlfn.XLOOKUP(DP$7,Estimating!$M$6:$BM$6,Estimating!$M$17:$BM$17))))))),"")</f>
        <v>1.0087435897435897</v>
      </c>
      <c r="DQ21" s="325">
        <f>IFERROR(IF(DQ$7&gt;$D$3,"",IF(BI21="Undefined","Undefined",IF(BI21="TBC","TBC",IF(BI21="OD","OD",IF(BI21="Missed","Missed",IF(_xlfn.XLOOKUP(DQ$7,Estimating!$M$6:$BM$6,Estimating!$M$18:$BM$18)/_xlfn.XLOOKUP(DQ$7,Estimating!$M$6:$BM$6,Estimating!$M$17:$BM$17)=0,100%,_xlfn.XLOOKUP(DQ$7,Estimating!$M$6:$BM$6,Estimating!$M$18:$BM$18)/_xlfn.XLOOKUP(DQ$7,Estimating!$M$6:$BM$6,Estimating!$M$17:$BM$17))))))),"")</f>
        <v>1.169704761904762</v>
      </c>
      <c r="DR21" s="325">
        <f>IFERROR(IF(DR$7&gt;$D$3,"",IF(BJ21="Undefined","Undefined",IF(BJ21="TBC","TBC",IF(BJ21="OD","OD",IF(BJ21="Missed","Missed",IF(_xlfn.XLOOKUP(DR$7,Estimating!$M$6:$BM$6,Estimating!$M$18:$BM$18)/_xlfn.XLOOKUP(DR$7,Estimating!$M$6:$BM$6,Estimating!$M$17:$BM$17)=0,100%,_xlfn.XLOOKUP(DR$7,Estimating!$M$6:$BM$6,Estimating!$M$18:$BM$18)/_xlfn.XLOOKUP(DR$7,Estimating!$M$6:$BM$6,Estimating!$M$17:$BM$17))))))),"")</f>
        <v>1.1049983739837401</v>
      </c>
      <c r="DS21" s="325">
        <f>IFERROR(IF(DS$7&gt;$D$3,"",IF(BK21="Undefined","Undefined",IF(BK21="TBC","TBC",IF(BK21="OD","OD",IF(BK21="Missed","Missed",IF(_xlfn.XLOOKUP(DS$7,Estimating!$M$6:$BM$6,Estimating!$M$18:$BM$18)/_xlfn.XLOOKUP(DS$7,Estimating!$M$6:$BM$6,Estimating!$M$17:$BM$17)=0,100%,_xlfn.XLOOKUP(DS$7,Estimating!$M$6:$BM$6,Estimating!$M$18:$BM$18)/_xlfn.XLOOKUP(DS$7,Estimating!$M$6:$BM$6,Estimating!$M$17:$BM$17))))))),"")</f>
        <v>1.0950133333333332</v>
      </c>
      <c r="DT21" s="325">
        <f>IFERROR(IF(DT$7&gt;$D$3,"",IF(BL21="Undefined","Undefined",IF(BL21="TBC","TBC",IF(BL21="OD","OD",IF(BL21="Missed","Missed",IF(_xlfn.XLOOKUP(DT$7,Estimating!$M$6:$BM$6,Estimating!$M$18:$BM$18)/_xlfn.XLOOKUP(DT$7,Estimating!$M$6:$BM$6,Estimating!$M$17:$BM$17)=0,100%,_xlfn.XLOOKUP(DT$7,Estimating!$M$6:$BM$6,Estimating!$M$18:$BM$18)/_xlfn.XLOOKUP(DT$7,Estimating!$M$6:$BM$6,Estimating!$M$17:$BM$17))))))),"")</f>
        <v>0.96908571428571422</v>
      </c>
      <c r="DU21" s="325">
        <f>IFERROR(IF(DU$7&gt;$D$3,"",IF(BM21="Undefined","Undefined",IF(BM21="TBC","TBC",IF(BM21="OD","OD",IF(BM21="Missed","Missed",IF(_xlfn.XLOOKUP(DU$7,Estimating!$M$6:$BM$6,Estimating!$M$18:$BM$18)/_xlfn.XLOOKUP(DU$7,Estimating!$M$6:$BM$6,Estimating!$M$17:$BM$17)=0,100%,_xlfn.XLOOKUP(DU$7,Estimating!$M$6:$BM$6,Estimating!$M$18:$BM$18)/_xlfn.XLOOKUP(DU$7,Estimating!$M$6:$BM$6,Estimating!$M$17:$BM$17))))))),"")</f>
        <v>1.049621052631579</v>
      </c>
      <c r="DV21" s="325">
        <f>IFERROR(IF(DV$7&gt;$D$3,"",IF(BN21="Undefined","Undefined",IF(BN21="TBC","TBC",IF(BN21="OD","OD",IF(BN21="Missed","Missed",IF(_xlfn.XLOOKUP(DV$7,Estimating!$M$6:$BM$6,Estimating!$M$18:$BM$18)/_xlfn.XLOOKUP(DV$7,Estimating!$M$6:$BM$6,Estimating!$M$17:$BM$17)=0,100%,_xlfn.XLOOKUP(DV$7,Estimating!$M$6:$BM$6,Estimating!$M$18:$BM$18)/_xlfn.XLOOKUP(DV$7,Estimating!$M$6:$BM$6,Estimating!$M$17:$BM$17))))))),"")</f>
        <v>1.1020000000000001</v>
      </c>
      <c r="DW21" s="325">
        <f>IFERROR(IF(DW$7&gt;$D$3,"",IF(BO21="Undefined","Undefined",IF(BO21="TBC","TBC",IF(BO21="OD","OD",IF(BO21="Missed","Missed",IF(_xlfn.XLOOKUP(DW$7,Estimating!$M$6:$BM$6,Estimating!$M$18:$BM$18)/_xlfn.XLOOKUP(DW$7,Estimating!$M$6:$BM$6,Estimating!$M$17:$BM$17)=0,100%,_xlfn.XLOOKUP(DW$7,Estimating!$M$6:$BM$6,Estimating!$M$18:$BM$18)/_xlfn.XLOOKUP(DW$7,Estimating!$M$6:$BM$6,Estimating!$M$17:$BM$17))))))),"")</f>
        <v>0.96066666666666667</v>
      </c>
      <c r="DX21" s="325">
        <f>IFERROR(IF(DX$7&gt;$D$3,"",IF(BP21="Undefined","Undefined",IF(BP21="TBC","TBC",IF(BP21="OD","OD",IF(BP21="Missed","Missed",IF(_xlfn.XLOOKUP(DX$7,Estimating!$M$6:$BM$6,Estimating!$M$18:$BM$18)/_xlfn.XLOOKUP(DX$7,Estimating!$M$6:$BM$6,Estimating!$M$17:$BM$17)=0,100%,_xlfn.XLOOKUP(DX$7,Estimating!$M$6:$BM$6,Estimating!$M$18:$BM$18)/_xlfn.XLOOKUP(DX$7,Estimating!$M$6:$BM$6,Estimating!$M$17:$BM$17))))))),"")</f>
        <v>0.91674166666666679</v>
      </c>
      <c r="DY21" s="325">
        <f>IFERROR(IF(DY$7&gt;$D$3,"",IF(BQ21="Undefined","Undefined",IF(BQ21="TBC","TBC",IF(BQ21="OD","OD",IF(BQ21="Missed","Missed",IF(_xlfn.XLOOKUP(DY$7,Estimating!$M$6:$BM$6,Estimating!$M$18:$BM$18)/_xlfn.XLOOKUP(DY$7,Estimating!$M$6:$BM$6,Estimating!$M$17:$BM$17)=0,100%,_xlfn.XLOOKUP(DY$7,Estimating!$M$6:$BM$6,Estimating!$M$18:$BM$18)/_xlfn.XLOOKUP(DY$7,Estimating!$M$6:$BM$6,Estimating!$M$17:$BM$17))))))),"")</f>
        <v>1.3758458333333332</v>
      </c>
      <c r="DZ21" s="325">
        <f>IFERROR(IF(DZ$7&gt;$D$3,"",IF(BR21="Undefined","Undefined",IF(BR21="TBC","TBC",IF(BR21="OD","OD",IF(BR21="Missed","Missed",IF(_xlfn.XLOOKUP(DZ$7,Estimating!$M$6:$BM$6,Estimating!$M$18:$BM$18)/_xlfn.XLOOKUP(DZ$7,Estimating!$M$6:$BM$6,Estimating!$M$17:$BM$17)=0,100%,_xlfn.XLOOKUP(DZ$7,Estimating!$M$6:$BM$6,Estimating!$M$18:$BM$18)/_xlfn.XLOOKUP(DZ$7,Estimating!$M$6:$BM$6,Estimating!$M$17:$BM$17))))))),"")</f>
        <v>0.92137777777777763</v>
      </c>
      <c r="EA21" s="325">
        <f>IFERROR(IF(EA$7&gt;$D$3,"",IF(BS21="Undefined","Undefined",IF(BS21="TBC","TBC",IF(BS21="OD","OD",IF(BS21="Missed","Missed",IF(_xlfn.XLOOKUP(EA$7,Estimating!$M$6:$BM$6,Estimating!$M$18:$BM$18)/_xlfn.XLOOKUP(EA$7,Estimating!$M$6:$BM$6,Estimating!$M$17:$BM$17)=0,100%,_xlfn.XLOOKUP(EA$7,Estimating!$M$6:$BM$6,Estimating!$M$18:$BM$18)/_xlfn.XLOOKUP(EA$7,Estimating!$M$6:$BM$6,Estimating!$M$17:$BM$17))))))),"")</f>
        <v>1.0330083333333333</v>
      </c>
      <c r="EB21" s="325">
        <f>IFERROR(IF(EB$7&gt;$D$3,"",IF(BT21="Undefined","Undefined",IF(BT21="TBC","TBC",IF(BT21="OD","OD",IF(BT21="Missed","Missed",IF(_xlfn.XLOOKUP(EB$7,Estimating!$M$6:$BM$6,Estimating!$M$18:$BM$18)/_xlfn.XLOOKUP(EB$7,Estimating!$M$6:$BM$6,Estimating!$M$17:$BM$17)=0,100%,_xlfn.XLOOKUP(EB$7,Estimating!$M$6:$BM$6,Estimating!$M$18:$BM$18)/_xlfn.XLOOKUP(EB$7,Estimating!$M$6:$BM$6,Estimating!$M$17:$BM$17))))))),"")</f>
        <v>0.84298749999999967</v>
      </c>
      <c r="EC21" s="325">
        <f>IFERROR(IF(EC$7&gt;$D$3,"",IF(BU21="Undefined","Undefined",IF(BU21="TBC","TBC",IF(BU21="OD","OD",IF(BU21="Missed","Missed",IF(_xlfn.XLOOKUP(EC$7,Estimating!$M$6:$BM$6,Estimating!$M$18:$BM$18)/_xlfn.XLOOKUP(EC$7,Estimating!$M$6:$BM$6,Estimating!$M$17:$BM$17)=0,100%,_xlfn.XLOOKUP(EC$7,Estimating!$M$6:$BM$6,Estimating!$M$18:$BM$18)/_xlfn.XLOOKUP(EC$7,Estimating!$M$6:$BM$6,Estimating!$M$17:$BM$17))))))),"")</f>
        <v>2.0003906976744186</v>
      </c>
      <c r="ED21" s="325">
        <f>IFERROR(IF(ED$7&gt;$D$3,"",IF(BV21="Undefined","Undefined",IF(BV21="TBC","TBC",IF(BV21="OD","OD",IF(BV21="Missed","Missed",IF(_xlfn.XLOOKUP(ED$7,Estimating!$M$6:$BM$6,Estimating!$M$18:$BM$18)/_xlfn.XLOOKUP(ED$7,Estimating!$M$6:$BM$6,Estimating!$M$17:$BM$17)=0,100%,_xlfn.XLOOKUP(ED$7,Estimating!$M$6:$BM$6,Estimating!$M$18:$BM$18)/_xlfn.XLOOKUP(ED$7,Estimating!$M$6:$BM$6,Estimating!$M$17:$BM$17))))))),"")</f>
        <v>0.94613333333333327</v>
      </c>
      <c r="EE21" s="325">
        <f>IFERROR(IF(EE$7&gt;$D$3,"",IF(BW21="Undefined","Undefined",IF(BW21="TBC","TBC",IF(BW21="OD","OD",IF(BW21="Missed","Missed",IF(_xlfn.XLOOKUP(EE$7,Estimating!$M$6:$BM$6,Estimating!$M$18:$BM$18)/_xlfn.XLOOKUP(EE$7,Estimating!$M$6:$BM$6,Estimating!$M$17:$BM$17)=0,100%,_xlfn.XLOOKUP(EE$7,Estimating!$M$6:$BM$6,Estimating!$M$18:$BM$18)/_xlfn.XLOOKUP(EE$7,Estimating!$M$6:$BM$6,Estimating!$M$17:$BM$17))))))),"")</f>
        <v>1.0645986928104576</v>
      </c>
      <c r="EF21" s="325">
        <f>IFERROR(IF(EF$7&gt;$D$3,"",IF(BX21="Undefined","Undefined",IF(BX21="TBC","TBC",IF(BX21="OD","OD",IF(BX21="Missed","Missed",IF(_xlfn.XLOOKUP(EF$7,Estimating!$M$6:$BM$6,Estimating!$M$18:$BM$18)/_xlfn.XLOOKUP(EF$7,Estimating!$M$6:$BM$6,Estimating!$M$17:$BM$17)=0,100%,_xlfn.XLOOKUP(EF$7,Estimating!$M$6:$BM$6,Estimating!$M$18:$BM$18)/_xlfn.XLOOKUP(EF$7,Estimating!$M$6:$BM$6,Estimating!$M$17:$BM$17))))))),"")</f>
        <v>1.0661967479674794</v>
      </c>
      <c r="EG21" s="325">
        <f>IFERROR(IF(EG$7&gt;$D$3,"",IF(BY21="Undefined","Undefined",IF(BY21="TBC","TBC",IF(BY21="OD","OD",IF(BY21="Missed","Missed",IF(_xlfn.XLOOKUP(EG$7,Estimating!$M$6:$BM$6,Estimating!$M$18:$BM$18)/_xlfn.XLOOKUP(EG$7,Estimating!$M$6:$BM$6,Estimating!$M$17:$BM$17)=0,100%,_xlfn.XLOOKUP(EG$7,Estimating!$M$6:$BM$6,Estimating!$M$18:$BM$18)/_xlfn.XLOOKUP(EG$7,Estimating!$M$6:$BM$6,Estimating!$M$17:$BM$17))))))),"")</f>
        <v>1.4345885057471262</v>
      </c>
      <c r="EH21" s="325">
        <f>IFERROR(IF(EH$7&gt;$D$3,"",IF(BZ21="Undefined","Undefined",IF(BZ21="TBC","TBC",IF(BZ21="OD","OD",IF(BZ21="Missed","Missed",IF(_xlfn.XLOOKUP(EH$7,Estimating!$M$6:$BM$6,Estimating!$M$18:$BM$18)/_xlfn.XLOOKUP(EH$7,Estimating!$M$6:$BM$6,Estimating!$M$17:$BM$17)=0,100%,_xlfn.XLOOKUP(EH$7,Estimating!$M$6:$BM$6,Estimating!$M$18:$BM$18)/_xlfn.XLOOKUP(EH$7,Estimating!$M$6:$BM$6,Estimating!$M$17:$BM$17))))))),"")</f>
        <v>1.0694804597701149</v>
      </c>
      <c r="EI21" s="325">
        <f>IFERROR(IF(EI$7&gt;$D$3,"",IF(CA21="Undefined","Undefined",IF(CA21="TBC","TBC",IF(CA21="OD","OD",IF(CA21="Missed","Missed",IF(_xlfn.XLOOKUP(EI$7,Estimating!$M$6:$BM$6,Estimating!$M$18:$BM$18)/_xlfn.XLOOKUP(EI$7,Estimating!$M$6:$BM$6,Estimating!$M$17:$BM$17)=0,100%,_xlfn.XLOOKUP(EI$7,Estimating!$M$6:$BM$6,Estimating!$M$18:$BM$18)/_xlfn.XLOOKUP(EI$7,Estimating!$M$6:$BM$6,Estimating!$M$17:$BM$17))))))),"")</f>
        <v>1.0598482758620693</v>
      </c>
      <c r="EJ21" s="325">
        <f>IFERROR(IF(EJ$7&gt;$D$3,"",IF(CB21="Undefined","Undefined",IF(CB21="TBC","TBC",IF(CB21="OD","OD",IF(CB21="Missed","Missed",IF(_xlfn.XLOOKUP(EJ$7,Estimating!$M$6:$BM$6,Estimating!$M$18:$BM$18)/_xlfn.XLOOKUP(EJ$7,Estimating!$M$6:$BM$6,Estimating!$M$17:$BM$17)=0,100%,_xlfn.XLOOKUP(EJ$7,Estimating!$M$6:$BM$6,Estimating!$M$18:$BM$18)/_xlfn.XLOOKUP(EJ$7,Estimating!$M$6:$BM$6,Estimating!$M$17:$BM$17))))))),"")</f>
        <v>1.0754666666666666</v>
      </c>
      <c r="EK21" s="325" t="str">
        <f>IFERROR(IF(EK$7&gt;$D$3,"",IF(CC21="Undefined","Undefined",IF(CC21="TBC","TBC",IF(CC21="OD","OD",IF(CC21="Missed","Missed",IF(_xlfn.XLOOKUP(EK$7,Estimating!$M$6:$BM$6,Estimating!$M$18:$BM$18)/_xlfn.XLOOKUP(EK$7,Estimating!$M$6:$BM$6,Estimating!$M$17:$BM$17)=0,100%,_xlfn.XLOOKUP(EK$7,Estimating!$M$6:$BM$6,Estimating!$M$18:$BM$18)/_xlfn.XLOOKUP(EK$7,Estimating!$M$6:$BM$6,Estimating!$M$17:$BM$17))))))),"")</f>
        <v/>
      </c>
      <c r="EL21" s="325" t="str">
        <f>IFERROR(IF(EL$7&gt;$D$3,"",IF(CD21="Undefined","Undefined",IF(CD21="TBC","TBC",IF(CD21="OD","OD",IF(CD21="Missed","Missed",IF(_xlfn.XLOOKUP(EL$7,Estimating!$M$6:$BM$6,Estimating!$M$18:$BM$18)/_xlfn.XLOOKUP(EL$7,Estimating!$M$6:$BM$6,Estimating!$M$17:$BM$17)=0,100%,_xlfn.XLOOKUP(EL$7,Estimating!$M$6:$BM$6,Estimating!$M$18:$BM$18)/_xlfn.XLOOKUP(EL$7,Estimating!$M$6:$BM$6,Estimating!$M$17:$BM$17))))))),"")</f>
        <v/>
      </c>
      <c r="EM21" s="325" t="str">
        <f>IFERROR(IF(EM$7&gt;$D$3,"",IF(CE21="Undefined","Undefined",IF(CE21="TBC","TBC",IF(CE21="OD","OD",IF(CE21="Missed","Missed",IF(_xlfn.XLOOKUP(EM$7,Estimating!$M$6:$BM$6,Estimating!$M$18:$BM$18)/_xlfn.XLOOKUP(EM$7,Estimating!$M$6:$BM$6,Estimating!$M$17:$BM$17)=0,100%,_xlfn.XLOOKUP(EM$7,Estimating!$M$6:$BM$6,Estimating!$M$18:$BM$18)/_xlfn.XLOOKUP(EM$7,Estimating!$M$6:$BM$6,Estimating!$M$17:$BM$17))))))),"")</f>
        <v/>
      </c>
      <c r="EN21" s="325" t="str">
        <f>IFERROR(IF(EN$7&gt;$D$3,"",IF(CF21="Undefined","Undefined",IF(CF21="TBC","TBC",IF(CF21="OD","OD",IF(CF21="Missed","Missed",IF(_xlfn.XLOOKUP(EN$7,Estimating!$M$6:$BM$6,Estimating!$M$18:$BM$18)/_xlfn.XLOOKUP(EN$7,Estimating!$M$6:$BM$6,Estimating!$M$17:$BM$17)=0,100%,_xlfn.XLOOKUP(EN$7,Estimating!$M$6:$BM$6,Estimating!$M$18:$BM$18)/_xlfn.XLOOKUP(EN$7,Estimating!$M$6:$BM$6,Estimating!$M$17:$BM$17))))))),"")</f>
        <v/>
      </c>
      <c r="EO21" s="325" t="str">
        <f>IFERROR(IF(EO$7&gt;$D$3,"",IF(CG21="Undefined","Undefined",IF(CG21="TBC","TBC",IF(CG21="OD","OD",IF(CG21="Missed","Missed",IF(_xlfn.XLOOKUP(EO$7,Estimating!$M$6:$BM$6,Estimating!$M$18:$BM$18)/_xlfn.XLOOKUP(EO$7,Estimating!$M$6:$BM$6,Estimating!$M$17:$BM$17)=0,100%,_xlfn.XLOOKUP(EO$7,Estimating!$M$6:$BM$6,Estimating!$M$18:$BM$18)/_xlfn.XLOOKUP(EO$7,Estimating!$M$6:$BM$6,Estimating!$M$17:$BM$17))))))),"")</f>
        <v/>
      </c>
      <c r="EP21" s="325" t="str">
        <f>IFERROR(IF(EP$7&gt;$D$3,"",IF(CH21="Undefined","Undefined",IF(CH21="TBC","TBC",IF(CH21="OD","OD",IF(CH21="Missed","Missed",IF(_xlfn.XLOOKUP(EP$7,Estimating!$M$6:$BM$6,Estimating!$M$18:$BM$18)/_xlfn.XLOOKUP(EP$7,Estimating!$M$6:$BM$6,Estimating!$M$17:$BM$17)=0,100%,_xlfn.XLOOKUP(EP$7,Estimating!$M$6:$BM$6,Estimating!$M$18:$BM$18)/_xlfn.XLOOKUP(EP$7,Estimating!$M$6:$BM$6,Estimating!$M$17:$BM$17))))))),"")</f>
        <v/>
      </c>
      <c r="EQ21" s="325" t="str">
        <f>IFERROR(IF(EQ$7&gt;$D$3,"",IF(CI21="Undefined","Undefined",IF(CI21="TBC","TBC",IF(CI21="OD","OD",IF(CI21="Missed","Missed",IF(_xlfn.XLOOKUP(EQ$7,Estimating!$M$6:$BM$6,Estimating!$M$18:$BM$18)/_xlfn.XLOOKUP(EQ$7,Estimating!$M$6:$BM$6,Estimating!$M$17:$BM$17)=0,100%,_xlfn.XLOOKUP(EQ$7,Estimating!$M$6:$BM$6,Estimating!$M$18:$BM$18)/_xlfn.XLOOKUP(EQ$7,Estimating!$M$6:$BM$6,Estimating!$M$17:$BM$17))))))),"")</f>
        <v/>
      </c>
      <c r="ER21" s="325" t="str">
        <f>IFERROR(IF(ER$7&gt;$D$3,"",IF(CJ21="Undefined","Undefined",IF(CJ21="TBC","TBC",IF(CJ21="OD","OD",IF(CJ21="Missed","Missed",IF(_xlfn.XLOOKUP(ER$7,Estimating!$M$6:$BM$6,Estimating!$M$18:$BM$18)/_xlfn.XLOOKUP(ER$7,Estimating!$M$6:$BM$6,Estimating!$M$17:$BM$17)=0,100%,_xlfn.XLOOKUP(ER$7,Estimating!$M$6:$BM$6,Estimating!$M$18:$BM$18)/_xlfn.XLOOKUP(ER$7,Estimating!$M$6:$BM$6,Estimating!$M$17:$BM$17))))))),"")</f>
        <v/>
      </c>
      <c r="ES21" s="325" t="str">
        <f>IFERROR(IF(ES$7&gt;$D$3,"",IF(CK21="Undefined","Undefined",IF(CK21="TBC","TBC",IF(CK21="OD","OD",IF(CK21="Missed","Missed",IF(_xlfn.XLOOKUP(ES$7,Estimating!$M$6:$BM$6,Estimating!$M$18:$BM$18)/_xlfn.XLOOKUP(ES$7,Estimating!$M$6:$BM$6,Estimating!$M$17:$BM$17)=0,100%,_xlfn.XLOOKUP(ES$7,Estimating!$M$6:$BM$6,Estimating!$M$18:$BM$18)/_xlfn.XLOOKUP(ES$7,Estimating!$M$6:$BM$6,Estimating!$M$17:$BM$17))))))),"")</f>
        <v/>
      </c>
      <c r="ET21" s="325" t="str">
        <f>IFERROR(IF(ET$7&gt;$D$3,"",IF(CL21="Undefined","Undefined",IF(CL21="TBC","TBC",IF(CL21="OD","OD",IF(CL21="Missed","Missed",IF(_xlfn.XLOOKUP(ET$7,Estimating!$M$6:$BM$6,Estimating!$M$18:$BM$18)/_xlfn.XLOOKUP(ET$7,Estimating!$M$6:$BM$6,Estimating!$M$17:$BM$17)=0,100%,_xlfn.XLOOKUP(ET$7,Estimating!$M$6:$BM$6,Estimating!$M$18:$BM$18)/_xlfn.XLOOKUP(ET$7,Estimating!$M$6:$BM$6,Estimating!$M$17:$BM$17))))))),"")</f>
        <v/>
      </c>
      <c r="EU21" s="325" t="str">
        <f>IFERROR(IF(EU$7&gt;$D$3,"",IF(CM21="Undefined","Undefined",IF(CM21="TBC","TBC",IF(CM21="OD","OD",IF(CM21="Missed","Missed",IF(_xlfn.XLOOKUP(EU$7,Estimating!$M$6:$BM$6,Estimating!$M$18:$BM$18)/_xlfn.XLOOKUP(EU$7,Estimating!$M$6:$BM$6,Estimating!$M$17:$BM$17)=0,100%,_xlfn.XLOOKUP(EU$7,Estimating!$M$6:$BM$6,Estimating!$M$18:$BM$18)/_xlfn.XLOOKUP(EU$7,Estimating!$M$6:$BM$6,Estimating!$M$17:$BM$17))))))),"")</f>
        <v/>
      </c>
      <c r="EW21" s="465" t="str">
        <f>+$A21</f>
        <v>Estimating-KPI C1</v>
      </c>
      <c r="EX21" s="138" t="str">
        <f>+$C21</f>
        <v>KPI C1</v>
      </c>
      <c r="EY21" s="146" t="str">
        <f>+$D21</f>
        <v>Cost</v>
      </c>
      <c r="EZ21" s="146" t="str">
        <f>+$E21</f>
        <v>Rate of Sales per sq Meter</v>
      </c>
      <c r="FA21" s="147" t="str">
        <f>+$F21</f>
        <v>£</v>
      </c>
      <c r="FB21" s="147" t="s">
        <v>251</v>
      </c>
      <c r="FC21" s="200" t="str">
        <f>IF(FC$7&gt;$D$3,"",IF($FA17&lt;FC$7,"OD",_xlfn.XLOOKUP(FC$7,Estimating!$M$6:$BM$6,Estimating!$M$18:$BM$18)))</f>
        <v>Blank</v>
      </c>
      <c r="FD21" s="200" t="str">
        <f>IF(FD$7&gt;$D$3,"",IF($FA17&lt;FD$7,"OD",_xlfn.XLOOKUP(FD$7,Estimating!$M$6:$BM$6,Estimating!$M$18:$BM$18)))</f>
        <v>TBC</v>
      </c>
      <c r="FE21" s="200" t="str">
        <f>IF(FE$7&gt;$D$3,"",IF($FA17&lt;FE$7,"OD",_xlfn.XLOOKUP(FE$7,Estimating!$M$6:$BM$6,Estimating!$M$18:$BM$18)))</f>
        <v>TBC</v>
      </c>
      <c r="FF21" s="200" t="str">
        <f>IF(FF$7&gt;$D$3,"",IF($FA17&lt;FF$7,"OD",_xlfn.XLOOKUP(FF$7,Estimating!$M$6:$BM$6,Estimating!$M$18:$BM$18)))</f>
        <v>TBC</v>
      </c>
      <c r="FG21" s="200" t="str">
        <f>IF(FG$7&gt;$D$3,"",IF($FA17&lt;FG$7,"OD",_xlfn.XLOOKUP(FG$7,Estimating!$M$6:$BM$6,Estimating!$M$18:$BM$18)))</f>
        <v>TBC</v>
      </c>
      <c r="FH21" s="200" t="str">
        <f>IF(FH$7&gt;$D$3,"",IF($FA17&lt;FH$7,"OD",_xlfn.XLOOKUP(FH$7,Estimating!$M$6:$BM$6,Estimating!$M$18:$BM$18)))</f>
        <v>TBC</v>
      </c>
      <c r="FI21" s="200" t="str">
        <f>IF(FI$7&gt;$D$3,"",IF($FA17&lt;FI$7,"OD",_xlfn.XLOOKUP(FI$7,Estimating!$M$6:$BM$6,Estimating!$M$18:$BM$18)))</f>
        <v>TBC</v>
      </c>
      <c r="FJ21" s="200" t="str">
        <f>IF(FJ$7&gt;$D$3,"",IF($FA17&lt;FJ$7,"OD",_xlfn.XLOOKUP(FJ$7,Estimating!$M$6:$BM$6,Estimating!$M$18:$BM$18)))</f>
        <v>TBC</v>
      </c>
      <c r="FK21" s="200" t="str">
        <f>IF(FK$7&gt;$D$3,"",IF($FA17&lt;FK$7,"OD",_xlfn.XLOOKUP(FK$7,Estimating!$M$6:$BM$6,Estimating!$M$18:$BM$18)))</f>
        <v>TBC</v>
      </c>
      <c r="FL21" s="200" t="str">
        <f>IF(FL$7&gt;$D$3,"",IF($FA17&lt;FL$7,"OD",_xlfn.XLOOKUP(FL$7,Estimating!$M$6:$BM$6,Estimating!$M$18:$BM$18)))</f>
        <v>TBC</v>
      </c>
      <c r="FM21" s="200" t="str">
        <f>IF(FM$7&gt;$D$3,"",IF($FA17&lt;FM$7,"OD",_xlfn.XLOOKUP(FM$7,Estimating!$M$6:$BM$6,Estimating!$M$18:$BM$18)))</f>
        <v>TBC</v>
      </c>
      <c r="FN21" s="200" t="str">
        <f>IF(FN$7&gt;$D$3,"",IF($FA17&lt;FN$7,"OD",_xlfn.XLOOKUP(FN$7,Estimating!$M$6:$BM$6,Estimating!$M$18:$BM$18)))</f>
        <v>TBC</v>
      </c>
      <c r="FO21" s="200" t="str">
        <f>IF(FO$7&gt;$D$3,"",IF($FA17&lt;FO$7,"OD",_xlfn.XLOOKUP(FO$7,Estimating!$M$6:$BM$6,Estimating!$M$18:$BM$18)))</f>
        <v>TBC</v>
      </c>
      <c r="FP21" s="200" t="str">
        <f>IF(FP$7&gt;$D$3,"",IF($FA17&lt;FP$7,"OD",_xlfn.XLOOKUP(FP$7,Estimating!$M$6:$BM$6,Estimating!$M$18:$BM$18)))</f>
        <v>TBC</v>
      </c>
      <c r="FQ21" s="200" t="str">
        <f>IF(FQ$7&gt;$D$3,"",IF($FA17&lt;FQ$7,"OD",_xlfn.XLOOKUP(FQ$7,Estimating!$M$6:$BM$6,Estimating!$M$18:$BM$18)))</f>
        <v>TBC</v>
      </c>
      <c r="FR21" s="200" t="str">
        <f>IF(FR$7&gt;$D$3,"",IF($FA17&lt;FR$7,"OD",_xlfn.XLOOKUP(FR$7,Estimating!$M$6:$BM$6,Estimating!$M$18:$BM$18)))</f>
        <v>TBC</v>
      </c>
      <c r="FS21" s="200" t="str">
        <f>IF(FS$7&gt;$D$3,"",IF($FA17&lt;FS$7,"OD",_xlfn.XLOOKUP(FS$7,Estimating!$M$6:$BM$6,Estimating!$M$18:$BM$18)))</f>
        <v>TBC</v>
      </c>
      <c r="FT21" s="200" t="str">
        <f>IF(FT$7&gt;$D$3,"",IF($FA17&lt;FT$7,"OD",_xlfn.XLOOKUP(FT$7,Estimating!$M$6:$BM$6,Estimating!$M$18:$BM$18)))</f>
        <v>TBC</v>
      </c>
      <c r="FU21" s="200" t="str">
        <f>IF(FU$7&gt;$D$3,"",IF($FA17&lt;FU$7,"OD",_xlfn.XLOOKUP(FU$7,Estimating!$M$6:$BM$6,Estimating!$M$18:$BM$18)))</f>
        <v>TBC</v>
      </c>
      <c r="FV21" s="200" t="str">
        <f>IF(FV$7&gt;$D$3,"",IF($FA17&lt;FV$7,"OD",_xlfn.XLOOKUP(FV$7,Estimating!$M$6:$BM$6,Estimating!$M$18:$BM$18)))</f>
        <v>TBC</v>
      </c>
      <c r="FW21" s="200" t="str">
        <f>IF(FW$7&gt;$D$3,"",IF($FA17&lt;FW$7,"OD",_xlfn.XLOOKUP(FW$7,Estimating!$M$6:$BM$6,Estimating!$M$18:$BM$18)))</f>
        <v>TBC</v>
      </c>
      <c r="FX21" s="200">
        <f>IF(FX$7&gt;$D$3,"",IF($FA17&lt;FX$7,"OD",_xlfn.XLOOKUP(FX$7,Estimating!$M$6:$BM$6,Estimating!$M$18:$BM$18)))</f>
        <v>75.655769230769224</v>
      </c>
      <c r="FY21" s="200">
        <f>IF(FY$7&gt;$D$3,"",IF($FA17&lt;FY$7,"OD",_xlfn.XLOOKUP(FY$7,Estimating!$M$6:$BM$6,Estimating!$M$18:$BM$18)))</f>
        <v>87.727857142857147</v>
      </c>
      <c r="FZ21" s="200">
        <f>IF(FZ$7&gt;$D$3,"",IF($FA17&lt;FZ$7,"OD",_xlfn.XLOOKUP(FZ$7,Estimating!$M$6:$BM$6,Estimating!$M$18:$BM$18)))</f>
        <v>82.874878048780502</v>
      </c>
      <c r="GA21" s="200">
        <f>IF(GA$7&gt;$D$3,"",IF($FA17&lt;GA$7,"OD",_xlfn.XLOOKUP(GA$7,Estimating!$M$6:$BM$6,Estimating!$M$18:$BM$18)))</f>
        <v>82.125999999999991</v>
      </c>
      <c r="GB21" s="200">
        <f>IF(GB$7&gt;$D$3,"",IF($FA17&lt;GB$7,"OD",_xlfn.XLOOKUP(GB$7,Estimating!$M$6:$BM$6,Estimating!$M$18:$BM$18)))</f>
        <v>72.681428571428569</v>
      </c>
      <c r="GC21" s="200">
        <f>IF(GC$7&gt;$D$3,"",IF($FA17&lt;GC$7,"OD",_xlfn.XLOOKUP(GC$7,Estimating!$M$6:$BM$6,Estimating!$M$18:$BM$18)))</f>
        <v>78.721578947368428</v>
      </c>
      <c r="GD21" s="200">
        <f>IF(GD$7&gt;$D$3,"",IF($FA17&lt;GD$7,"OD",_xlfn.XLOOKUP(GD$7,Estimating!$M$6:$BM$6,Estimating!$M$18:$BM$18)))</f>
        <v>82.65</v>
      </c>
      <c r="GE21" s="200">
        <f>IF(GE$7&gt;$D$3,"",IF($FA17&lt;GE$7,"OD",_xlfn.XLOOKUP(GE$7,Estimating!$M$6:$BM$6,Estimating!$M$18:$BM$18)))</f>
        <v>72.05</v>
      </c>
      <c r="GF21" s="200">
        <f>IF(GF$7&gt;$D$3,"",IF($FA17&lt;GF$7,"OD",_xlfn.XLOOKUP(GF$7,Estimating!$M$6:$BM$6,Estimating!$M$18:$BM$18)))</f>
        <v>68.755625000000009</v>
      </c>
      <c r="GG21" s="200">
        <f>IF(GG$7&gt;$D$3,"",IF($FA17&lt;GG$7,"OD",_xlfn.XLOOKUP(GG$7,Estimating!$M$6:$BM$6,Estimating!$M$18:$BM$18)))</f>
        <v>103.18843749999999</v>
      </c>
      <c r="GH21" s="200">
        <f>IF(GH$7&gt;$D$3,"",IF($FA17&lt;GH$7,"OD",_xlfn.XLOOKUP(GH$7,Estimating!$M$6:$BM$6,Estimating!$M$18:$BM$18)))</f>
        <v>69.103333333333325</v>
      </c>
      <c r="GI21" s="200">
        <f>IF(GI$7&gt;$D$3,"",IF($FA17&lt;GI$7,"OD",_xlfn.XLOOKUP(GI$7,Estimating!$M$6:$BM$6,Estimating!$M$18:$BM$18)))</f>
        <v>77.475624999999994</v>
      </c>
      <c r="GJ21" s="200">
        <f>IF(GJ$7&gt;$D$3,"",IF($FA17&lt;GJ$7,"OD",_xlfn.XLOOKUP(GJ$7,Estimating!$M$6:$BM$6,Estimating!$M$18:$BM$18)))</f>
        <v>63.224062499999974</v>
      </c>
      <c r="GK21" s="200">
        <f>IF(GK$7&gt;$D$3,"",IF($FA17&lt;GK$7,"OD",_xlfn.XLOOKUP(GK$7,Estimating!$M$6:$BM$6,Estimating!$M$18:$BM$18)))</f>
        <v>150.0293023255814</v>
      </c>
      <c r="GL21" s="200">
        <f>IF(GL$7&gt;$D$3,"",IF($FA17&lt;GL$7,"OD",_xlfn.XLOOKUP(GL$7,Estimating!$M$6:$BM$6,Estimating!$M$18:$BM$18)))</f>
        <v>70.959999999999994</v>
      </c>
      <c r="GM21" s="200">
        <f>IF(GM$7&gt;$D$3,"",IF($FA17&lt;GM$7,"OD",_xlfn.XLOOKUP(GM$7,Estimating!$M$6:$BM$6,Estimating!$M$18:$BM$18)))</f>
        <v>79.844901960784327</v>
      </c>
      <c r="GN21" s="200">
        <f>IF(GN$7&gt;$D$3,"",IF($FA17&lt;GN$7,"OD",_xlfn.XLOOKUP(GN$7,Estimating!$M$6:$BM$6,Estimating!$M$18:$BM$18)))</f>
        <v>79.964756097560965</v>
      </c>
      <c r="GO21" s="200">
        <f>IF(GO$7&gt;$D$3,"",IF($FA17&lt;GO$7,"OD",_xlfn.XLOOKUP(GO$7,Estimating!$M$6:$BM$6,Estimating!$M$18:$BM$18)))</f>
        <v>107.59413793103447</v>
      </c>
      <c r="GP21" s="200">
        <f>IF(GP$7&gt;$D$3,"",IF($FA17&lt;GP$7,"OD",_xlfn.XLOOKUP(GP$7,Estimating!$M$6:$BM$6,Estimating!$M$18:$BM$18)))</f>
        <v>80.21103448275862</v>
      </c>
      <c r="GQ21" s="200">
        <f>IF(GQ$7&gt;$D$3,"",IF($FA17&lt;GQ$7,"OD",_xlfn.XLOOKUP(GQ$7,Estimating!$M$6:$BM$6,Estimating!$M$18:$BM$18)))</f>
        <v>79.488620689655193</v>
      </c>
      <c r="GR21" s="200">
        <f>IF(GR$7&gt;$D$3,"",IF($FA17&lt;GR$7,"OD",_xlfn.XLOOKUP(GR$7,Estimating!$M$6:$BM$6,Estimating!$M$18:$BM$18)))</f>
        <v>80.66</v>
      </c>
      <c r="GS21" s="200" t="str">
        <f>IF(GS$7&gt;$D$3,"",IF($FA17&lt;GS$7,"OD",_xlfn.XLOOKUP(GS$7,Estimating!$M$6:$BM$6,Estimating!$M$18:$BM$18)))</f>
        <v/>
      </c>
      <c r="GT21" s="200" t="str">
        <f>IF(GT$7&gt;$D$3,"",IF($FA17&lt;GT$7,"OD",_xlfn.XLOOKUP(GT$7,Estimating!$M$6:$BM$6,Estimating!$M$18:$BM$18)))</f>
        <v/>
      </c>
      <c r="GU21" s="200" t="str">
        <f>IF(GU$7&gt;$D$3,"",IF($FA17&lt;GU$7,"OD",_xlfn.XLOOKUP(GU$7,Estimating!$M$6:$BM$6,Estimating!$M$18:$BM$18)))</f>
        <v/>
      </c>
      <c r="GV21" s="200" t="str">
        <f>IF(GV$7&gt;$D$3,"",IF($FA17&lt;GV$7,"OD",_xlfn.XLOOKUP(GV$7,Estimating!$M$6:$BM$6,Estimating!$M$18:$BM$18)))</f>
        <v/>
      </c>
      <c r="GW21" s="200" t="str">
        <f>IF(GW$7&gt;$D$3,"",IF($FA17&lt;GW$7,"OD",_xlfn.XLOOKUP(GW$7,Estimating!$M$6:$BM$6,Estimating!$M$18:$BM$18)))</f>
        <v/>
      </c>
      <c r="GX21" s="200" t="str">
        <f>IF(GX$7&gt;$D$3,"",IF($FA17&lt;GX$7,"OD",_xlfn.XLOOKUP(GX$7,Estimating!$M$6:$BM$6,Estimating!$M$18:$BM$18)))</f>
        <v/>
      </c>
      <c r="GY21" s="200" t="str">
        <f>IF(GY$7&gt;$D$3,"",IF($FA17&lt;GY$7,"OD",_xlfn.XLOOKUP(GY$7,Estimating!$M$6:$BM$6,Estimating!$M$18:$BM$18)))</f>
        <v/>
      </c>
      <c r="GZ21" s="200" t="str">
        <f>IF(GZ$7&gt;$D$3,"",IF($FA17&lt;GZ$7,"OD",_xlfn.XLOOKUP(GZ$7,Estimating!$M$6:$BM$6,Estimating!$M$18:$BM$18)))</f>
        <v/>
      </c>
      <c r="HA21" s="200" t="str">
        <f>IF(HA$7&gt;$D$3,"",IF($FA17&lt;HA$7,"OD",_xlfn.XLOOKUP(HA$7,Estimating!$M$6:$BM$6,Estimating!$M$18:$BM$18)))</f>
        <v/>
      </c>
      <c r="HB21" s="200" t="str">
        <f>IF(HB$7&gt;$D$3,"",IF($FA17&lt;HB$7,"OD",_xlfn.XLOOKUP(HB$7,Estimating!$M$6:$BM$6,Estimating!$M$18:$BM$18)))</f>
        <v/>
      </c>
      <c r="HC21" s="200" t="str">
        <f>IF(HC$7&gt;$D$3,"",IF($FA17&lt;HC$7,"OD",_xlfn.XLOOKUP(HC$7,Estimating!$M$6:$BM$6,Estimating!$M$18:$BM$18)))</f>
        <v/>
      </c>
      <c r="HE21" s="138" t="str">
        <f>+$C21</f>
        <v>KPI C1</v>
      </c>
      <c r="HF21" s="146" t="str">
        <f>+$D21</f>
        <v>Cost</v>
      </c>
      <c r="HG21" s="146" t="str">
        <f>+$E21</f>
        <v>Rate of Sales per sq Meter</v>
      </c>
      <c r="HH21" s="147" t="str">
        <f>+$F21</f>
        <v>£</v>
      </c>
      <c r="HI21" s="147" t="s">
        <v>44</v>
      </c>
      <c r="HJ21" s="200" t="str">
        <f>IF(HJ$7&gt;$D$3,"",IF($FA17&lt;HJ$7,"OD",_xlfn.XLOOKUP(HJ$7,Estimating!$M$6:$BM$6,Estimating!$M$17:$BM$17)))</f>
        <v>Blank</v>
      </c>
      <c r="HK21" s="200" t="str">
        <f>IF(HK$7&gt;$D$3,"",IF($FA17&lt;HK$7,"OD",_xlfn.XLOOKUP(HK$7,Estimating!$M$6:$BM$6,Estimating!$M$17:$BM$17)))</f>
        <v>TBC</v>
      </c>
      <c r="HL21" s="200" t="str">
        <f>IF(HL$7&gt;$D$3,"",IF($FA17&lt;HL$7,"OD",_xlfn.XLOOKUP(HL$7,Estimating!$M$6:$BM$6,Estimating!$M$17:$BM$17)))</f>
        <v>TBC</v>
      </c>
      <c r="HM21" s="200" t="str">
        <f>IF(HM$7&gt;$D$3,"",IF($FA17&lt;HM$7,"OD",_xlfn.XLOOKUP(HM$7,Estimating!$M$6:$BM$6,Estimating!$M$17:$BM$17)))</f>
        <v>TBC</v>
      </c>
      <c r="HN21" s="200" t="str">
        <f>IF(HN$7&gt;$D$3,"",IF($FA17&lt;HN$7,"OD",_xlfn.XLOOKUP(HN$7,Estimating!$M$6:$BM$6,Estimating!$M$17:$BM$17)))</f>
        <v>TBC</v>
      </c>
      <c r="HO21" s="200" t="str">
        <f>IF(HO$7&gt;$D$3,"",IF($FA17&lt;HO$7,"OD",_xlfn.XLOOKUP(HO$7,Estimating!$M$6:$BM$6,Estimating!$M$17:$BM$17)))</f>
        <v>TBC</v>
      </c>
      <c r="HP21" s="200" t="str">
        <f>IF(HP$7&gt;$D$3,"",IF($FA17&lt;HP$7,"OD",_xlfn.XLOOKUP(HP$7,Estimating!$M$6:$BM$6,Estimating!$M$17:$BM$17)))</f>
        <v>TBC</v>
      </c>
      <c r="HQ21" s="200" t="str">
        <f>IF(HQ$7&gt;$D$3,"",IF($FA17&lt;HQ$7,"OD",_xlfn.XLOOKUP(HQ$7,Estimating!$M$6:$BM$6,Estimating!$M$17:$BM$17)))</f>
        <v>TBC</v>
      </c>
      <c r="HR21" s="200" t="str">
        <f>IF(HR$7&gt;$D$3,"",IF($FA17&lt;HR$7,"OD",_xlfn.XLOOKUP(HR$7,Estimating!$M$6:$BM$6,Estimating!$M$17:$BM$17)))</f>
        <v>TBC</v>
      </c>
      <c r="HS21" s="200" t="str">
        <f>IF(HS$7&gt;$D$3,"",IF($FA17&lt;HS$7,"OD",_xlfn.XLOOKUP(HS$7,Estimating!$M$6:$BM$6,Estimating!$M$17:$BM$17)))</f>
        <v>TBC</v>
      </c>
      <c r="HT21" s="200" t="str">
        <f>IF(HT$7&gt;$D$3,"",IF($FA17&lt;HT$7,"OD",_xlfn.XLOOKUP(HT$7,Estimating!$M$6:$BM$6,Estimating!$M$17:$BM$17)))</f>
        <v>TBC</v>
      </c>
      <c r="HU21" s="200" t="str">
        <f>IF(HU$7&gt;$D$3,"",IF($FA17&lt;HU$7,"OD",_xlfn.XLOOKUP(HU$7,Estimating!$M$6:$BM$6,Estimating!$M$17:$BM$17)))</f>
        <v>TBC</v>
      </c>
      <c r="HV21" s="200" t="str">
        <f>IF(HV$7&gt;$D$3,"",IF($FA17&lt;HV$7,"OD",_xlfn.XLOOKUP(HV$7,Estimating!$M$6:$BM$6,Estimating!$M$17:$BM$17)))</f>
        <v>TBC</v>
      </c>
      <c r="HW21" s="200" t="str">
        <f>IF(HW$7&gt;$D$3,"",IF($FA17&lt;HW$7,"OD",_xlfn.XLOOKUP(HW$7,Estimating!$M$6:$BM$6,Estimating!$M$17:$BM$17)))</f>
        <v>TBC</v>
      </c>
      <c r="HX21" s="200" t="str">
        <f>IF(HX$7&gt;$D$3,"",IF($FA17&lt;HX$7,"OD",_xlfn.XLOOKUP(HX$7,Estimating!$M$6:$BM$6,Estimating!$M$17:$BM$17)))</f>
        <v>TBC</v>
      </c>
      <c r="HY21" s="200" t="str">
        <f>IF(HY$7&gt;$D$3,"",IF($FA17&lt;HY$7,"OD",_xlfn.XLOOKUP(HY$7,Estimating!$M$6:$BM$6,Estimating!$M$17:$BM$17)))</f>
        <v>TBC</v>
      </c>
      <c r="HZ21" s="200" t="str">
        <f>IF(HZ$7&gt;$D$3,"",IF($FA17&lt;HZ$7,"OD",_xlfn.XLOOKUP(HZ$7,Estimating!$M$6:$BM$6,Estimating!$M$17:$BM$17)))</f>
        <v>TBC</v>
      </c>
      <c r="IA21" s="200" t="str">
        <f>IF(IA$7&gt;$D$3,"",IF($FA17&lt;IA$7,"OD",_xlfn.XLOOKUP(IA$7,Estimating!$M$6:$BM$6,Estimating!$M$17:$BM$17)))</f>
        <v>TBC</v>
      </c>
      <c r="IB21" s="200" t="str">
        <f>IF(IB$7&gt;$D$3,"",IF($FA17&lt;IB$7,"OD",_xlfn.XLOOKUP(IB$7,Estimating!$M$6:$BM$6,Estimating!$M$17:$BM$17)))</f>
        <v>TBC</v>
      </c>
      <c r="IC21" s="200" t="str">
        <f>IF(IC$7&gt;$D$3,"",IF($FA17&lt;IC$7,"OD",_xlfn.XLOOKUP(IC$7,Estimating!$M$6:$BM$6,Estimating!$M$17:$BM$17)))</f>
        <v>TBC</v>
      </c>
      <c r="ID21" s="200" t="str">
        <f>IF(ID$7&gt;$D$3,"",IF($FA17&lt;ID$7,"OD",_xlfn.XLOOKUP(ID$7,Estimating!$M$6:$BM$6,Estimating!$M$17:$BM$17)))</f>
        <v>TBC</v>
      </c>
      <c r="IE21" s="200">
        <f>IF(IE$7&gt;$D$3,"",IF($FA17&lt;IE$7,"OD",_xlfn.XLOOKUP(IE$7,Estimating!$M$6:$BM$6,Estimating!$M$17:$BM$17)))</f>
        <v>75</v>
      </c>
      <c r="IF21" s="200">
        <f>IF(IF$7&gt;$D$3,"",IF($FA17&lt;IF$7,"OD",_xlfn.XLOOKUP(IF$7,Estimating!$M$6:$BM$6,Estimating!$M$17:$BM$17)))</f>
        <v>75</v>
      </c>
      <c r="IG21" s="200">
        <f>IF(IG$7&gt;$D$3,"",IF($FA17&lt;IG$7,"OD",_xlfn.XLOOKUP(IG$7,Estimating!$M$6:$BM$6,Estimating!$M$17:$BM$17)))</f>
        <v>75</v>
      </c>
      <c r="IH21" s="200">
        <f>IF(IH$7&gt;$D$3,"",IF($FA17&lt;IH$7,"OD",_xlfn.XLOOKUP(IH$7,Estimating!$M$6:$BM$6,Estimating!$M$17:$BM$17)))</f>
        <v>75</v>
      </c>
      <c r="II21" s="200">
        <f>IF(II$7&gt;$D$3,"",IF($FA17&lt;II$7,"OD",_xlfn.XLOOKUP(II$7,Estimating!$M$6:$BM$6,Estimating!$M$17:$BM$17)))</f>
        <v>75</v>
      </c>
      <c r="IJ21" s="200">
        <f>IF(IJ$7&gt;$D$3,"",IF($FA17&lt;IJ$7,"OD",_xlfn.XLOOKUP(IJ$7,Estimating!$M$6:$BM$6,Estimating!$M$17:$BM$17)))</f>
        <v>75</v>
      </c>
      <c r="IK21" s="200">
        <f>IF(IK$7&gt;$D$3,"",IF($FA17&lt;IK$7,"OD",_xlfn.XLOOKUP(IK$7,Estimating!$M$6:$BM$6,Estimating!$M$17:$BM$17)))</f>
        <v>75</v>
      </c>
      <c r="IL21" s="200">
        <f>IF(IL$7&gt;$D$3,"",IF($FA17&lt;IL$7,"OD",_xlfn.XLOOKUP(IL$7,Estimating!$M$6:$BM$6,Estimating!$M$17:$BM$17)))</f>
        <v>75</v>
      </c>
      <c r="IM21" s="200">
        <f>IF(IM$7&gt;$D$3,"",IF($FA17&lt;IM$7,"OD",_xlfn.XLOOKUP(IM$7,Estimating!$M$6:$BM$6,Estimating!$M$17:$BM$17)))</f>
        <v>75</v>
      </c>
      <c r="IN21" s="200">
        <f>IF(IN$7&gt;$D$3,"",IF($FA17&lt;IN$7,"OD",_xlfn.XLOOKUP(IN$7,Estimating!$M$6:$BM$6,Estimating!$M$17:$BM$17)))</f>
        <v>75</v>
      </c>
      <c r="IO21" s="200">
        <f>IF(IO$7&gt;$D$3,"",IF($FA17&lt;IO$7,"OD",_xlfn.XLOOKUP(IO$7,Estimating!$M$6:$BM$6,Estimating!$M$17:$BM$17)))</f>
        <v>75</v>
      </c>
      <c r="IP21" s="200">
        <f>IF(IP$7&gt;$D$3,"",IF($FA17&lt;IP$7,"OD",_xlfn.XLOOKUP(IP$7,Estimating!$M$6:$BM$6,Estimating!$M$17:$BM$17)))</f>
        <v>75</v>
      </c>
      <c r="IQ21" s="200">
        <f>IF(IQ$7&gt;$D$3,"",IF($FA17&lt;IQ$7,"OD",_xlfn.XLOOKUP(IQ$7,Estimating!$M$6:$BM$6,Estimating!$M$17:$BM$17)))</f>
        <v>75</v>
      </c>
      <c r="IR21" s="200">
        <f>IF(IR$7&gt;$D$3,"",IF($FA17&lt;IR$7,"OD",_xlfn.XLOOKUP(IR$7,Estimating!$M$6:$BM$6,Estimating!$M$17:$BM$17)))</f>
        <v>75</v>
      </c>
      <c r="IS21" s="200">
        <f>IF(IS$7&gt;$D$3,"",IF($FA17&lt;IS$7,"OD",_xlfn.XLOOKUP(IS$7,Estimating!$M$6:$BM$6,Estimating!$M$17:$BM$17)))</f>
        <v>75</v>
      </c>
      <c r="IT21" s="200">
        <f>IF(IT$7&gt;$D$3,"",IF($FA17&lt;IT$7,"OD",_xlfn.XLOOKUP(IT$7,Estimating!$M$6:$BM$6,Estimating!$M$17:$BM$17)))</f>
        <v>75</v>
      </c>
      <c r="IU21" s="200">
        <f>IF(IU$7&gt;$D$3,"",IF($FA17&lt;IU$7,"OD",_xlfn.XLOOKUP(IU$7,Estimating!$M$6:$BM$6,Estimating!$M$17:$BM$17)))</f>
        <v>75</v>
      </c>
      <c r="IV21" s="200">
        <f>IF(IV$7&gt;$D$3,"",IF($FA17&lt;IV$7,"OD",_xlfn.XLOOKUP(IV$7,Estimating!$M$6:$BM$6,Estimating!$M$17:$BM$17)))</f>
        <v>75</v>
      </c>
      <c r="IW21" s="200">
        <f>IF(IW$7&gt;$D$3,"",IF($FA17&lt;IW$7,"OD",_xlfn.XLOOKUP(IW$7,Estimating!$M$6:$BM$6,Estimating!$M$17:$BM$17)))</f>
        <v>75</v>
      </c>
      <c r="IX21" s="200">
        <f>IF(IX$7&gt;$D$3,"",IF($FA17&lt;IX$7,"OD",_xlfn.XLOOKUP(IX$7,Estimating!$M$6:$BM$6,Estimating!$M$17:$BM$17)))</f>
        <v>75</v>
      </c>
      <c r="IY21" s="200">
        <f>IF(IY$7&gt;$D$3,"",IF($FA17&lt;IY$7,"OD",_xlfn.XLOOKUP(IY$7,Estimating!$M$6:$BM$6,Estimating!$M$17:$BM$17)))</f>
        <v>75</v>
      </c>
      <c r="IZ21" s="200" t="str">
        <f>IF(IZ$7&gt;$D$3,"",IF($FA17&lt;IZ$7,"OD",_xlfn.XLOOKUP(IZ$7,Estimating!$M$6:$BM$6,Estimating!$M$17:$BM$17)))</f>
        <v/>
      </c>
      <c r="JA21" s="200" t="str">
        <f>IF(JA$7&gt;$D$3,"",IF($FA17&lt;JA$7,"OD",_xlfn.XLOOKUP(JA$7,Estimating!$M$6:$BM$6,Estimating!$M$17:$BM$17)))</f>
        <v/>
      </c>
      <c r="JB21" s="200" t="str">
        <f>IF(JB$7&gt;$D$3,"",IF($FA17&lt;JB$7,"OD",_xlfn.XLOOKUP(JB$7,Estimating!$M$6:$BM$6,Estimating!$M$17:$BM$17)))</f>
        <v/>
      </c>
      <c r="JC21" s="200" t="str">
        <f>IF(JC$7&gt;$D$3,"",IF($FA17&lt;JC$7,"OD",_xlfn.XLOOKUP(JC$7,Estimating!$M$6:$BM$6,Estimating!$M$17:$BM$17)))</f>
        <v/>
      </c>
      <c r="JD21" s="200" t="str">
        <f>IF(JD$7&gt;$D$3,"",IF($FA17&lt;JD$7,"OD",_xlfn.XLOOKUP(JD$7,Estimating!$M$6:$BM$6,Estimating!$M$17:$BM$17)))</f>
        <v/>
      </c>
      <c r="JE21" s="200" t="str">
        <f>IF(JE$7&gt;$D$3,"",IF($FA17&lt;JE$7,"OD",_xlfn.XLOOKUP(JE$7,Estimating!$M$6:$BM$6,Estimating!$M$17:$BM$17)))</f>
        <v/>
      </c>
      <c r="JF21" s="200" t="str">
        <f>IF(JF$7&gt;$D$3,"",IF($FA17&lt;JF$7,"OD",_xlfn.XLOOKUP(JF$7,Estimating!$M$6:$BM$6,Estimating!$M$17:$BM$17)))</f>
        <v/>
      </c>
      <c r="JG21" s="200" t="str">
        <f>IF(JG$7&gt;$D$3,"",IF($FA17&lt;JG$7,"OD",_xlfn.XLOOKUP(JG$7,Estimating!$M$6:$BM$6,Estimating!$M$17:$BM$17)))</f>
        <v/>
      </c>
      <c r="JH21" s="200" t="str">
        <f>IF(JH$7&gt;$D$3,"",IF($FA17&lt;JH$7,"OD",_xlfn.XLOOKUP(JH$7,Estimating!$M$6:$BM$6,Estimating!$M$17:$BM$17)))</f>
        <v/>
      </c>
      <c r="JI21" s="200" t="str">
        <f>IF(JI$7&gt;$D$3,"",IF($FA17&lt;JI$7,"OD",_xlfn.XLOOKUP(JI$7,Estimating!$M$6:$BM$6,Estimating!$M$17:$BM$17)))</f>
        <v/>
      </c>
      <c r="JJ21" s="200" t="str">
        <f>IF(JJ$7&gt;$D$3,"",IF($FA17&lt;JJ$7,"OD",_xlfn.XLOOKUP(JJ$7,Estimating!$M$6:$BM$6,Estimating!$M$17:$BM$17)))</f>
        <v/>
      </c>
      <c r="JM21" s="138" t="str">
        <f>+$C21</f>
        <v>KPI C1</v>
      </c>
      <c r="JN21" s="146" t="str">
        <f>+$D21</f>
        <v>Cost</v>
      </c>
      <c r="JO21" s="146" t="str">
        <f>+$E21</f>
        <v>Rate of Sales per sq Meter</v>
      </c>
      <c r="JP21" s="147" t="str">
        <f>+$F21</f>
        <v>£</v>
      </c>
      <c r="JQ21" s="147" t="s">
        <v>284</v>
      </c>
      <c r="JR21" s="248" t="str">
        <f>IFERROR(AVERAGE(FC21:$FC21),"")</f>
        <v/>
      </c>
      <c r="JS21" s="248" t="str">
        <f>IFERROR(AVERAGE($FC21:FD21),"")</f>
        <v/>
      </c>
      <c r="JT21" s="248" t="str">
        <f>IFERROR(AVERAGE($FC21:FE21),"")</f>
        <v/>
      </c>
      <c r="JU21" s="248" t="str">
        <f>IFERROR(AVERAGE($FC21:FF21),"")</f>
        <v/>
      </c>
      <c r="JV21" s="248" t="str">
        <f>IFERROR(AVERAGE($FC21:FG21),"")</f>
        <v/>
      </c>
      <c r="JW21" s="248" t="str">
        <f>IFERROR(AVERAGE($FC21:FH21),"")</f>
        <v/>
      </c>
      <c r="JX21" s="248" t="str">
        <f>IFERROR(AVERAGE($FC21:FI21),"")</f>
        <v/>
      </c>
      <c r="JY21" s="248" t="str">
        <f>IFERROR(AVERAGE($FC21:FJ21),"")</f>
        <v/>
      </c>
      <c r="JZ21" s="248" t="str">
        <f>IFERROR(AVERAGE($FC21:FK21),"")</f>
        <v/>
      </c>
      <c r="KA21" s="248" t="str">
        <f>IFERROR(AVERAGE($FC21:FL21),"")</f>
        <v/>
      </c>
      <c r="KB21" s="248" t="str">
        <f>IFERROR(AVERAGE($FC21:FM21),"")</f>
        <v/>
      </c>
      <c r="KC21" s="248" t="str">
        <f>IFERROR(AVERAGE($FC21:FN21),"")</f>
        <v/>
      </c>
      <c r="KD21" s="248" t="str">
        <f>IFERROR(AVERAGE($FC21:FO21),"")</f>
        <v/>
      </c>
      <c r="KE21" s="248" t="str">
        <f>IFERROR(AVERAGE($FC21:FP21),"")</f>
        <v/>
      </c>
      <c r="KF21" s="248" t="str">
        <f>IFERROR(AVERAGE($FC21:FQ21),"")</f>
        <v/>
      </c>
      <c r="KG21" s="248" t="str">
        <f>IFERROR(AVERAGE($FC21:FR21),"")</f>
        <v/>
      </c>
      <c r="KH21" s="248" t="str">
        <f>IFERROR(AVERAGE($FC21:FS21),"")</f>
        <v/>
      </c>
      <c r="KI21" s="248" t="str">
        <f>IFERROR(AVERAGE($FC21:FT21),"")</f>
        <v/>
      </c>
      <c r="KJ21" s="248" t="str">
        <f>IFERROR(AVERAGE($FC21:FU21),"")</f>
        <v/>
      </c>
      <c r="KK21" s="248" t="str">
        <f>IFERROR(AVERAGE($FC21:FV21),"")</f>
        <v/>
      </c>
      <c r="KL21" s="248" t="str">
        <f>IFERROR(AVERAGE($FC21:FW21),"")</f>
        <v/>
      </c>
      <c r="KM21" s="248">
        <f>IFERROR(AVERAGE($FC21:FX21),"")</f>
        <v>75.655769230769224</v>
      </c>
      <c r="KN21" s="248">
        <f>IFERROR(AVERAGE($FC21:FY21),"")</f>
        <v>81.691813186813192</v>
      </c>
      <c r="KO21" s="248">
        <f>IFERROR(AVERAGE($FC21:FZ21),"")</f>
        <v>82.086168140802286</v>
      </c>
      <c r="KP21" s="248">
        <f>IFERROR(AVERAGE($FC21:GA21),"")</f>
        <v>82.096126105601712</v>
      </c>
      <c r="KQ21" s="248">
        <f>IFERROR(AVERAGE($FC21:GB21),"")</f>
        <v>80.213186598767081</v>
      </c>
      <c r="KR21" s="248">
        <f>IFERROR(AVERAGE($FC21:GC21),"")</f>
        <v>79.964585323533967</v>
      </c>
      <c r="KS21" s="248">
        <f>IFERROR(AVERAGE($FC21:GD21),"")</f>
        <v>80.348215991600554</v>
      </c>
      <c r="KT21" s="248">
        <f>IFERROR(AVERAGE($FC21:GE21),"")</f>
        <v>79.310938992650478</v>
      </c>
      <c r="KU21" s="248">
        <f>IFERROR(AVERAGE($FC21:GF21),"")</f>
        <v>78.138126326800432</v>
      </c>
      <c r="KV21" s="248">
        <f>IFERROR(AVERAGE($FC21:GG21),"")</f>
        <v>80.643157444120376</v>
      </c>
      <c r="KW21" s="248">
        <f>IFERROR(AVERAGE($FC21:GH21),"")</f>
        <v>79.594082524957926</v>
      </c>
      <c r="KX21" s="248">
        <f>IFERROR(AVERAGE($FC21:GI21),"")</f>
        <v>79.417544397878103</v>
      </c>
      <c r="KY21" s="248">
        <f>IFERROR(AVERAGE($FC21:GJ21),"")</f>
        <v>78.171891944195167</v>
      </c>
      <c r="KZ21" s="248">
        <f>IFERROR(AVERAGE($FC21:GK21),"")</f>
        <v>83.30456411429418</v>
      </c>
      <c r="LA21" s="248">
        <f>IFERROR(AVERAGE($FC21:GL21),"")</f>
        <v>82.481593173341238</v>
      </c>
      <c r="LB21" s="248">
        <f>IFERROR(AVERAGE($FC21:GM21),"")</f>
        <v>82.316799972556424</v>
      </c>
      <c r="LC21" s="248">
        <f>IFERROR(AVERAGE($FC21:GN21),"")</f>
        <v>82.178444450497864</v>
      </c>
      <c r="LD21" s="248">
        <f>IFERROR(AVERAGE($FC21:GO21),"")</f>
        <v>83.590427421638793</v>
      </c>
      <c r="LE21" s="248">
        <f>IFERROR(AVERAGE($FC21:GP21),"")</f>
        <v>83.412564635381941</v>
      </c>
      <c r="LF21" s="248">
        <f>IFERROR(AVERAGE($FC21:GQ21),"")</f>
        <v>83.216367438095602</v>
      </c>
      <c r="LG21" s="248">
        <f>IFERROR(AVERAGE($FC21:GR21),"")</f>
        <v>83.094635655329142</v>
      </c>
      <c r="LH21" s="248">
        <f>IFERROR(AVERAGE($FC21:GS21),"")</f>
        <v>83.094635655329142</v>
      </c>
      <c r="LI21" s="248">
        <f>IFERROR(AVERAGE($FC21:GT21),"")</f>
        <v>83.094635655329142</v>
      </c>
      <c r="LJ21" s="248">
        <f>IFERROR(AVERAGE($FC21:GU21),"")</f>
        <v>83.094635655329142</v>
      </c>
      <c r="LK21" s="248">
        <f>IFERROR(AVERAGE($FC21:GV21),"")</f>
        <v>83.094635655329142</v>
      </c>
      <c r="LL21" s="248">
        <f>IFERROR(AVERAGE($FC21:GW21),"")</f>
        <v>83.094635655329142</v>
      </c>
      <c r="LM21" s="248">
        <f>IFERROR(AVERAGE($FC21:GX21),"")</f>
        <v>83.094635655329142</v>
      </c>
      <c r="LN21" s="248">
        <f>IFERROR(AVERAGE($FC21:GY21),"")</f>
        <v>83.094635655329142</v>
      </c>
      <c r="LO21" s="248">
        <f>IFERROR(AVERAGE($FC21:GZ21),"")</f>
        <v>83.094635655329142</v>
      </c>
      <c r="LP21" s="248">
        <f>IFERROR(AVERAGE($FC21:HA21),"")</f>
        <v>83.094635655329142</v>
      </c>
      <c r="LQ21" s="248">
        <f>IFERROR(AVERAGE($FC21:HB21),"")</f>
        <v>83.094635655329142</v>
      </c>
      <c r="LR21" s="248">
        <f>IFERROR(AVERAGE($FC21:HC21),"")</f>
        <v>83.094635655329142</v>
      </c>
      <c r="LT21" s="138" t="str">
        <f>+$C21</f>
        <v>KPI C1</v>
      </c>
      <c r="LU21" s="146" t="str">
        <f>+$D21</f>
        <v>Cost</v>
      </c>
      <c r="LV21" s="146" t="str">
        <f>+$E21</f>
        <v>Rate of Sales per sq Meter</v>
      </c>
      <c r="LW21" s="147" t="str">
        <f>+$F21</f>
        <v>£</v>
      </c>
      <c r="LX21" s="147" t="s">
        <v>285</v>
      </c>
      <c r="LY21" s="200" t="str">
        <f>IFERROR(AVERAGE($HJ21:HJ21),"")</f>
        <v/>
      </c>
      <c r="LZ21" s="200" t="str">
        <f>IFERROR(IF(LAD$7&gt;$D$3,"",AVERAGE($HJ21:HK21)),"")</f>
        <v/>
      </c>
      <c r="MA21" s="200" t="str">
        <f>IFERROR(IF(MA$7&gt;$D$3,"",AVERAGE($HJ21:HL21)),"")</f>
        <v/>
      </c>
      <c r="MB21" s="200" t="str">
        <f>IFERROR(IF(MB$7&gt;$D$3,"",AVERAGE($HJ21:HM21)),"")</f>
        <v/>
      </c>
      <c r="MC21" s="200" t="str">
        <f>IFERROR(IF(MC$7&gt;$D$3,"",AVERAGE($HJ21:HN21)),"")</f>
        <v/>
      </c>
      <c r="MD21" s="200" t="str">
        <f>IFERROR(IF(MD$7&gt;$D$3,"",AVERAGE($HJ21:HO21)),"")</f>
        <v/>
      </c>
      <c r="ME21" s="200" t="str">
        <f>IFERROR(IF(ME$7&gt;$D$3,"",AVERAGE($HJ21:HP21)),"")</f>
        <v/>
      </c>
      <c r="MF21" s="200" t="str">
        <f>IFERROR(IF(MF$7&gt;$D$3,"",AVERAGE($HJ21:HQ21)),"")</f>
        <v/>
      </c>
      <c r="MG21" s="200" t="str">
        <f>IFERROR(IF(MG$7&gt;$D$3,"",AVERAGE($HJ21:HR21)),"")</f>
        <v/>
      </c>
      <c r="MH21" s="200" t="str">
        <f>IFERROR(IF(MH$7&gt;$D$3,"",AVERAGE($HJ21:HS21)),"")</f>
        <v/>
      </c>
      <c r="MI21" s="200" t="str">
        <f>IFERROR(IF(MI$7&gt;$D$3,"",AVERAGE($HJ21:HT21)),"")</f>
        <v/>
      </c>
      <c r="MJ21" s="200" t="str">
        <f>IFERROR(IF(MJ$7&gt;$D$3,"",AVERAGE($HJ21:HU21)),"")</f>
        <v/>
      </c>
      <c r="MK21" s="200" t="str">
        <f>IFERROR(IF(MK$7&gt;$D$3,"",AVERAGE($HJ21:HV21)),"")</f>
        <v/>
      </c>
      <c r="ML21" s="200" t="str">
        <f>IFERROR(IF(ML$7&gt;$D$3,"",AVERAGE($HJ21:HW21)),"")</f>
        <v/>
      </c>
      <c r="MM21" s="200" t="str">
        <f>IFERROR(IF(MM$7&gt;$D$3,"",AVERAGE($HJ21:HX21)),"")</f>
        <v/>
      </c>
      <c r="MN21" s="200" t="str">
        <f>IFERROR(IF(MN$7&gt;$D$3,"",AVERAGE($HJ21:HY21)),"")</f>
        <v/>
      </c>
      <c r="MO21" s="200" t="str">
        <f>IFERROR(IF(MO$7&gt;$D$3,"",AVERAGE($HJ21:HZ21)),"")</f>
        <v/>
      </c>
      <c r="MP21" s="200" t="str">
        <f>IFERROR(IF(MP$7&gt;$D$3,"",AVERAGE($HJ21:IA21)),"")</f>
        <v/>
      </c>
      <c r="MQ21" s="200" t="str">
        <f>IFERROR(IF(MQ$7&gt;$D$3,"",AVERAGE($HJ21:IB21)),"")</f>
        <v/>
      </c>
      <c r="MR21" s="200" t="str">
        <f>IFERROR(IF(MR$7&gt;$D$3,"",AVERAGE($HJ21:IC21)),"")</f>
        <v/>
      </c>
      <c r="MS21" s="200" t="str">
        <f>IFERROR(IF(MS$7&gt;$D$3,"",AVERAGE($HJ21:ID21)),"")</f>
        <v/>
      </c>
      <c r="MT21" s="200">
        <f>IFERROR(IF(MT$7&gt;$D$3,"",AVERAGE($HJ21:IE21)),"")</f>
        <v>75</v>
      </c>
      <c r="MU21" s="200">
        <f>IFERROR(IF(MU$7&gt;$D$3,"",AVERAGE($HJ21:IF21)),"")</f>
        <v>75</v>
      </c>
      <c r="MV21" s="200">
        <f>IFERROR(IF(MV$7&gt;$D$3,"",AVERAGE($HJ21:IG21)),"")</f>
        <v>75</v>
      </c>
      <c r="MW21" s="200">
        <f>IFERROR(IF(MW$7&gt;$D$3,"",AVERAGE($HJ21:IH21)),"")</f>
        <v>75</v>
      </c>
      <c r="MX21" s="200">
        <f>IFERROR(IF(MX$7&gt;$D$3,"",AVERAGE($HJ21:II21)),"")</f>
        <v>75</v>
      </c>
      <c r="MY21" s="200">
        <f>IFERROR(IF(MY$7&gt;$D$3,"",AVERAGE($HJ21:IJ21)),"")</f>
        <v>75</v>
      </c>
      <c r="MZ21" s="200">
        <f>IFERROR(IF(MZ$7&gt;$D$3,"",AVERAGE($HJ21:IK21)),"")</f>
        <v>75</v>
      </c>
      <c r="NA21" s="200">
        <f>IFERROR(IF(NA$7&gt;$D$3,"",AVERAGE($HJ21:IL21)),"")</f>
        <v>75</v>
      </c>
      <c r="NB21" s="200">
        <f>IFERROR(IF(NB$7&gt;$D$3,"",AVERAGE($HJ21:IM21)),"")</f>
        <v>75</v>
      </c>
      <c r="NC21" s="200">
        <f>IFERROR(IF(NC$7&gt;$D$3,"",AVERAGE($HJ21:IN21)),"")</f>
        <v>75</v>
      </c>
      <c r="ND21" s="200">
        <f>IFERROR(IF(ND$7&gt;$D$3,"",AVERAGE($HJ21:IO21)),"")</f>
        <v>75</v>
      </c>
      <c r="NE21" s="200">
        <f>IFERROR(IF(NE$7&gt;$D$3,"",AVERAGE($HJ21:IP21)),"")</f>
        <v>75</v>
      </c>
      <c r="NF21" s="200">
        <f>IFERROR(IF(NF$7&gt;$D$3,"",AVERAGE($HJ21:IQ21)),"")</f>
        <v>75</v>
      </c>
      <c r="NG21" s="200">
        <f>IFERROR(IF(NG$7&gt;$D$3,"",AVERAGE($HJ21:IR21)),"")</f>
        <v>75</v>
      </c>
      <c r="NH21" s="200">
        <f>IFERROR(IF(NH$7&gt;$D$3,"",AVERAGE($HJ21:IS21)),"")</f>
        <v>75</v>
      </c>
      <c r="NI21" s="200">
        <f>IFERROR(IF(NI$7&gt;$D$3,"",AVERAGE($HJ21:IT21)),"")</f>
        <v>75</v>
      </c>
      <c r="NJ21" s="200">
        <f>IFERROR(IF(NJ$7&gt;$D$3,"",AVERAGE($HJ21:IU21)),"")</f>
        <v>75</v>
      </c>
      <c r="NK21" s="200">
        <f>IFERROR(IF(NK$7&gt;$D$3,"",AVERAGE($HJ21:IV21)),"")</f>
        <v>75</v>
      </c>
      <c r="NL21" s="200">
        <f>IFERROR(IF(NL$7&gt;$D$3,"",AVERAGE($HJ21:IW21)),"")</f>
        <v>75</v>
      </c>
      <c r="NM21" s="200">
        <f>IFERROR(IF(NM$7&gt;$D$3,"",AVERAGE($HJ21:IX21)),"")</f>
        <v>75</v>
      </c>
      <c r="NN21" s="200">
        <f>IFERROR(IF(NN$7&gt;$D$3,"",AVERAGE($HJ21:IY21)),"")</f>
        <v>75</v>
      </c>
      <c r="NO21" s="200" t="str">
        <f>IFERROR(IF(NO$7&gt;$D$3,"",AVERAGE($HJ21:IZ21)),"")</f>
        <v/>
      </c>
      <c r="NP21" s="200" t="str">
        <f>IFERROR(IF(NP$7&gt;$D$3,"",AVERAGE($HJ21:JA21)),"")</f>
        <v/>
      </c>
      <c r="NQ21" s="200" t="str">
        <f>IFERROR(IF(NQ$7&gt;$D$3,"",AVERAGE($HJ21:JB21)),"")</f>
        <v/>
      </c>
      <c r="NR21" s="200" t="str">
        <f>IFERROR(IF(NR$7&gt;$D$3,"",AVERAGE($HJ21:JC21)),"")</f>
        <v/>
      </c>
      <c r="NS21" s="200" t="str">
        <f>IFERROR(IF(NS$7&gt;$D$3,"",AVERAGE($HJ21:JD21)),"")</f>
        <v/>
      </c>
      <c r="NT21" s="200" t="str">
        <f>IFERROR(IF(NT$7&gt;$D$3,"",AVERAGE($HJ21:JE21)),"")</f>
        <v/>
      </c>
      <c r="NU21" s="200" t="str">
        <f>IFERROR(IF(NU$7&gt;$D$3,"",AVERAGE($HJ21:JF21)),"")</f>
        <v/>
      </c>
      <c r="NV21" s="200" t="str">
        <f>IFERROR(IF(NV$7&gt;$D$3,"",AVERAGE($HJ21:JG21)),"")</f>
        <v/>
      </c>
      <c r="NW21" s="200" t="str">
        <f>IFERROR(IF(NW$7&gt;$D$3,"",AVERAGE($HJ21:JH21)),"")</f>
        <v/>
      </c>
      <c r="NX21" s="200" t="str">
        <f>IFERROR(IF(NX$7&gt;$D$3,"",AVERAGE($HJ21:JI21)),"")</f>
        <v/>
      </c>
      <c r="NY21" s="200" t="str">
        <f>IFERROR(IF(NY$7&gt;$D$3,"",AVERAGE($HJ21:JJ21)),"")</f>
        <v/>
      </c>
    </row>
    <row r="22" spans="1:389" ht="15" thickBot="1" x14ac:dyDescent="0.35">
      <c r="AH22" s="465"/>
      <c r="AN22" s="201"/>
      <c r="CO22" s="465"/>
      <c r="CV22" s="316"/>
      <c r="CW22" s="316"/>
      <c r="CX22" s="316"/>
      <c r="CY22" s="316"/>
      <c r="CZ22" s="316"/>
      <c r="DA22" s="316"/>
      <c r="DB22" s="316"/>
      <c r="DC22" s="316"/>
      <c r="DD22" s="316"/>
      <c r="DE22" s="316"/>
      <c r="DF22" s="316"/>
      <c r="DG22" s="316"/>
      <c r="DH22" s="316"/>
      <c r="DI22" s="316"/>
      <c r="DJ22" s="316"/>
      <c r="DK22" s="316"/>
      <c r="DL22" s="316"/>
      <c r="DM22" s="316"/>
      <c r="DN22" s="316"/>
      <c r="DO22" s="316"/>
      <c r="DP22" s="316"/>
      <c r="DQ22" s="316"/>
      <c r="DR22" s="316"/>
      <c r="DS22" s="316"/>
      <c r="DT22" s="316"/>
      <c r="DU22" s="316"/>
      <c r="DV22" s="316"/>
      <c r="DW22" s="316"/>
      <c r="DX22" s="316"/>
      <c r="DY22" s="316"/>
      <c r="DZ22" s="316"/>
      <c r="EA22" s="316"/>
      <c r="EB22" s="316"/>
      <c r="EC22" s="316"/>
      <c r="ED22" s="316"/>
      <c r="EE22" s="316"/>
      <c r="EF22" s="316"/>
      <c r="EG22" s="316"/>
      <c r="EH22" s="316"/>
      <c r="EI22" s="316"/>
      <c r="EJ22" s="316"/>
      <c r="EK22" s="316"/>
      <c r="EL22" s="316"/>
      <c r="EM22" s="316"/>
      <c r="EN22" s="316"/>
      <c r="EO22" s="316"/>
      <c r="EP22" s="316"/>
      <c r="EQ22" s="316"/>
      <c r="ER22" s="316"/>
      <c r="ES22" s="316"/>
      <c r="ET22" s="316"/>
      <c r="EU22" s="316"/>
      <c r="EW22" s="465"/>
      <c r="FC22" s="201"/>
      <c r="FD22" s="201"/>
      <c r="FE22" s="201"/>
      <c r="FF22" s="201"/>
      <c r="FG22" s="201"/>
      <c r="FH22" s="201"/>
      <c r="FI22" s="201"/>
      <c r="FJ22" s="201"/>
      <c r="FK22" s="201"/>
      <c r="FL22" s="201"/>
      <c r="FM22" s="201"/>
      <c r="FN22" s="201"/>
      <c r="FO22" s="201"/>
      <c r="FP22" s="201"/>
      <c r="FQ22" s="201"/>
      <c r="FR22" s="201"/>
      <c r="FS22" s="201"/>
      <c r="FT22" s="201"/>
      <c r="FU22" s="201"/>
      <c r="FV22" s="201"/>
      <c r="FW22" s="201"/>
      <c r="FX22" s="201"/>
      <c r="FY22" s="201"/>
      <c r="FZ22" s="201"/>
      <c r="GA22" s="201"/>
      <c r="GB22" s="201"/>
      <c r="GC22" s="201"/>
      <c r="GD22" s="201"/>
      <c r="GE22" s="201"/>
      <c r="GF22" s="201"/>
      <c r="GG22" s="201"/>
      <c r="GH22" s="201"/>
      <c r="GI22" s="201"/>
      <c r="GJ22" s="201"/>
      <c r="GK22" s="201"/>
      <c r="GL22" s="201"/>
      <c r="GM22" s="201"/>
      <c r="GN22" s="201"/>
      <c r="GO22" s="201"/>
      <c r="GP22" s="201"/>
      <c r="GQ22" s="201"/>
      <c r="GR22" s="201"/>
      <c r="GS22" s="201"/>
      <c r="GT22" s="201"/>
      <c r="GU22" s="201"/>
      <c r="GV22" s="201"/>
      <c r="GW22" s="201"/>
      <c r="GX22" s="201"/>
      <c r="GY22" s="201"/>
      <c r="GZ22" s="201"/>
      <c r="HA22" s="201"/>
      <c r="HB22" s="201"/>
      <c r="HC22" s="201"/>
      <c r="HJ22" s="249"/>
      <c r="HK22" s="249"/>
      <c r="HL22" s="249"/>
      <c r="HM22" s="249"/>
      <c r="HN22" s="249"/>
      <c r="HO22" s="249"/>
      <c r="HP22" s="249"/>
      <c r="HQ22" s="249"/>
      <c r="HR22" s="249"/>
      <c r="HS22" s="249"/>
      <c r="HT22" s="249"/>
      <c r="HU22" s="249"/>
      <c r="HV22" s="249"/>
      <c r="HW22" s="249"/>
      <c r="HX22" s="249"/>
      <c r="HY22" s="249"/>
      <c r="HZ22" s="249"/>
      <c r="IA22" s="249"/>
      <c r="IB22" s="249"/>
      <c r="IC22" s="249"/>
      <c r="ID22" s="249"/>
      <c r="IE22" s="249"/>
      <c r="IF22" s="249"/>
      <c r="IG22" s="249"/>
      <c r="IH22" s="249"/>
      <c r="II22" s="249"/>
      <c r="IJ22" s="249"/>
      <c r="IK22" s="249"/>
      <c r="IL22" s="249"/>
      <c r="IM22" s="249"/>
      <c r="IN22" s="249"/>
      <c r="IO22" s="249"/>
      <c r="IP22" s="249"/>
      <c r="IQ22" s="249"/>
      <c r="IR22" s="249"/>
      <c r="IS22" s="249"/>
      <c r="IT22" s="249"/>
      <c r="IU22" s="249"/>
      <c r="IV22" s="249"/>
      <c r="IW22" s="249"/>
      <c r="IX22" s="249"/>
      <c r="IY22" s="249"/>
      <c r="IZ22" s="249"/>
      <c r="JA22" s="249"/>
      <c r="JB22" s="249"/>
      <c r="JC22" s="249"/>
      <c r="JD22" s="249"/>
      <c r="JE22" s="249"/>
      <c r="JF22" s="249"/>
      <c r="JG22" s="249"/>
      <c r="JH22" s="249"/>
      <c r="JI22" s="249"/>
      <c r="JJ22" s="249"/>
      <c r="JR22" s="249"/>
      <c r="JS22" s="249"/>
      <c r="JT22" s="249"/>
      <c r="JU22" s="249"/>
      <c r="JV22" s="249"/>
      <c r="JW22" s="249"/>
      <c r="JX22" s="249"/>
      <c r="JY22" s="249"/>
      <c r="JZ22" s="249"/>
      <c r="KA22" s="249"/>
      <c r="KB22" s="249"/>
      <c r="KC22" s="249"/>
      <c r="KD22" s="249"/>
      <c r="KE22" s="249"/>
      <c r="KF22" s="249"/>
      <c r="KG22" s="249"/>
      <c r="KH22" s="249"/>
      <c r="KI22" s="249"/>
      <c r="KJ22" s="249"/>
      <c r="KK22" s="249"/>
      <c r="KL22" s="249"/>
      <c r="KM22" s="249"/>
      <c r="KN22" s="249"/>
      <c r="KO22" s="249"/>
      <c r="KP22" s="249"/>
      <c r="KQ22" s="249"/>
      <c r="KR22" s="249"/>
      <c r="KS22" s="249"/>
      <c r="KT22" s="249"/>
      <c r="KU22" s="249"/>
      <c r="KV22" s="249"/>
      <c r="KW22" s="249"/>
      <c r="KX22" s="249"/>
      <c r="KY22" s="249"/>
      <c r="KZ22" s="249"/>
      <c r="LA22" s="249"/>
      <c r="LB22" s="249"/>
      <c r="LC22" s="249"/>
      <c r="LD22" s="249"/>
      <c r="LE22" s="249"/>
      <c r="LF22" s="249"/>
      <c r="LG22" s="249"/>
      <c r="LH22" s="249"/>
      <c r="LI22" s="249"/>
      <c r="LJ22" s="249"/>
      <c r="LK22" s="249"/>
      <c r="LL22" s="249"/>
      <c r="LM22" s="249"/>
      <c r="LN22" s="249"/>
      <c r="LO22" s="249"/>
      <c r="LP22" s="249"/>
      <c r="LQ22" s="249"/>
      <c r="LR22" s="249"/>
      <c r="LY22" s="201"/>
      <c r="LZ22" s="201"/>
      <c r="MA22" s="201"/>
      <c r="MB22" s="201"/>
      <c r="MC22" s="201"/>
      <c r="MD22" s="201"/>
      <c r="ME22" s="201"/>
      <c r="MF22" s="201"/>
      <c r="MG22" s="201"/>
      <c r="MH22" s="201"/>
      <c r="MI22" s="201"/>
      <c r="MJ22" s="201"/>
      <c r="MK22" s="201"/>
      <c r="ML22" s="201"/>
      <c r="MM22" s="201"/>
      <c r="MN22" s="201"/>
      <c r="MO22" s="201"/>
      <c r="MP22" s="201"/>
      <c r="MQ22" s="201"/>
      <c r="MR22" s="201"/>
      <c r="MS22" s="201"/>
      <c r="MT22" s="201"/>
      <c r="MU22" s="201"/>
      <c r="MV22" s="201"/>
      <c r="MW22" s="201"/>
      <c r="MX22" s="201"/>
      <c r="MY22" s="201"/>
      <c r="MZ22" s="201"/>
      <c r="NA22" s="201"/>
      <c r="NB22" s="201"/>
      <c r="NC22" s="201"/>
      <c r="ND22" s="201"/>
      <c r="NE22" s="201"/>
      <c r="NF22" s="201"/>
      <c r="NG22" s="201"/>
      <c r="NH22" s="201"/>
      <c r="NI22" s="201"/>
      <c r="NJ22" s="201"/>
      <c r="NK22" s="201"/>
      <c r="NL22" s="201"/>
      <c r="NM22" s="201"/>
      <c r="NN22" s="201"/>
      <c r="NO22" s="201"/>
      <c r="NP22" s="201"/>
      <c r="NQ22" s="201"/>
      <c r="NR22" s="201"/>
      <c r="NS22" s="201"/>
      <c r="NT22" s="201"/>
      <c r="NU22" s="201"/>
      <c r="NV22" s="201"/>
      <c r="NW22" s="201"/>
      <c r="NX22" s="201"/>
      <c r="NY22" s="201"/>
    </row>
    <row r="23" spans="1:389" ht="29.4" customHeight="1" thickBot="1" x14ac:dyDescent="0.35">
      <c r="B23" s="185" t="str">
        <f>+'KPI Stats'!B22</f>
        <v>SOP</v>
      </c>
      <c r="C23" s="133" t="str">
        <f>+'KPI Stats'!C22</f>
        <v>Sam Westwood</v>
      </c>
      <c r="D23" s="134"/>
      <c r="E23" s="141" t="str">
        <f>+'KPI Stats'!E22</f>
        <v>Completed to Week</v>
      </c>
      <c r="F23" s="141">
        <f>+'KPI Stats'!F22</f>
        <v>42</v>
      </c>
      <c r="G23" s="181" t="s">
        <v>506</v>
      </c>
      <c r="J23" s="181" t="str">
        <f>+$B23</f>
        <v>SOP</v>
      </c>
      <c r="K23" s="181"/>
      <c r="L23" s="182"/>
      <c r="M23" s="183"/>
      <c r="P23" s="181" t="str">
        <f>+$B23</f>
        <v>SOP</v>
      </c>
      <c r="Q23" s="181"/>
      <c r="R23" s="181"/>
      <c r="S23" s="183"/>
      <c r="T23" s="183"/>
      <c r="U23" s="291"/>
      <c r="X23" s="181" t="str">
        <f>+$B23</f>
        <v>SOP</v>
      </c>
      <c r="Y23" s="181"/>
      <c r="Z23" s="181"/>
      <c r="AA23" s="183"/>
      <c r="AB23" s="291"/>
      <c r="AC23" s="181" t="str">
        <f>+$B23</f>
        <v>SOP</v>
      </c>
      <c r="AD23" s="181"/>
      <c r="AE23" s="181"/>
      <c r="AF23" s="183"/>
      <c r="AH23" s="465"/>
      <c r="AI23" s="191" t="str">
        <f>+B24</f>
        <v>Sales Order Processing</v>
      </c>
      <c r="AJ23" s="192"/>
      <c r="AK23" s="141" t="str">
        <f t="shared" ref="AK23:AL28" si="52">+E23</f>
        <v>Completed to Week</v>
      </c>
      <c r="AL23" s="141">
        <f t="shared" si="52"/>
        <v>42</v>
      </c>
      <c r="AM23" s="181" t="str">
        <f t="shared" ref="AM23:BR23" si="53">+$B23</f>
        <v>SOP</v>
      </c>
      <c r="AN23" s="197" t="str">
        <f t="shared" si="53"/>
        <v>SOP</v>
      </c>
      <c r="AO23" s="181" t="str">
        <f t="shared" si="53"/>
        <v>SOP</v>
      </c>
      <c r="AP23" s="181" t="str">
        <f t="shared" si="53"/>
        <v>SOP</v>
      </c>
      <c r="AQ23" s="181" t="str">
        <f t="shared" si="53"/>
        <v>SOP</v>
      </c>
      <c r="AR23" s="181" t="str">
        <f t="shared" si="53"/>
        <v>SOP</v>
      </c>
      <c r="AS23" s="181" t="str">
        <f t="shared" si="53"/>
        <v>SOP</v>
      </c>
      <c r="AT23" s="181" t="str">
        <f t="shared" si="53"/>
        <v>SOP</v>
      </c>
      <c r="AU23" s="181" t="str">
        <f t="shared" si="53"/>
        <v>SOP</v>
      </c>
      <c r="AV23" s="181" t="str">
        <f t="shared" si="53"/>
        <v>SOP</v>
      </c>
      <c r="AW23" s="181" t="str">
        <f t="shared" si="53"/>
        <v>SOP</v>
      </c>
      <c r="AX23" s="181" t="str">
        <f t="shared" si="53"/>
        <v>SOP</v>
      </c>
      <c r="AY23" s="181" t="str">
        <f t="shared" si="53"/>
        <v>SOP</v>
      </c>
      <c r="AZ23" s="181" t="str">
        <f t="shared" si="53"/>
        <v>SOP</v>
      </c>
      <c r="BA23" s="181" t="str">
        <f t="shared" si="53"/>
        <v>SOP</v>
      </c>
      <c r="BB23" s="181" t="str">
        <f t="shared" si="53"/>
        <v>SOP</v>
      </c>
      <c r="BC23" s="181" t="str">
        <f t="shared" si="53"/>
        <v>SOP</v>
      </c>
      <c r="BD23" s="181" t="str">
        <f t="shared" si="53"/>
        <v>SOP</v>
      </c>
      <c r="BE23" s="181" t="str">
        <f t="shared" si="53"/>
        <v>SOP</v>
      </c>
      <c r="BF23" s="181" t="str">
        <f t="shared" si="53"/>
        <v>SOP</v>
      </c>
      <c r="BG23" s="181" t="str">
        <f t="shared" si="53"/>
        <v>SOP</v>
      </c>
      <c r="BH23" s="181" t="str">
        <f t="shared" si="53"/>
        <v>SOP</v>
      </c>
      <c r="BI23" s="181" t="str">
        <f t="shared" si="53"/>
        <v>SOP</v>
      </c>
      <c r="BJ23" s="181" t="str">
        <f t="shared" si="53"/>
        <v>SOP</v>
      </c>
      <c r="BK23" s="181" t="str">
        <f t="shared" si="53"/>
        <v>SOP</v>
      </c>
      <c r="BL23" s="181" t="str">
        <f t="shared" si="53"/>
        <v>SOP</v>
      </c>
      <c r="BM23" s="181" t="str">
        <f t="shared" si="53"/>
        <v>SOP</v>
      </c>
      <c r="BN23" s="181" t="str">
        <f t="shared" si="53"/>
        <v>SOP</v>
      </c>
      <c r="BO23" s="181" t="str">
        <f t="shared" si="53"/>
        <v>SOP</v>
      </c>
      <c r="BP23" s="181" t="str">
        <f t="shared" si="53"/>
        <v>SOP</v>
      </c>
      <c r="BQ23" s="181" t="str">
        <f t="shared" si="53"/>
        <v>SOP</v>
      </c>
      <c r="BR23" s="181" t="str">
        <f t="shared" si="53"/>
        <v>SOP</v>
      </c>
      <c r="BS23" s="181" t="str">
        <f t="shared" ref="BS23:CM23" si="54">+$B23</f>
        <v>SOP</v>
      </c>
      <c r="BT23" s="181" t="str">
        <f t="shared" si="54"/>
        <v>SOP</v>
      </c>
      <c r="BU23" s="181" t="str">
        <f t="shared" si="54"/>
        <v>SOP</v>
      </c>
      <c r="BV23" s="181" t="str">
        <f t="shared" si="54"/>
        <v>SOP</v>
      </c>
      <c r="BW23" s="181" t="str">
        <f t="shared" si="54"/>
        <v>SOP</v>
      </c>
      <c r="BX23" s="181" t="str">
        <f t="shared" si="54"/>
        <v>SOP</v>
      </c>
      <c r="BY23" s="181" t="str">
        <f t="shared" si="54"/>
        <v>SOP</v>
      </c>
      <c r="BZ23" s="181" t="str">
        <f t="shared" si="54"/>
        <v>SOP</v>
      </c>
      <c r="CA23" s="181" t="str">
        <f t="shared" si="54"/>
        <v>SOP</v>
      </c>
      <c r="CB23" s="181" t="str">
        <f t="shared" si="54"/>
        <v>SOP</v>
      </c>
      <c r="CC23" s="181" t="str">
        <f t="shared" si="54"/>
        <v>SOP</v>
      </c>
      <c r="CD23" s="181" t="str">
        <f t="shared" si="54"/>
        <v>SOP</v>
      </c>
      <c r="CE23" s="181" t="str">
        <f t="shared" si="54"/>
        <v>SOP</v>
      </c>
      <c r="CF23" s="181" t="str">
        <f t="shared" si="54"/>
        <v>SOP</v>
      </c>
      <c r="CG23" s="181" t="str">
        <f t="shared" si="54"/>
        <v>SOP</v>
      </c>
      <c r="CH23" s="181" t="str">
        <f t="shared" si="54"/>
        <v>SOP</v>
      </c>
      <c r="CI23" s="181" t="str">
        <f t="shared" si="54"/>
        <v>SOP</v>
      </c>
      <c r="CJ23" s="181" t="str">
        <f t="shared" si="54"/>
        <v>SOP</v>
      </c>
      <c r="CK23" s="181" t="str">
        <f t="shared" si="54"/>
        <v>SOP</v>
      </c>
      <c r="CL23" s="181" t="str">
        <f t="shared" si="54"/>
        <v>SOP</v>
      </c>
      <c r="CM23" s="181" t="str">
        <f t="shared" si="54"/>
        <v>SOP</v>
      </c>
      <c r="CO23" s="465"/>
      <c r="CP23" s="191" t="str">
        <f>+B24</f>
        <v>Sales Order Processing</v>
      </c>
      <c r="CQ23" s="192"/>
      <c r="CR23" s="141" t="str">
        <f t="shared" ref="CR23:CS28" si="55">+E23</f>
        <v>Completed to Week</v>
      </c>
      <c r="CS23" s="141">
        <f t="shared" si="55"/>
        <v>42</v>
      </c>
      <c r="CT23" s="351" t="str">
        <f>+G23</f>
        <v>Weekly KPI</v>
      </c>
      <c r="CU23" s="322" t="str">
        <f t="shared" ref="CU23:EU23" si="56">+$B23</f>
        <v>SOP</v>
      </c>
      <c r="CV23" s="317" t="str">
        <f t="shared" si="56"/>
        <v>SOP</v>
      </c>
      <c r="CW23" s="317" t="str">
        <f t="shared" si="56"/>
        <v>SOP</v>
      </c>
      <c r="CX23" s="317" t="str">
        <f t="shared" si="56"/>
        <v>SOP</v>
      </c>
      <c r="CY23" s="317" t="str">
        <f t="shared" si="56"/>
        <v>SOP</v>
      </c>
      <c r="CZ23" s="317" t="str">
        <f t="shared" si="56"/>
        <v>SOP</v>
      </c>
      <c r="DA23" s="317" t="str">
        <f t="shared" si="56"/>
        <v>SOP</v>
      </c>
      <c r="DB23" s="317" t="str">
        <f t="shared" si="56"/>
        <v>SOP</v>
      </c>
      <c r="DC23" s="317" t="str">
        <f t="shared" si="56"/>
        <v>SOP</v>
      </c>
      <c r="DD23" s="317" t="str">
        <f t="shared" si="56"/>
        <v>SOP</v>
      </c>
      <c r="DE23" s="317" t="str">
        <f t="shared" si="56"/>
        <v>SOP</v>
      </c>
      <c r="DF23" s="317" t="str">
        <f t="shared" si="56"/>
        <v>SOP</v>
      </c>
      <c r="DG23" s="317" t="str">
        <f t="shared" si="56"/>
        <v>SOP</v>
      </c>
      <c r="DH23" s="317" t="str">
        <f t="shared" si="56"/>
        <v>SOP</v>
      </c>
      <c r="DI23" s="317" t="str">
        <f t="shared" si="56"/>
        <v>SOP</v>
      </c>
      <c r="DJ23" s="317" t="str">
        <f t="shared" si="56"/>
        <v>SOP</v>
      </c>
      <c r="DK23" s="317" t="str">
        <f t="shared" si="56"/>
        <v>SOP</v>
      </c>
      <c r="DL23" s="317" t="str">
        <f t="shared" si="56"/>
        <v>SOP</v>
      </c>
      <c r="DM23" s="317" t="str">
        <f t="shared" si="56"/>
        <v>SOP</v>
      </c>
      <c r="DN23" s="317" t="str">
        <f t="shared" si="56"/>
        <v>SOP</v>
      </c>
      <c r="DO23" s="317" t="str">
        <f t="shared" si="56"/>
        <v>SOP</v>
      </c>
      <c r="DP23" s="317" t="str">
        <f t="shared" si="56"/>
        <v>SOP</v>
      </c>
      <c r="DQ23" s="317" t="str">
        <f t="shared" si="56"/>
        <v>SOP</v>
      </c>
      <c r="DR23" s="317" t="str">
        <f t="shared" si="56"/>
        <v>SOP</v>
      </c>
      <c r="DS23" s="317" t="str">
        <f t="shared" si="56"/>
        <v>SOP</v>
      </c>
      <c r="DT23" s="317" t="str">
        <f t="shared" si="56"/>
        <v>SOP</v>
      </c>
      <c r="DU23" s="317" t="str">
        <f t="shared" si="56"/>
        <v>SOP</v>
      </c>
      <c r="DV23" s="317" t="str">
        <f t="shared" si="56"/>
        <v>SOP</v>
      </c>
      <c r="DW23" s="317" t="str">
        <f t="shared" si="56"/>
        <v>SOP</v>
      </c>
      <c r="DX23" s="317" t="str">
        <f t="shared" si="56"/>
        <v>SOP</v>
      </c>
      <c r="DY23" s="317" t="str">
        <f t="shared" si="56"/>
        <v>SOP</v>
      </c>
      <c r="DZ23" s="317" t="str">
        <f t="shared" si="56"/>
        <v>SOP</v>
      </c>
      <c r="EA23" s="317" t="str">
        <f t="shared" si="56"/>
        <v>SOP</v>
      </c>
      <c r="EB23" s="317" t="str">
        <f t="shared" si="56"/>
        <v>SOP</v>
      </c>
      <c r="EC23" s="317" t="str">
        <f t="shared" si="56"/>
        <v>SOP</v>
      </c>
      <c r="ED23" s="317" t="str">
        <f t="shared" si="56"/>
        <v>SOP</v>
      </c>
      <c r="EE23" s="317" t="str">
        <f t="shared" si="56"/>
        <v>SOP</v>
      </c>
      <c r="EF23" s="317" t="str">
        <f t="shared" si="56"/>
        <v>SOP</v>
      </c>
      <c r="EG23" s="317" t="str">
        <f t="shared" si="56"/>
        <v>SOP</v>
      </c>
      <c r="EH23" s="317" t="str">
        <f t="shared" si="56"/>
        <v>SOP</v>
      </c>
      <c r="EI23" s="317" t="str">
        <f t="shared" si="56"/>
        <v>SOP</v>
      </c>
      <c r="EJ23" s="317" t="str">
        <f t="shared" si="56"/>
        <v>SOP</v>
      </c>
      <c r="EK23" s="317" t="str">
        <f t="shared" si="56"/>
        <v>SOP</v>
      </c>
      <c r="EL23" s="317" t="str">
        <f t="shared" si="56"/>
        <v>SOP</v>
      </c>
      <c r="EM23" s="317" t="str">
        <f t="shared" si="56"/>
        <v>SOP</v>
      </c>
      <c r="EN23" s="317" t="str">
        <f t="shared" si="56"/>
        <v>SOP</v>
      </c>
      <c r="EO23" s="317" t="str">
        <f t="shared" si="56"/>
        <v>SOP</v>
      </c>
      <c r="EP23" s="317" t="str">
        <f t="shared" si="56"/>
        <v>SOP</v>
      </c>
      <c r="EQ23" s="317" t="str">
        <f t="shared" si="56"/>
        <v>SOP</v>
      </c>
      <c r="ER23" s="317" t="str">
        <f t="shared" si="56"/>
        <v>SOP</v>
      </c>
      <c r="ES23" s="317" t="str">
        <f t="shared" si="56"/>
        <v>SOP</v>
      </c>
      <c r="ET23" s="317" t="str">
        <f t="shared" si="56"/>
        <v>SOP</v>
      </c>
      <c r="EU23" s="317" t="str">
        <f t="shared" si="56"/>
        <v>SOP</v>
      </c>
      <c r="EW23" s="465"/>
      <c r="EX23" s="191" t="str">
        <f>+$B23</f>
        <v>SOP</v>
      </c>
      <c r="EY23" s="192"/>
      <c r="EZ23" s="141" t="str">
        <f t="shared" ref="EZ23:EZ28" si="57">+$E23</f>
        <v>Completed to Week</v>
      </c>
      <c r="FA23" s="141">
        <f t="shared" ref="FA23:FA28" si="58">+$F23</f>
        <v>42</v>
      </c>
      <c r="FB23" s="141"/>
      <c r="FC23" s="197" t="str">
        <f t="shared" ref="FC23:GH23" si="59">+$B23</f>
        <v>SOP</v>
      </c>
      <c r="FD23" s="197" t="str">
        <f t="shared" si="59"/>
        <v>SOP</v>
      </c>
      <c r="FE23" s="197" t="str">
        <f t="shared" si="59"/>
        <v>SOP</v>
      </c>
      <c r="FF23" s="197" t="str">
        <f t="shared" si="59"/>
        <v>SOP</v>
      </c>
      <c r="FG23" s="197" t="str">
        <f t="shared" si="59"/>
        <v>SOP</v>
      </c>
      <c r="FH23" s="197" t="str">
        <f t="shared" si="59"/>
        <v>SOP</v>
      </c>
      <c r="FI23" s="197" t="str">
        <f t="shared" si="59"/>
        <v>SOP</v>
      </c>
      <c r="FJ23" s="197" t="str">
        <f t="shared" si="59"/>
        <v>SOP</v>
      </c>
      <c r="FK23" s="197" t="str">
        <f t="shared" si="59"/>
        <v>SOP</v>
      </c>
      <c r="FL23" s="197" t="str">
        <f t="shared" si="59"/>
        <v>SOP</v>
      </c>
      <c r="FM23" s="197" t="str">
        <f t="shared" si="59"/>
        <v>SOP</v>
      </c>
      <c r="FN23" s="197" t="str">
        <f t="shared" si="59"/>
        <v>SOP</v>
      </c>
      <c r="FO23" s="197" t="str">
        <f t="shared" si="59"/>
        <v>SOP</v>
      </c>
      <c r="FP23" s="197" t="str">
        <f t="shared" si="59"/>
        <v>SOP</v>
      </c>
      <c r="FQ23" s="197" t="str">
        <f t="shared" si="59"/>
        <v>SOP</v>
      </c>
      <c r="FR23" s="197" t="str">
        <f t="shared" si="59"/>
        <v>SOP</v>
      </c>
      <c r="FS23" s="197" t="str">
        <f t="shared" si="59"/>
        <v>SOP</v>
      </c>
      <c r="FT23" s="197" t="str">
        <f t="shared" si="59"/>
        <v>SOP</v>
      </c>
      <c r="FU23" s="197" t="str">
        <f t="shared" si="59"/>
        <v>SOP</v>
      </c>
      <c r="FV23" s="197" t="str">
        <f t="shared" si="59"/>
        <v>SOP</v>
      </c>
      <c r="FW23" s="197" t="str">
        <f t="shared" si="59"/>
        <v>SOP</v>
      </c>
      <c r="FX23" s="197" t="str">
        <f t="shared" si="59"/>
        <v>SOP</v>
      </c>
      <c r="FY23" s="197" t="str">
        <f t="shared" si="59"/>
        <v>SOP</v>
      </c>
      <c r="FZ23" s="197" t="str">
        <f t="shared" si="59"/>
        <v>SOP</v>
      </c>
      <c r="GA23" s="197" t="str">
        <f t="shared" si="59"/>
        <v>SOP</v>
      </c>
      <c r="GB23" s="197" t="str">
        <f t="shared" si="59"/>
        <v>SOP</v>
      </c>
      <c r="GC23" s="197" t="str">
        <f t="shared" si="59"/>
        <v>SOP</v>
      </c>
      <c r="GD23" s="197" t="str">
        <f t="shared" si="59"/>
        <v>SOP</v>
      </c>
      <c r="GE23" s="197" t="str">
        <f t="shared" si="59"/>
        <v>SOP</v>
      </c>
      <c r="GF23" s="197" t="str">
        <f t="shared" si="59"/>
        <v>SOP</v>
      </c>
      <c r="GG23" s="197" t="str">
        <f t="shared" si="59"/>
        <v>SOP</v>
      </c>
      <c r="GH23" s="197" t="str">
        <f t="shared" si="59"/>
        <v>SOP</v>
      </c>
      <c r="GI23" s="197" t="str">
        <f t="shared" ref="GI23:HC23" si="60">+$B23</f>
        <v>SOP</v>
      </c>
      <c r="GJ23" s="197" t="str">
        <f t="shared" si="60"/>
        <v>SOP</v>
      </c>
      <c r="GK23" s="197" t="str">
        <f t="shared" si="60"/>
        <v>SOP</v>
      </c>
      <c r="GL23" s="197" t="str">
        <f t="shared" si="60"/>
        <v>SOP</v>
      </c>
      <c r="GM23" s="197" t="str">
        <f t="shared" si="60"/>
        <v>SOP</v>
      </c>
      <c r="GN23" s="197" t="str">
        <f t="shared" si="60"/>
        <v>SOP</v>
      </c>
      <c r="GO23" s="197" t="str">
        <f t="shared" si="60"/>
        <v>SOP</v>
      </c>
      <c r="GP23" s="197" t="str">
        <f t="shared" si="60"/>
        <v>SOP</v>
      </c>
      <c r="GQ23" s="197" t="str">
        <f t="shared" si="60"/>
        <v>SOP</v>
      </c>
      <c r="GR23" s="197" t="str">
        <f t="shared" si="60"/>
        <v>SOP</v>
      </c>
      <c r="GS23" s="197" t="str">
        <f t="shared" si="60"/>
        <v>SOP</v>
      </c>
      <c r="GT23" s="197" t="str">
        <f t="shared" si="60"/>
        <v>SOP</v>
      </c>
      <c r="GU23" s="197" t="str">
        <f t="shared" si="60"/>
        <v>SOP</v>
      </c>
      <c r="GV23" s="197" t="str">
        <f t="shared" si="60"/>
        <v>SOP</v>
      </c>
      <c r="GW23" s="197" t="str">
        <f t="shared" si="60"/>
        <v>SOP</v>
      </c>
      <c r="GX23" s="197" t="str">
        <f t="shared" si="60"/>
        <v>SOP</v>
      </c>
      <c r="GY23" s="197" t="str">
        <f t="shared" si="60"/>
        <v>SOP</v>
      </c>
      <c r="GZ23" s="197" t="str">
        <f t="shared" si="60"/>
        <v>SOP</v>
      </c>
      <c r="HA23" s="197" t="str">
        <f t="shared" si="60"/>
        <v>SOP</v>
      </c>
      <c r="HB23" s="197" t="str">
        <f t="shared" si="60"/>
        <v>SOP</v>
      </c>
      <c r="HC23" s="197" t="str">
        <f t="shared" si="60"/>
        <v>SOP</v>
      </c>
      <c r="HE23" s="191" t="str">
        <f>+$B23</f>
        <v>SOP</v>
      </c>
      <c r="HF23" s="192"/>
      <c r="HG23" s="141" t="str">
        <f t="shared" ref="HG23:HG28" si="61">+$E23</f>
        <v>Completed to Week</v>
      </c>
      <c r="HH23" s="141">
        <f t="shared" ref="HH23:HH28" si="62">+$F23</f>
        <v>42</v>
      </c>
      <c r="HI23" s="141"/>
      <c r="HJ23" s="197" t="str">
        <f t="shared" ref="HJ23:IO23" si="63">+$B23</f>
        <v>SOP</v>
      </c>
      <c r="HK23" s="197" t="str">
        <f t="shared" si="63"/>
        <v>SOP</v>
      </c>
      <c r="HL23" s="250" t="str">
        <f t="shared" si="63"/>
        <v>SOP</v>
      </c>
      <c r="HM23" s="250" t="str">
        <f t="shared" si="63"/>
        <v>SOP</v>
      </c>
      <c r="HN23" s="250" t="str">
        <f t="shared" si="63"/>
        <v>SOP</v>
      </c>
      <c r="HO23" s="250" t="str">
        <f t="shared" si="63"/>
        <v>SOP</v>
      </c>
      <c r="HP23" s="250" t="str">
        <f t="shared" si="63"/>
        <v>SOP</v>
      </c>
      <c r="HQ23" s="250" t="str">
        <f t="shared" si="63"/>
        <v>SOP</v>
      </c>
      <c r="HR23" s="250" t="str">
        <f t="shared" si="63"/>
        <v>SOP</v>
      </c>
      <c r="HS23" s="250" t="str">
        <f t="shared" si="63"/>
        <v>SOP</v>
      </c>
      <c r="HT23" s="250" t="str">
        <f t="shared" si="63"/>
        <v>SOP</v>
      </c>
      <c r="HU23" s="250" t="str">
        <f t="shared" si="63"/>
        <v>SOP</v>
      </c>
      <c r="HV23" s="250" t="str">
        <f t="shared" si="63"/>
        <v>SOP</v>
      </c>
      <c r="HW23" s="250" t="str">
        <f t="shared" si="63"/>
        <v>SOP</v>
      </c>
      <c r="HX23" s="250" t="str">
        <f t="shared" si="63"/>
        <v>SOP</v>
      </c>
      <c r="HY23" s="250" t="str">
        <f t="shared" si="63"/>
        <v>SOP</v>
      </c>
      <c r="HZ23" s="250" t="str">
        <f t="shared" si="63"/>
        <v>SOP</v>
      </c>
      <c r="IA23" s="250" t="str">
        <f t="shared" si="63"/>
        <v>SOP</v>
      </c>
      <c r="IB23" s="250" t="str">
        <f t="shared" si="63"/>
        <v>SOP</v>
      </c>
      <c r="IC23" s="250" t="str">
        <f t="shared" si="63"/>
        <v>SOP</v>
      </c>
      <c r="ID23" s="250" t="str">
        <f t="shared" si="63"/>
        <v>SOP</v>
      </c>
      <c r="IE23" s="250" t="str">
        <f t="shared" si="63"/>
        <v>SOP</v>
      </c>
      <c r="IF23" s="250" t="str">
        <f t="shared" si="63"/>
        <v>SOP</v>
      </c>
      <c r="IG23" s="250" t="str">
        <f t="shared" si="63"/>
        <v>SOP</v>
      </c>
      <c r="IH23" s="250" t="str">
        <f t="shared" si="63"/>
        <v>SOP</v>
      </c>
      <c r="II23" s="250" t="str">
        <f t="shared" si="63"/>
        <v>SOP</v>
      </c>
      <c r="IJ23" s="250" t="str">
        <f t="shared" si="63"/>
        <v>SOP</v>
      </c>
      <c r="IK23" s="250" t="str">
        <f t="shared" si="63"/>
        <v>SOP</v>
      </c>
      <c r="IL23" s="250" t="str">
        <f t="shared" si="63"/>
        <v>SOP</v>
      </c>
      <c r="IM23" s="250" t="str">
        <f t="shared" si="63"/>
        <v>SOP</v>
      </c>
      <c r="IN23" s="250" t="str">
        <f t="shared" si="63"/>
        <v>SOP</v>
      </c>
      <c r="IO23" s="250" t="str">
        <f t="shared" si="63"/>
        <v>SOP</v>
      </c>
      <c r="IP23" s="250" t="str">
        <f t="shared" ref="IP23:JJ23" si="64">+$B23</f>
        <v>SOP</v>
      </c>
      <c r="IQ23" s="250" t="str">
        <f t="shared" si="64"/>
        <v>SOP</v>
      </c>
      <c r="IR23" s="250" t="str">
        <f t="shared" si="64"/>
        <v>SOP</v>
      </c>
      <c r="IS23" s="250" t="str">
        <f t="shared" si="64"/>
        <v>SOP</v>
      </c>
      <c r="IT23" s="250" t="str">
        <f t="shared" si="64"/>
        <v>SOP</v>
      </c>
      <c r="IU23" s="250" t="str">
        <f t="shared" si="64"/>
        <v>SOP</v>
      </c>
      <c r="IV23" s="250" t="str">
        <f t="shared" si="64"/>
        <v>SOP</v>
      </c>
      <c r="IW23" s="250" t="str">
        <f t="shared" si="64"/>
        <v>SOP</v>
      </c>
      <c r="IX23" s="250" t="str">
        <f t="shared" si="64"/>
        <v>SOP</v>
      </c>
      <c r="IY23" s="250" t="str">
        <f t="shared" si="64"/>
        <v>SOP</v>
      </c>
      <c r="IZ23" s="250" t="str">
        <f t="shared" si="64"/>
        <v>SOP</v>
      </c>
      <c r="JA23" s="250" t="str">
        <f t="shared" si="64"/>
        <v>SOP</v>
      </c>
      <c r="JB23" s="250" t="str">
        <f t="shared" si="64"/>
        <v>SOP</v>
      </c>
      <c r="JC23" s="250" t="str">
        <f t="shared" si="64"/>
        <v>SOP</v>
      </c>
      <c r="JD23" s="250" t="str">
        <f t="shared" si="64"/>
        <v>SOP</v>
      </c>
      <c r="JE23" s="250" t="str">
        <f t="shared" si="64"/>
        <v>SOP</v>
      </c>
      <c r="JF23" s="250" t="str">
        <f t="shared" si="64"/>
        <v>SOP</v>
      </c>
      <c r="JG23" s="250" t="str">
        <f t="shared" si="64"/>
        <v>SOP</v>
      </c>
      <c r="JH23" s="250" t="str">
        <f t="shared" si="64"/>
        <v>SOP</v>
      </c>
      <c r="JI23" s="250" t="str">
        <f t="shared" si="64"/>
        <v>SOP</v>
      </c>
      <c r="JJ23" s="250" t="str">
        <f t="shared" si="64"/>
        <v>SOP</v>
      </c>
      <c r="JM23" s="191" t="str">
        <f>+$B23</f>
        <v>SOP</v>
      </c>
      <c r="JN23" s="192"/>
      <c r="JO23" s="141" t="str">
        <f t="shared" ref="JO23:JO28" si="65">+$E23</f>
        <v>Completed to Week</v>
      </c>
      <c r="JP23" s="141">
        <f t="shared" ref="JP23:JP28" si="66">+$F23</f>
        <v>42</v>
      </c>
      <c r="JQ23" s="141"/>
      <c r="JR23" s="250" t="str">
        <f t="shared" ref="JR23:KW23" si="67">+$B23</f>
        <v>SOP</v>
      </c>
      <c r="JS23" s="250" t="str">
        <f t="shared" si="67"/>
        <v>SOP</v>
      </c>
      <c r="JT23" s="250" t="str">
        <f t="shared" si="67"/>
        <v>SOP</v>
      </c>
      <c r="JU23" s="250" t="str">
        <f t="shared" si="67"/>
        <v>SOP</v>
      </c>
      <c r="JV23" s="250" t="str">
        <f t="shared" si="67"/>
        <v>SOP</v>
      </c>
      <c r="JW23" s="250" t="str">
        <f t="shared" si="67"/>
        <v>SOP</v>
      </c>
      <c r="JX23" s="250" t="str">
        <f t="shared" si="67"/>
        <v>SOP</v>
      </c>
      <c r="JY23" s="250" t="str">
        <f t="shared" si="67"/>
        <v>SOP</v>
      </c>
      <c r="JZ23" s="250" t="str">
        <f t="shared" si="67"/>
        <v>SOP</v>
      </c>
      <c r="KA23" s="250" t="str">
        <f t="shared" si="67"/>
        <v>SOP</v>
      </c>
      <c r="KB23" s="250" t="str">
        <f t="shared" si="67"/>
        <v>SOP</v>
      </c>
      <c r="KC23" s="250" t="str">
        <f t="shared" si="67"/>
        <v>SOP</v>
      </c>
      <c r="KD23" s="250" t="str">
        <f t="shared" si="67"/>
        <v>SOP</v>
      </c>
      <c r="KE23" s="250" t="str">
        <f t="shared" si="67"/>
        <v>SOP</v>
      </c>
      <c r="KF23" s="250" t="str">
        <f t="shared" si="67"/>
        <v>SOP</v>
      </c>
      <c r="KG23" s="250" t="str">
        <f t="shared" si="67"/>
        <v>SOP</v>
      </c>
      <c r="KH23" s="250" t="str">
        <f t="shared" si="67"/>
        <v>SOP</v>
      </c>
      <c r="KI23" s="250" t="str">
        <f t="shared" si="67"/>
        <v>SOP</v>
      </c>
      <c r="KJ23" s="250" t="str">
        <f t="shared" si="67"/>
        <v>SOP</v>
      </c>
      <c r="KK23" s="250" t="str">
        <f t="shared" si="67"/>
        <v>SOP</v>
      </c>
      <c r="KL23" s="250" t="str">
        <f t="shared" si="67"/>
        <v>SOP</v>
      </c>
      <c r="KM23" s="250" t="str">
        <f t="shared" si="67"/>
        <v>SOP</v>
      </c>
      <c r="KN23" s="250" t="str">
        <f t="shared" si="67"/>
        <v>SOP</v>
      </c>
      <c r="KO23" s="250" t="str">
        <f t="shared" si="67"/>
        <v>SOP</v>
      </c>
      <c r="KP23" s="250" t="str">
        <f t="shared" si="67"/>
        <v>SOP</v>
      </c>
      <c r="KQ23" s="250" t="str">
        <f t="shared" si="67"/>
        <v>SOP</v>
      </c>
      <c r="KR23" s="250" t="str">
        <f t="shared" si="67"/>
        <v>SOP</v>
      </c>
      <c r="KS23" s="250" t="str">
        <f t="shared" si="67"/>
        <v>SOP</v>
      </c>
      <c r="KT23" s="250" t="str">
        <f t="shared" si="67"/>
        <v>SOP</v>
      </c>
      <c r="KU23" s="250" t="str">
        <f t="shared" si="67"/>
        <v>SOP</v>
      </c>
      <c r="KV23" s="250" t="str">
        <f t="shared" si="67"/>
        <v>SOP</v>
      </c>
      <c r="KW23" s="250" t="str">
        <f t="shared" si="67"/>
        <v>SOP</v>
      </c>
      <c r="KX23" s="250" t="str">
        <f t="shared" ref="KX23:LR23" si="68">+$B23</f>
        <v>SOP</v>
      </c>
      <c r="KY23" s="250" t="str">
        <f t="shared" si="68"/>
        <v>SOP</v>
      </c>
      <c r="KZ23" s="250" t="str">
        <f t="shared" si="68"/>
        <v>SOP</v>
      </c>
      <c r="LA23" s="250" t="str">
        <f t="shared" si="68"/>
        <v>SOP</v>
      </c>
      <c r="LB23" s="250" t="str">
        <f t="shared" si="68"/>
        <v>SOP</v>
      </c>
      <c r="LC23" s="250" t="str">
        <f t="shared" si="68"/>
        <v>SOP</v>
      </c>
      <c r="LD23" s="250" t="str">
        <f t="shared" si="68"/>
        <v>SOP</v>
      </c>
      <c r="LE23" s="250" t="str">
        <f t="shared" si="68"/>
        <v>SOP</v>
      </c>
      <c r="LF23" s="250" t="str">
        <f t="shared" si="68"/>
        <v>SOP</v>
      </c>
      <c r="LG23" s="250" t="str">
        <f t="shared" si="68"/>
        <v>SOP</v>
      </c>
      <c r="LH23" s="250" t="str">
        <f t="shared" si="68"/>
        <v>SOP</v>
      </c>
      <c r="LI23" s="250" t="str">
        <f t="shared" si="68"/>
        <v>SOP</v>
      </c>
      <c r="LJ23" s="250" t="str">
        <f t="shared" si="68"/>
        <v>SOP</v>
      </c>
      <c r="LK23" s="250" t="str">
        <f t="shared" si="68"/>
        <v>SOP</v>
      </c>
      <c r="LL23" s="250" t="str">
        <f t="shared" si="68"/>
        <v>SOP</v>
      </c>
      <c r="LM23" s="250" t="str">
        <f t="shared" si="68"/>
        <v>SOP</v>
      </c>
      <c r="LN23" s="250" t="str">
        <f t="shared" si="68"/>
        <v>SOP</v>
      </c>
      <c r="LO23" s="250" t="str">
        <f t="shared" si="68"/>
        <v>SOP</v>
      </c>
      <c r="LP23" s="250" t="str">
        <f t="shared" si="68"/>
        <v>SOP</v>
      </c>
      <c r="LQ23" s="250" t="str">
        <f t="shared" si="68"/>
        <v>SOP</v>
      </c>
      <c r="LR23" s="250" t="str">
        <f t="shared" si="68"/>
        <v>SOP</v>
      </c>
      <c r="LT23" s="191" t="str">
        <f>+$B23</f>
        <v>SOP</v>
      </c>
      <c r="LU23" s="192"/>
      <c r="LV23" s="141" t="str">
        <f t="shared" ref="LV23:LV28" si="69">+$E23</f>
        <v>Completed to Week</v>
      </c>
      <c r="LW23" s="141">
        <f t="shared" ref="LW23:LW28" si="70">+$F23</f>
        <v>42</v>
      </c>
      <c r="LX23" s="141"/>
      <c r="LY23" s="197" t="str">
        <f t="shared" ref="LY23:ND23" si="71">+$B23</f>
        <v>SOP</v>
      </c>
      <c r="LZ23" s="197" t="str">
        <f t="shared" si="71"/>
        <v>SOP</v>
      </c>
      <c r="MA23" s="197" t="str">
        <f t="shared" si="71"/>
        <v>SOP</v>
      </c>
      <c r="MB23" s="197" t="str">
        <f t="shared" si="71"/>
        <v>SOP</v>
      </c>
      <c r="MC23" s="197" t="str">
        <f t="shared" si="71"/>
        <v>SOP</v>
      </c>
      <c r="MD23" s="197" t="str">
        <f t="shared" si="71"/>
        <v>SOP</v>
      </c>
      <c r="ME23" s="197" t="str">
        <f t="shared" si="71"/>
        <v>SOP</v>
      </c>
      <c r="MF23" s="197" t="str">
        <f t="shared" si="71"/>
        <v>SOP</v>
      </c>
      <c r="MG23" s="197" t="str">
        <f t="shared" si="71"/>
        <v>SOP</v>
      </c>
      <c r="MH23" s="197" t="str">
        <f t="shared" si="71"/>
        <v>SOP</v>
      </c>
      <c r="MI23" s="197" t="str">
        <f t="shared" si="71"/>
        <v>SOP</v>
      </c>
      <c r="MJ23" s="197" t="str">
        <f t="shared" si="71"/>
        <v>SOP</v>
      </c>
      <c r="MK23" s="197" t="str">
        <f t="shared" si="71"/>
        <v>SOP</v>
      </c>
      <c r="ML23" s="197" t="str">
        <f t="shared" si="71"/>
        <v>SOP</v>
      </c>
      <c r="MM23" s="197" t="str">
        <f t="shared" si="71"/>
        <v>SOP</v>
      </c>
      <c r="MN23" s="197" t="str">
        <f t="shared" si="71"/>
        <v>SOP</v>
      </c>
      <c r="MO23" s="197" t="str">
        <f t="shared" si="71"/>
        <v>SOP</v>
      </c>
      <c r="MP23" s="197" t="str">
        <f t="shared" si="71"/>
        <v>SOP</v>
      </c>
      <c r="MQ23" s="197" t="str">
        <f t="shared" si="71"/>
        <v>SOP</v>
      </c>
      <c r="MR23" s="197" t="str">
        <f t="shared" si="71"/>
        <v>SOP</v>
      </c>
      <c r="MS23" s="197" t="str">
        <f t="shared" si="71"/>
        <v>SOP</v>
      </c>
      <c r="MT23" s="197" t="str">
        <f t="shared" si="71"/>
        <v>SOP</v>
      </c>
      <c r="MU23" s="197" t="str">
        <f t="shared" si="71"/>
        <v>SOP</v>
      </c>
      <c r="MV23" s="197" t="str">
        <f t="shared" si="71"/>
        <v>SOP</v>
      </c>
      <c r="MW23" s="197" t="str">
        <f t="shared" si="71"/>
        <v>SOP</v>
      </c>
      <c r="MX23" s="197" t="str">
        <f t="shared" si="71"/>
        <v>SOP</v>
      </c>
      <c r="MY23" s="197" t="str">
        <f t="shared" si="71"/>
        <v>SOP</v>
      </c>
      <c r="MZ23" s="197" t="str">
        <f t="shared" si="71"/>
        <v>SOP</v>
      </c>
      <c r="NA23" s="197" t="str">
        <f t="shared" si="71"/>
        <v>SOP</v>
      </c>
      <c r="NB23" s="197" t="str">
        <f t="shared" si="71"/>
        <v>SOP</v>
      </c>
      <c r="NC23" s="197" t="str">
        <f t="shared" si="71"/>
        <v>SOP</v>
      </c>
      <c r="ND23" s="197" t="str">
        <f t="shared" si="71"/>
        <v>SOP</v>
      </c>
      <c r="NE23" s="197" t="str">
        <f t="shared" ref="NE23:NY23" si="72">+$B23</f>
        <v>SOP</v>
      </c>
      <c r="NF23" s="197" t="str">
        <f t="shared" si="72"/>
        <v>SOP</v>
      </c>
      <c r="NG23" s="197" t="str">
        <f t="shared" si="72"/>
        <v>SOP</v>
      </c>
      <c r="NH23" s="197" t="str">
        <f t="shared" si="72"/>
        <v>SOP</v>
      </c>
      <c r="NI23" s="197" t="str">
        <f t="shared" si="72"/>
        <v>SOP</v>
      </c>
      <c r="NJ23" s="197" t="str">
        <f t="shared" si="72"/>
        <v>SOP</v>
      </c>
      <c r="NK23" s="197" t="str">
        <f t="shared" si="72"/>
        <v>SOP</v>
      </c>
      <c r="NL23" s="197" t="str">
        <f t="shared" si="72"/>
        <v>SOP</v>
      </c>
      <c r="NM23" s="197" t="str">
        <f t="shared" si="72"/>
        <v>SOP</v>
      </c>
      <c r="NN23" s="197" t="str">
        <f t="shared" si="72"/>
        <v>SOP</v>
      </c>
      <c r="NO23" s="197" t="str">
        <f t="shared" si="72"/>
        <v>SOP</v>
      </c>
      <c r="NP23" s="197" t="str">
        <f t="shared" si="72"/>
        <v>SOP</v>
      </c>
      <c r="NQ23" s="197" t="str">
        <f t="shared" si="72"/>
        <v>SOP</v>
      </c>
      <c r="NR23" s="197" t="str">
        <f t="shared" si="72"/>
        <v>SOP</v>
      </c>
      <c r="NS23" s="197" t="str">
        <f t="shared" si="72"/>
        <v>SOP</v>
      </c>
      <c r="NT23" s="197" t="str">
        <f t="shared" si="72"/>
        <v>SOP</v>
      </c>
      <c r="NU23" s="197" t="str">
        <f t="shared" si="72"/>
        <v>SOP</v>
      </c>
      <c r="NV23" s="197" t="str">
        <f t="shared" si="72"/>
        <v>SOP</v>
      </c>
      <c r="NW23" s="197" t="str">
        <f t="shared" si="72"/>
        <v>SOP</v>
      </c>
      <c r="NX23" s="197" t="str">
        <f t="shared" si="72"/>
        <v>SOP</v>
      </c>
      <c r="NY23" s="197" t="str">
        <f t="shared" si="72"/>
        <v>SOP</v>
      </c>
    </row>
    <row r="24" spans="1:389" x14ac:dyDescent="0.3">
      <c r="A24" t="str">
        <f>$B$23&amp;"-"&amp;C24</f>
        <v>SOP-KPI P1</v>
      </c>
      <c r="B24" s="917" t="str">
        <f>+'KPI Stats'!B23</f>
        <v>Sales Order Processing</v>
      </c>
      <c r="C24" s="133" t="str">
        <f>+'KPI Stats'!C23</f>
        <v>KPI P1</v>
      </c>
      <c r="D24" s="142" t="str">
        <f>+'KPI Stats'!D23</f>
        <v>Productivity</v>
      </c>
      <c r="E24" s="142" t="str">
        <f>+'KPI Stats'!E23</f>
        <v>Order Lines Released</v>
      </c>
      <c r="F24" s="143" t="str">
        <f>+'KPI Stats'!F23</f>
        <v>Count</v>
      </c>
      <c r="G24" s="168" t="str">
        <f>+'KPI Stats'!G23</f>
        <v>Under</v>
      </c>
      <c r="J24" s="159" t="str">
        <f>_xlfn.XLOOKUP(J$7,$AM$7:$CM$7,$AM24:$CM24,,FALSE)</f>
        <v>R</v>
      </c>
      <c r="K24" s="262">
        <f>_xlfn.XLOOKUP(K$7,$FC$7:$HC$7,$FC24:$HC24,,FALSE)</f>
        <v>607</v>
      </c>
      <c r="L24" s="277">
        <f>_xlfn.XLOOKUP(L$7,$HJ$7:$JJ$7,$HJ24:$JJ24,,FALSE)</f>
        <v>736.72972972972968</v>
      </c>
      <c r="M24" s="271">
        <f>_xlfn.XLOOKUP(M$7,$CU$7:$EU$7,$CU24:$EU24,,FALSE)</f>
        <v>0.8239113687222569</v>
      </c>
      <c r="P24" s="159" t="str">
        <f>_xlfn.XLOOKUP(P$7,$AM$7:$CM$7,$AM24:$CM24,,FALSE)</f>
        <v>R</v>
      </c>
      <c r="Q24" s="262">
        <f t="shared" ref="Q24:R28" si="73">_xlfn.XLOOKUP(Q$7,$FC$7:$HC$7,$FC24:$HC24,FALSE)</f>
        <v>607</v>
      </c>
      <c r="R24" s="277">
        <f t="shared" si="73"/>
        <v>666</v>
      </c>
      <c r="S24" s="287">
        <f t="shared" ref="S24:T26" si="74">_xlfn.XLOOKUP(S$7,$CU$7:$EU$7,$CU24:$EU24,,FALSE)</f>
        <v>0.8239113687222569</v>
      </c>
      <c r="T24" s="263">
        <f t="shared" si="74"/>
        <v>0.90159064415447676</v>
      </c>
      <c r="U24" s="294" t="str">
        <f>IF(F23&lt;$R$2,"Not Complete",IF(Q24=R24,"Same −",IF($G24="Over",IF(Q24&lt;R24,"Better ↑","Worse ↓"),IF($G24="Under",IF(Q24&gt;R24,"Better ↑","Worse ↓"),"err"))))</f>
        <v>Worse ↓</v>
      </c>
      <c r="X24" s="159" t="str">
        <f t="shared" ref="X24:X28" si="75">IF(Y24="","",IF(Y24="Blank","",IF(AND(G24="above zero",Y24&gt;0),"R",IF(AA24&gt;1,"G",IF(AA24&gt;0.95,"A","R")))))</f>
        <v>G</v>
      </c>
      <c r="Y24" s="262">
        <f>_xlfn.XLOOKUP(Y$7,$JR$7:$LR$7,$JR24:$LR24,FALSE)</f>
        <v>733.31578947368416</v>
      </c>
      <c r="Z24" s="277">
        <f>_xlfn.XLOOKUP(Z$7,$LY$7:$NY$7,$LY24:$NY24,FALSE)</f>
        <v>710.58050466717725</v>
      </c>
      <c r="AA24" s="281">
        <f>IFERROR(IF(G24="under",Y24/Z24,IF(G24="Over",Z24/Y24,"")),"")</f>
        <v>1.031995368092959</v>
      </c>
      <c r="AB24" s="294" t="str">
        <f>IF(F23&lt;$R$2,"TBC",IF(Y24=Z24,"Same −",IF($G24="Over",IF(Z24&lt;Y24,"Better ↑ ","Worse ↓ "),IF($G24="Under",IF(Y24&gt;Z24,"Better ↑ ","Worse ↓ "),"err"))))</f>
        <v xml:space="preserve">Better ↑ </v>
      </c>
      <c r="AC24" s="159" t="str">
        <f>IF(AND(G24="above adero",AD24&gt;0),"R",IF(AF24&gt;1,"G",IF(AF24&gt;0.95,"A","R")))</f>
        <v>G</v>
      </c>
      <c r="AD24" s="262">
        <f>_xlfn.XLOOKUP(AD$7,$JR$7:$LR$7,$JR24:$LR24,FALSE)</f>
        <v>736.72972972972968</v>
      </c>
      <c r="AE24" s="277">
        <f>_xlfn.XLOOKUP(AE$7,$LY$7:$NY$7,$LY24:$NY24,FALSE)</f>
        <v>709.9267740406134</v>
      </c>
      <c r="AF24" s="281">
        <f>IFERROR(IF(G24="under",AD24/AE24,IF(G24="Over",AE24/AD24,"")),"")</f>
        <v>1.0377545356355062</v>
      </c>
      <c r="AH24" s="465" t="str">
        <f>+$A24</f>
        <v>SOP-KPI P1</v>
      </c>
      <c r="AI24" s="133" t="str">
        <f t="shared" ref="AI24:AJ28" si="76">+C24</f>
        <v>KPI P1</v>
      </c>
      <c r="AJ24" s="142" t="str">
        <f t="shared" si="76"/>
        <v>Productivity</v>
      </c>
      <c r="AK24" s="142" t="str">
        <f t="shared" si="52"/>
        <v>Order Lines Released</v>
      </c>
      <c r="AL24" s="143" t="str">
        <f t="shared" si="52"/>
        <v>Count</v>
      </c>
      <c r="AM24" s="159" t="str">
        <f>IF(AM$7&gt;$D$3,"",_xlfn.XLOOKUP(AM$7,SOP!$M$6:$BM$6,SOP!$M$10:$BM$10))</f>
        <v>Blank</v>
      </c>
      <c r="AN24" s="198" t="str">
        <f>IF(AN$7&gt;$D$3,"",_xlfn.XLOOKUP(AN$7,SOP!$M$6:$BM$6,SOP!$M$10:$BM$10))</f>
        <v>Missed</v>
      </c>
      <c r="AO24" s="159" t="str">
        <f>IF(AO$7&gt;$D$3,"",_xlfn.XLOOKUP(AO$7,SOP!$M$6:$BM$6,SOP!$M$10:$BM$10))</f>
        <v>Missed</v>
      </c>
      <c r="AP24" s="159" t="str">
        <f>IF(AP$7&gt;$D$3,"",_xlfn.XLOOKUP(AP$7,SOP!$M$6:$BM$6,SOP!$M$10:$BM$10))</f>
        <v>Missed</v>
      </c>
      <c r="AQ24" s="159" t="str">
        <f>IF(AQ$7&gt;$D$3,"",_xlfn.XLOOKUP(AQ$7,SOP!$M$6:$BM$6,SOP!$M$10:$BM$10))</f>
        <v>G</v>
      </c>
      <c r="AR24" s="159" t="str">
        <f>IF(AR$7&gt;$D$3,"",_xlfn.XLOOKUP(AR$7,SOP!$M$6:$BM$6,SOP!$M$10:$BM$10))</f>
        <v>A</v>
      </c>
      <c r="AS24" s="159" t="str">
        <f>IF(AS$7&gt;$D$3,"",_xlfn.XLOOKUP(AS$7,SOP!$M$6:$BM$6,SOP!$M$10:$BM$10))</f>
        <v>R</v>
      </c>
      <c r="AT24" s="159" t="str">
        <f>IF(AT$7&gt;$D$3,"",_xlfn.XLOOKUP(AT$7,SOP!$M$6:$BM$6,SOP!$M$10:$BM$10))</f>
        <v>G</v>
      </c>
      <c r="AU24" s="159" t="str">
        <f>IF(AU$7&gt;$D$3,"",_xlfn.XLOOKUP(AU$7,SOP!$M$6:$BM$6,SOP!$M$10:$BM$10))</f>
        <v>A</v>
      </c>
      <c r="AV24" s="159" t="str">
        <f>IF(AV$7&gt;$D$3,"",_xlfn.XLOOKUP(AV$7,SOP!$M$6:$BM$6,SOP!$M$10:$BM$10))</f>
        <v>R</v>
      </c>
      <c r="AW24" s="159" t="str">
        <f>IF(AW$7&gt;$D$3,"",_xlfn.XLOOKUP(AW$7,SOP!$M$6:$BM$6,SOP!$M$10:$BM$10))</f>
        <v>R</v>
      </c>
      <c r="AX24" s="159" t="str">
        <f>IF(AX$7&gt;$D$3,"",_xlfn.XLOOKUP(AX$7,SOP!$M$6:$BM$6,SOP!$M$10:$BM$10))</f>
        <v>G</v>
      </c>
      <c r="AY24" s="159" t="str">
        <f>IF(AY$7&gt;$D$3,"",_xlfn.XLOOKUP(AY$7,SOP!$M$6:$BM$6,SOP!$M$10:$BM$10))</f>
        <v>R</v>
      </c>
      <c r="AZ24" s="159" t="str">
        <f>IF(AZ$7&gt;$D$3,"",_xlfn.XLOOKUP(AZ$7,SOP!$M$6:$BM$6,SOP!$M$10:$BM$10))</f>
        <v>R</v>
      </c>
      <c r="BA24" s="159" t="str">
        <f>IF(BA$7&gt;$D$3,"",_xlfn.XLOOKUP(BA$7,SOP!$M$6:$BM$6,SOP!$M$10:$BM$10))</f>
        <v>A</v>
      </c>
      <c r="BB24" s="159" t="str">
        <f>IF(BB$7&gt;$D$3,"",_xlfn.XLOOKUP(BB$7,SOP!$M$6:$BM$6,SOP!$M$10:$BM$10))</f>
        <v>R</v>
      </c>
      <c r="BC24" s="159" t="str">
        <f>IF(BC$7&gt;$D$3,"",_xlfn.XLOOKUP(BC$7,SOP!$M$6:$BM$6,SOP!$M$10:$BM$10))</f>
        <v>R</v>
      </c>
      <c r="BD24" s="159" t="str">
        <f>IF(BD$7&gt;$D$3,"",_xlfn.XLOOKUP(BD$7,SOP!$M$6:$BM$6,SOP!$M$10:$BM$10))</f>
        <v>G</v>
      </c>
      <c r="BE24" s="159" t="str">
        <f>IF(BE$7&gt;$D$3,"",_xlfn.XLOOKUP(BE$7,SOP!$M$6:$BM$6,SOP!$M$10:$BM$10))</f>
        <v>G</v>
      </c>
      <c r="BF24" s="159" t="str">
        <f>IF(BF$7&gt;$D$3,"",_xlfn.XLOOKUP(BF$7,SOP!$M$6:$BM$6,SOP!$M$10:$BM$10))</f>
        <v>R</v>
      </c>
      <c r="BG24" s="159" t="str">
        <f>IF(BG$7&gt;$D$3,"",_xlfn.XLOOKUP(BG$7,SOP!$M$6:$BM$6,SOP!$M$10:$BM$10))</f>
        <v>G</v>
      </c>
      <c r="BH24" s="159" t="str">
        <f>IF(BH$7&gt;$D$3,"",_xlfn.XLOOKUP(BH$7,SOP!$M$6:$BM$6,SOP!$M$10:$BM$10))</f>
        <v>G</v>
      </c>
      <c r="BI24" s="159" t="str">
        <f>IF(BI$7&gt;$D$3,"",_xlfn.XLOOKUP(BI$7,SOP!$M$6:$BM$6,SOP!$M$10:$BM$10))</f>
        <v>G</v>
      </c>
      <c r="BJ24" s="159" t="str">
        <f>IF(BJ$7&gt;$D$3,"",_xlfn.XLOOKUP(BJ$7,SOP!$M$6:$BM$6,SOP!$M$10:$BM$10))</f>
        <v>R</v>
      </c>
      <c r="BK24" s="159" t="str">
        <f>IF(BK$7&gt;$D$3,"",_xlfn.XLOOKUP(BK$7,SOP!$M$6:$BM$6,SOP!$M$10:$BM$10))</f>
        <v>G</v>
      </c>
      <c r="BL24" s="159" t="str">
        <f>IF(BL$7&gt;$D$3,"",_xlfn.XLOOKUP(BL$7,SOP!$M$6:$BM$6,SOP!$M$10:$BM$10))</f>
        <v>G</v>
      </c>
      <c r="BM24" s="159" t="str">
        <f>IF(BM$7&gt;$D$3,"",_xlfn.XLOOKUP(BM$7,SOP!$M$6:$BM$6,SOP!$M$10:$BM$10))</f>
        <v>G</v>
      </c>
      <c r="BN24" s="159" t="str">
        <f>IF(BN$7&gt;$D$3,"",_xlfn.XLOOKUP(BN$7,SOP!$M$6:$BM$6,SOP!$M$10:$BM$10))</f>
        <v>R</v>
      </c>
      <c r="BO24" s="159" t="str">
        <f>IF(BO$7&gt;$D$3,"",_xlfn.XLOOKUP(BO$7,SOP!$M$6:$BM$6,SOP!$M$10:$BM$10))</f>
        <v>R</v>
      </c>
      <c r="BP24" s="159" t="str">
        <f>IF(BP$7&gt;$D$3,"",_xlfn.XLOOKUP(BP$7,SOP!$M$6:$BM$6,SOP!$M$10:$BM$10))</f>
        <v>G</v>
      </c>
      <c r="BQ24" s="159" t="str">
        <f>IF(BQ$7&gt;$D$3,"",_xlfn.XLOOKUP(BQ$7,SOP!$M$6:$BM$6,SOP!$M$10:$BM$10))</f>
        <v>R</v>
      </c>
      <c r="BR24" s="159" t="str">
        <f>IF(BR$7&gt;$D$3,"",_xlfn.XLOOKUP(BR$7,SOP!$M$6:$BM$6,SOP!$M$10:$BM$10))</f>
        <v>R</v>
      </c>
      <c r="BS24" s="159" t="str">
        <f>IF(BS$7&gt;$D$3,"",_xlfn.XLOOKUP(BS$7,SOP!$M$6:$BM$6,SOP!$M$10:$BM$10))</f>
        <v>R</v>
      </c>
      <c r="BT24" s="159" t="str">
        <f>IF(BT$7&gt;$D$3,"",_xlfn.XLOOKUP(BT$7,SOP!$M$6:$BM$6,SOP!$M$10:$BM$10))</f>
        <v>G</v>
      </c>
      <c r="BU24" s="159" t="str">
        <f>IF(BU$7&gt;$D$3,"",_xlfn.XLOOKUP(BU$7,SOP!$M$6:$BM$6,SOP!$M$10:$BM$10))</f>
        <v>R</v>
      </c>
      <c r="BV24" s="159" t="str">
        <f>IF(BV$7&gt;$D$3,"",_xlfn.XLOOKUP(BV$7,SOP!$M$6:$BM$6,SOP!$M$10:$BM$10))</f>
        <v>G</v>
      </c>
      <c r="BW24" s="159" t="str">
        <f>IF(BW$7&gt;$D$3,"",_xlfn.XLOOKUP(BW$7,SOP!$M$6:$BM$6,SOP!$M$10:$BM$10))</f>
        <v>R</v>
      </c>
      <c r="BX24" s="159" t="str">
        <f>IF(BX$7&gt;$D$3,"",_xlfn.XLOOKUP(BX$7,SOP!$M$6:$BM$6,SOP!$M$10:$BM$10))</f>
        <v>G</v>
      </c>
      <c r="BY24" s="159" t="str">
        <f>IF(BY$7&gt;$D$3,"",_xlfn.XLOOKUP(BY$7,SOP!$M$6:$BM$6,SOP!$M$10:$BM$10))</f>
        <v>G</v>
      </c>
      <c r="BZ24" s="159" t="str">
        <f>IF(BZ$7&gt;$D$3,"",_xlfn.XLOOKUP(BZ$7,SOP!$M$6:$BM$6,SOP!$M$10:$BM$10))</f>
        <v>A</v>
      </c>
      <c r="CA24" s="159" t="str">
        <f>IF(CA$7&gt;$D$3,"",_xlfn.XLOOKUP(CA$7,SOP!$M$6:$BM$6,SOP!$M$10:$BM$10))</f>
        <v>R</v>
      </c>
      <c r="CB24" s="159" t="str">
        <f>IF(CB$7&gt;$D$3,"",_xlfn.XLOOKUP(CB$7,SOP!$M$6:$BM$6,SOP!$M$10:$BM$10))</f>
        <v>R</v>
      </c>
      <c r="CC24" s="159" t="str">
        <f>IF(CC$7&gt;$D$3,"",_xlfn.XLOOKUP(CC$7,SOP!$M$6:$BM$6,SOP!$M$10:$BM$10))</f>
        <v/>
      </c>
      <c r="CD24" s="159" t="str">
        <f>IF(CD$7&gt;$D$3,"",_xlfn.XLOOKUP(CD$7,SOP!$M$6:$BM$6,SOP!$M$10:$BM$10))</f>
        <v/>
      </c>
      <c r="CE24" s="159" t="str">
        <f>IF(CE$7&gt;$D$3,"",_xlfn.XLOOKUP(CE$7,SOP!$M$6:$BM$6,SOP!$M$10:$BM$10))</f>
        <v/>
      </c>
      <c r="CF24" s="159" t="str">
        <f>IF(CF$7&gt;$D$3,"",_xlfn.XLOOKUP(CF$7,SOP!$M$6:$BM$6,SOP!$M$10:$BM$10))</f>
        <v/>
      </c>
      <c r="CG24" s="159" t="str">
        <f>IF(CG$7&gt;$D$3,"",_xlfn.XLOOKUP(CG$7,SOP!$M$6:$BM$6,SOP!$M$10:$BM$10))</f>
        <v/>
      </c>
      <c r="CH24" s="159" t="str">
        <f>IF(CH$7&gt;$D$3,"",_xlfn.XLOOKUP(CH$7,SOP!$M$6:$BM$6,SOP!$M$10:$BM$10))</f>
        <v/>
      </c>
      <c r="CI24" s="159" t="str">
        <f>IF(CI$7&gt;$D$3,"",_xlfn.XLOOKUP(CI$7,SOP!$M$6:$BM$6,SOP!$M$10:$BM$10))</f>
        <v/>
      </c>
      <c r="CJ24" s="159" t="str">
        <f>IF(CJ$7&gt;$D$3,"",_xlfn.XLOOKUP(CJ$7,SOP!$M$6:$BM$6,SOP!$M$10:$BM$10))</f>
        <v/>
      </c>
      <c r="CK24" s="159" t="str">
        <f>IF(CK$7&gt;$D$3,"",_xlfn.XLOOKUP(CK$7,SOP!$M$6:$BM$6,SOP!$M$10:$BM$10))</f>
        <v/>
      </c>
      <c r="CL24" s="159" t="str">
        <f>IF(CL$7&gt;$D$3,"",_xlfn.XLOOKUP(CL$7,SOP!$M$6:$BM$6,SOP!$M$10:$BM$10))</f>
        <v/>
      </c>
      <c r="CM24" s="159" t="str">
        <f>IF(CM$7&gt;$D$3,"",_xlfn.XLOOKUP(CM$7,SOP!$M$6:$BM$6,SOP!$M$10:$BM$10))</f>
        <v/>
      </c>
      <c r="CO24" s="465" t="str">
        <f>+$A24</f>
        <v>SOP-KPI P1</v>
      </c>
      <c r="CP24" s="133" t="str">
        <f t="shared" ref="CP24:CQ28" si="77">+C24</f>
        <v>KPI P1</v>
      </c>
      <c r="CQ24" s="142" t="str">
        <f t="shared" si="77"/>
        <v>Productivity</v>
      </c>
      <c r="CR24" s="142" t="str">
        <f t="shared" si="55"/>
        <v>Order Lines Released</v>
      </c>
      <c r="CS24" s="143" t="str">
        <f t="shared" si="55"/>
        <v>Count</v>
      </c>
      <c r="CT24" s="206" t="s">
        <v>246</v>
      </c>
      <c r="CU24" s="216" t="str" cm="1">
        <f t="array" ref="CU24">IFERROR(IF(CU$7&gt;$D$3,"",IF(AM24="Undefined","Undefined",IF(AM24="Missed","Missed",IF(AM24="Blank","Blank",IF(AM24="OD","OD",IF(AM24="TBC","TBC",_xlfn.XLOOKUP(CU$7,SOP!$M$6:$BM$6,SOP!$M$9:$BM$9/_xlfn.XLOOKUP(CU$7,SOP!$M$6:$BM$6,SOP!$M$8:$BM$8)))))))),"")</f>
        <v>Blank</v>
      </c>
      <c r="CV24" s="327" t="str" cm="1">
        <f t="array" ref="CV24">IFERROR(IF(CV$7&gt;$D$3,"",IF(AN24="Undefined","Undefined",IF(AN24="Missed","Missed",IF(AN24="Blank","Blank",IF(AN24="OD","OD",IF(AN24="TBC","TBC",_xlfn.XLOOKUP(CV$7,SOP!$M$6:$BM$6,SOP!$M$9:$BM$9/_xlfn.XLOOKUP(CV$7,SOP!$M$6:$BM$6,SOP!$M$8:$BM$8)))))))),"")</f>
        <v>Missed</v>
      </c>
      <c r="CW24" s="328" t="str" cm="1">
        <f t="array" ref="CW24">IFERROR(IF(CW$7&gt;$D$3,"",IF(AO24="Undefined","Undefined",IF(AO24="Missed","Missed",IF(AO24="Blank","Blank",IF(AO24="OD","OD",IF(AO24="TBC","TBC",_xlfn.XLOOKUP(CW$7,SOP!$M$6:$BM$6,SOP!$M$9:$BM$9/_xlfn.XLOOKUP(CW$7,SOP!$M$6:$BM$6,SOP!$M$8:$BM$8)))))))),"")</f>
        <v>Missed</v>
      </c>
      <c r="CX24" s="328" t="str" cm="1">
        <f t="array" ref="CX24">IFERROR(IF(CX$7&gt;$D$3,"",IF(AP24="Undefined","Undefined",IF(AP24="Missed","Missed",IF(AP24="Blank","Blank",IF(AP24="OD","OD",IF(AP24="TBC","TBC",_xlfn.XLOOKUP(CX$7,SOP!$M$6:$BM$6,SOP!$M$9:$BM$9/_xlfn.XLOOKUP(CX$7,SOP!$M$6:$BM$6,SOP!$M$8:$BM$8)))))))),"")</f>
        <v>Missed</v>
      </c>
      <c r="CY24" s="328" cm="1">
        <f t="array" ref="CY24">IFERROR(IF(CY$7&gt;$D$3,"",IF(AQ24="Undefined","Undefined",IF(AQ24="Missed","Missed",IF(AQ24="Blank","Blank",IF(AQ24="OD","OD",IF(AQ24="TBC","TBC",_xlfn.XLOOKUP(CY$7,SOP!$M$6:$BM$6,SOP!$M$9:$BM$9/_xlfn.XLOOKUP(CY$7,SOP!$M$6:$BM$6,SOP!$M$8:$BM$8)))))))),"")</f>
        <v>1</v>
      </c>
      <c r="CZ24" s="328" cm="1">
        <f t="array" ref="CZ24">IFERROR(IF(CZ$7&gt;$D$3,"",IF(AR24="Undefined","Undefined",IF(AR24="Missed","Missed",IF(AR24="Blank","Blank",IF(AR24="OD","OD",IF(AR24="TBC","TBC",_xlfn.XLOOKUP(CZ$7,SOP!$M$6:$BM$6,SOP!$M$9:$BM$9/_xlfn.XLOOKUP(CZ$7,SOP!$M$6:$BM$6,SOP!$M$8:$BM$8)))))))),"")</f>
        <v>0.97740112994350281</v>
      </c>
      <c r="DA24" s="328" cm="1">
        <f t="array" ref="DA24">IFERROR(IF(DA$7&gt;$D$3,"",IF(AS24="Undefined","Undefined",IF(AS24="Missed","Missed",IF(AS24="Blank","Blank",IF(AS24="OD","OD",IF(AS24="TBC","TBC",_xlfn.XLOOKUP(DA$7,SOP!$M$6:$BM$6,SOP!$M$9:$BM$9/_xlfn.XLOOKUP(DA$7,SOP!$M$6:$BM$6,SOP!$M$8:$BM$8)))))))),"")</f>
        <v>0.76457142857142857</v>
      </c>
      <c r="DB24" s="328" cm="1">
        <f t="array" ref="DB24">IFERROR(IF(DB$7&gt;$D$3,"",IF(AT24="Undefined","Undefined",IF(AT24="Missed","Missed",IF(AT24="Blank","Blank",IF(AT24="OD","OD",IF(AT24="TBC","TBC",_xlfn.XLOOKUP(DB$7,SOP!$M$6:$BM$6,SOP!$M$9:$BM$9/_xlfn.XLOOKUP(DB$7,SOP!$M$6:$BM$6,SOP!$M$8:$BM$8)))))))),"")</f>
        <v>1.1546093427035964</v>
      </c>
      <c r="DC24" s="328" cm="1">
        <f t="array" ref="DC24">IFERROR(IF(DC$7&gt;$D$3,"",IF(AU24="Undefined","Undefined",IF(AU24="Missed","Missed",IF(AU24="Blank","Blank",IF(AU24="OD","OD",IF(AU24="TBC","TBC",_xlfn.XLOOKUP(DC$7,SOP!$M$6:$BM$6,SOP!$M$9:$BM$9/_xlfn.XLOOKUP(DC$7,SOP!$M$6:$BM$6,SOP!$M$8:$BM$8)))))))),"")</f>
        <v>0.9970149253731343</v>
      </c>
      <c r="DD24" s="328" cm="1">
        <f t="array" ref="DD24">IFERROR(IF(DD$7&gt;$D$3,"",IF(AV24="Undefined","Undefined",IF(AV24="Missed","Missed",IF(AV24="Blank","Blank",IF(AV24="OD","OD",IF(AV24="TBC","TBC",_xlfn.XLOOKUP(DD$7,SOP!$M$6:$BM$6,SOP!$M$9:$BM$9/_xlfn.XLOOKUP(DD$7,SOP!$M$6:$BM$6,SOP!$M$8:$BM$8)))))))),"")</f>
        <v>0.82676224611708482</v>
      </c>
      <c r="DE24" s="328" cm="1">
        <f t="array" ref="DE24">IFERROR(IF(DE$7&gt;$D$3,"",IF(AW24="Undefined","Undefined",IF(AW24="Missed","Missed",IF(AW24="Blank","Blank",IF(AW24="OD","OD",IF(AW24="TBC","TBC",_xlfn.XLOOKUP(DE$7,SOP!$M$6:$BM$6,SOP!$M$9:$BM$9/_xlfn.XLOOKUP(DE$7,SOP!$M$6:$BM$6,SOP!$M$8:$BM$8)))))))),"")</f>
        <v>0.74677055566946893</v>
      </c>
      <c r="DF24" s="328" cm="1">
        <f t="array" ref="DF24">IFERROR(IF(DF$7&gt;$D$3,"",IF(AX24="Undefined","Undefined",IF(AX24="Missed","Missed",IF(AX24="Blank","Blank",IF(AX24="OD","OD",IF(AX24="TBC","TBC",_xlfn.XLOOKUP(DF$7,SOP!$M$6:$BM$6,SOP!$M$9:$BM$9/_xlfn.XLOOKUP(DF$7,SOP!$M$6:$BM$6,SOP!$M$8:$BM$8)))))))),"")</f>
        <v>1.0747629467541939</v>
      </c>
      <c r="DG24" s="328" cm="1">
        <f t="array" ref="DG24">IFERROR(IF(DG$7&gt;$D$3,"",IF(AY24="Undefined","Undefined",IF(AY24="Missed","Missed",IF(AY24="Blank","Blank",IF(AY24="OD","OD",IF(AY24="TBC","TBC",_xlfn.XLOOKUP(DG$7,SOP!$M$6:$BM$6,SOP!$M$9:$BM$9/_xlfn.XLOOKUP(DG$7,SOP!$M$6:$BM$6,SOP!$M$8:$BM$8)))))))),"")</f>
        <v>0.8295921593423965</v>
      </c>
      <c r="DH24" s="328" cm="1">
        <f t="array" ref="DH24">IFERROR(IF(DH$7&gt;$D$3,"",IF(AZ24="Undefined","Undefined",IF(AZ24="Missed","Missed",IF(AZ24="Blank","Blank",IF(AZ24="OD","OD",IF(AZ24="TBC","TBC",_xlfn.XLOOKUP(DH$7,SOP!$M$6:$BM$6,SOP!$M$9:$BM$9/_xlfn.XLOOKUP(DH$7,SOP!$M$6:$BM$6,SOP!$M$8:$BM$8)))))))),"")</f>
        <v>0.86880549985677447</v>
      </c>
      <c r="DI24" s="328" cm="1">
        <f t="array" ref="DI24">IFERROR(IF(DI$7&gt;$D$3,"",IF(BA24="Undefined","Undefined",IF(BA24="Missed","Missed",IF(BA24="Blank","Blank",IF(BA24="OD","OD",IF(BA24="TBC","TBC",_xlfn.XLOOKUP(DI$7,SOP!$M$6:$BM$6,SOP!$M$9:$BM$9/_xlfn.XLOOKUP(DI$7,SOP!$M$6:$BM$6,SOP!$M$8:$BM$8)))))))),"")</f>
        <v>0.99529780564263315</v>
      </c>
      <c r="DJ24" s="328" cm="1">
        <f t="array" ref="DJ24">IFERROR(IF(DJ$7&gt;$D$3,"",IF(BB24="Undefined","Undefined",IF(BB24="Missed","Missed",IF(BB24="Blank","Blank",IF(BB24="OD","OD",IF(BB24="TBC","TBC",_xlfn.XLOOKUP(DJ$7,SOP!$M$6:$BM$6,SOP!$M$9:$BM$9/_xlfn.XLOOKUP(DJ$7,SOP!$M$6:$BM$6,SOP!$M$8:$BM$8)))))))),"")</f>
        <v>0.80755523877405566</v>
      </c>
      <c r="DK24" s="328" cm="1">
        <f t="array" ref="DK24">IFERROR(IF(DK$7&gt;$D$3,"",IF(BC24="Undefined","Undefined",IF(BC24="Missed","Missed",IF(BC24="Blank","Blank",IF(BC24="OD","OD",IF(BC24="TBC","TBC",_xlfn.XLOOKUP(DK$7,SOP!$M$6:$BM$6,SOP!$M$9:$BM$9/_xlfn.XLOOKUP(DK$7,SOP!$M$6:$BM$6,SOP!$M$8:$BM$8)))))))),"")</f>
        <v>0.62815405046480743</v>
      </c>
      <c r="DL24" s="328" cm="1">
        <f t="array" ref="DL24">IFERROR(IF(DL$7&gt;$D$3,"",IF(BD24="Undefined","Undefined",IF(BD24="Missed","Missed",IF(BD24="Blank","Blank",IF(BD24="OD","OD",IF(BD24="TBC","TBC",_xlfn.XLOOKUP(DL$7,SOP!$M$6:$BM$6,SOP!$M$9:$BM$9/_xlfn.XLOOKUP(DL$7,SOP!$M$6:$BM$6,SOP!$M$8:$BM$8)))))))),"")</f>
        <v>1.0212430329161848</v>
      </c>
      <c r="DM24" s="328" cm="1">
        <f t="array" ref="DM24">IFERROR(IF(DM$7&gt;$D$3,"",IF(BE24="Undefined","Undefined",IF(BE24="Missed","Missed",IF(BE24="Blank","Blank",IF(BE24="OD","OD",IF(BE24="TBC","TBC",_xlfn.XLOOKUP(DM$7,SOP!$M$6:$BM$6,SOP!$M$9:$BM$9/_xlfn.XLOOKUP(DM$7,SOP!$M$6:$BM$6,SOP!$M$8:$BM$8)))))))),"")</f>
        <v>1.0196957878315134</v>
      </c>
      <c r="DN24" s="328" cm="1">
        <f t="array" ref="DN24">IFERROR(IF(DN$7&gt;$D$3,"",IF(BF24="Undefined","Undefined",IF(BF24="Missed","Missed",IF(BF24="Blank","Blank",IF(BF24="OD","OD",IF(BF24="TBC","TBC",_xlfn.XLOOKUP(DN$7,SOP!$M$6:$BM$6,SOP!$M$9:$BM$9/_xlfn.XLOOKUP(DN$7,SOP!$M$6:$BM$6,SOP!$M$8:$BM$8)))))))),"")</f>
        <v>0.89702808325002281</v>
      </c>
      <c r="DO24" s="328" cm="1">
        <f t="array" ref="DO24">IFERROR(IF(DO$7&gt;$D$3,"",IF(BG24="Undefined","Undefined",IF(BG24="Missed","Missed",IF(BG24="Blank","Blank",IF(BG24="OD","OD",IF(BG24="TBC","TBC",_xlfn.XLOOKUP(DO$7,SOP!$M$6:$BM$6,SOP!$M$9:$BM$9/_xlfn.XLOOKUP(DO$7,SOP!$M$6:$BM$6,SOP!$M$8:$BM$8)))))))),"")</f>
        <v>1.5065603293028043</v>
      </c>
      <c r="DP24" s="328" cm="1">
        <f t="array" ref="DP24">IFERROR(IF(DP$7&gt;$D$3,"",IF(BH24="Undefined","Undefined",IF(BH24="Missed","Missed",IF(BH24="Blank","Blank",IF(BH24="OD","OD",IF(BH24="TBC","TBC",_xlfn.XLOOKUP(DP$7,SOP!$M$6:$BM$6,SOP!$M$9:$BM$9/_xlfn.XLOOKUP(DP$7,SOP!$M$6:$BM$6,SOP!$M$8:$BM$8)))))))),"")</f>
        <v>1.017948115056039</v>
      </c>
      <c r="DQ24" s="328" cm="1">
        <f t="array" ref="DQ24">IFERROR(IF(DQ$7&gt;$D$3,"",IF(BI24="Undefined","Undefined",IF(BI24="Missed","Missed",IF(BI24="Blank","Blank",IF(BI24="OD","OD",IF(BI24="TBC","TBC",_xlfn.XLOOKUP(DQ$7,SOP!$M$6:$BM$6,SOP!$M$9:$BM$9/_xlfn.XLOOKUP(DQ$7,SOP!$M$6:$BM$6,SOP!$M$8:$BM$8)))))))),"")</f>
        <v>1.087480588626784</v>
      </c>
      <c r="DR24" s="328" cm="1">
        <f t="array" ref="DR24">IFERROR(IF(DR$7&gt;$D$3,"",IF(BJ24="Undefined","Undefined",IF(BJ24="Missed","Missed",IF(BJ24="Blank","Blank",IF(BJ24="OD","OD",IF(BJ24="TBC","TBC",_xlfn.XLOOKUP(DR$7,SOP!$M$6:$BM$6,SOP!$M$9:$BM$9/_xlfn.XLOOKUP(DR$7,SOP!$M$6:$BM$6,SOP!$M$8:$BM$8)))))))),"")</f>
        <v>0.92217573221757332</v>
      </c>
      <c r="DS24" s="328" cm="1">
        <f t="array" ref="DS24">IFERROR(IF(DS$7&gt;$D$3,"",IF(BK24="Undefined","Undefined",IF(BK24="Missed","Missed",IF(BK24="Blank","Blank",IF(BK24="OD","OD",IF(BK24="TBC","TBC",_xlfn.XLOOKUP(DS$7,SOP!$M$6:$BM$6,SOP!$M$9:$BM$9/_xlfn.XLOOKUP(DS$7,SOP!$M$6:$BM$6,SOP!$M$8:$BM$8)))))))),"")</f>
        <v>1.0348496940675713</v>
      </c>
      <c r="DT24" s="328" cm="1">
        <f t="array" ref="DT24">IFERROR(IF(DT$7&gt;$D$3,"",IF(BL24="Undefined","Undefined",IF(BL24="Missed","Missed",IF(BL24="Blank","Blank",IF(BL24="OD","OD",IF(BL24="TBC","TBC",_xlfn.XLOOKUP(DT$7,SOP!$M$6:$BM$6,SOP!$M$9:$BM$9/_xlfn.XLOOKUP(DT$7,SOP!$M$6:$BM$6,SOP!$M$8:$BM$8)))))))),"")</f>
        <v>1.0185278866826863</v>
      </c>
      <c r="DU24" s="328" cm="1">
        <f t="array" ref="DU24">IFERROR(IF(DU$7&gt;$D$3,"",IF(BM24="Undefined","Undefined",IF(BM24="Missed","Missed",IF(BM24="Blank","Blank",IF(BM24="OD","OD",IF(BM24="TBC","TBC",_xlfn.XLOOKUP(DU$7,SOP!$M$6:$BM$6,SOP!$M$9:$BM$9/_xlfn.XLOOKUP(DU$7,SOP!$M$6:$BM$6,SOP!$M$8:$BM$8)))))))),"")</f>
        <v>1.2790543393040228</v>
      </c>
      <c r="DV24" s="328" cm="1">
        <f t="array" ref="DV24">IFERROR(IF(DV$7&gt;$D$3,"",IF(BN24="Undefined","Undefined",IF(BN24="Missed","Missed",IF(BN24="Blank","Blank",IF(BN24="OD","OD",IF(BN24="TBC","TBC",_xlfn.XLOOKUP(DV$7,SOP!$M$6:$BM$6,SOP!$M$9:$BM$9/_xlfn.XLOOKUP(DV$7,SOP!$M$6:$BM$6,SOP!$M$8:$BM$8)))))))),"")</f>
        <v>0.87438016528925622</v>
      </c>
      <c r="DW24" s="328" cm="1">
        <f t="array" ref="DW24">IFERROR(IF(DW$7&gt;$D$3,"",IF(BO24="Undefined","Undefined",IF(BO24="Missed","Missed",IF(BO24="Blank","Blank",IF(BO24="OD","OD",IF(BO24="TBC","TBC",_xlfn.XLOOKUP(DW$7,SOP!$M$6:$BM$6,SOP!$M$9:$BM$9/_xlfn.XLOOKUP(DW$7,SOP!$M$6:$BM$6,SOP!$M$8:$BM$8)))))))),"")</f>
        <v>0.68130902701515483</v>
      </c>
      <c r="DX24" s="328" cm="1">
        <f t="array" ref="DX24">IFERROR(IF(DX$7&gt;$D$3,"",IF(BP24="Undefined","Undefined",IF(BP24="Missed","Missed",IF(BP24="Blank","Blank",IF(BP24="OD","OD",IF(BP24="TBC","TBC",_xlfn.XLOOKUP(DX$7,SOP!$M$6:$BM$6,SOP!$M$9:$BM$9/_xlfn.XLOOKUP(DX$7,SOP!$M$6:$BM$6,SOP!$M$8:$BM$8)))))))),"")</f>
        <v>1.1679747984409206</v>
      </c>
      <c r="DY24" s="328" cm="1">
        <f t="array" ref="DY24">IFERROR(IF(DY$7&gt;$D$3,"",IF(BQ24="Undefined","Undefined",IF(BQ24="Missed","Missed",IF(BQ24="Blank","Blank",IF(BQ24="OD","OD",IF(BQ24="TBC","TBC",_xlfn.XLOOKUP(DY$7,SOP!$M$6:$BM$6,SOP!$M$9:$BM$9/_xlfn.XLOOKUP(DY$7,SOP!$M$6:$BM$6,SOP!$M$8:$BM$8)))))))),"")</f>
        <v>0.68567639257294433</v>
      </c>
      <c r="DZ24" s="328" cm="1">
        <f t="array" ref="DZ24">IFERROR(IF(DZ$7&gt;$D$3,"",IF(BR24="Undefined","Undefined",IF(BR24="Missed","Missed",IF(BR24="Blank","Blank",IF(BR24="OD","OD",IF(BR24="TBC","TBC",_xlfn.XLOOKUP(DZ$7,SOP!$M$6:$BM$6,SOP!$M$9:$BM$9/_xlfn.XLOOKUP(DZ$7,SOP!$M$6:$BM$6,SOP!$M$8:$BM$8)))))))),"")</f>
        <v>0.93394960489041301</v>
      </c>
      <c r="EA24" s="328" cm="1">
        <f t="array" ref="EA24">IFERROR(IF(EA$7&gt;$D$3,"",IF(BS24="Undefined","Undefined",IF(BS24="Missed","Missed",IF(BS24="Blank","Blank",IF(BS24="OD","OD",IF(BS24="TBC","TBC",_xlfn.XLOOKUP(EA$7,SOP!$M$6:$BM$6,SOP!$M$9:$BM$9/_xlfn.XLOOKUP(EA$7,SOP!$M$6:$BM$6,SOP!$M$8:$BM$8)))))))),"")</f>
        <v>0.66176682519094976</v>
      </c>
      <c r="EB24" s="328" cm="1">
        <f t="array" ref="EB24">IFERROR(IF(EB$7&gt;$D$3,"",IF(BT24="Undefined","Undefined",IF(BT24="Missed","Missed",IF(BT24="Blank","Blank",IF(BT24="OD","OD",IF(BT24="TBC","TBC",_xlfn.XLOOKUP(EB$7,SOP!$M$6:$BM$6,SOP!$M$9:$BM$9/_xlfn.XLOOKUP(EB$7,SOP!$M$6:$BM$6,SOP!$M$8:$BM$8)))))))),"")</f>
        <v>1.0696888638603408</v>
      </c>
      <c r="EC24" s="328" cm="1">
        <f t="array" ref="EC24">IFERROR(IF(EC$7&gt;$D$3,"",IF(BU24="Undefined","Undefined",IF(BU24="Missed","Missed",IF(BU24="Blank","Blank",IF(BU24="OD","OD",IF(BU24="TBC","TBC",_xlfn.XLOOKUP(EC$7,SOP!$M$6:$BM$6,SOP!$M$9:$BM$9/_xlfn.XLOOKUP(EC$7,SOP!$M$6:$BM$6,SOP!$M$8:$BM$8)))))))),"")</f>
        <v>0.77393075356415475</v>
      </c>
      <c r="ED24" s="328" cm="1">
        <f t="array" ref="ED24">IFERROR(IF(ED$7&gt;$D$3,"",IF(BV24="Undefined","Undefined",IF(BV24="Missed","Missed",IF(BV24="Blank","Blank",IF(BV24="OD","OD",IF(BV24="TBC","TBC",_xlfn.XLOOKUP(ED$7,SOP!$M$6:$BM$6,SOP!$M$9:$BM$9/_xlfn.XLOOKUP(ED$7,SOP!$M$6:$BM$6,SOP!$M$8:$BM$8)))))))),"")</f>
        <v>1.0258107213765719</v>
      </c>
      <c r="EE24" s="328" cm="1">
        <f t="array" ref="EE24">IFERROR(IF(EE$7&gt;$D$3,"",IF(BW24="Undefined","Undefined",IF(BW24="Missed","Missed",IF(BW24="Blank","Blank",IF(BW24="OD","OD",IF(BW24="TBC","TBC",_xlfn.XLOOKUP(EE$7,SOP!$M$6:$BM$6,SOP!$M$9:$BM$9/_xlfn.XLOOKUP(EE$7,SOP!$M$6:$BM$6,SOP!$M$8:$BM$8)))))))),"")</f>
        <v>0.76942131112534695</v>
      </c>
      <c r="EF24" s="328" cm="1">
        <f t="array" ref="EF24">IFERROR(IF(EF$7&gt;$D$3,"",IF(BX24="Undefined","Undefined",IF(BX24="Missed","Missed",IF(BX24="Blank","Blank",IF(BX24="OD","OD",IF(BX24="TBC","TBC",_xlfn.XLOOKUP(EF$7,SOP!$M$6:$BM$6,SOP!$M$9:$BM$9/_xlfn.XLOOKUP(EF$7,SOP!$M$6:$BM$6,SOP!$M$8:$BM$8)))))))),"")</f>
        <v>1.2124864459087497</v>
      </c>
      <c r="EG24" s="328" cm="1">
        <f t="array" ref="EG24">IFERROR(IF(EG$7&gt;$D$3,"",IF(BY24="Undefined","Undefined",IF(BY24="Missed","Missed",IF(BY24="Blank","Blank",IF(BY24="OD","OD",IF(BY24="TBC","TBC",_xlfn.XLOOKUP(EG$7,SOP!$M$6:$BM$6,SOP!$M$9:$BM$9/_xlfn.XLOOKUP(EG$7,SOP!$M$6:$BM$6,SOP!$M$8:$BM$8)))))))),"")</f>
        <v>1.377287903777304</v>
      </c>
      <c r="EH24" s="328" cm="1">
        <f t="array" ref="EH24">IFERROR(IF(EH$7&gt;$D$3,"",IF(BZ24="Undefined","Undefined",IF(BZ24="Missed","Missed",IF(BZ24="Blank","Blank",IF(BZ24="OD","OD",IF(BZ24="TBC","TBC",_xlfn.XLOOKUP(EH$7,SOP!$M$6:$BM$6,SOP!$M$9:$BM$9/_xlfn.XLOOKUP(EH$7,SOP!$M$6:$BM$6,SOP!$M$8:$BM$8)))))))),"")</f>
        <v>0.9837238073146215</v>
      </c>
      <c r="EI24" s="328" cm="1">
        <f t="array" ref="EI24">IFERROR(IF(EI$7&gt;$D$3,"",IF(CA24="Undefined","Undefined",IF(CA24="Missed","Missed",IF(CA24="Blank","Blank",IF(CA24="OD","OD",IF(CA24="TBC","TBC",_xlfn.XLOOKUP(EI$7,SOP!$M$6:$BM$6,SOP!$M$9:$BM$9/_xlfn.XLOOKUP(EI$7,SOP!$M$6:$BM$6,SOP!$M$8:$BM$8)))))))),"")</f>
        <v>0.90159064415447676</v>
      </c>
      <c r="EJ24" s="328" cm="1">
        <f t="array" ref="EJ24">IFERROR(IF(EJ$7&gt;$D$3,"",IF(CB24="Undefined","Undefined",IF(CB24="Missed","Missed",IF(CB24="Blank","Blank",IF(CB24="OD","OD",IF(CB24="TBC","TBC",_xlfn.XLOOKUP(EJ$7,SOP!$M$6:$BM$6,SOP!$M$9:$BM$9/_xlfn.XLOOKUP(EJ$7,SOP!$M$6:$BM$6,SOP!$M$8:$BM$8)))))))),"")</f>
        <v>0.8239113687222569</v>
      </c>
      <c r="EK24" s="328" t="str" cm="1">
        <f t="array" ref="EK24">IFERROR(IF(EK$7&gt;$D$3,"",IF(CC24="Undefined","Undefined",IF(CC24="Missed","Missed",IF(CC24="Blank","Blank",IF(CC24="OD","OD",IF(CC24="TBC","TBC",_xlfn.XLOOKUP(EK$7,SOP!$M$6:$BM$6,SOP!$M$9:$BM$9/_xlfn.XLOOKUP(EK$7,SOP!$M$6:$BM$6,SOP!$M$8:$BM$8)))))))),"")</f>
        <v/>
      </c>
      <c r="EL24" s="328" t="str" cm="1">
        <f t="array" ref="EL24">IFERROR(IF(EL$7&gt;$D$3,"",IF(CD24="Undefined","Undefined",IF(CD24="Missed","Missed",IF(CD24="Blank","Blank",IF(CD24="OD","OD",IF(CD24="TBC","TBC",_xlfn.XLOOKUP(EL$7,SOP!$M$6:$BM$6,SOP!$M$9:$BM$9/_xlfn.XLOOKUP(EL$7,SOP!$M$6:$BM$6,SOP!$M$8:$BM$8)))))))),"")</f>
        <v/>
      </c>
      <c r="EM24" s="328" t="str" cm="1">
        <f t="array" ref="EM24">IFERROR(IF(EM$7&gt;$D$3,"",IF(CE24="Undefined","Undefined",IF(CE24="Missed","Missed",IF(CE24="Blank","Blank",IF(CE24="OD","OD",IF(CE24="TBC","TBC",_xlfn.XLOOKUP(EM$7,SOP!$M$6:$BM$6,SOP!$M$9:$BM$9/_xlfn.XLOOKUP(EM$7,SOP!$M$6:$BM$6,SOP!$M$8:$BM$8)))))))),"")</f>
        <v/>
      </c>
      <c r="EN24" s="328" t="str" cm="1">
        <f t="array" ref="EN24">IFERROR(IF(EN$7&gt;$D$3,"",IF(CF24="Undefined","Undefined",IF(CF24="Missed","Missed",IF(CF24="Blank","Blank",IF(CF24="OD","OD",IF(CF24="TBC","TBC",_xlfn.XLOOKUP(EN$7,SOP!$M$6:$BM$6,SOP!$M$9:$BM$9/_xlfn.XLOOKUP(EN$7,SOP!$M$6:$BM$6,SOP!$M$8:$BM$8)))))))),"")</f>
        <v/>
      </c>
      <c r="EO24" s="328" t="str" cm="1">
        <f t="array" ref="EO24">IFERROR(IF(EO$7&gt;$D$3,"",IF(CG24="Undefined","Undefined",IF(CG24="Missed","Missed",IF(CG24="Blank","Blank",IF(CG24="OD","OD",IF(CG24="TBC","TBC",_xlfn.XLOOKUP(EO$7,SOP!$M$6:$BM$6,SOP!$M$9:$BM$9/_xlfn.XLOOKUP(EO$7,SOP!$M$6:$BM$6,SOP!$M$8:$BM$8)))))))),"")</f>
        <v/>
      </c>
      <c r="EP24" s="328" t="str" cm="1">
        <f t="array" ref="EP24">IFERROR(IF(EP$7&gt;$D$3,"",IF(CH24="Undefined","Undefined",IF(CH24="Missed","Missed",IF(CH24="Blank","Blank",IF(CH24="OD","OD",IF(CH24="TBC","TBC",_xlfn.XLOOKUP(EP$7,SOP!$M$6:$BM$6,SOP!$M$9:$BM$9/_xlfn.XLOOKUP(EP$7,SOP!$M$6:$BM$6,SOP!$M$8:$BM$8)))))))),"")</f>
        <v/>
      </c>
      <c r="EQ24" s="328" t="str" cm="1">
        <f t="array" ref="EQ24">IFERROR(IF(EQ$7&gt;$D$3,"",IF(CI24="Undefined","Undefined",IF(CI24="Missed","Missed",IF(CI24="Blank","Blank",IF(CI24="OD","OD",IF(CI24="TBC","TBC",_xlfn.XLOOKUP(EQ$7,SOP!$M$6:$BM$6,SOP!$M$9:$BM$9/_xlfn.XLOOKUP(EQ$7,SOP!$M$6:$BM$6,SOP!$M$8:$BM$8)))))))),"")</f>
        <v/>
      </c>
      <c r="ER24" s="328" t="str" cm="1">
        <f t="array" ref="ER24">IFERROR(IF(ER$7&gt;$D$3,"",IF(CJ24="Undefined","Undefined",IF(CJ24="Missed","Missed",IF(CJ24="Blank","Blank",IF(CJ24="OD","OD",IF(CJ24="TBC","TBC",_xlfn.XLOOKUP(ER$7,SOP!$M$6:$BM$6,SOP!$M$9:$BM$9/_xlfn.XLOOKUP(ER$7,SOP!$M$6:$BM$6,SOP!$M$8:$BM$8)))))))),"")</f>
        <v/>
      </c>
      <c r="ES24" s="328" t="str" cm="1">
        <f t="array" ref="ES24">IFERROR(IF(ES$7&gt;$D$3,"",IF(CK24="Undefined","Undefined",IF(CK24="Missed","Missed",IF(CK24="Blank","Blank",IF(CK24="OD","OD",IF(CK24="TBC","TBC",_xlfn.XLOOKUP(ES$7,SOP!$M$6:$BM$6,SOP!$M$9:$BM$9/_xlfn.XLOOKUP(ES$7,SOP!$M$6:$BM$6,SOP!$M$8:$BM$8)))))))),"")</f>
        <v/>
      </c>
      <c r="ET24" s="328" t="str" cm="1">
        <f t="array" ref="ET24">IFERROR(IF(ET$7&gt;$D$3,"",IF(CL24="Undefined","Undefined",IF(CL24="Missed","Missed",IF(CL24="Blank","Blank",IF(CL24="OD","OD",IF(CL24="TBC","TBC",_xlfn.XLOOKUP(ET$7,SOP!$M$6:$BM$6,SOP!$M$9:$BM$9/_xlfn.XLOOKUP(ET$7,SOP!$M$6:$BM$6,SOP!$M$8:$BM$8)))))))),"")</f>
        <v/>
      </c>
      <c r="EU24" s="328" t="str" cm="1">
        <f t="array" ref="EU24">IFERROR(IF(EU$7&gt;$D$3,"",IF(CM24="Undefined","Undefined",IF(CM24="Missed","Missed",IF(CM24="Blank","Blank",IF(CM24="OD","OD",IF(CM24="TBC","TBC",_xlfn.XLOOKUP(EU$7,SOP!$M$6:$BM$6,SOP!$M$9:$BM$9/_xlfn.XLOOKUP(EU$7,SOP!$M$6:$BM$6,SOP!$M$8:$BM$8)))))))),"")</f>
        <v/>
      </c>
      <c r="EW24" s="465" t="str">
        <f>+$A24</f>
        <v>SOP-KPI P1</v>
      </c>
      <c r="EX24" s="133" t="str">
        <f>+$C24</f>
        <v>KPI P1</v>
      </c>
      <c r="EY24" s="142" t="str">
        <f>+$D24</f>
        <v>Productivity</v>
      </c>
      <c r="EZ24" s="142" t="str">
        <f t="shared" si="57"/>
        <v>Order Lines Released</v>
      </c>
      <c r="FA24" s="143" t="str">
        <f t="shared" si="58"/>
        <v>Count</v>
      </c>
      <c r="FB24" s="143" t="s">
        <v>251</v>
      </c>
      <c r="FC24" s="211" t="str">
        <f>IF(FC$7&gt;$D$3,"",IF($FA23&lt;FC$7,"OD",_xlfn.XLOOKUP(FC$7,SOP!$M$6:$BM$6,SOP!$M$9:$BM$9)))</f>
        <v>Blank</v>
      </c>
      <c r="FD24" s="211" t="str">
        <f>IF(FD$7&gt;$D$3,"",IF($FA23&lt;FD$7,"OD",_xlfn.XLOOKUP(FD$7,SOP!$M$6:$BM$6,SOP!$M$9:$BM$9)))</f>
        <v>Missed</v>
      </c>
      <c r="FE24" s="211" t="str">
        <f>IF(FE$7&gt;$D$3,"",IF($FA23&lt;FE$7,"OD",_xlfn.XLOOKUP(FE$7,SOP!$M$6:$BM$6,SOP!$M$9:$BM$9)))</f>
        <v>Missed</v>
      </c>
      <c r="FF24" s="211" t="str">
        <f>IF(FF$7&gt;$D$3,"",IF($FA23&lt;FF$7,"OD",_xlfn.XLOOKUP(FF$7,SOP!$M$6:$BM$6,SOP!$M$9:$BM$9)))</f>
        <v>Missed</v>
      </c>
      <c r="FG24" s="211">
        <f>IF(FG$7&gt;$D$3,"",IF($FA23&lt;FG$7,"OD",_xlfn.XLOOKUP(FG$7,SOP!$M$6:$BM$6,SOP!$M$9:$BM$9)))</f>
        <v>885</v>
      </c>
      <c r="FH24" s="211">
        <f>IF(FH$7&gt;$D$3,"",IF($FA23&lt;FH$7,"OD",_xlfn.XLOOKUP(FH$7,SOP!$M$6:$BM$6,SOP!$M$9:$BM$9)))</f>
        <v>865</v>
      </c>
      <c r="FI24" s="211">
        <f>IF(FI$7&gt;$D$3,"",IF($FA23&lt;FI$7,"OD",_xlfn.XLOOKUP(FI$7,SOP!$M$6:$BM$6,SOP!$M$9:$BM$9)))</f>
        <v>669</v>
      </c>
      <c r="FJ24" s="211">
        <f>IF(FJ$7&gt;$D$3,"",IF($FA23&lt;FJ$7,"OD",_xlfn.XLOOKUP(FJ$7,SOP!$M$6:$BM$6,SOP!$M$9:$BM$9)))</f>
        <v>931</v>
      </c>
      <c r="FK24" s="211">
        <f>IF(FK$7&gt;$D$3,"",IF($FA23&lt;FK$7,"OD",_xlfn.XLOOKUP(FK$7,SOP!$M$6:$BM$6,SOP!$M$9:$BM$9)))</f>
        <v>835</v>
      </c>
      <c r="FL24" s="211">
        <f>IF(FL$7&gt;$D$3,"",IF($FA23&lt;FL$7,"OD",_xlfn.XLOOKUP(FL$7,SOP!$M$6:$BM$6,SOP!$M$9:$BM$9)))</f>
        <v>692</v>
      </c>
      <c r="FM24" s="211">
        <f>IF(FM$7&gt;$D$3,"",IF($FA23&lt;FM$7,"OD",_xlfn.XLOOKUP(FM$7,SOP!$M$6:$BM$6,SOP!$M$9:$BM$9)))</f>
        <v>607</v>
      </c>
      <c r="FN24" s="211">
        <f>IF(FN$7&gt;$D$3,"",IF($FA23&lt;FN$7,"OD",_xlfn.XLOOKUP(FN$7,SOP!$M$6:$BM$6,SOP!$M$9:$BM$9)))</f>
        <v>842</v>
      </c>
      <c r="FO24" s="211">
        <f>IF(FO$7&gt;$D$3,"",IF($FA23&lt;FO$7,"OD",_xlfn.XLOOKUP(FO$7,SOP!$M$6:$BM$6,SOP!$M$9:$BM$9)))</f>
        <v>656</v>
      </c>
      <c r="FP24" s="211">
        <f>IF(FP$7&gt;$D$3,"",IF($FA23&lt;FP$7,"OD",_xlfn.XLOOKUP(FP$7,SOP!$M$6:$BM$6,SOP!$M$9:$BM$9)))</f>
        <v>674</v>
      </c>
      <c r="FQ24" s="211">
        <f>IF(FQ$7&gt;$D$3,"",IF($FA23&lt;FQ$7,"OD",_xlfn.XLOOKUP(FQ$7,SOP!$M$6:$BM$6,SOP!$M$9:$BM$9)))</f>
        <v>762</v>
      </c>
      <c r="FR24" s="211">
        <f>IF(FR$7&gt;$D$3,"",IF($FA23&lt;FR$7,"OD",_xlfn.XLOOKUP(FR$7,SOP!$M$6:$BM$6,SOP!$M$9:$BM$9)))</f>
        <v>618</v>
      </c>
      <c r="FS24" s="211">
        <f>IF(FS$7&gt;$D$3,"",IF($FA23&lt;FS$7,"OD",_xlfn.XLOOKUP(FS$7,SOP!$M$6:$BM$6,SOP!$M$9:$BM$9)))</f>
        <v>473</v>
      </c>
      <c r="FT24" s="211">
        <f>IF(FT$7&gt;$D$3,"",IF($FA23&lt;FT$7,"OD",_xlfn.XLOOKUP(FT$7,SOP!$M$6:$BM$6,SOP!$M$9:$BM$9)))</f>
        <v>747</v>
      </c>
      <c r="FU24" s="211">
        <f>IF(FU$7&gt;$D$3,"",IF($FA23&lt;FU$7,"OD",_xlfn.XLOOKUP(FU$7,SOP!$M$6:$BM$6,SOP!$M$9:$BM$9)))</f>
        <v>747</v>
      </c>
      <c r="FV24" s="211">
        <f>IF(FV$7&gt;$D$3,"",IF($FA23&lt;FV$7,"OD",_xlfn.XLOOKUP(FV$7,SOP!$M$6:$BM$6,SOP!$M$9:$BM$9)))</f>
        <v>658</v>
      </c>
      <c r="FW24" s="211">
        <f>IF(FW$7&gt;$D$3,"",IF($FA23&lt;FW$7,"OD",_xlfn.XLOOKUP(FW$7,SOP!$M$6:$BM$6,SOP!$M$9:$BM$9)))</f>
        <v>1098</v>
      </c>
      <c r="FX24" s="211">
        <f>IF(FX$7&gt;$D$3,"",IF($FA23&lt;FX$7,"OD",_xlfn.XLOOKUP(FX$7,SOP!$M$6:$BM$6,SOP!$M$9:$BM$9)))</f>
        <v>764</v>
      </c>
      <c r="FY24" s="211">
        <f>IF(FY$7&gt;$D$3,"",IF($FA23&lt;FY$7,"OD",_xlfn.XLOOKUP(FY$7,SOP!$M$6:$BM$6,SOP!$M$9:$BM$9)))</f>
        <v>817</v>
      </c>
      <c r="FZ24" s="211">
        <f>IF(FZ$7&gt;$D$3,"",IF($FA23&lt;FZ$7,"OD",_xlfn.XLOOKUP(FZ$7,SOP!$M$6:$BM$6,SOP!$M$9:$BM$9)))</f>
        <v>696</v>
      </c>
      <c r="GA24" s="211">
        <f>IF(GA$7&gt;$D$3,"",IF($FA23&lt;GA$7,"OD",_xlfn.XLOOKUP(GA$7,SOP!$M$6:$BM$6,SOP!$M$9:$BM$9)))</f>
        <v>778</v>
      </c>
      <c r="GB24" s="211">
        <f>IF(GB$7&gt;$D$3,"",IF($FA23&lt;GB$7,"OD",_xlfn.XLOOKUP(GB$7,SOP!$M$6:$BM$6,SOP!$M$9:$BM$9)))</f>
        <v>767</v>
      </c>
      <c r="GC24" s="211">
        <f>IF(GC$7&gt;$D$3,"",IF($FA23&lt;GC$7,"OD",_xlfn.XLOOKUP(GC$7,SOP!$M$6:$BM$6,SOP!$M$9:$BM$9)))</f>
        <v>964</v>
      </c>
      <c r="GD24" s="211">
        <f>IF(GD$7&gt;$D$3,"",IF($FA23&lt;GD$7,"OD",_xlfn.XLOOKUP(GD$7,SOP!$M$6:$BM$6,SOP!$M$9:$BM$9)))</f>
        <v>667</v>
      </c>
      <c r="GE24" s="211">
        <f>IF(GE$7&gt;$D$3,"",IF($FA23&lt;GE$7,"OD",_xlfn.XLOOKUP(GE$7,SOP!$M$6:$BM$6,SOP!$M$9:$BM$9)))</f>
        <v>517</v>
      </c>
      <c r="GF24" s="211">
        <f>IF(GF$7&gt;$D$3,"",IF($FA23&lt;GF$7,"OD",_xlfn.XLOOKUP(GF$7,SOP!$M$6:$BM$6,SOP!$M$9:$BM$9)))</f>
        <v>875</v>
      </c>
      <c r="GG24" s="211">
        <f>IF(GG$7&gt;$D$3,"",IF($FA23&lt;GG$7,"OD",_xlfn.XLOOKUP(GG$7,SOP!$M$6:$BM$6,SOP!$M$9:$BM$9)))</f>
        <v>517</v>
      </c>
      <c r="GH24" s="211">
        <f>IF(GH$7&gt;$D$3,"",IF($FA23&lt;GH$7,"OD",_xlfn.XLOOKUP(GH$7,SOP!$M$6:$BM$6,SOP!$M$9:$BM$9)))</f>
        <v>696</v>
      </c>
      <c r="GI24" s="211">
        <f>IF(GI$7&gt;$D$3,"",IF($FA23&lt;GI$7,"OD",_xlfn.XLOOKUP(GI$7,SOP!$M$6:$BM$6,SOP!$M$9:$BM$9)))</f>
        <v>492</v>
      </c>
      <c r="GJ24" s="211">
        <f>IF(GJ$7&gt;$D$3,"",IF($FA23&lt;GJ$7,"OD",_xlfn.XLOOKUP(GJ$7,SOP!$M$6:$BM$6,SOP!$M$9:$BM$9)))</f>
        <v>786</v>
      </c>
      <c r="GK24" s="211">
        <f>IF(GK$7&gt;$D$3,"",IF($FA23&lt;GK$7,"OD",_xlfn.XLOOKUP(GK$7,SOP!$M$6:$BM$6,SOP!$M$9:$BM$9)))</f>
        <v>570</v>
      </c>
      <c r="GL24" s="211">
        <f>IF(GL$7&gt;$D$3,"",IF($FA23&lt;GL$7,"OD",_xlfn.XLOOKUP(GL$7,SOP!$M$6:$BM$6,SOP!$M$9:$BM$9)))</f>
        <v>750</v>
      </c>
      <c r="GM24" s="211">
        <f>IF(GM$7&gt;$D$3,"",IF($FA23&lt;GM$7,"OD",_xlfn.XLOOKUP(GM$7,SOP!$M$6:$BM$6,SOP!$M$9:$BM$9)))</f>
        <v>563</v>
      </c>
      <c r="GN24" s="211">
        <f>IF(GN$7&gt;$D$3,"",IF($FA23&lt;GN$7,"OD",_xlfn.XLOOKUP(GN$7,SOP!$M$6:$BM$6,SOP!$M$9:$BM$9)))</f>
        <v>881</v>
      </c>
      <c r="GO24" s="211">
        <f>IF(GO$7&gt;$D$3,"",IF($FA23&lt;GO$7,"OD",_xlfn.XLOOKUP(GO$7,SOP!$M$6:$BM$6,SOP!$M$9:$BM$9)))</f>
        <v>1007</v>
      </c>
      <c r="GP24" s="211">
        <f>IF(GP$7&gt;$D$3,"",IF($FA23&lt;GP$7,"OD",_xlfn.XLOOKUP(GP$7,SOP!$M$6:$BM$6,SOP!$M$9:$BM$9)))</f>
        <v>727</v>
      </c>
      <c r="GQ24" s="211">
        <f>IF(GQ$7&gt;$D$3,"",IF($FA23&lt;GQ$7,"OD",_xlfn.XLOOKUP(GQ$7,SOP!$M$6:$BM$6,SOP!$M$9:$BM$9)))</f>
        <v>666</v>
      </c>
      <c r="GR24" s="211">
        <f>IF(GR$7&gt;$D$3,"",IF($FA23&lt;GR$7,"OD",_xlfn.XLOOKUP(GR$7,SOP!$M$6:$BM$6,SOP!$M$9:$BM$9)))</f>
        <v>607</v>
      </c>
      <c r="GS24" s="211" t="str">
        <f>IF(GS$7&gt;$D$3,"",IF($FA23&lt;GS$7,"OD",_xlfn.XLOOKUP(GS$7,SOP!$M$6:$BM$6,SOP!$M$9:$BM$9)))</f>
        <v/>
      </c>
      <c r="GT24" s="211" t="str">
        <f>IF(GT$7&gt;$D$3,"",IF($FA23&lt;GT$7,"OD",_xlfn.XLOOKUP(GT$7,SOP!$M$6:$BM$6,SOP!$M$9:$BM$9)))</f>
        <v/>
      </c>
      <c r="GU24" s="211" t="str">
        <f>IF(GU$7&gt;$D$3,"",IF($FA23&lt;GU$7,"OD",_xlfn.XLOOKUP(GU$7,SOP!$M$6:$BM$6,SOP!$M$9:$BM$9)))</f>
        <v/>
      </c>
      <c r="GV24" s="211" t="str">
        <f>IF(GV$7&gt;$D$3,"",IF($FA23&lt;GV$7,"OD",_xlfn.XLOOKUP(GV$7,SOP!$M$6:$BM$6,SOP!$M$9:$BM$9)))</f>
        <v/>
      </c>
      <c r="GW24" s="211" t="str">
        <f>IF(GW$7&gt;$D$3,"",IF($FA23&lt;GW$7,"OD",_xlfn.XLOOKUP(GW$7,SOP!$M$6:$BM$6,SOP!$M$9:$BM$9)))</f>
        <v/>
      </c>
      <c r="GX24" s="211" t="str">
        <f>IF(GX$7&gt;$D$3,"",IF($FA23&lt;GX$7,"OD",_xlfn.XLOOKUP(GX$7,SOP!$M$6:$BM$6,SOP!$M$9:$BM$9)))</f>
        <v/>
      </c>
      <c r="GY24" s="211" t="str">
        <f>IF(GY$7&gt;$D$3,"",IF($FA23&lt;GY$7,"OD",_xlfn.XLOOKUP(GY$7,SOP!$M$6:$BM$6,SOP!$M$9:$BM$9)))</f>
        <v/>
      </c>
      <c r="GZ24" s="211" t="str">
        <f>IF(GZ$7&gt;$D$3,"",IF($FA23&lt;GZ$7,"OD",_xlfn.XLOOKUP(GZ$7,SOP!$M$6:$BM$6,SOP!$M$9:$BM$9)))</f>
        <v/>
      </c>
      <c r="HA24" s="211" t="str">
        <f>IF(HA$7&gt;$D$3,"",IF($FA23&lt;HA$7,"OD",_xlfn.XLOOKUP(HA$7,SOP!$M$6:$BM$6,SOP!$M$9:$BM$9)))</f>
        <v/>
      </c>
      <c r="HB24" s="211" t="str">
        <f>IF(HB$7&gt;$D$3,"",IF($FA23&lt;HB$7,"OD",_xlfn.XLOOKUP(HB$7,SOP!$M$6:$BM$6,SOP!$M$9:$BM$9)))</f>
        <v/>
      </c>
      <c r="HC24" s="211" t="str">
        <f>IF(HC$7&gt;$D$3,"",IF($FA23&lt;HC$7,"OD",_xlfn.XLOOKUP(HC$7,SOP!$M$6:$BM$6,SOP!$M$9:$BM$9)))</f>
        <v/>
      </c>
      <c r="HE24" s="133" t="str">
        <f>+$C24</f>
        <v>KPI P1</v>
      </c>
      <c r="HF24" s="142" t="str">
        <f>+$D24</f>
        <v>Productivity</v>
      </c>
      <c r="HG24" s="142" t="str">
        <f t="shared" si="61"/>
        <v>Order Lines Released</v>
      </c>
      <c r="HH24" s="143" t="str">
        <f t="shared" si="62"/>
        <v>Count</v>
      </c>
      <c r="HI24" s="143" t="s">
        <v>44</v>
      </c>
      <c r="HJ24" s="211" t="s">
        <v>122</v>
      </c>
      <c r="HK24" s="211">
        <f>IF(HK$7&gt;$D$3,"",IF($FA23&lt;HK$7,"OD",_xlfn.XLOOKUP(HK$7,SOP!$M$6:$BM$6,SOP!$M$8:$BM$8)))</f>
        <v>0</v>
      </c>
      <c r="HL24" s="225">
        <f>IF(HL$7&gt;$D$3,"",IF($FA23&lt;HL$7,"OD",_xlfn.XLOOKUP(HL$7,SOP!$M$6:$BM$6,SOP!$M$8:$BM$8)))</f>
        <v>0</v>
      </c>
      <c r="HM24" s="225">
        <f>IF(HM$7&gt;$D$3,"",IF($FA23&lt;HM$7,"OD",_xlfn.XLOOKUP(HM$7,SOP!$M$6:$BM$6,SOP!$M$8:$BM$8)))</f>
        <v>0</v>
      </c>
      <c r="HN24" s="225">
        <f>IF(HN$7&gt;$D$3,"",IF($FA23&lt;HN$7,"OD",_xlfn.XLOOKUP(HN$7,SOP!$M$6:$BM$6,SOP!$M$8:$BM$8)))</f>
        <v>885</v>
      </c>
      <c r="HO24" s="225">
        <f>IF(HO$7&gt;$D$3,"",IF($FA23&lt;HO$7,"OD",_xlfn.XLOOKUP(HO$7,SOP!$M$6:$BM$6,SOP!$M$8:$BM$8)))</f>
        <v>885</v>
      </c>
      <c r="HP24" s="225">
        <f>IF(HP$7&gt;$D$3,"",IF($FA23&lt;HP$7,"OD",_xlfn.XLOOKUP(HP$7,SOP!$M$6:$BM$6,SOP!$M$8:$BM$8)))</f>
        <v>875</v>
      </c>
      <c r="HQ24" s="225">
        <f>IF(HQ$7&gt;$D$3,"",IF($FA23&lt;HQ$7,"OD",_xlfn.XLOOKUP(HQ$7,SOP!$M$6:$BM$6,SOP!$M$8:$BM$8)))</f>
        <v>806.33333333333337</v>
      </c>
      <c r="HR24" s="225">
        <f>IF(HR$7&gt;$D$3,"",IF($FA23&lt;HR$7,"OD",_xlfn.XLOOKUP(HR$7,SOP!$M$6:$BM$6,SOP!$M$8:$BM$8)))</f>
        <v>837.5</v>
      </c>
      <c r="HS24" s="225">
        <f>IF(HS$7&gt;$D$3,"",IF($FA23&lt;HS$7,"OD",_xlfn.XLOOKUP(HS$7,SOP!$M$6:$BM$6,SOP!$M$8:$BM$8)))</f>
        <v>837</v>
      </c>
      <c r="HT24" s="225">
        <f>IF(HT$7&gt;$D$3,"",IF($FA23&lt;HT$7,"OD",_xlfn.XLOOKUP(HT$7,SOP!$M$6:$BM$6,SOP!$M$8:$BM$8)))</f>
        <v>812.83333333333337</v>
      </c>
      <c r="HU24" s="225">
        <f>IF(HU$7&gt;$D$3,"",IF($FA23&lt;HU$7,"OD",_xlfn.XLOOKUP(HU$7,SOP!$M$6:$BM$6,SOP!$M$8:$BM$8)))</f>
        <v>783.42857142857144</v>
      </c>
      <c r="HV24" s="225">
        <f>IF(HV$7&gt;$D$3,"",IF($FA23&lt;HV$7,"OD",_xlfn.XLOOKUP(HV$7,SOP!$M$6:$BM$6,SOP!$M$8:$BM$8)))</f>
        <v>790.75</v>
      </c>
      <c r="HW24" s="225">
        <f>IF(HW$7&gt;$D$3,"",IF($FA23&lt;HW$7,"OD",_xlfn.XLOOKUP(HW$7,SOP!$M$6:$BM$6,SOP!$M$8:$BM$8)))</f>
        <v>775.77777777777783</v>
      </c>
      <c r="HX24" s="225">
        <f>IF(HX$7&gt;$D$3,"",IF($FA23&lt;HX$7,"OD",_xlfn.XLOOKUP(HX$7,SOP!$M$6:$BM$6,SOP!$M$8:$BM$8)))</f>
        <v>765.6</v>
      </c>
      <c r="HY24" s="225">
        <f>IF(HY$7&gt;$D$3,"",IF($FA23&lt;HY$7,"OD",_xlfn.XLOOKUP(HY$7,SOP!$M$6:$BM$6,SOP!$M$8:$BM$8)))</f>
        <v>765.27272727272725</v>
      </c>
      <c r="HZ24" s="225">
        <f>IF(HZ$7&gt;$D$3,"",IF($FA23&lt;HZ$7,"OD",_xlfn.XLOOKUP(HZ$7,SOP!$M$6:$BM$6,SOP!$M$8:$BM$8)))</f>
        <v>753</v>
      </c>
      <c r="IA24" s="225">
        <f>IF(IA$7&gt;$D$3,"",IF($FA23&lt;IA$7,"OD",_xlfn.XLOOKUP(IA$7,SOP!$M$6:$BM$6,SOP!$M$8:$BM$8)))</f>
        <v>731.46153846153845</v>
      </c>
      <c r="IB24" s="225">
        <f>IF(IB$7&gt;$D$3,"",IF($FA23&lt;IB$7,"OD",_xlfn.XLOOKUP(IB$7,SOP!$M$6:$BM$6,SOP!$M$8:$BM$8)))</f>
        <v>732.57142857142856</v>
      </c>
      <c r="IC24" s="225">
        <f>IF(IC$7&gt;$D$3,"",IF($FA23&lt;IC$7,"OD",_xlfn.XLOOKUP(IC$7,SOP!$M$6:$BM$6,SOP!$M$8:$BM$8)))</f>
        <v>733.5333333333333</v>
      </c>
      <c r="ID24" s="225">
        <f>IF(ID$7&gt;$D$3,"",IF($FA23&lt;ID$7,"OD",_xlfn.XLOOKUP(ID$7,SOP!$M$6:$BM$6,SOP!$M$8:$BM$8)))</f>
        <v>728.8125</v>
      </c>
      <c r="IE24" s="225">
        <f>IF(IE$7&gt;$D$3,"",IF($FA23&lt;IE$7,"OD",_xlfn.XLOOKUP(IE$7,SOP!$M$6:$BM$6,SOP!$M$8:$BM$8)))</f>
        <v>750.52941176470586</v>
      </c>
      <c r="IF24" s="225">
        <f>IF(IF$7&gt;$D$3,"",IF($FA23&lt;IF$7,"OD",_xlfn.XLOOKUP(IF$7,SOP!$M$6:$BM$6,SOP!$M$8:$BM$8)))</f>
        <v>751.27777777777783</v>
      </c>
      <c r="IG24" s="225">
        <f>IF(IG$7&gt;$D$3,"",IF($FA23&lt;IG$7,"OD",_xlfn.XLOOKUP(IG$7,SOP!$M$6:$BM$6,SOP!$M$8:$BM$8)))</f>
        <v>754.73684210526312</v>
      </c>
      <c r="IH24" s="225">
        <f>IF(IH$7&gt;$D$3,"",IF($FA23&lt;IH$7,"OD",_xlfn.XLOOKUP(IH$7,SOP!$M$6:$BM$6,SOP!$M$8:$BM$8)))</f>
        <v>751.8</v>
      </c>
      <c r="II24" s="225">
        <f>IF(II$7&gt;$D$3,"",IF($FA23&lt;II$7,"OD",_xlfn.XLOOKUP(II$7,SOP!$M$6:$BM$6,SOP!$M$8:$BM$8)))</f>
        <v>753.04761904761904</v>
      </c>
      <c r="IJ24" s="225">
        <f>IF(IJ$7&gt;$D$3,"",IF($FA23&lt;IJ$7,"OD",_xlfn.XLOOKUP(IJ$7,SOP!$M$6:$BM$6,SOP!$M$8:$BM$8)))</f>
        <v>753.68181818181813</v>
      </c>
      <c r="IK24" s="225">
        <f>IF(IK$7&gt;$D$3,"",IF($FA23&lt;IK$7,"OD",_xlfn.XLOOKUP(IK$7,SOP!$M$6:$BM$6,SOP!$M$8:$BM$8)))</f>
        <v>762.82608695652175</v>
      </c>
      <c r="IL24" s="225">
        <f>IF(IL$7&gt;$D$3,"",IF($FA23&lt;IL$7,"OD",_xlfn.XLOOKUP(IL$7,SOP!$M$6:$BM$6,SOP!$M$8:$BM$8)))</f>
        <v>758.83333333333337</v>
      </c>
      <c r="IM24" s="225">
        <f>IF(IM$7&gt;$D$3,"",IF($FA23&lt;IM$7,"OD",_xlfn.XLOOKUP(IM$7,SOP!$M$6:$BM$6,SOP!$M$8:$BM$8)))</f>
        <v>749.16</v>
      </c>
      <c r="IN24" s="225">
        <f>IF(IN$7&gt;$D$3,"",IF($FA23&lt;IN$7,"OD",_xlfn.XLOOKUP(IN$7,SOP!$M$6:$BM$6,SOP!$M$8:$BM$8)))</f>
        <v>754</v>
      </c>
      <c r="IO24" s="225">
        <f>IF(IO$7&gt;$D$3,"",IF($FA23&lt;IO$7,"OD",_xlfn.XLOOKUP(IO$7,SOP!$M$6:$BM$6,SOP!$M$8:$BM$8)))</f>
        <v>745.22222222222217</v>
      </c>
      <c r="IP24" s="225">
        <f>IF(IP$7&gt;$D$3,"",IF($FA23&lt;IP$7,"OD",_xlfn.XLOOKUP(IP$7,SOP!$M$6:$BM$6,SOP!$M$8:$BM$8)))</f>
        <v>743.46428571428567</v>
      </c>
      <c r="IQ24" s="225">
        <f>IF(IQ$7&gt;$D$3,"",IF($FA23&lt;IQ$7,"OD",_xlfn.XLOOKUP(IQ$7,SOP!$M$6:$BM$6,SOP!$M$8:$BM$8)))</f>
        <v>734.79310344827582</v>
      </c>
      <c r="IR24" s="225">
        <f>IF(IR$7&gt;$D$3,"",IF($FA23&lt;IR$7,"OD",_xlfn.XLOOKUP(IR$7,SOP!$M$6:$BM$6,SOP!$M$8:$BM$8)))</f>
        <v>736.5</v>
      </c>
      <c r="IS24" s="225">
        <f>IF(IS$7&gt;$D$3,"",IF($FA23&lt;IS$7,"OD",_xlfn.XLOOKUP(IS$7,SOP!$M$6:$BM$6,SOP!$M$8:$BM$8)))</f>
        <v>731.12903225806451</v>
      </c>
      <c r="IT24" s="225">
        <f>IF(IT$7&gt;$D$3,"",IF($FA23&lt;IT$7,"OD",_xlfn.XLOOKUP(IT$7,SOP!$M$6:$BM$6,SOP!$M$8:$BM$8)))</f>
        <v>731.71875</v>
      </c>
      <c r="IU24" s="225">
        <f>IF(IU$7&gt;$D$3,"",IF($FA23&lt;IU$7,"OD",_xlfn.XLOOKUP(IU$7,SOP!$M$6:$BM$6,SOP!$M$8:$BM$8)))</f>
        <v>726.60606060606062</v>
      </c>
      <c r="IV24" s="225">
        <f>IF(IV$7&gt;$D$3,"",IF($FA23&lt;IV$7,"OD",_xlfn.XLOOKUP(IV$7,SOP!$M$6:$BM$6,SOP!$M$8:$BM$8)))</f>
        <v>731.14705882352939</v>
      </c>
      <c r="IW24" s="225">
        <f>IF(IW$7&gt;$D$3,"",IF($FA23&lt;IW$7,"OD",_xlfn.XLOOKUP(IW$7,SOP!$M$6:$BM$6,SOP!$M$8:$BM$8)))</f>
        <v>739.02857142857147</v>
      </c>
      <c r="IX24" s="225">
        <f>IF(IX$7&gt;$D$3,"",IF($FA23&lt;IX$7,"OD",_xlfn.XLOOKUP(IX$7,SOP!$M$6:$BM$6,SOP!$M$8:$BM$8)))</f>
        <v>738.69444444444446</v>
      </c>
      <c r="IY24" s="225">
        <f>IF(IY$7&gt;$D$3,"",IF($FA23&lt;IY$7,"OD",_xlfn.XLOOKUP(IY$7,SOP!$M$6:$BM$6,SOP!$M$8:$BM$8)))</f>
        <v>736.72972972972968</v>
      </c>
      <c r="IZ24" s="225" t="str">
        <f>IF(IZ$7&gt;$D$3,"",IF($FA23&lt;IZ$7,"OD",_xlfn.XLOOKUP(IZ$7,SOP!$M$6:$BM$6,SOP!$M$8:$BM$8)))</f>
        <v/>
      </c>
      <c r="JA24" s="225" t="str">
        <f>IF(JA$7&gt;$D$3,"",IF($FA23&lt;JA$7,"OD",_xlfn.XLOOKUP(JA$7,SOP!$M$6:$BM$6,SOP!$M$8:$BM$8)))</f>
        <v/>
      </c>
      <c r="JB24" s="225" t="str">
        <f>IF(JB$7&gt;$D$3,"",IF($FA23&lt;JB$7,"OD",_xlfn.XLOOKUP(JB$7,SOP!$M$6:$BM$6,SOP!$M$8:$BM$8)))</f>
        <v/>
      </c>
      <c r="JC24" s="225" t="str">
        <f>IF(JC$7&gt;$D$3,"",IF($FA23&lt;JC$7,"OD",_xlfn.XLOOKUP(JC$7,SOP!$M$6:$BM$6,SOP!$M$8:$BM$8)))</f>
        <v/>
      </c>
      <c r="JD24" s="225" t="str">
        <f>IF(JD$7&gt;$D$3,"",IF($FA23&lt;JD$7,"OD",_xlfn.XLOOKUP(JD$7,SOP!$M$6:$BM$6,SOP!$M$8:$BM$8)))</f>
        <v/>
      </c>
      <c r="JE24" s="225" t="str">
        <f>IF(JE$7&gt;$D$3,"",IF($FA23&lt;JE$7,"OD",_xlfn.XLOOKUP(JE$7,SOP!$M$6:$BM$6,SOP!$M$8:$BM$8)))</f>
        <v/>
      </c>
      <c r="JF24" s="225" t="str">
        <f>IF(JF$7&gt;$D$3,"",IF($FA23&lt;JF$7,"OD",_xlfn.XLOOKUP(JF$7,SOP!$M$6:$BM$6,SOP!$M$8:$BM$8)))</f>
        <v/>
      </c>
      <c r="JG24" s="225" t="str">
        <f>IF(JG$7&gt;$D$3,"",IF($FA23&lt;JG$7,"OD",_xlfn.XLOOKUP(JG$7,SOP!$M$6:$BM$6,SOP!$M$8:$BM$8)))</f>
        <v/>
      </c>
      <c r="JH24" s="225" t="str">
        <f>IF(JH$7&gt;$D$3,"",IF($FA23&lt;JH$7,"OD",_xlfn.XLOOKUP(JH$7,SOP!$M$6:$BM$6,SOP!$M$8:$BM$8)))</f>
        <v/>
      </c>
      <c r="JI24" s="225" t="str">
        <f>IF(JI$7&gt;$D$3,"",IF($FA23&lt;JI$7,"OD",_xlfn.XLOOKUP(JI$7,SOP!$M$6:$BM$6,SOP!$M$8:$BM$8)))</f>
        <v/>
      </c>
      <c r="JJ24" s="225" t="str">
        <f>IF(JJ$7&gt;$D$3,"",IF($FA23&lt;JJ$7,"OD",_xlfn.XLOOKUP(JJ$7,SOP!$M$6:$BM$6,SOP!$M$8:$BM$8)))</f>
        <v/>
      </c>
      <c r="JM24" s="133" t="str">
        <f>+$C24</f>
        <v>KPI P1</v>
      </c>
      <c r="JN24" s="142" t="str">
        <f>+$D24</f>
        <v>Productivity</v>
      </c>
      <c r="JO24" s="142" t="str">
        <f t="shared" si="65"/>
        <v>Order Lines Released</v>
      </c>
      <c r="JP24" s="143" t="str">
        <f t="shared" si="66"/>
        <v>Count</v>
      </c>
      <c r="JQ24" s="143" t="s">
        <v>284</v>
      </c>
      <c r="JR24" s="225" t="str">
        <f>IFERROR(AVERAGE(FC24:$FC24),"")</f>
        <v/>
      </c>
      <c r="JS24" s="225" t="str">
        <f>IFERROR(AVERAGE($FC24:FD24),"")</f>
        <v/>
      </c>
      <c r="JT24" s="225" t="str">
        <f>IFERROR(AVERAGE($FC24:FE24),"")</f>
        <v/>
      </c>
      <c r="JU24" s="225" t="str">
        <f>IFERROR(AVERAGE($FC24:FF24),"")</f>
        <v/>
      </c>
      <c r="JV24" s="225">
        <f>IFERROR(AVERAGE($FC24:FG24),"")</f>
        <v>885</v>
      </c>
      <c r="JW24" s="225">
        <f>IFERROR(AVERAGE($FC24:FH24),"")</f>
        <v>875</v>
      </c>
      <c r="JX24" s="225">
        <f>IFERROR(AVERAGE($FC24:FI24),"")</f>
        <v>806.33333333333337</v>
      </c>
      <c r="JY24" s="225">
        <f>IFERROR(AVERAGE($FC24:FJ24),"")</f>
        <v>837.5</v>
      </c>
      <c r="JZ24" s="225">
        <f>IFERROR(AVERAGE($FC24:FK24),"")</f>
        <v>837</v>
      </c>
      <c r="KA24" s="225">
        <f>IFERROR(AVERAGE($FC24:FL24),"")</f>
        <v>812.83333333333337</v>
      </c>
      <c r="KB24" s="225">
        <f>IFERROR(AVERAGE($FC24:FM24),"")</f>
        <v>783.42857142857144</v>
      </c>
      <c r="KC24" s="225">
        <f>IFERROR(AVERAGE($FC24:FN24),"")</f>
        <v>790.75</v>
      </c>
      <c r="KD24" s="225">
        <f>IFERROR(AVERAGE($FC24:FO24),"")</f>
        <v>775.77777777777783</v>
      </c>
      <c r="KE24" s="225">
        <f>IFERROR(AVERAGE($FC24:FP24),"")</f>
        <v>765.6</v>
      </c>
      <c r="KF24" s="225">
        <f>IFERROR(AVERAGE($FC24:FQ24),"")</f>
        <v>765.27272727272725</v>
      </c>
      <c r="KG24" s="225">
        <f>IFERROR(AVERAGE($FC24:FR24),"")</f>
        <v>753</v>
      </c>
      <c r="KH24" s="225">
        <f>IFERROR(AVERAGE($FC24:FS24),"")</f>
        <v>731.46153846153845</v>
      </c>
      <c r="KI24" s="225">
        <f>IFERROR(AVERAGE($FC24:FT24),"")</f>
        <v>732.57142857142856</v>
      </c>
      <c r="KJ24" s="225">
        <f>IFERROR(AVERAGE($FC24:FU24),"")</f>
        <v>733.5333333333333</v>
      </c>
      <c r="KK24" s="225">
        <f>IFERROR(AVERAGE($FC24:FV24),"")</f>
        <v>728.8125</v>
      </c>
      <c r="KL24" s="225">
        <f>IFERROR(AVERAGE($FC24:FW24),"")</f>
        <v>750.52941176470586</v>
      </c>
      <c r="KM24" s="225">
        <f>IFERROR(AVERAGE($FC24:FX24),"")</f>
        <v>751.27777777777783</v>
      </c>
      <c r="KN24" s="225">
        <f>IFERROR(AVERAGE($FC24:FY24),"")</f>
        <v>754.73684210526312</v>
      </c>
      <c r="KO24" s="225">
        <f>IFERROR(AVERAGE($FC24:FZ24),"")</f>
        <v>751.8</v>
      </c>
      <c r="KP24" s="225">
        <f>IFERROR(AVERAGE($FC24:GA24),"")</f>
        <v>753.04761904761904</v>
      </c>
      <c r="KQ24" s="225">
        <f>IFERROR(AVERAGE($FC24:GB24),"")</f>
        <v>753.68181818181813</v>
      </c>
      <c r="KR24" s="225">
        <f>IFERROR(AVERAGE($FC24:GC24),"")</f>
        <v>762.82608695652175</v>
      </c>
      <c r="KS24" s="225">
        <f>IFERROR(AVERAGE($FC24:GD24),"")</f>
        <v>758.83333333333337</v>
      </c>
      <c r="KT24" s="225">
        <f>IFERROR(AVERAGE($FC24:GE24),"")</f>
        <v>749.16</v>
      </c>
      <c r="KU24" s="225">
        <f>IFERROR(AVERAGE($FC24:GF24),"")</f>
        <v>754</v>
      </c>
      <c r="KV24" s="225">
        <f>IFERROR(AVERAGE($FC24:GG24),"")</f>
        <v>745.22222222222217</v>
      </c>
      <c r="KW24" s="225">
        <f>IFERROR(AVERAGE($FC24:GH24),"")</f>
        <v>743.46428571428567</v>
      </c>
      <c r="KX24" s="225">
        <f>IFERROR(AVERAGE($FC24:GI24),"")</f>
        <v>734.79310344827582</v>
      </c>
      <c r="KY24" s="225">
        <f>IFERROR(AVERAGE($FC24:GJ24),"")</f>
        <v>736.5</v>
      </c>
      <c r="KZ24" s="225">
        <f>IFERROR(AVERAGE($FC24:GK24),"")</f>
        <v>731.12903225806451</v>
      </c>
      <c r="LA24" s="225">
        <f>IFERROR(AVERAGE($FC24:GL24),"")</f>
        <v>731.71875</v>
      </c>
      <c r="LB24" s="225">
        <f>IFERROR(AVERAGE($FC24:GM24),"")</f>
        <v>726.60606060606062</v>
      </c>
      <c r="LC24" s="225">
        <f>IFERROR(AVERAGE($FC24:GN24),"")</f>
        <v>731.14705882352939</v>
      </c>
      <c r="LD24" s="225">
        <f>IFERROR(AVERAGE($FC24:GO24),"")</f>
        <v>739.02857142857147</v>
      </c>
      <c r="LE24" s="225">
        <f>IFERROR(AVERAGE($FC24:GP24),"")</f>
        <v>738.69444444444446</v>
      </c>
      <c r="LF24" s="225">
        <f>IFERROR(AVERAGE($FC24:GQ24),"")</f>
        <v>736.72972972972968</v>
      </c>
      <c r="LG24" s="225">
        <f>IFERROR(AVERAGE($FC24:GR24),"")</f>
        <v>733.31578947368416</v>
      </c>
      <c r="LH24" s="225">
        <f>IFERROR(AVERAGE($FC24:GS24),"")</f>
        <v>733.31578947368416</v>
      </c>
      <c r="LI24" s="225">
        <f>IFERROR(AVERAGE($FC24:GT24),"")</f>
        <v>733.31578947368416</v>
      </c>
      <c r="LJ24" s="225">
        <f>IFERROR(AVERAGE($FC24:GU24),"")</f>
        <v>733.31578947368416</v>
      </c>
      <c r="LK24" s="225">
        <f>IFERROR(AVERAGE($FC24:GV24),"")</f>
        <v>733.31578947368416</v>
      </c>
      <c r="LL24" s="225">
        <f>IFERROR(AVERAGE($FC24:GW24),"")</f>
        <v>733.31578947368416</v>
      </c>
      <c r="LM24" s="225">
        <f>IFERROR(AVERAGE($FC24:GX24),"")</f>
        <v>733.31578947368416</v>
      </c>
      <c r="LN24" s="225">
        <f>IFERROR(AVERAGE($FC24:GY24),"")</f>
        <v>733.31578947368416</v>
      </c>
      <c r="LO24" s="225">
        <f>IFERROR(AVERAGE($FC24:GZ24),"")</f>
        <v>733.31578947368416</v>
      </c>
      <c r="LP24" s="225">
        <f>IFERROR(AVERAGE($FC24:HA24),"")</f>
        <v>733.31578947368416</v>
      </c>
      <c r="LQ24" s="225">
        <f>IFERROR(AVERAGE($FC24:HB24),"")</f>
        <v>733.31578947368416</v>
      </c>
      <c r="LR24" s="225">
        <f>IFERROR(AVERAGE($FC24:HC24),"")</f>
        <v>733.31578947368416</v>
      </c>
      <c r="LT24" s="133" t="str">
        <f>+$C24</f>
        <v>KPI P1</v>
      </c>
      <c r="LU24" s="142" t="str">
        <f>+$D24</f>
        <v>Productivity</v>
      </c>
      <c r="LV24" s="142" t="str">
        <f t="shared" si="69"/>
        <v>Order Lines Released</v>
      </c>
      <c r="LW24" s="143" t="str">
        <f t="shared" si="70"/>
        <v>Count</v>
      </c>
      <c r="LX24" s="143" t="s">
        <v>285</v>
      </c>
      <c r="LY24" s="225" t="str">
        <f>IFERROR(AVERAGE($HJ24:HJ24),"")</f>
        <v/>
      </c>
      <c r="LZ24" s="225">
        <f>IFERROR(IF(LAD$7&gt;$D$3,"",AVERAGE($HJ24:HK24)),"")</f>
        <v>0</v>
      </c>
      <c r="MA24" s="225">
        <f>IFERROR(IF(MA$7&gt;$D$3,"",AVERAGE($HJ24:HL24)),"")</f>
        <v>0</v>
      </c>
      <c r="MB24" s="225">
        <f>IFERROR(IF(MB$7&gt;$D$3,"",AVERAGE($HJ24:HM24)),"")</f>
        <v>0</v>
      </c>
      <c r="MC24" s="225">
        <f>IFERROR(IF(MC$7&gt;$D$3,"",AVERAGE($HJ24:HN24)),"")</f>
        <v>221.25</v>
      </c>
      <c r="MD24" s="225">
        <f>IFERROR(IF(MD$7&gt;$D$3,"",AVERAGE($HJ24:HO24)),"")</f>
        <v>354</v>
      </c>
      <c r="ME24" s="225">
        <f>IFERROR(IF(ME$7&gt;$D$3,"",AVERAGE($HJ24:HP24)),"")</f>
        <v>440.83333333333331</v>
      </c>
      <c r="MF24" s="225">
        <f>IFERROR(IF(MF$7&gt;$D$3,"",AVERAGE($HJ24:HQ24)),"")</f>
        <v>493.04761904761909</v>
      </c>
      <c r="MG24" s="225">
        <f>IFERROR(IF(MG$7&gt;$D$3,"",AVERAGE($HJ24:HR24)),"")</f>
        <v>536.10416666666674</v>
      </c>
      <c r="MH24" s="225">
        <f>IFERROR(IF(MH$7&gt;$D$3,"",AVERAGE($HJ24:HS24)),"")</f>
        <v>569.53703703703707</v>
      </c>
      <c r="MI24" s="225">
        <f>IFERROR(IF(MI$7&gt;$D$3,"",AVERAGE($HJ24:HT24)),"")</f>
        <v>593.86666666666667</v>
      </c>
      <c r="MJ24" s="225">
        <f>IFERROR(IF(MJ$7&gt;$D$3,"",AVERAGE($HJ24:HU24)),"")</f>
        <v>611.09956709956714</v>
      </c>
      <c r="MK24" s="225">
        <f>IFERROR(IF(MK$7&gt;$D$3,"",AVERAGE($HJ24:HV24)),"")</f>
        <v>626.07043650793651</v>
      </c>
      <c r="ML24" s="225">
        <f>IFERROR(IF(ML$7&gt;$D$3,"",AVERAGE($HJ24:HW24)),"")</f>
        <v>637.58638583638583</v>
      </c>
      <c r="MM24" s="225">
        <f>IFERROR(IF(MM$7&gt;$D$3,"",AVERAGE($HJ24:HX24)),"")</f>
        <v>646.73021541950118</v>
      </c>
      <c r="MN24" s="225">
        <f>IFERROR(IF(MN$7&gt;$D$3,"",AVERAGE($HJ24:HY24)),"")</f>
        <v>654.63304954304965</v>
      </c>
      <c r="MO24" s="225">
        <f>IFERROR(IF(MO$7&gt;$D$3,"",AVERAGE($HJ24:HZ24)),"")</f>
        <v>660.78098394660901</v>
      </c>
      <c r="MP24" s="225">
        <f>IFERROR(IF(MP$7&gt;$D$3,"",AVERAGE($HJ24:IA24)),"")</f>
        <v>664.93866362395784</v>
      </c>
      <c r="MQ24" s="225">
        <f>IFERROR(IF(MQ$7&gt;$D$3,"",AVERAGE($HJ24:IB24)),"")</f>
        <v>668.69603945437291</v>
      </c>
      <c r="MR24" s="225">
        <f>IFERROR(IF(MR$7&gt;$D$3,"",AVERAGE($HJ24:IC24)),"")</f>
        <v>672.10852860589716</v>
      </c>
      <c r="MS24" s="225">
        <f>IFERROR(IF(MS$7&gt;$D$3,"",AVERAGE($HJ24:ID24)),"")</f>
        <v>674.94372717560225</v>
      </c>
      <c r="MT24" s="225">
        <f>IFERROR(IF(MT$7&gt;$D$3,"",AVERAGE($HJ24:IE24)),"")</f>
        <v>678.54304548936909</v>
      </c>
      <c r="MU24" s="225">
        <f>IFERROR(IF(MU$7&gt;$D$3,"",AVERAGE($HJ24:IF24)),"")</f>
        <v>681.84916968429673</v>
      </c>
      <c r="MV24" s="225">
        <f>IFERROR(IF(MV$7&gt;$D$3,"",AVERAGE($HJ24:IG24)),"")</f>
        <v>685.01819891999094</v>
      </c>
      <c r="MW24" s="225">
        <f>IFERROR(IF(MW$7&gt;$D$3,"",AVERAGE($HJ24:IH24)),"")</f>
        <v>687.80077396499144</v>
      </c>
      <c r="MX24" s="225">
        <f>IFERROR(IF(MX$7&gt;$D$3,"",AVERAGE($HJ24:II24)),"")</f>
        <v>690.41064776829649</v>
      </c>
      <c r="MY24" s="225">
        <f>IFERROR(IF(MY$7&gt;$D$3,"",AVERAGE($HJ24:IJ24)),"")</f>
        <v>692.8441543226628</v>
      </c>
      <c r="MZ24" s="225">
        <f>IFERROR(IF(MZ$7&gt;$D$3,"",AVERAGE($HJ24:IK24)),"")</f>
        <v>695.43607775354633</v>
      </c>
      <c r="NA24" s="225">
        <f>IFERROR(IF(NA$7&gt;$D$3,"",AVERAGE($HJ24:IL24)),"")</f>
        <v>697.7002654528244</v>
      </c>
      <c r="NB24" s="225">
        <f>IFERROR(IF(NB$7&gt;$D$3,"",AVERAGE($HJ24:IM24)),"")</f>
        <v>699.47473905789946</v>
      </c>
      <c r="NC24" s="225">
        <f>IFERROR(IF(NC$7&gt;$D$3,"",AVERAGE($HJ24:IN24)),"")</f>
        <v>701.29224775596947</v>
      </c>
      <c r="ND24" s="225">
        <f>IFERROR(IF(ND$7&gt;$D$3,"",AVERAGE($HJ24:IO24)),"")</f>
        <v>702.70934370649377</v>
      </c>
      <c r="NE24" s="225">
        <f>IFERROR(IF(NE$7&gt;$D$3,"",AVERAGE($HJ24:IP24)),"")</f>
        <v>703.98293564423727</v>
      </c>
      <c r="NF24" s="225">
        <f>IFERROR(IF(NF$7&gt;$D$3,"",AVERAGE($HJ24:IQ24)),"")</f>
        <v>704.91657709284448</v>
      </c>
      <c r="NG24" s="225">
        <f>IFERROR(IF(NG$7&gt;$D$3,"",AVERAGE($HJ24:IR24)),"")</f>
        <v>705.84550129599609</v>
      </c>
      <c r="NH24" s="225">
        <f>IFERROR(IF(NH$7&gt;$D$3,"",AVERAGE($HJ24:IS24)),"")</f>
        <v>706.56788789491236</v>
      </c>
      <c r="NI24" s="225">
        <f>IFERROR(IF(NI$7&gt;$D$3,"",AVERAGE($HJ24:IT24)),"")</f>
        <v>707.26652295338704</v>
      </c>
      <c r="NJ24" s="225">
        <f>IFERROR(IF(NJ$7&gt;$D$3,"",AVERAGE($HJ24:IU24)),"")</f>
        <v>707.78921316021604</v>
      </c>
      <c r="NK24" s="225">
        <f>IFERROR(IF(NK$7&gt;$D$3,"",AVERAGE($HJ24:IV24)),"")</f>
        <v>708.40389330925052</v>
      </c>
      <c r="NL24" s="225">
        <f>IFERROR(IF(NL$7&gt;$D$3,"",AVERAGE($HJ24:IW24)),"")</f>
        <v>709.18914146615623</v>
      </c>
      <c r="NM24" s="225">
        <f>IFERROR(IF(NM$7&gt;$D$3,"",AVERAGE($HJ24:IX24)),"")</f>
        <v>709.9267740406134</v>
      </c>
      <c r="NN24" s="225">
        <f>IFERROR(IF(NN$7&gt;$D$3,"",AVERAGE($HJ24:IY24)),"")</f>
        <v>710.58050466717725</v>
      </c>
      <c r="NO24" s="225" t="str">
        <f>IFERROR(IF(NO$7&gt;$D$3,"",AVERAGE($HJ24:IZ24)),"")</f>
        <v/>
      </c>
      <c r="NP24" s="225" t="str">
        <f>IFERROR(IF(NP$7&gt;$D$3,"",AVERAGE($HJ24:JA24)),"")</f>
        <v/>
      </c>
      <c r="NQ24" s="225" t="str">
        <f>IFERROR(IF(NQ$7&gt;$D$3,"",AVERAGE($HJ24:JB24)),"")</f>
        <v/>
      </c>
      <c r="NR24" s="225" t="str">
        <f>IFERROR(IF(NR$7&gt;$D$3,"",AVERAGE($HJ24:JC24)),"")</f>
        <v/>
      </c>
      <c r="NS24" s="225" t="str">
        <f>IFERROR(IF(NS$7&gt;$D$3,"",AVERAGE($HJ24:JD24)),"")</f>
        <v/>
      </c>
      <c r="NT24" s="225" t="str">
        <f>IFERROR(IF(NT$7&gt;$D$3,"",AVERAGE($HJ24:JE24)),"")</f>
        <v/>
      </c>
      <c r="NU24" s="225" t="str">
        <f>IFERROR(IF(NU$7&gt;$D$3,"",AVERAGE($HJ24:JF24)),"")</f>
        <v/>
      </c>
      <c r="NV24" s="225" t="str">
        <f>IFERROR(IF(NV$7&gt;$D$3,"",AVERAGE($HJ24:JG24)),"")</f>
        <v/>
      </c>
      <c r="NW24" s="225" t="str">
        <f>IFERROR(IF(NW$7&gt;$D$3,"",AVERAGE($HJ24:JH24)),"")</f>
        <v/>
      </c>
      <c r="NX24" s="225" t="str">
        <f>IFERROR(IF(NX$7&gt;$D$3,"",AVERAGE($HJ24:JI24)),"")</f>
        <v/>
      </c>
      <c r="NY24" s="225" t="str">
        <f>IFERROR(IF(NY$7&gt;$D$3,"",AVERAGE($HJ24:JJ24)),"")</f>
        <v/>
      </c>
    </row>
    <row r="25" spans="1:389" x14ac:dyDescent="0.3">
      <c r="A25" t="str">
        <f>$B$23&amp;"-"&amp;C25</f>
        <v>SOP-KPI D1</v>
      </c>
      <c r="B25" s="918" t="str">
        <f>+'KPI Stats'!B24</f>
        <v>Sam Westwood</v>
      </c>
      <c r="C25" s="136" t="str">
        <f>+'KPI Stats'!C24</f>
        <v>KPI D1</v>
      </c>
      <c r="D25" s="144" t="str">
        <f>+'KPI Stats'!D24</f>
        <v>Delivery</v>
      </c>
      <c r="E25" s="144" t="str">
        <f>+'KPI Stats'!E24</f>
        <v>Order Cleansing On Target / In Full (OTIF) days to complete</v>
      </c>
      <c r="F25" s="145" t="str">
        <f>+'KPI Stats'!F24</f>
        <v>Percentage</v>
      </c>
      <c r="G25" s="169" t="str">
        <f>+'KPI Stats'!G24</f>
        <v>Under</v>
      </c>
      <c r="J25" s="69" t="str">
        <f>_xlfn.XLOOKUP(J$7,$AM$7:$CM$7,$AM25:$CM25,,FALSE)</f>
        <v>G</v>
      </c>
      <c r="K25" s="264">
        <f>_xlfn.XLOOKUP(K$7,$FC$7:$HC$7,$FC25:$HC25,,FALSE)</f>
        <v>1</v>
      </c>
      <c r="L25" s="278">
        <f>_xlfn.XLOOKUP(L$7,$HJ$7:$JJ$7,$HJ25:$JJ25,,FALSE)</f>
        <v>0.95</v>
      </c>
      <c r="M25" s="272">
        <f>_xlfn.XLOOKUP(M$7,$CU$7:$EU$7,$CU25:$EU25,,FALSE)</f>
        <v>1.0526315789473684</v>
      </c>
      <c r="P25" s="69" t="str">
        <f>_xlfn.XLOOKUP(P$7,$AM$7:$CM$7,$AM25:$CM25,,FALSE)</f>
        <v>G</v>
      </c>
      <c r="Q25" s="264">
        <f t="shared" si="73"/>
        <v>1</v>
      </c>
      <c r="R25" s="278">
        <f t="shared" si="73"/>
        <v>1</v>
      </c>
      <c r="S25" s="288">
        <f t="shared" si="74"/>
        <v>1.0526315789473684</v>
      </c>
      <c r="T25" s="265">
        <f t="shared" si="74"/>
        <v>1.0526315789473684</v>
      </c>
      <c r="U25" s="295" t="str">
        <f>IF(F23&lt;$R$2,"Not Complete",IF(Q25=R25,"Same −",IF($G25="Over",IF(Q25&lt;R25,"Better ↑","Worse ↓"),IF($G25="Under",IF(Q25&gt;R25,"Better ↑","Worse ↓"),"err"))))</f>
        <v>Same −</v>
      </c>
      <c r="X25" s="69" t="str">
        <f t="shared" si="75"/>
        <v>R</v>
      </c>
      <c r="Y25" s="264">
        <f>_xlfn.XLOOKUP(Y$7,$JR$7:$LR$7,$JR25:$LR25,FALSE)</f>
        <v>0.64334398629905665</v>
      </c>
      <c r="Z25" s="278">
        <f>_xlfn.XLOOKUP(Z$7,$LY$7:$NY$7,$LY25:$NY25,FALSE)</f>
        <v>0.95000000000000007</v>
      </c>
      <c r="AA25" s="275">
        <f>IFERROR(IF(G25="under",Y25/Z25,IF(G25="Over",Z25/Y25,"")),"")</f>
        <v>0.67720419610427007</v>
      </c>
      <c r="AB25" s="295" t="str">
        <f>IF(F23&lt;$R$2,"TBC",IF(Y25=Z25,"Same −",IF($G25="Over",IF(Z25&lt;Y25,"Better ↑ ","Worse ↓ "),IF($G25="Under",IF(Y25&gt;Z25,"Better ↑ ","Worse ↓ "),"err"))))</f>
        <v xml:space="preserve">Worse ↓ </v>
      </c>
      <c r="AC25" s="69" t="str">
        <f>IF(AND(G25="above adero",AD25&gt;0),"R",IF(AF25&gt;1,"G",IF(AF25&gt;0.95,"A","R")))</f>
        <v>R</v>
      </c>
      <c r="AD25" s="264">
        <f>_xlfn.XLOOKUP(AD$7,$JR$7:$LR$7,$JR25:$LR25,FALSE)</f>
        <v>0.63442758595653304</v>
      </c>
      <c r="AE25" s="278">
        <f>_xlfn.XLOOKUP(AE$7,$LY$7:$NY$7,$LY25:$NY25,FALSE)</f>
        <v>0.95</v>
      </c>
      <c r="AF25" s="275">
        <f>IFERROR(IF(G25="under",AD25/AE25,IF(G25="Over",AE25/AD25,"")),"")</f>
        <v>0.66781851153319272</v>
      </c>
      <c r="AH25" s="465" t="str">
        <f>+$A25</f>
        <v>SOP-KPI D1</v>
      </c>
      <c r="AI25" s="136" t="str">
        <f t="shared" si="76"/>
        <v>KPI D1</v>
      </c>
      <c r="AJ25" s="144" t="str">
        <f t="shared" si="76"/>
        <v>Delivery</v>
      </c>
      <c r="AK25" s="144" t="str">
        <f t="shared" si="52"/>
        <v>Order Cleansing On Target / In Full (OTIF) days to complete</v>
      </c>
      <c r="AL25" s="145" t="str">
        <f t="shared" si="52"/>
        <v>Percentage</v>
      </c>
      <c r="AM25" s="69" t="str">
        <f>IF(AM$7&gt;$D$3,"",_xlfn.XLOOKUP(AM$7,SOP!$M$6:$BM$6,SOP!$M$13:$BM$13))</f>
        <v>Blank</v>
      </c>
      <c r="AN25" s="199" t="str">
        <f>IF(AN$7&gt;$D$3,"",_xlfn.XLOOKUP(AN$7,SOP!$M$6:$BM$6,SOP!$M$13:$BM$13))</f>
        <v>A</v>
      </c>
      <c r="AO25" s="69" t="str">
        <f>IF(AO$7&gt;$D$3,"",_xlfn.XLOOKUP(AO$7,SOP!$M$6:$BM$6,SOP!$M$13:$BM$13))</f>
        <v>G</v>
      </c>
      <c r="AP25" s="69" t="str">
        <f>IF(AP$7&gt;$D$3,"",_xlfn.XLOOKUP(AP$7,SOP!$M$6:$BM$6,SOP!$M$13:$BM$13))</f>
        <v>R</v>
      </c>
      <c r="AQ25" s="69" t="str">
        <f>IF(AQ$7&gt;$D$3,"",_xlfn.XLOOKUP(AQ$7,SOP!$M$6:$BM$6,SOP!$M$13:$BM$13))</f>
        <v>R</v>
      </c>
      <c r="AR25" s="69" t="str">
        <f>IF(AR$7&gt;$D$3,"",_xlfn.XLOOKUP(AR$7,SOP!$M$6:$BM$6,SOP!$M$13:$BM$13))</f>
        <v>R</v>
      </c>
      <c r="AS25" s="69" t="str">
        <f>IF(AS$7&gt;$D$3,"",_xlfn.XLOOKUP(AS$7,SOP!$M$6:$BM$6,SOP!$M$13:$BM$13))</f>
        <v>R</v>
      </c>
      <c r="AT25" s="69" t="str">
        <f>IF(AT$7&gt;$D$3,"",_xlfn.XLOOKUP(AT$7,SOP!$M$6:$BM$6,SOP!$M$13:$BM$13))</f>
        <v>R</v>
      </c>
      <c r="AU25" s="69" t="str">
        <f>IF(AU$7&gt;$D$3,"",_xlfn.XLOOKUP(AU$7,SOP!$M$6:$BM$6,SOP!$M$13:$BM$13))</f>
        <v>R</v>
      </c>
      <c r="AV25" s="69" t="str">
        <f>IF(AV$7&gt;$D$3,"",_xlfn.XLOOKUP(AV$7,SOP!$M$6:$BM$6,SOP!$M$13:$BM$13))</f>
        <v>R</v>
      </c>
      <c r="AW25" s="69" t="str">
        <f>IF(AW$7&gt;$D$3,"",_xlfn.XLOOKUP(AW$7,SOP!$M$6:$BM$6,SOP!$M$13:$BM$13))</f>
        <v>R</v>
      </c>
      <c r="AX25" s="69" t="str">
        <f>IF(AX$7&gt;$D$3,"",_xlfn.XLOOKUP(AX$7,SOP!$M$6:$BM$6,SOP!$M$13:$BM$13))</f>
        <v>R</v>
      </c>
      <c r="AY25" s="69" t="str">
        <f>IF(AY$7&gt;$D$3,"",_xlfn.XLOOKUP(AY$7,SOP!$M$6:$BM$6,SOP!$M$13:$BM$13))</f>
        <v>R</v>
      </c>
      <c r="AZ25" s="69" t="str">
        <f>IF(AZ$7&gt;$D$3,"",_xlfn.XLOOKUP(AZ$7,SOP!$M$6:$BM$6,SOP!$M$13:$BM$13))</f>
        <v>R</v>
      </c>
      <c r="BA25" s="69" t="str">
        <f>IF(BA$7&gt;$D$3,"",_xlfn.XLOOKUP(BA$7,SOP!$M$6:$BM$6,SOP!$M$13:$BM$13))</f>
        <v>R</v>
      </c>
      <c r="BB25" s="69" t="str">
        <f>IF(BB$7&gt;$D$3,"",_xlfn.XLOOKUP(BB$7,SOP!$M$6:$BM$6,SOP!$M$13:$BM$13))</f>
        <v>R</v>
      </c>
      <c r="BC25" s="69" t="str">
        <f>IF(BC$7&gt;$D$3,"",_xlfn.XLOOKUP(BC$7,SOP!$M$6:$BM$6,SOP!$M$13:$BM$13))</f>
        <v>R</v>
      </c>
      <c r="BD25" s="69" t="str">
        <f>IF(BD$7&gt;$D$3,"",_xlfn.XLOOKUP(BD$7,SOP!$M$6:$BM$6,SOP!$M$13:$BM$13))</f>
        <v>R</v>
      </c>
      <c r="BE25" s="69" t="str">
        <f>IF(BE$7&gt;$D$3,"",_xlfn.XLOOKUP(BE$7,SOP!$M$6:$BM$6,SOP!$M$13:$BM$13))</f>
        <v>R</v>
      </c>
      <c r="BF25" s="69" t="str">
        <f>IF(BF$7&gt;$D$3,"",_xlfn.XLOOKUP(BF$7,SOP!$M$6:$BM$6,SOP!$M$13:$BM$13))</f>
        <v>A</v>
      </c>
      <c r="BG25" s="69" t="str">
        <f>IF(BG$7&gt;$D$3,"",_xlfn.XLOOKUP(BG$7,SOP!$M$6:$BM$6,SOP!$M$13:$BM$13))</f>
        <v>R</v>
      </c>
      <c r="BH25" s="69" t="str">
        <f>IF(BH$7&gt;$D$3,"",_xlfn.XLOOKUP(BH$7,SOP!$M$6:$BM$6,SOP!$M$13:$BM$13))</f>
        <v>R</v>
      </c>
      <c r="BI25" s="69" t="str">
        <f>IF(BI$7&gt;$D$3,"",_xlfn.XLOOKUP(BI$7,SOP!$M$6:$BM$6,SOP!$M$13:$BM$13))</f>
        <v>R</v>
      </c>
      <c r="BJ25" s="69" t="str">
        <f>IF(BJ$7&gt;$D$3,"",_xlfn.XLOOKUP(BJ$7,SOP!$M$6:$BM$6,SOP!$M$13:$BM$13))</f>
        <v>R</v>
      </c>
      <c r="BK25" s="69" t="str">
        <f>IF(BK$7&gt;$D$3,"",_xlfn.XLOOKUP(BK$7,SOP!$M$6:$BM$6,SOP!$M$13:$BM$13))</f>
        <v>R</v>
      </c>
      <c r="BL25" s="69" t="str">
        <f>IF(BL$7&gt;$D$3,"",_xlfn.XLOOKUP(BL$7,SOP!$M$6:$BM$6,SOP!$M$13:$BM$13))</f>
        <v>R</v>
      </c>
      <c r="BM25" s="69" t="str">
        <f>IF(BM$7&gt;$D$3,"",_xlfn.XLOOKUP(BM$7,SOP!$M$6:$BM$6,SOP!$M$13:$BM$13))</f>
        <v>R</v>
      </c>
      <c r="BN25" s="69" t="str">
        <f>IF(BN$7&gt;$D$3,"",_xlfn.XLOOKUP(BN$7,SOP!$M$6:$BM$6,SOP!$M$13:$BM$13))</f>
        <v>R</v>
      </c>
      <c r="BO25" s="69" t="str">
        <f>IF(BO$7&gt;$D$3,"",_xlfn.XLOOKUP(BO$7,SOP!$M$6:$BM$6,SOP!$M$13:$BM$13))</f>
        <v>R</v>
      </c>
      <c r="BP25" s="69" t="str">
        <f>IF(BP$7&gt;$D$3,"",_xlfn.XLOOKUP(BP$7,SOP!$M$6:$BM$6,SOP!$M$13:$BM$13))</f>
        <v>R</v>
      </c>
      <c r="BQ25" s="69" t="str">
        <f>IF(BQ$7&gt;$D$3,"",_xlfn.XLOOKUP(BQ$7,SOP!$M$6:$BM$6,SOP!$M$13:$BM$13))</f>
        <v>R</v>
      </c>
      <c r="BR25" s="69" t="str">
        <f>IF(BR$7&gt;$D$3,"",_xlfn.XLOOKUP(BR$7,SOP!$M$6:$BM$6,SOP!$M$13:$BM$13))</f>
        <v>R</v>
      </c>
      <c r="BS25" s="69" t="str">
        <f>IF(BS$7&gt;$D$3,"",_xlfn.XLOOKUP(BS$7,SOP!$M$6:$BM$6,SOP!$M$13:$BM$13))</f>
        <v>R</v>
      </c>
      <c r="BT25" s="69" t="str">
        <f>IF(BT$7&gt;$D$3,"",_xlfn.XLOOKUP(BT$7,SOP!$M$6:$BM$6,SOP!$M$13:$BM$13))</f>
        <v>R</v>
      </c>
      <c r="BU25" s="69" t="str">
        <f>IF(BU$7&gt;$D$3,"",_xlfn.XLOOKUP(BU$7,SOP!$M$6:$BM$6,SOP!$M$13:$BM$13))</f>
        <v>R</v>
      </c>
      <c r="BV25" s="69" t="str">
        <f>IF(BV$7&gt;$D$3,"",_xlfn.XLOOKUP(BV$7,SOP!$M$6:$BM$6,SOP!$M$13:$BM$13))</f>
        <v>R</v>
      </c>
      <c r="BW25" s="69" t="str">
        <f>IF(BW$7&gt;$D$3,"",_xlfn.XLOOKUP(BW$7,SOP!$M$6:$BM$6,SOP!$M$13:$BM$13))</f>
        <v>R</v>
      </c>
      <c r="BX25" s="69" t="str">
        <f>IF(BX$7&gt;$D$3,"",_xlfn.XLOOKUP(BX$7,SOP!$M$6:$BM$6,SOP!$M$13:$BM$13))</f>
        <v>R</v>
      </c>
      <c r="BY25" s="69" t="str">
        <f>IF(BY$7&gt;$D$3,"",_xlfn.XLOOKUP(BY$7,SOP!$M$6:$BM$6,SOP!$M$13:$BM$13))</f>
        <v>R</v>
      </c>
      <c r="BZ25" s="69" t="str">
        <f>IF(BZ$7&gt;$D$3,"",_xlfn.XLOOKUP(BZ$7,SOP!$M$6:$BM$6,SOP!$M$13:$BM$13))</f>
        <v>G</v>
      </c>
      <c r="CA25" s="69" t="str">
        <f>IF(CA$7&gt;$D$3,"",_xlfn.XLOOKUP(CA$7,SOP!$M$6:$BM$6,SOP!$M$13:$BM$13))</f>
        <v>G</v>
      </c>
      <c r="CB25" s="69" t="str">
        <f>IF(CB$7&gt;$D$3,"",_xlfn.XLOOKUP(CB$7,SOP!$M$6:$BM$6,SOP!$M$13:$BM$13))</f>
        <v>G</v>
      </c>
      <c r="CC25" s="69" t="str">
        <f>IF(CC$7&gt;$D$3,"",_xlfn.XLOOKUP(CC$7,SOP!$M$6:$BM$6,SOP!$M$13:$BM$13))</f>
        <v/>
      </c>
      <c r="CD25" s="69" t="str">
        <f>IF(CD$7&gt;$D$3,"",_xlfn.XLOOKUP(CD$7,SOP!$M$6:$BM$6,SOP!$M$13:$BM$13))</f>
        <v/>
      </c>
      <c r="CE25" s="69" t="str">
        <f>IF(CE$7&gt;$D$3,"",_xlfn.XLOOKUP(CE$7,SOP!$M$6:$BM$6,SOP!$M$13:$BM$13))</f>
        <v/>
      </c>
      <c r="CF25" s="69" t="str">
        <f>IF(CF$7&gt;$D$3,"",_xlfn.XLOOKUP(CF$7,SOP!$M$6:$BM$6,SOP!$M$13:$BM$13))</f>
        <v/>
      </c>
      <c r="CG25" s="69" t="str">
        <f>IF(CG$7&gt;$D$3,"",_xlfn.XLOOKUP(CG$7,SOP!$M$6:$BM$6,SOP!$M$13:$BM$13))</f>
        <v/>
      </c>
      <c r="CH25" s="69" t="str">
        <f>IF(CH$7&gt;$D$3,"",_xlfn.XLOOKUP(CH$7,SOP!$M$6:$BM$6,SOP!$M$13:$BM$13))</f>
        <v/>
      </c>
      <c r="CI25" s="69" t="str">
        <f>IF(CI$7&gt;$D$3,"",_xlfn.XLOOKUP(CI$7,SOP!$M$6:$BM$6,SOP!$M$13:$BM$13))</f>
        <v/>
      </c>
      <c r="CJ25" s="69" t="str">
        <f>IF(CJ$7&gt;$D$3,"",_xlfn.XLOOKUP(CJ$7,SOP!$M$6:$BM$6,SOP!$M$13:$BM$13))</f>
        <v/>
      </c>
      <c r="CK25" s="69" t="str">
        <f>IF(CK$7&gt;$D$3,"",_xlfn.XLOOKUP(CK$7,SOP!$M$6:$BM$6,SOP!$M$13:$BM$13))</f>
        <v/>
      </c>
      <c r="CL25" s="69" t="str">
        <f>IF(CL$7&gt;$D$3,"",_xlfn.XLOOKUP(CL$7,SOP!$M$6:$BM$6,SOP!$M$13:$BM$13))</f>
        <v/>
      </c>
      <c r="CM25" s="69" t="str">
        <f>IF(CM$7&gt;$D$3,"",_xlfn.XLOOKUP(CM$7,SOP!$M$6:$BM$6,SOP!$M$13:$BM$13))</f>
        <v/>
      </c>
      <c r="CO25" s="465" t="str">
        <f>+$A25</f>
        <v>SOP-KPI D1</v>
      </c>
      <c r="CP25" s="136" t="str">
        <f t="shared" si="77"/>
        <v>KPI D1</v>
      </c>
      <c r="CQ25" s="144" t="str">
        <f t="shared" si="77"/>
        <v>Delivery</v>
      </c>
      <c r="CR25" s="144" t="str">
        <f t="shared" si="55"/>
        <v>Order Cleansing On Target / In Full (OTIF) days to complete</v>
      </c>
      <c r="CS25" s="145" t="str">
        <f t="shared" si="55"/>
        <v>Percentage</v>
      </c>
      <c r="CT25" s="207" t="s">
        <v>246</v>
      </c>
      <c r="CU25" s="212" t="str">
        <f>IF(CU$7&gt;$D$3,"",IF(AM25="Undefined","Undefined",IF(AM25="Missed","Missed",IF(AM25="Blank","Blank",IF(AM25="OD","OD",IF(AM25="TBC","TBC",_xlfn.XLOOKUP(CU$7,SOP!$M$6:$BM$6,SOP!$M$12:$BM$12)))))))</f>
        <v>Blank</v>
      </c>
      <c r="CV25" s="323" cm="1">
        <f t="array" ref="CV25">IF(CV$7&gt;$D$3,"",IF(AN25="Undefined","Undefined",IF(AN25="Missed","Missed",IF(AN25="Blank","Blank",IF(AN25="OD","OD",IF(AN25="TBC","TBC",_xlfn.XLOOKUP(CV$7,SOP!$M$6:$BM$6,SOP!$M$12:$BM$12/_xlfn.XLOOKUP(CV$7,SOP!$M$6:$BM$6,SOP!$M$11:$BM$11))))))))</f>
        <v>0.97007223942208465</v>
      </c>
      <c r="CW25" s="315" cm="1">
        <f t="array" ref="CW25">IF(CW$7&gt;$D$3,"",IF(AO25="Undefined","Undefined",IF(AO25="Missed","Missed",IF(AO25="Blank","Blank",IF(AO25="OD","OD",IF(AO25="TBC","TBC",_xlfn.XLOOKUP(CW$7,SOP!$M$6:$BM$6,SOP!$M$12:$BM$12/_xlfn.XLOOKUP(CW$7,SOP!$M$6:$BM$6,SOP!$M$11:$BM$11))))))))</f>
        <v>1.0015329586101176</v>
      </c>
      <c r="CX25" s="315" cm="1">
        <f t="array" ref="CX25">IF(CX$7&gt;$D$3,"",IF(AP25="Undefined","Undefined",IF(AP25="Missed","Missed",IF(AP25="Blank","Blank",IF(AP25="OD","OD",IF(AP25="TBC","TBC",_xlfn.XLOOKUP(CX$7,SOP!$M$6:$BM$6,SOP!$M$12:$BM$12/_xlfn.XLOOKUP(CX$7,SOP!$M$6:$BM$6,SOP!$M$11:$BM$11))))))))</f>
        <v>0.72368421052631582</v>
      </c>
      <c r="CY25" s="315" cm="1">
        <f t="array" ref="CY25">IF(CY$7&gt;$D$3,"",IF(AQ25="Undefined","Undefined",IF(AQ25="Missed","Missed",IF(AQ25="Blank","Blank",IF(AQ25="OD","OD",IF(AQ25="TBC","TBC",_xlfn.XLOOKUP(CY$7,SOP!$M$6:$BM$6,SOP!$M$12:$BM$12/_xlfn.XLOOKUP(CY$7,SOP!$M$6:$BM$6,SOP!$M$11:$BM$11))))))))</f>
        <v>0.34324942791762014</v>
      </c>
      <c r="CZ25" s="315" cm="1">
        <f t="array" ref="CZ25">IF(CZ$7&gt;$D$3,"",IF(AR25="Undefined","Undefined",IF(AR25="Missed","Missed",IF(AR25="Blank","Blank",IF(AR25="OD","OD",IF(AR25="TBC","TBC",_xlfn.XLOOKUP(CZ$7,SOP!$M$6:$BM$6,SOP!$M$12:$BM$12/_xlfn.XLOOKUP(CZ$7,SOP!$M$6:$BM$6,SOP!$M$11:$BM$11))))))))</f>
        <v>0.59095106186518931</v>
      </c>
      <c r="DA25" s="315" cm="1">
        <f t="array" ref="DA25">IF(DA$7&gt;$D$3,"",IF(AS25="Undefined","Undefined",IF(AS25="Missed","Missed",IF(AS25="Blank","Blank",IF(AS25="OD","OD",IF(AS25="TBC","TBC",_xlfn.XLOOKUP(DA$7,SOP!$M$6:$BM$6,SOP!$M$12:$BM$12/_xlfn.XLOOKUP(DA$7,SOP!$M$6:$BM$6,SOP!$M$11:$BM$11))))))))</f>
        <v>0.61919504643962853</v>
      </c>
      <c r="DB25" s="315" cm="1">
        <f t="array" ref="DB25">IF(DB$7&gt;$D$3,"",IF(AT25="Undefined","Undefined",IF(AT25="Missed","Missed",IF(AT25="Blank","Blank",IF(AT25="OD","OD",IF(AT25="TBC","TBC",_xlfn.XLOOKUP(DB$7,SOP!$M$6:$BM$6,SOP!$M$12:$BM$12/_xlfn.XLOOKUP(DB$7,SOP!$M$6:$BM$6,SOP!$M$11:$BM$11))))))))</f>
        <v>0.6549707602339182</v>
      </c>
      <c r="DC25" s="315" cm="1">
        <f t="array" ref="DC25">IF(DC$7&gt;$D$3,"",IF(AU25="Undefined","Undefined",IF(AU25="Missed","Missed",IF(AU25="Blank","Blank",IF(AU25="OD","OD",IF(AU25="TBC","TBC",_xlfn.XLOOKUP(DC$7,SOP!$M$6:$BM$6,SOP!$M$12:$BM$12/_xlfn.XLOOKUP(DC$7,SOP!$M$6:$BM$6,SOP!$M$11:$BM$11))))))))</f>
        <v>0.68825910931174095</v>
      </c>
      <c r="DD25" s="315" cm="1">
        <f t="array" ref="DD25">IF(DD$7&gt;$D$3,"",IF(AV25="Undefined","Undefined",IF(AV25="Missed","Missed",IF(AV25="Blank","Blank",IF(AV25="OD","OD",IF(AV25="TBC","TBC",_xlfn.XLOOKUP(DD$7,SOP!$M$6:$BM$6,SOP!$M$12:$BM$12/_xlfn.XLOOKUP(DD$7,SOP!$M$6:$BM$6,SOP!$M$11:$BM$11))))))))</f>
        <v>0.43343653250773995</v>
      </c>
      <c r="DE25" s="315" cm="1">
        <f t="array" ref="DE25">IF(DE$7&gt;$D$3,"",IF(AW25="Undefined","Undefined",IF(AW25="Missed","Missed",IF(AW25="Blank","Blank",IF(AW25="OD","OD",IF(AW25="TBC","TBC",_xlfn.XLOOKUP(DE$7,SOP!$M$6:$BM$6,SOP!$M$12:$BM$12/_xlfn.XLOOKUP(DE$7,SOP!$M$6:$BM$6,SOP!$M$11:$BM$11))))))))</f>
        <v>0.5921052631578948</v>
      </c>
      <c r="DF25" s="315" cm="1">
        <f t="array" ref="DF25">IF(DF$7&gt;$D$3,"",IF(AX25="Undefined","Undefined",IF(AX25="Missed","Missed",IF(AX25="Blank","Blank",IF(AX25="OD","OD",IF(AX25="TBC","TBC",_xlfn.XLOOKUP(DF$7,SOP!$M$6:$BM$6,SOP!$M$12:$BM$12/_xlfn.XLOOKUP(DF$7,SOP!$M$6:$BM$6,SOP!$M$11:$BM$11))))))))</f>
        <v>0.52631578947368418</v>
      </c>
      <c r="DG25" s="315" cm="1">
        <f t="array" ref="DG25">IF(DG$7&gt;$D$3,"",IF(AY25="Undefined","Undefined",IF(AY25="Missed","Missed",IF(AY25="Blank","Blank",IF(AY25="OD","OD",IF(AY25="TBC","TBC",_xlfn.XLOOKUP(DG$7,SOP!$M$6:$BM$6,SOP!$M$12:$BM$12/_xlfn.XLOOKUP(DG$7,SOP!$M$6:$BM$6,SOP!$M$11:$BM$11))))))))</f>
        <v>0.63647490820073438</v>
      </c>
      <c r="DH25" s="315" cm="1">
        <f t="array" ref="DH25">IF(DH$7&gt;$D$3,"",IF(AZ25="Undefined","Undefined",IF(AZ25="Missed","Missed",IF(AZ25="Blank","Blank",IF(AZ25="OD","OD",IF(AZ25="TBC","TBC",_xlfn.XLOOKUP(DH$7,SOP!$M$6:$BM$6,SOP!$M$12:$BM$12/_xlfn.XLOOKUP(DH$7,SOP!$M$6:$BM$6,SOP!$M$11:$BM$11))))))))</f>
        <v>0.66985645933014359</v>
      </c>
      <c r="DI25" s="315" cm="1">
        <f t="array" ref="DI25">IF(DI$7&gt;$D$3,"",IF(BA25="Undefined","Undefined",IF(BA25="Missed","Missed",IF(BA25="Blank","Blank",IF(BA25="OD","OD",IF(BA25="TBC","TBC",_xlfn.XLOOKUP(DI$7,SOP!$M$6:$BM$6,SOP!$M$12:$BM$12/_xlfn.XLOOKUP(DI$7,SOP!$M$6:$BM$6,SOP!$M$11:$BM$11))))))))</f>
        <v>0.86315789473684212</v>
      </c>
      <c r="DJ25" s="315" cm="1">
        <f t="array" ref="DJ25">IF(DJ$7&gt;$D$3,"",IF(BB25="Undefined","Undefined",IF(BB25="Missed","Missed",IF(BB25="Blank","Blank",IF(BB25="OD","OD",IF(BB25="TBC","TBC",_xlfn.XLOOKUP(DJ$7,SOP!$M$6:$BM$6,SOP!$M$12:$BM$12/_xlfn.XLOOKUP(DJ$7,SOP!$M$6:$BM$6,SOP!$M$11:$BM$11))))))))</f>
        <v>0.63157894736842102</v>
      </c>
      <c r="DK25" s="315" cm="1">
        <f t="array" ref="DK25">IF(DK$7&gt;$D$3,"",IF(BC25="Undefined","Undefined",IF(BC25="Missed","Missed",IF(BC25="Blank","Blank",IF(BC25="OD","OD",IF(BC25="TBC","TBC",_xlfn.XLOOKUP(DK$7,SOP!$M$6:$BM$6,SOP!$M$12:$BM$12/_xlfn.XLOOKUP(DK$7,SOP!$M$6:$BM$6,SOP!$M$11:$BM$11))))))))</f>
        <v>0.44534412955465591</v>
      </c>
      <c r="DL25" s="315" cm="1">
        <f t="array" ref="DL25">IF(DL$7&gt;$D$3,"",IF(BD25="Undefined","Undefined",IF(BD25="Missed","Missed",IF(BD25="Blank","Blank",IF(BD25="OD","OD",IF(BD25="TBC","TBC",_xlfn.XLOOKUP(DL$7,SOP!$M$6:$BM$6,SOP!$M$12:$BM$12/_xlfn.XLOOKUP(DL$7,SOP!$M$6:$BM$6,SOP!$M$11:$BM$11))))))))</f>
        <v>0.42994810971089698</v>
      </c>
      <c r="DM25" s="315" cm="1">
        <f t="array" ref="DM25">IF(DM$7&gt;$D$3,"",IF(BE25="Undefined","Undefined",IF(BE25="Missed","Missed",IF(BE25="Blank","Blank",IF(BE25="OD","OD",IF(BE25="TBC","TBC",_xlfn.XLOOKUP(DM$7,SOP!$M$6:$BM$6,SOP!$M$12:$BM$12/_xlfn.XLOOKUP(DM$7,SOP!$M$6:$BM$6,SOP!$M$11:$BM$11))))))))</f>
        <v>0.91228070175438603</v>
      </c>
      <c r="DN25" s="315" cm="1">
        <f t="array" ref="DN25">IF(DN$7&gt;$D$3,"",IF(BF25="Undefined","Undefined",IF(BF25="Missed","Missed",IF(BF25="Blank","Blank",IF(BF25="OD","OD",IF(BF25="TBC","TBC",_xlfn.XLOOKUP(DN$7,SOP!$M$6:$BM$6,SOP!$M$12:$BM$12/_xlfn.XLOOKUP(DN$7,SOP!$M$6:$BM$6,SOP!$M$11:$BM$11))))))))</f>
        <v>0.97744360902255645</v>
      </c>
      <c r="DO25" s="315" cm="1">
        <f t="array" ref="DO25">IF(DO$7&gt;$D$3,"",IF(BG25="Undefined","Undefined",IF(BG25="Missed","Missed",IF(BG25="Blank","Blank",IF(BG25="OD","OD",IF(BG25="TBC","TBC",_xlfn.XLOOKUP(DO$7,SOP!$M$6:$BM$6,SOP!$M$12:$BM$12/_xlfn.XLOOKUP(DO$7,SOP!$M$6:$BM$6,SOP!$M$11:$BM$11))))))))</f>
        <v>0.88077336197636957</v>
      </c>
      <c r="DP25" s="315" cm="1">
        <f t="array" ref="DP25">IF(DP$7&gt;$D$3,"",IF(BH25="Undefined","Undefined",IF(BH25="Missed","Missed",IF(BH25="Blank","Blank",IF(BH25="OD","OD",IF(BH25="TBC","TBC",_xlfn.XLOOKUP(DP$7,SOP!$M$6:$BM$6,SOP!$M$12:$BM$12/_xlfn.XLOOKUP(DP$7,SOP!$M$6:$BM$6,SOP!$M$11:$BM$11))))))))</f>
        <v>0.71668533034714443</v>
      </c>
      <c r="DQ25" s="315" cm="1">
        <f t="array" ref="DQ25">IF(DQ$7&gt;$D$3,"",IF(BI25="Undefined","Undefined",IF(BI25="Missed","Missed",IF(BI25="Blank","Blank",IF(BI25="OD","OD",IF(BI25="TBC","TBC",_xlfn.XLOOKUP(DQ$7,SOP!$M$6:$BM$6,SOP!$M$12:$BM$12/_xlfn.XLOOKUP(DQ$7,SOP!$M$6:$BM$6,SOP!$M$11:$BM$11))))))))</f>
        <v>0.52631578947368418</v>
      </c>
      <c r="DR25" s="315" cm="1">
        <f t="array" ref="DR25">IF(DR$7&gt;$D$3,"",IF(BJ25="Undefined","Undefined",IF(BJ25="Missed","Missed",IF(BJ25="Blank","Blank",IF(BJ25="OD","OD",IF(BJ25="TBC","TBC",_xlfn.XLOOKUP(DR$7,SOP!$M$6:$BM$6,SOP!$M$12:$BM$12/_xlfn.XLOOKUP(DR$7,SOP!$M$6:$BM$6,SOP!$M$11:$BM$11))))))))</f>
        <v>0.53588516746411485</v>
      </c>
      <c r="DS25" s="315" cm="1">
        <f t="array" ref="DS25">IF(DS$7&gt;$D$3,"",IF(BK25="Undefined","Undefined",IF(BK25="Missed","Missed",IF(BK25="Blank","Blank",IF(BK25="OD","OD",IF(BK25="TBC","TBC",_xlfn.XLOOKUP(DS$7,SOP!$M$6:$BM$6,SOP!$M$12:$BM$12/_xlfn.XLOOKUP(DS$7,SOP!$M$6:$BM$6,SOP!$M$11:$BM$11))))))))</f>
        <v>0.57416267942583732</v>
      </c>
      <c r="DT25" s="315" cm="1">
        <f t="array" ref="DT25">IF(DT$7&gt;$D$3,"",IF(BL25="Undefined","Undefined",IF(BL25="Missed","Missed",IF(BL25="Blank","Blank",IF(BL25="OD","OD",IF(BL25="TBC","TBC",_xlfn.XLOOKUP(DT$7,SOP!$M$6:$BM$6,SOP!$M$12:$BM$12/_xlfn.XLOOKUP(DT$7,SOP!$M$6:$BM$6,SOP!$M$11:$BM$11))))))))</f>
        <v>0.74013157894736847</v>
      </c>
      <c r="DU25" s="315" cm="1">
        <f t="array" ref="DU25">IF(DU$7&gt;$D$3,"",IF(BM25="Undefined","Undefined",IF(BM25="Missed","Missed",IF(BM25="Blank","Blank",IF(BM25="OD","OD",IF(BM25="TBC","TBC",_xlfn.XLOOKUP(DU$7,SOP!$M$6:$BM$6,SOP!$M$12:$BM$12/_xlfn.XLOOKUP(DU$7,SOP!$M$6:$BM$6,SOP!$M$11:$BM$11))))))))</f>
        <v>0.64327485380116967</v>
      </c>
      <c r="DV25" s="315" cm="1">
        <f t="array" ref="DV25">IF(DV$7&gt;$D$3,"",IF(BN25="Undefined","Undefined",IF(BN25="Missed","Missed",IF(BN25="Blank","Blank",IF(BN25="OD","OD",IF(BN25="TBC","TBC",_xlfn.XLOOKUP(DV$7,SOP!$M$6:$BM$6,SOP!$M$12:$BM$12/_xlfn.XLOOKUP(DV$7,SOP!$M$6:$BM$6,SOP!$M$11:$BM$11))))))))</f>
        <v>0.70891514500537056</v>
      </c>
      <c r="DW25" s="315" cm="1">
        <f t="array" ref="DW25">IF(DW$7&gt;$D$3,"",IF(BO25="Undefined","Undefined",IF(BO25="Missed","Missed",IF(BO25="Blank","Blank",IF(BO25="OD","OD",IF(BO25="TBC","TBC",_xlfn.XLOOKUP(DW$7,SOP!$M$6:$BM$6,SOP!$M$12:$BM$12/_xlfn.XLOOKUP(DW$7,SOP!$M$6:$BM$6,SOP!$M$11:$BM$11))))))))</f>
        <v>0.45883940620782726</v>
      </c>
      <c r="DX25" s="315" cm="1">
        <f t="array" ref="DX25">IF(DX$7&gt;$D$3,"",IF(BP25="Undefined","Undefined",IF(BP25="Missed","Missed",IF(BP25="Blank","Blank",IF(BP25="OD","OD",IF(BP25="TBC","TBC",_xlfn.XLOOKUP(DX$7,SOP!$M$6:$BM$6,SOP!$M$12:$BM$12/_xlfn.XLOOKUP(DX$7,SOP!$M$6:$BM$6,SOP!$M$11:$BM$11))))))))</f>
        <v>0.68328716528162514</v>
      </c>
      <c r="DY25" s="315" cm="1">
        <f t="array" ref="DY25">IF(DY$7&gt;$D$3,"",IF(BQ25="Undefined","Undefined",IF(BQ25="Missed","Missed",IF(BQ25="Blank","Blank",IF(BQ25="OD","OD",IF(BQ25="TBC","TBC",_xlfn.XLOOKUP(DY$7,SOP!$M$6:$BM$6,SOP!$M$12:$BM$12/_xlfn.XLOOKUP(DY$7,SOP!$M$6:$BM$6,SOP!$M$11:$BM$11))))))))</f>
        <v>0.59496567505720821</v>
      </c>
      <c r="DZ25" s="315" cm="1">
        <f t="array" ref="DZ25">IF(DZ$7&gt;$D$3,"",IF(BR25="Undefined","Undefined",IF(BR25="Missed","Missed",IF(BR25="Blank","Blank",IF(BR25="OD","OD",IF(BR25="TBC","TBC",_xlfn.XLOOKUP(DZ$7,SOP!$M$6:$BM$6,SOP!$M$12:$BM$12/_xlfn.XLOOKUP(DZ$7,SOP!$M$6:$BM$6,SOP!$M$11:$BM$11))))))))</f>
        <v>0.49409237379162196</v>
      </c>
      <c r="EA25" s="315" cm="1">
        <f t="array" ref="EA25">IF(EA$7&gt;$D$3,"",IF(BS25="Undefined","Undefined",IF(BS25="Missed","Missed",IF(BS25="Blank","Blank",IF(BS25="OD","OD",IF(BS25="TBC","TBC",_xlfn.XLOOKUP(EA$7,SOP!$M$6:$BM$6,SOP!$M$12:$BM$12/_xlfn.XLOOKUP(EA$7,SOP!$M$6:$BM$6,SOP!$M$11:$BM$11))))))))</f>
        <v>0.51461988304093564</v>
      </c>
      <c r="EB25" s="315" cm="1">
        <f t="array" ref="EB25">IF(EB$7&gt;$D$3,"",IF(BT25="Undefined","Undefined",IF(BT25="Missed","Missed",IF(BT25="Blank","Blank",IF(BT25="OD","OD",IF(BT25="TBC","TBC",_xlfn.XLOOKUP(EB$7,SOP!$M$6:$BM$6,SOP!$M$12:$BM$12/_xlfn.XLOOKUP(EB$7,SOP!$M$6:$BM$6,SOP!$M$11:$BM$11))))))))</f>
        <v>0.58230683090705493</v>
      </c>
      <c r="EC25" s="315" cm="1">
        <f t="array" ref="EC25">IF(EC$7&gt;$D$3,"",IF(BU25="Undefined","Undefined",IF(BU25="Missed","Missed",IF(BU25="Blank","Blank",IF(BU25="OD","OD",IF(BU25="TBC","TBC",_xlfn.XLOOKUP(EC$7,SOP!$M$6:$BM$6,SOP!$M$12:$BM$12/_xlfn.XLOOKUP(EC$7,SOP!$M$6:$BM$6,SOP!$M$11:$BM$11))))))))</f>
        <v>0.73099415204678364</v>
      </c>
      <c r="ED25" s="315" cm="1">
        <f t="array" ref="ED25">IF(ED$7&gt;$D$3,"",IF(BV25="Undefined","Undefined",IF(BV25="Missed","Missed",IF(BV25="Blank","Blank",IF(BV25="OD","OD",IF(BV25="TBC","TBC",_xlfn.XLOOKUP(ED$7,SOP!$M$6:$BM$6,SOP!$M$12:$BM$12/_xlfn.XLOOKUP(ED$7,SOP!$M$6:$BM$6,SOP!$M$11:$BM$11))))))))</f>
        <v>0.80332409972299179</v>
      </c>
      <c r="EE25" s="315" cm="1">
        <f t="array" ref="EE25">IF(EE$7&gt;$D$3,"",IF(BW25="Undefined","Undefined",IF(BW25="Missed","Missed",IF(BW25="Blank","Blank",IF(BW25="OD","OD",IF(BW25="TBC","TBC",_xlfn.XLOOKUP(EE$7,SOP!$M$6:$BM$6,SOP!$M$12:$BM$12/_xlfn.XLOOKUP(EE$7,SOP!$M$6:$BM$6,SOP!$M$11:$BM$11))))))))</f>
        <v>0.6942889137737962</v>
      </c>
      <c r="EF25" s="315" cm="1">
        <f t="array" ref="EF25">IF(EF$7&gt;$D$3,"",IF(BX25="Undefined","Undefined",IF(BX25="Missed","Missed",IF(BX25="Blank","Blank",IF(BX25="OD","OD",IF(BX25="TBC","TBC",_xlfn.XLOOKUP(EF$7,SOP!$M$6:$BM$6,SOP!$M$12:$BM$12/_xlfn.XLOOKUP(EF$7,SOP!$M$6:$BM$6,SOP!$M$11:$BM$11))))))))</f>
        <v>0.40747028862478779</v>
      </c>
      <c r="EG25" s="315" cm="1">
        <f t="array" ref="EG25">IF(EG$7&gt;$D$3,"",IF(BY25="Undefined","Undefined",IF(BY25="Missed","Missed",IF(BY25="Blank","Blank",IF(BY25="OD","OD",IF(BY25="TBC","TBC",_xlfn.XLOOKUP(EG$7,SOP!$M$6:$BM$6,SOP!$M$12:$BM$12/_xlfn.XLOOKUP(EG$7,SOP!$M$6:$BM$6,SOP!$M$11:$BM$11))))))))</f>
        <v>0.60728744939271251</v>
      </c>
      <c r="EH25" s="315" cm="1">
        <f t="array" ref="EH25">IF(EH$7&gt;$D$3,"",IF(BZ25="Undefined","Undefined",IF(BZ25="Missed","Missed",IF(BZ25="Blank","Blank",IF(BZ25="OD","OD",IF(BZ25="TBC","TBC",_xlfn.XLOOKUP(EH$7,SOP!$M$6:$BM$6,SOP!$M$12:$BM$12/_xlfn.XLOOKUP(EH$7,SOP!$M$6:$BM$6,SOP!$M$11:$BM$11))))))))</f>
        <v>1.0526315789473684</v>
      </c>
      <c r="EI25" s="315" cm="1">
        <f t="array" ref="EI25">IF(EI$7&gt;$D$3,"",IF(CA25="Undefined","Undefined",IF(CA25="Missed","Missed",IF(CA25="Blank","Blank",IF(CA25="OD","OD",IF(CA25="TBC","TBC",_xlfn.XLOOKUP(EI$7,SOP!$M$6:$BM$6,SOP!$M$12:$BM$12/_xlfn.XLOOKUP(EI$7,SOP!$M$6:$BM$6,SOP!$M$11:$BM$11))))))))</f>
        <v>1.0526315789473684</v>
      </c>
      <c r="EJ25" s="315" cm="1">
        <f t="array" ref="EJ25">IF(EJ$7&gt;$D$3,"",IF(CB25="Undefined","Undefined",IF(CB25="Missed","Missed",IF(CB25="Blank","Blank",IF(CB25="OD","OD",IF(CB25="TBC","TBC",_xlfn.XLOOKUP(EJ$7,SOP!$M$6:$BM$6,SOP!$M$12:$BM$12/_xlfn.XLOOKUP(EJ$7,SOP!$M$6:$BM$6,SOP!$M$11:$BM$11))))))))</f>
        <v>1.0526315789473684</v>
      </c>
      <c r="EK25" s="315" t="str" cm="1">
        <f t="array" ref="EK25">IF(EK$7&gt;$D$3,"",IF(CC25="Undefined","Undefined",IF(CC25="Missed","Missed",IF(CC25="Blank","Blank",IF(CC25="OD","OD",IF(CC25="TBC","TBC",_xlfn.XLOOKUP(EK$7,SOP!$M$6:$BM$6,SOP!$M$12:$BM$12/_xlfn.XLOOKUP(EK$7,SOP!$M$6:$BM$6,SOP!$M$11:$BM$11))))))))</f>
        <v/>
      </c>
      <c r="EL25" s="315" t="str" cm="1">
        <f t="array" ref="EL25">IF(EL$7&gt;$D$3,"",IF(CD25="Undefined","Undefined",IF(CD25="Missed","Missed",IF(CD25="Blank","Blank",IF(CD25="OD","OD",IF(CD25="TBC","TBC",_xlfn.XLOOKUP(EL$7,SOP!$M$6:$BM$6,SOP!$M$12:$BM$12/_xlfn.XLOOKUP(EL$7,SOP!$M$6:$BM$6,SOP!$M$11:$BM$11))))))))</f>
        <v/>
      </c>
      <c r="EM25" s="315" t="str" cm="1">
        <f t="array" ref="EM25">IF(EM$7&gt;$D$3,"",IF(CE25="Undefined","Undefined",IF(CE25="Missed","Missed",IF(CE25="Blank","Blank",IF(CE25="OD","OD",IF(CE25="TBC","TBC",_xlfn.XLOOKUP(EM$7,SOP!$M$6:$BM$6,SOP!$M$12:$BM$12/_xlfn.XLOOKUP(EM$7,SOP!$M$6:$BM$6,SOP!$M$11:$BM$11))))))))</f>
        <v/>
      </c>
      <c r="EN25" s="315" t="str" cm="1">
        <f t="array" ref="EN25">IF(EN$7&gt;$D$3,"",IF(CF25="Undefined","Undefined",IF(CF25="Missed","Missed",IF(CF25="Blank","Blank",IF(CF25="OD","OD",IF(CF25="TBC","TBC",_xlfn.XLOOKUP(EN$7,SOP!$M$6:$BM$6,SOP!$M$12:$BM$12/_xlfn.XLOOKUP(EN$7,SOP!$M$6:$BM$6,SOP!$M$11:$BM$11))))))))</f>
        <v/>
      </c>
      <c r="EO25" s="315" t="str" cm="1">
        <f t="array" ref="EO25">IF(EO$7&gt;$D$3,"",IF(CG25="Undefined","Undefined",IF(CG25="Missed","Missed",IF(CG25="Blank","Blank",IF(CG25="OD","OD",IF(CG25="TBC","TBC",_xlfn.XLOOKUP(EO$7,SOP!$M$6:$BM$6,SOP!$M$12:$BM$12/_xlfn.XLOOKUP(EO$7,SOP!$M$6:$BM$6,SOP!$M$11:$BM$11))))))))</f>
        <v/>
      </c>
      <c r="EP25" s="315" t="str" cm="1">
        <f t="array" ref="EP25">IF(EP$7&gt;$D$3,"",IF(CH25="Undefined","Undefined",IF(CH25="Missed","Missed",IF(CH25="Blank","Blank",IF(CH25="OD","OD",IF(CH25="TBC","TBC",_xlfn.XLOOKUP(EP$7,SOP!$M$6:$BM$6,SOP!$M$12:$BM$12/_xlfn.XLOOKUP(EP$7,SOP!$M$6:$BM$6,SOP!$M$11:$BM$11))))))))</f>
        <v/>
      </c>
      <c r="EQ25" s="315" t="str" cm="1">
        <f t="array" ref="EQ25">IF(EQ$7&gt;$D$3,"",IF(CI25="Undefined","Undefined",IF(CI25="Missed","Missed",IF(CI25="Blank","Blank",IF(CI25="OD","OD",IF(CI25="TBC","TBC",_xlfn.XLOOKUP(EQ$7,SOP!$M$6:$BM$6,SOP!$M$12:$BM$12/_xlfn.XLOOKUP(EQ$7,SOP!$M$6:$BM$6,SOP!$M$11:$BM$11))))))))</f>
        <v/>
      </c>
      <c r="ER25" s="315" t="str" cm="1">
        <f t="array" ref="ER25">IF(ER$7&gt;$D$3,"",IF(CJ25="Undefined","Undefined",IF(CJ25="Missed","Missed",IF(CJ25="Blank","Blank",IF(CJ25="OD","OD",IF(CJ25="TBC","TBC",_xlfn.XLOOKUP(ER$7,SOP!$M$6:$BM$6,SOP!$M$12:$BM$12/_xlfn.XLOOKUP(ER$7,SOP!$M$6:$BM$6,SOP!$M$11:$BM$11))))))))</f>
        <v/>
      </c>
      <c r="ES25" s="315" t="str" cm="1">
        <f t="array" ref="ES25">IF(ES$7&gt;$D$3,"",IF(CK25="Undefined","Undefined",IF(CK25="Missed","Missed",IF(CK25="Blank","Blank",IF(CK25="OD","OD",IF(CK25="TBC","TBC",_xlfn.XLOOKUP(ES$7,SOP!$M$6:$BM$6,SOP!$M$12:$BM$12/_xlfn.XLOOKUP(ES$7,SOP!$M$6:$BM$6,SOP!$M$11:$BM$11))))))))</f>
        <v/>
      </c>
      <c r="ET25" s="315" t="str" cm="1">
        <f t="array" ref="ET25">IF(ET$7&gt;$D$3,"",IF(CL25="Undefined","Undefined",IF(CL25="Missed","Missed",IF(CL25="Blank","Blank",IF(CL25="OD","OD",IF(CL25="TBC","TBC",_xlfn.XLOOKUP(ET$7,SOP!$M$6:$BM$6,SOP!$M$12:$BM$12/_xlfn.XLOOKUP(ET$7,SOP!$M$6:$BM$6,SOP!$M$11:$BM$11))))))))</f>
        <v/>
      </c>
      <c r="EU25" s="315" t="str" cm="1">
        <f t="array" ref="EU25">IF(EU$7&gt;$D$3,"",IF(CM25="Undefined","Undefined",IF(CM25="Missed","Missed",IF(CM25="Blank","Blank",IF(CM25="OD","OD",IF(CM25="TBC","TBC",_xlfn.XLOOKUP(EU$7,SOP!$M$6:$BM$6,SOP!$M$12:$BM$12/_xlfn.XLOOKUP(EU$7,SOP!$M$6:$BM$6,SOP!$M$11:$BM$11))))))))</f>
        <v/>
      </c>
      <c r="EW25" s="465" t="str">
        <f>+$A25</f>
        <v>SOP-KPI D1</v>
      </c>
      <c r="EX25" s="136" t="str">
        <f>+$C25</f>
        <v>KPI D1</v>
      </c>
      <c r="EY25" s="144" t="str">
        <f>+$D25</f>
        <v>Delivery</v>
      </c>
      <c r="EZ25" s="144" t="str">
        <f t="shared" si="57"/>
        <v>Order Cleansing On Target / In Full (OTIF) days to complete</v>
      </c>
      <c r="FA25" s="145" t="str">
        <f t="shared" si="58"/>
        <v>Percentage</v>
      </c>
      <c r="FB25" s="145" t="s">
        <v>251</v>
      </c>
      <c r="FC25" s="214" t="str">
        <f>IF(FC$7&gt;$D$3,"",IF($FA23&lt;FC$7,"OD",_xlfn.XLOOKUP(FC$7,SOP!$M$6:$BM$6,SOP!$M$12:$BM$12)))</f>
        <v>Blank</v>
      </c>
      <c r="FD25" s="605">
        <f>IF(FD$7&gt;$D$3,"",IF($FA23&lt;FD$7,"OD",_xlfn.XLOOKUP(FD$7,SOP!$M$6:$BM$6,SOP!$M$12:$BM$12)))</f>
        <v>0.92156862745098034</v>
      </c>
      <c r="FE25" s="605">
        <f>IF(FE$7&gt;$D$3,"",IF($FA23&lt;FE$7,"OD",_xlfn.XLOOKUP(FE$7,SOP!$M$6:$BM$6,SOP!$M$12:$BM$12)))</f>
        <v>0.95145631067961167</v>
      </c>
      <c r="FF25" s="605">
        <f>IF(FF$7&gt;$D$3,"",IF($FA23&lt;FF$7,"OD",_xlfn.XLOOKUP(FF$7,SOP!$M$6:$BM$6,SOP!$M$12:$BM$12)))</f>
        <v>0.6875</v>
      </c>
      <c r="FG25" s="605">
        <f>IF(FG$7&gt;$D$3,"",IF($FA23&lt;FG$7,"OD",_xlfn.XLOOKUP(FG$7,SOP!$M$6:$BM$6,SOP!$M$12:$BM$12)))</f>
        <v>0.32608695652173914</v>
      </c>
      <c r="FH25" s="605">
        <f>IF(FH$7&gt;$D$3,"",IF($FA23&lt;FH$7,"OD",_xlfn.XLOOKUP(FH$7,SOP!$M$6:$BM$6,SOP!$M$12:$BM$12)))</f>
        <v>0.56140350877192979</v>
      </c>
      <c r="FI25" s="605">
        <f>IF(FI$7&gt;$D$3,"",IF($FA23&lt;FI$7,"OD",_xlfn.XLOOKUP(FI$7,SOP!$M$6:$BM$6,SOP!$M$12:$BM$12)))</f>
        <v>0.58823529411764708</v>
      </c>
      <c r="FJ25" s="605">
        <f>IF(FJ$7&gt;$D$3,"",IF($FA23&lt;FJ$7,"OD",_xlfn.XLOOKUP(FJ$7,SOP!$M$6:$BM$6,SOP!$M$12:$BM$12)))</f>
        <v>0.62222222222222223</v>
      </c>
      <c r="FK25" s="605">
        <f>IF(FK$7&gt;$D$3,"",IF($FA23&lt;FK$7,"OD",_xlfn.XLOOKUP(FK$7,SOP!$M$6:$BM$6,SOP!$M$12:$BM$12)))</f>
        <v>0.65384615384615385</v>
      </c>
      <c r="FL25" s="605">
        <f>IF(FL$7&gt;$D$3,"",IF($FA23&lt;FL$7,"OD",_xlfn.XLOOKUP(FL$7,SOP!$M$6:$BM$6,SOP!$M$12:$BM$12)))</f>
        <v>0.41176470588235292</v>
      </c>
      <c r="FM25" s="605">
        <f>IF(FM$7&gt;$D$3,"",IF($FA23&lt;FM$7,"OD",_xlfn.XLOOKUP(FM$7,SOP!$M$6:$BM$6,SOP!$M$12:$BM$12)))</f>
        <v>0.5625</v>
      </c>
      <c r="FN25" s="605">
        <f>IF(FN$7&gt;$D$3,"",IF($FA23&lt;FN$7,"OD",_xlfn.XLOOKUP(FN$7,SOP!$M$6:$BM$6,SOP!$M$12:$BM$12)))</f>
        <v>0.5</v>
      </c>
      <c r="FO25" s="605">
        <f>IF(FO$7&gt;$D$3,"",IF($FA23&lt;FO$7,"OD",_xlfn.XLOOKUP(FO$7,SOP!$M$6:$BM$6,SOP!$M$12:$BM$12)))</f>
        <v>0.60465116279069764</v>
      </c>
      <c r="FP25" s="605">
        <f>IF(FP$7&gt;$D$3,"",IF($FA23&lt;FP$7,"OD",_xlfn.XLOOKUP(FP$7,SOP!$M$6:$BM$6,SOP!$M$12:$BM$12)))</f>
        <v>0.63636363636363635</v>
      </c>
      <c r="FQ25" s="605">
        <f>IF(FQ$7&gt;$D$3,"",IF($FA23&lt;FQ$7,"OD",_xlfn.XLOOKUP(FQ$7,SOP!$M$6:$BM$6,SOP!$M$12:$BM$12)))</f>
        <v>0.82</v>
      </c>
      <c r="FR25" s="605">
        <f>IF(FR$7&gt;$D$3,"",IF($FA23&lt;FR$7,"OD",_xlfn.XLOOKUP(FR$7,SOP!$M$6:$BM$6,SOP!$M$12:$BM$12)))</f>
        <v>0.6</v>
      </c>
      <c r="FS25" s="605">
        <f>IF(FS$7&gt;$D$3,"",IF($FA23&lt;FS$7,"OD",_xlfn.XLOOKUP(FS$7,SOP!$M$6:$BM$6,SOP!$M$12:$BM$12)))</f>
        <v>0.42307692307692307</v>
      </c>
      <c r="FT25" s="605">
        <f>IF(FT$7&gt;$D$3,"",IF($FA23&lt;FT$7,"OD",_xlfn.XLOOKUP(FT$7,SOP!$M$6:$BM$6,SOP!$M$12:$BM$12)))</f>
        <v>0.40845070422535212</v>
      </c>
      <c r="FU25" s="605">
        <f>IF(FU$7&gt;$D$3,"",IF($FA23&lt;FU$7,"OD",_xlfn.XLOOKUP(FU$7,SOP!$M$6:$BM$6,SOP!$M$12:$BM$12)))</f>
        <v>0.8666666666666667</v>
      </c>
      <c r="FV25" s="605">
        <f>IF(FV$7&gt;$D$3,"",IF($FA23&lt;FV$7,"OD",_xlfn.XLOOKUP(FV$7,SOP!$M$6:$BM$6,SOP!$M$12:$BM$12)))</f>
        <v>0.9285714285714286</v>
      </c>
      <c r="FW25" s="605">
        <f>IF(FW$7&gt;$D$3,"",IF($FA23&lt;FW$7,"OD",_xlfn.XLOOKUP(FW$7,SOP!$M$6:$BM$6,SOP!$M$12:$BM$12)))</f>
        <v>0.83673469387755106</v>
      </c>
      <c r="FX25" s="605">
        <f>IF(FX$7&gt;$D$3,"",IF($FA23&lt;FX$7,"OD",_xlfn.XLOOKUP(FX$7,SOP!$M$6:$BM$6,SOP!$M$12:$BM$12)))</f>
        <v>0.68085106382978722</v>
      </c>
      <c r="FY25" s="605">
        <f>IF(FY$7&gt;$D$3,"",IF($FA23&lt;FY$7,"OD",_xlfn.XLOOKUP(FY$7,SOP!$M$6:$BM$6,SOP!$M$12:$BM$12)))</f>
        <v>0.5</v>
      </c>
      <c r="FZ25" s="605">
        <f>IF(FZ$7&gt;$D$3,"",IF($FA23&lt;FZ$7,"OD",_xlfn.XLOOKUP(FZ$7,SOP!$M$6:$BM$6,SOP!$M$12:$BM$12)))</f>
        <v>0.50909090909090904</v>
      </c>
      <c r="GA25" s="605">
        <f>IF(GA$7&gt;$D$3,"",IF($FA23&lt;GA$7,"OD",_xlfn.XLOOKUP(GA$7,SOP!$M$6:$BM$6,SOP!$M$12:$BM$12)))</f>
        <v>0.54545454545454541</v>
      </c>
      <c r="GB25" s="605">
        <f>IF(GB$7&gt;$D$3,"",IF($FA23&lt;GB$7,"OD",_xlfn.XLOOKUP(GB$7,SOP!$M$6:$BM$6,SOP!$M$12:$BM$12)))</f>
        <v>0.703125</v>
      </c>
      <c r="GC25" s="605">
        <f>IF(GC$7&gt;$D$3,"",IF($FA23&lt;GC$7,"OD",_xlfn.XLOOKUP(GC$7,SOP!$M$6:$BM$6,SOP!$M$12:$BM$12)))</f>
        <v>0.61111111111111116</v>
      </c>
      <c r="GD25" s="605">
        <f>IF(GD$7&gt;$D$3,"",IF($FA23&lt;GD$7,"OD",_xlfn.XLOOKUP(GD$7,SOP!$M$6:$BM$6,SOP!$M$12:$BM$12)))</f>
        <v>0.67346938775510201</v>
      </c>
      <c r="GE25" s="605">
        <f>IF(GE$7&gt;$D$3,"",IF($FA23&lt;GE$7,"OD",_xlfn.XLOOKUP(GE$7,SOP!$M$6:$BM$6,SOP!$M$12:$BM$12)))</f>
        <v>0.4358974358974359</v>
      </c>
      <c r="GF25" s="605">
        <f>IF(GF$7&gt;$D$3,"",IF($FA23&lt;GF$7,"OD",_xlfn.XLOOKUP(GF$7,SOP!$M$6:$BM$6,SOP!$M$12:$BM$12)))</f>
        <v>0.64912280701754388</v>
      </c>
      <c r="GG25" s="605">
        <f>IF(GG$7&gt;$D$3,"",IF($FA23&lt;GG$7,"OD",_xlfn.XLOOKUP(GG$7,SOP!$M$6:$BM$6,SOP!$M$12:$BM$12)))</f>
        <v>0.56521739130434778</v>
      </c>
      <c r="GH25" s="605">
        <f>IF(GH$7&gt;$D$3,"",IF($FA23&lt;GH$7,"OD",_xlfn.XLOOKUP(GH$7,SOP!$M$6:$BM$6,SOP!$M$12:$BM$12)))</f>
        <v>0.46938775510204084</v>
      </c>
      <c r="GI25" s="605">
        <f>IF(GI$7&gt;$D$3,"",IF($FA23&lt;GI$7,"OD",_xlfn.XLOOKUP(GI$7,SOP!$M$6:$BM$6,SOP!$M$12:$BM$12)))</f>
        <v>0.48888888888888887</v>
      </c>
      <c r="GJ25" s="605">
        <f>IF(GJ$7&gt;$D$3,"",IF($FA23&lt;GJ$7,"OD",_xlfn.XLOOKUP(GJ$7,SOP!$M$6:$BM$6,SOP!$M$12:$BM$12)))</f>
        <v>0.55319148936170215</v>
      </c>
      <c r="GK25" s="605">
        <f>IF(GK$7&gt;$D$3,"",IF($FA23&lt;GK$7,"OD",_xlfn.XLOOKUP(GK$7,SOP!$M$6:$BM$6,SOP!$M$12:$BM$12)))</f>
        <v>0.69444444444444442</v>
      </c>
      <c r="GL25" s="605">
        <f>IF(GL$7&gt;$D$3,"",IF($FA23&lt;GL$7,"OD",_xlfn.XLOOKUP(GL$7,SOP!$M$6:$BM$6,SOP!$M$12:$BM$12)))</f>
        <v>0.76315789473684215</v>
      </c>
      <c r="GM25" s="605">
        <f>IF(GM$7&gt;$D$3,"",IF($FA23&lt;GM$7,"OD",_xlfn.XLOOKUP(GM$7,SOP!$M$6:$BM$6,SOP!$M$12:$BM$12)))</f>
        <v>0.65957446808510634</v>
      </c>
      <c r="GN25" s="605">
        <f>IF(GN$7&gt;$D$3,"",IF($FA23&lt;GN$7,"OD",_xlfn.XLOOKUP(GN$7,SOP!$M$6:$BM$6,SOP!$M$12:$BM$12)))</f>
        <v>0.38709677419354838</v>
      </c>
      <c r="GO25" s="605">
        <f>IF(GO$7&gt;$D$3,"",IF($FA23&lt;GO$7,"OD",_xlfn.XLOOKUP(GO$7,SOP!$M$6:$BM$6,SOP!$M$12:$BM$12)))</f>
        <v>0.57692307692307687</v>
      </c>
      <c r="GP25" s="605">
        <f>IF(GP$7&gt;$D$3,"",IF($FA23&lt;GP$7,"OD",_xlfn.XLOOKUP(GP$7,SOP!$M$6:$BM$6,SOP!$M$12:$BM$12)))</f>
        <v>1</v>
      </c>
      <c r="GQ25" s="605">
        <f>IF(GQ$7&gt;$D$3,"",IF($FA23&lt;GQ$7,"OD",_xlfn.XLOOKUP(GQ$7,SOP!$M$6:$BM$6,SOP!$M$12:$BM$12)))</f>
        <v>1</v>
      </c>
      <c r="GR25" s="605">
        <f>IF(GR$7&gt;$D$3,"",IF($FA23&lt;GR$7,"OD",_xlfn.XLOOKUP(GR$7,SOP!$M$6:$BM$6,SOP!$M$12:$BM$12)))</f>
        <v>1</v>
      </c>
      <c r="GS25" s="605" t="str">
        <f>IF(GS$7&gt;$D$3,"",IF($FA23&lt;GS$7,"OD",_xlfn.XLOOKUP(GS$7,SOP!$M$6:$BM$6,SOP!$M$12:$BM$12)))</f>
        <v/>
      </c>
      <c r="GT25" s="605" t="str">
        <f>IF(GT$7&gt;$D$3,"",IF($FA23&lt;GT$7,"OD",_xlfn.XLOOKUP(GT$7,SOP!$M$6:$BM$6,SOP!$M$12:$BM$12)))</f>
        <v/>
      </c>
      <c r="GU25" s="605" t="str">
        <f>IF(GU$7&gt;$D$3,"",IF($FA23&lt;GU$7,"OD",_xlfn.XLOOKUP(GU$7,SOP!$M$6:$BM$6,SOP!$M$12:$BM$12)))</f>
        <v/>
      </c>
      <c r="GV25" s="605" t="str">
        <f>IF(GV$7&gt;$D$3,"",IF($FA23&lt;GV$7,"OD",_xlfn.XLOOKUP(GV$7,SOP!$M$6:$BM$6,SOP!$M$12:$BM$12)))</f>
        <v/>
      </c>
      <c r="GW25" s="605" t="str">
        <f>IF(GW$7&gt;$D$3,"",IF($FA23&lt;GW$7,"OD",_xlfn.XLOOKUP(GW$7,SOP!$M$6:$BM$6,SOP!$M$12:$BM$12)))</f>
        <v/>
      </c>
      <c r="GX25" s="605" t="str">
        <f>IF(GX$7&gt;$D$3,"",IF($FA23&lt;GX$7,"OD",_xlfn.XLOOKUP(GX$7,SOP!$M$6:$BM$6,SOP!$M$12:$BM$12)))</f>
        <v/>
      </c>
      <c r="GY25" s="605" t="str">
        <f>IF(GY$7&gt;$D$3,"",IF($FA23&lt;GY$7,"OD",_xlfn.XLOOKUP(GY$7,SOP!$M$6:$BM$6,SOP!$M$12:$BM$12)))</f>
        <v/>
      </c>
      <c r="GZ25" s="605" t="str">
        <f>IF(GZ$7&gt;$D$3,"",IF($FA23&lt;GZ$7,"OD",_xlfn.XLOOKUP(GZ$7,SOP!$M$6:$BM$6,SOP!$M$12:$BM$12)))</f>
        <v/>
      </c>
      <c r="HA25" s="605" t="str">
        <f>IF(HA$7&gt;$D$3,"",IF($FA23&lt;HA$7,"OD",_xlfn.XLOOKUP(HA$7,SOP!$M$6:$BM$6,SOP!$M$12:$BM$12)))</f>
        <v/>
      </c>
      <c r="HB25" s="605" t="str">
        <f>IF(HB$7&gt;$D$3,"",IF($FA23&lt;HB$7,"OD",_xlfn.XLOOKUP(HB$7,SOP!$M$6:$BM$6,SOP!$M$12:$BM$12)))</f>
        <v/>
      </c>
      <c r="HC25" s="605" t="str">
        <f>IF(HC$7&gt;$D$3,"",IF($FA23&lt;HC$7,"OD",_xlfn.XLOOKUP(HC$7,SOP!$M$6:$BM$6,SOP!$M$12:$BM$12)))</f>
        <v/>
      </c>
      <c r="HE25" s="136" t="str">
        <f>+$C25</f>
        <v>KPI D1</v>
      </c>
      <c r="HF25" s="144" t="str">
        <f>+$D25</f>
        <v>Delivery</v>
      </c>
      <c r="HG25" s="144" t="str">
        <f t="shared" si="61"/>
        <v>Order Cleansing On Target / In Full (OTIF) days to complete</v>
      </c>
      <c r="HH25" s="145" t="str">
        <f t="shared" si="62"/>
        <v>Percentage</v>
      </c>
      <c r="HI25" s="145" t="s">
        <v>44</v>
      </c>
      <c r="HJ25" s="605" t="s">
        <v>122</v>
      </c>
      <c r="HK25" s="605">
        <f>IF(HK$7&gt;$D$3,"",IF($FA23&lt;HK$7,"OD",_xlfn.XLOOKUP(HK$7,SOP!$M$6:$BM$6,SOP!$M$11:$BM$11)))</f>
        <v>0.95</v>
      </c>
      <c r="HL25" s="606">
        <f>IF(HL$7&gt;$D$3,"",IF($FA23&lt;HL$7,"OD",_xlfn.XLOOKUP(HL$7,SOP!$M$6:$BM$6,SOP!$M$11:$BM$11)))</f>
        <v>0.95</v>
      </c>
      <c r="HM25" s="606">
        <f>IF(HM$7&gt;$D$3,"",IF($FA23&lt;HM$7,"OD",_xlfn.XLOOKUP(HM$7,SOP!$M$6:$BM$6,SOP!$M$11:$BM$11)))</f>
        <v>0.95</v>
      </c>
      <c r="HN25" s="606">
        <f>IF(HN$7&gt;$D$3,"",IF($FA23&lt;HN$7,"OD",_xlfn.XLOOKUP(HN$7,SOP!$M$6:$BM$6,SOP!$M$11:$BM$11)))</f>
        <v>0.95</v>
      </c>
      <c r="HO25" s="606">
        <f>IF(HO$7&gt;$D$3,"",IF($FA23&lt;HO$7,"OD",_xlfn.XLOOKUP(HO$7,SOP!$M$6:$BM$6,SOP!$M$11:$BM$11)))</f>
        <v>0.95</v>
      </c>
      <c r="HP25" s="606">
        <f>IF(HP$7&gt;$D$3,"",IF($FA23&lt;HP$7,"OD",_xlfn.XLOOKUP(HP$7,SOP!$M$6:$BM$6,SOP!$M$11:$BM$11)))</f>
        <v>0.95</v>
      </c>
      <c r="HQ25" s="606">
        <f>IF(HQ$7&gt;$D$3,"",IF($FA23&lt;HQ$7,"OD",_xlfn.XLOOKUP(HQ$7,SOP!$M$6:$BM$6,SOP!$M$11:$BM$11)))</f>
        <v>0.95</v>
      </c>
      <c r="HR25" s="606">
        <f>IF(HR$7&gt;$D$3,"",IF($FA23&lt;HR$7,"OD",_xlfn.XLOOKUP(HR$7,SOP!$M$6:$BM$6,SOP!$M$11:$BM$11)))</f>
        <v>0.95</v>
      </c>
      <c r="HS25" s="606">
        <f>IF(HS$7&gt;$D$3,"",IF($FA23&lt;HS$7,"OD",_xlfn.XLOOKUP(HS$7,SOP!$M$6:$BM$6,SOP!$M$11:$BM$11)))</f>
        <v>0.95</v>
      </c>
      <c r="HT25" s="606">
        <f>IF(HT$7&gt;$D$3,"",IF($FA23&lt;HT$7,"OD",_xlfn.XLOOKUP(HT$7,SOP!$M$6:$BM$6,SOP!$M$11:$BM$11)))</f>
        <v>0.95</v>
      </c>
      <c r="HU25" s="606">
        <f>IF(HU$7&gt;$D$3,"",IF($FA23&lt;HU$7,"OD",_xlfn.XLOOKUP(HU$7,SOP!$M$6:$BM$6,SOP!$M$11:$BM$11)))</f>
        <v>0.95</v>
      </c>
      <c r="HV25" s="606">
        <f>IF(HV$7&gt;$D$3,"",IF($FA23&lt;HV$7,"OD",_xlfn.XLOOKUP(HV$7,SOP!$M$6:$BM$6,SOP!$M$11:$BM$11)))</f>
        <v>0.95</v>
      </c>
      <c r="HW25" s="606">
        <f>IF(HW$7&gt;$D$3,"",IF($FA23&lt;HW$7,"OD",_xlfn.XLOOKUP(HW$7,SOP!$M$6:$BM$6,SOP!$M$11:$BM$11)))</f>
        <v>0.95</v>
      </c>
      <c r="HX25" s="606">
        <f>IF(HX$7&gt;$D$3,"",IF($FA23&lt;HX$7,"OD",_xlfn.XLOOKUP(HX$7,SOP!$M$6:$BM$6,SOP!$M$11:$BM$11)))</f>
        <v>0.95</v>
      </c>
      <c r="HY25" s="606">
        <f>IF(HY$7&gt;$D$3,"",IF($FA23&lt;HY$7,"OD",_xlfn.XLOOKUP(HY$7,SOP!$M$6:$BM$6,SOP!$M$11:$BM$11)))</f>
        <v>0.95</v>
      </c>
      <c r="HZ25" s="606">
        <f>IF(HZ$7&gt;$D$3,"",IF($FA23&lt;HZ$7,"OD",_xlfn.XLOOKUP(HZ$7,SOP!$M$6:$BM$6,SOP!$M$11:$BM$11)))</f>
        <v>0.95</v>
      </c>
      <c r="IA25" s="606">
        <f>IF(IA$7&gt;$D$3,"",IF($FA23&lt;IA$7,"OD",_xlfn.XLOOKUP(IA$7,SOP!$M$6:$BM$6,SOP!$M$11:$BM$11)))</f>
        <v>0.95</v>
      </c>
      <c r="IB25" s="606">
        <f>IF(IB$7&gt;$D$3,"",IF($FA23&lt;IB$7,"OD",_xlfn.XLOOKUP(IB$7,SOP!$M$6:$BM$6,SOP!$M$11:$BM$11)))</f>
        <v>0.95</v>
      </c>
      <c r="IC25" s="606">
        <f>IF(IC$7&gt;$D$3,"",IF($FA23&lt;IC$7,"OD",_xlfn.XLOOKUP(IC$7,SOP!$M$6:$BM$6,SOP!$M$11:$BM$11)))</f>
        <v>0.95</v>
      </c>
      <c r="ID25" s="606">
        <f>IF(ID$7&gt;$D$3,"",IF($FA23&lt;ID$7,"OD",_xlfn.XLOOKUP(ID$7,SOP!$M$6:$BM$6,SOP!$M$11:$BM$11)))</f>
        <v>0.95</v>
      </c>
      <c r="IE25" s="606">
        <f>IF(IE$7&gt;$D$3,"",IF($FA23&lt;IE$7,"OD",_xlfn.XLOOKUP(IE$7,SOP!$M$6:$BM$6,SOP!$M$11:$BM$11)))</f>
        <v>0.95</v>
      </c>
      <c r="IF25" s="606">
        <f>IF(IF$7&gt;$D$3,"",IF($FA23&lt;IF$7,"OD",_xlfn.XLOOKUP(IF$7,SOP!$M$6:$BM$6,SOP!$M$11:$BM$11)))</f>
        <v>0.95</v>
      </c>
      <c r="IG25" s="606">
        <f>IF(IG$7&gt;$D$3,"",IF($FA23&lt;IG$7,"OD",_xlfn.XLOOKUP(IG$7,SOP!$M$6:$BM$6,SOP!$M$11:$BM$11)))</f>
        <v>0.95</v>
      </c>
      <c r="IH25" s="606">
        <f>IF(IH$7&gt;$D$3,"",IF($FA23&lt;IH$7,"OD",_xlfn.XLOOKUP(IH$7,SOP!$M$6:$BM$6,SOP!$M$11:$BM$11)))</f>
        <v>0.95</v>
      </c>
      <c r="II25" s="606">
        <f>IF(II$7&gt;$D$3,"",IF($FA23&lt;II$7,"OD",_xlfn.XLOOKUP(II$7,SOP!$M$6:$BM$6,SOP!$M$11:$BM$11)))</f>
        <v>0.95</v>
      </c>
      <c r="IJ25" s="606">
        <f>IF(IJ$7&gt;$D$3,"",IF($FA23&lt;IJ$7,"OD",_xlfn.XLOOKUP(IJ$7,SOP!$M$6:$BM$6,SOP!$M$11:$BM$11)))</f>
        <v>0.95</v>
      </c>
      <c r="IK25" s="606">
        <f>IF(IK$7&gt;$D$3,"",IF($FA23&lt;IK$7,"OD",_xlfn.XLOOKUP(IK$7,SOP!$M$6:$BM$6,SOP!$M$11:$BM$11)))</f>
        <v>0.95</v>
      </c>
      <c r="IL25" s="606">
        <f>IF(IL$7&gt;$D$3,"",IF($FA23&lt;IL$7,"OD",_xlfn.XLOOKUP(IL$7,SOP!$M$6:$BM$6,SOP!$M$11:$BM$11)))</f>
        <v>0.95</v>
      </c>
      <c r="IM25" s="606">
        <f>IF(IM$7&gt;$D$3,"",IF($FA23&lt;IM$7,"OD",_xlfn.XLOOKUP(IM$7,SOP!$M$6:$BM$6,SOP!$M$11:$BM$11)))</f>
        <v>0.95</v>
      </c>
      <c r="IN25" s="606">
        <f>IF(IN$7&gt;$D$3,"",IF($FA23&lt;IN$7,"OD",_xlfn.XLOOKUP(IN$7,SOP!$M$6:$BM$6,SOP!$M$11:$BM$11)))</f>
        <v>0.95</v>
      </c>
      <c r="IO25" s="606">
        <f>IF(IO$7&gt;$D$3,"",IF($FA23&lt;IO$7,"OD",_xlfn.XLOOKUP(IO$7,SOP!$M$6:$BM$6,SOP!$M$11:$BM$11)))</f>
        <v>0.95</v>
      </c>
      <c r="IP25" s="606">
        <f>IF(IP$7&gt;$D$3,"",IF($FA23&lt;IP$7,"OD",_xlfn.XLOOKUP(IP$7,SOP!$M$6:$BM$6,SOP!$M$11:$BM$11)))</f>
        <v>0.95</v>
      </c>
      <c r="IQ25" s="606">
        <f>IF(IQ$7&gt;$D$3,"",IF($FA23&lt;IQ$7,"OD",_xlfn.XLOOKUP(IQ$7,SOP!$M$6:$BM$6,SOP!$M$11:$BM$11)))</f>
        <v>0.95</v>
      </c>
      <c r="IR25" s="606">
        <f>IF(IR$7&gt;$D$3,"",IF($FA23&lt;IR$7,"OD",_xlfn.XLOOKUP(IR$7,SOP!$M$6:$BM$6,SOP!$M$11:$BM$11)))</f>
        <v>0.95</v>
      </c>
      <c r="IS25" s="606">
        <f>IF(IS$7&gt;$D$3,"",IF($FA23&lt;IS$7,"OD",_xlfn.XLOOKUP(IS$7,SOP!$M$6:$BM$6,SOP!$M$11:$BM$11)))</f>
        <v>0.95</v>
      </c>
      <c r="IT25" s="606">
        <f>IF(IT$7&gt;$D$3,"",IF($FA23&lt;IT$7,"OD",_xlfn.XLOOKUP(IT$7,SOP!$M$6:$BM$6,SOP!$M$11:$BM$11)))</f>
        <v>0.95</v>
      </c>
      <c r="IU25" s="606">
        <f>IF(IU$7&gt;$D$3,"",IF($FA23&lt;IU$7,"OD",_xlfn.XLOOKUP(IU$7,SOP!$M$6:$BM$6,SOP!$M$11:$BM$11)))</f>
        <v>0.95</v>
      </c>
      <c r="IV25" s="606">
        <f>IF(IV$7&gt;$D$3,"",IF($FA23&lt;IV$7,"OD",_xlfn.XLOOKUP(IV$7,SOP!$M$6:$BM$6,SOP!$M$11:$BM$11)))</f>
        <v>0.95</v>
      </c>
      <c r="IW25" s="606">
        <f>IF(IW$7&gt;$D$3,"",IF($FA23&lt;IW$7,"OD",_xlfn.XLOOKUP(IW$7,SOP!$M$6:$BM$6,SOP!$M$11:$BM$11)))</f>
        <v>0.95</v>
      </c>
      <c r="IX25" s="606">
        <f>IF(IX$7&gt;$D$3,"",IF($FA23&lt;IX$7,"OD",_xlfn.XLOOKUP(IX$7,SOP!$M$6:$BM$6,SOP!$M$11:$BM$11)))</f>
        <v>0.95</v>
      </c>
      <c r="IY25" s="606">
        <f>IF(IY$7&gt;$D$3,"",IF($FA23&lt;IY$7,"OD",_xlfn.XLOOKUP(IY$7,SOP!$M$6:$BM$6,SOP!$M$11:$BM$11)))</f>
        <v>0.95</v>
      </c>
      <c r="IZ25" s="606" t="str">
        <f>IF(IZ$7&gt;$D$3,"",IF($FA23&lt;IZ$7,"OD",_xlfn.XLOOKUP(IZ$7,SOP!$M$6:$BM$6,SOP!$M$11:$BM$11)))</f>
        <v/>
      </c>
      <c r="JA25" s="606" t="str">
        <f>IF(JA$7&gt;$D$3,"",IF($FA23&lt;JA$7,"OD",_xlfn.XLOOKUP(JA$7,SOP!$M$6:$BM$6,SOP!$M$11:$BM$11)))</f>
        <v/>
      </c>
      <c r="JB25" s="606" t="str">
        <f>IF(JB$7&gt;$D$3,"",IF($FA23&lt;JB$7,"OD",_xlfn.XLOOKUP(JB$7,SOP!$M$6:$BM$6,SOP!$M$11:$BM$11)))</f>
        <v/>
      </c>
      <c r="JC25" s="606" t="str">
        <f>IF(JC$7&gt;$D$3,"",IF($FA23&lt;JC$7,"OD",_xlfn.XLOOKUP(JC$7,SOP!$M$6:$BM$6,SOP!$M$11:$BM$11)))</f>
        <v/>
      </c>
      <c r="JD25" s="606" t="str">
        <f>IF(JD$7&gt;$D$3,"",IF($FA23&lt;JD$7,"OD",_xlfn.XLOOKUP(JD$7,SOP!$M$6:$BM$6,SOP!$M$11:$BM$11)))</f>
        <v/>
      </c>
      <c r="JE25" s="606" t="str">
        <f>IF(JE$7&gt;$D$3,"",IF($FA23&lt;JE$7,"OD",_xlfn.XLOOKUP(JE$7,SOP!$M$6:$BM$6,SOP!$M$11:$BM$11)))</f>
        <v/>
      </c>
      <c r="JF25" s="606" t="str">
        <f>IF(JF$7&gt;$D$3,"",IF($FA23&lt;JF$7,"OD",_xlfn.XLOOKUP(JF$7,SOP!$M$6:$BM$6,SOP!$M$11:$BM$11)))</f>
        <v/>
      </c>
      <c r="JG25" s="606" t="str">
        <f>IF(JG$7&gt;$D$3,"",IF($FA23&lt;JG$7,"OD",_xlfn.XLOOKUP(JG$7,SOP!$M$6:$BM$6,SOP!$M$11:$BM$11)))</f>
        <v/>
      </c>
      <c r="JH25" s="606" t="str">
        <f>IF(JH$7&gt;$D$3,"",IF($FA23&lt;JH$7,"OD",_xlfn.XLOOKUP(JH$7,SOP!$M$6:$BM$6,SOP!$M$11:$BM$11)))</f>
        <v/>
      </c>
      <c r="JI25" s="606" t="str">
        <f>IF(JI$7&gt;$D$3,"",IF($FA23&lt;JI$7,"OD",_xlfn.XLOOKUP(JI$7,SOP!$M$6:$BM$6,SOP!$M$11:$BM$11)))</f>
        <v/>
      </c>
      <c r="JJ25" s="606" t="str">
        <f>IF(JJ$7&gt;$D$3,"",IF($FA23&lt;JJ$7,"OD",_xlfn.XLOOKUP(JJ$7,SOP!$M$6:$BM$6,SOP!$M$11:$BM$11)))</f>
        <v/>
      </c>
      <c r="JM25" s="136" t="str">
        <f>+$C25</f>
        <v>KPI D1</v>
      </c>
      <c r="JN25" s="144" t="str">
        <f>+$D25</f>
        <v>Delivery</v>
      </c>
      <c r="JO25" s="144" t="str">
        <f t="shared" si="65"/>
        <v>Order Cleansing On Target / In Full (OTIF) days to complete</v>
      </c>
      <c r="JP25" s="145" t="str">
        <f t="shared" si="66"/>
        <v>Percentage</v>
      </c>
      <c r="JQ25" s="145" t="s">
        <v>284</v>
      </c>
      <c r="JR25" s="606" t="str">
        <f>IFERROR(AVERAGE(FC25:$FC25),"")</f>
        <v/>
      </c>
      <c r="JS25" s="606">
        <f>IFERROR(AVERAGE($FC25:FD25),"")</f>
        <v>0.92156862745098034</v>
      </c>
      <c r="JT25" s="606">
        <f>IFERROR(AVERAGE($FC25:FE25),"")</f>
        <v>0.93651246906529595</v>
      </c>
      <c r="JU25" s="606">
        <f>IFERROR(AVERAGE($FC25:FF25),"")</f>
        <v>0.85350831271019734</v>
      </c>
      <c r="JV25" s="606">
        <f>IFERROR(AVERAGE($FC25:FG25),"")</f>
        <v>0.72165297366308279</v>
      </c>
      <c r="JW25" s="606">
        <f>IFERROR(AVERAGE($FC25:FH25),"")</f>
        <v>0.68960308068485221</v>
      </c>
      <c r="JX25" s="606">
        <f>IFERROR(AVERAGE($FC25:FI25),"")</f>
        <v>0.67270844959031795</v>
      </c>
      <c r="JY25" s="606">
        <f>IFERROR(AVERAGE($FC25:FJ25),"")</f>
        <v>0.66549613139487562</v>
      </c>
      <c r="JZ25" s="606">
        <f>IFERROR(AVERAGE($FC25:FK25),"")</f>
        <v>0.66403988420128546</v>
      </c>
      <c r="KA25" s="606">
        <f>IFERROR(AVERAGE($FC25:FL25),"")</f>
        <v>0.63600930883251516</v>
      </c>
      <c r="KB25" s="606">
        <f>IFERROR(AVERAGE($FC25:FM25),"")</f>
        <v>0.62865837794926371</v>
      </c>
      <c r="KC25" s="606">
        <f>IFERROR(AVERAGE($FC25:FN25),"")</f>
        <v>0.61696216177205787</v>
      </c>
      <c r="KD25" s="606">
        <f>IFERROR(AVERAGE($FC25:FO25),"")</f>
        <v>0.6159362451902779</v>
      </c>
      <c r="KE25" s="606">
        <f>IFERROR(AVERAGE($FC25:FP25),"")</f>
        <v>0.61750758297284392</v>
      </c>
      <c r="KF25" s="606">
        <f>IFERROR(AVERAGE($FC25:FQ25),"")</f>
        <v>0.63197132704621228</v>
      </c>
      <c r="KG25" s="606">
        <f>IFERROR(AVERAGE($FC25:FR25),"")</f>
        <v>0.62983990524313138</v>
      </c>
      <c r="KH25" s="606">
        <f>IFERROR(AVERAGE($FC25:FS25),"")</f>
        <v>0.61691721885774342</v>
      </c>
      <c r="KI25" s="606">
        <f>IFERROR(AVERAGE($FC25:FT25),"")</f>
        <v>0.6046544827028969</v>
      </c>
      <c r="KJ25" s="606">
        <f>IFERROR(AVERAGE($FC25:FU25),"")</f>
        <v>0.61921071514532855</v>
      </c>
      <c r="KK25" s="606">
        <f>IFERROR(AVERAGE($FC25:FV25),"")</f>
        <v>0.63549285795722854</v>
      </c>
      <c r="KL25" s="606">
        <f>IFERROR(AVERAGE($FC25:FW25),"")</f>
        <v>0.64555494975324468</v>
      </c>
      <c r="KM25" s="606">
        <f>IFERROR(AVERAGE($FC25:FX25),"")</f>
        <v>0.64723571709022287</v>
      </c>
      <c r="KN25" s="606">
        <f>IFERROR(AVERAGE($FC25:FY25),"")</f>
        <v>0.64054318449521275</v>
      </c>
      <c r="KO25" s="606">
        <f>IFERROR(AVERAGE($FC25:FZ25),"")</f>
        <v>0.63482786817328651</v>
      </c>
      <c r="KP25" s="606">
        <f>IFERROR(AVERAGE($FC25:GA25),"")</f>
        <v>0.63110397972667232</v>
      </c>
      <c r="KQ25" s="606">
        <f>IFERROR(AVERAGE($FC25:GB25),"")</f>
        <v>0.63398482053760541</v>
      </c>
      <c r="KR25" s="606">
        <f>IFERROR(AVERAGE($FC25:GC25),"")</f>
        <v>0.63310506248274023</v>
      </c>
      <c r="KS25" s="606">
        <f>IFERROR(AVERAGE($FC25:GD25),"")</f>
        <v>0.63460003749282778</v>
      </c>
      <c r="KT25" s="606">
        <f>IFERROR(AVERAGE($FC25:GE25),"")</f>
        <v>0.62750351600727794</v>
      </c>
      <c r="KU25" s="606">
        <f>IFERROR(AVERAGE($FC25:GF25),"")</f>
        <v>0.62824900880073542</v>
      </c>
      <c r="KV25" s="606">
        <f>IFERROR(AVERAGE($FC25:GG25),"")</f>
        <v>0.62614795488418917</v>
      </c>
      <c r="KW25" s="606">
        <f>IFERROR(AVERAGE($FC25:GH25),"")</f>
        <v>0.62109117424605531</v>
      </c>
      <c r="KX25" s="606">
        <f>IFERROR(AVERAGE($FC25:GI25),"")</f>
        <v>0.61695985282864385</v>
      </c>
      <c r="KY25" s="606">
        <f>IFERROR(AVERAGE($FC25:GJ25),"")</f>
        <v>0.61502747817813042</v>
      </c>
      <c r="KZ25" s="606">
        <f>IFERROR(AVERAGE($FC25:GK25),"")</f>
        <v>0.61736327130361024</v>
      </c>
      <c r="LA25" s="606">
        <f>IFERROR(AVERAGE($FC25:GL25),"")</f>
        <v>0.62152883197313114</v>
      </c>
      <c r="LB25" s="606">
        <f>IFERROR(AVERAGE($FC25:GM25),"")</f>
        <v>0.62258565519846387</v>
      </c>
      <c r="LC25" s="606">
        <f>IFERROR(AVERAGE($FC25:GN25),"")</f>
        <v>0.61622109084697962</v>
      </c>
      <c r="LD25" s="606">
        <f>IFERROR(AVERAGE($FC25:GO25),"")</f>
        <v>0.61518693258582424</v>
      </c>
      <c r="LE25" s="606">
        <f>IFERROR(AVERAGE($FC25:GP25),"")</f>
        <v>0.62505393431439293</v>
      </c>
      <c r="LF25" s="606">
        <f>IFERROR(AVERAGE($FC25:GQ25),"")</f>
        <v>0.63442758595653304</v>
      </c>
      <c r="LG25" s="606">
        <f>IFERROR(AVERAGE($FC25:GR25),"")</f>
        <v>0.64334398629905665</v>
      </c>
      <c r="LH25" s="606">
        <f>IFERROR(AVERAGE($FC25:GS25),"")</f>
        <v>0.64334398629905665</v>
      </c>
      <c r="LI25" s="606">
        <f>IFERROR(AVERAGE($FC25:GT25),"")</f>
        <v>0.64334398629905665</v>
      </c>
      <c r="LJ25" s="606">
        <f>IFERROR(AVERAGE($FC25:GU25),"")</f>
        <v>0.64334398629905665</v>
      </c>
      <c r="LK25" s="606">
        <f>IFERROR(AVERAGE($FC25:GV25),"")</f>
        <v>0.64334398629905665</v>
      </c>
      <c r="LL25" s="606">
        <f>IFERROR(AVERAGE($FC25:GW25),"")</f>
        <v>0.64334398629905665</v>
      </c>
      <c r="LM25" s="606">
        <f>IFERROR(AVERAGE($FC25:GX25),"")</f>
        <v>0.64334398629905665</v>
      </c>
      <c r="LN25" s="606">
        <f>IFERROR(AVERAGE($FC25:GY25),"")</f>
        <v>0.64334398629905665</v>
      </c>
      <c r="LO25" s="606">
        <f>IFERROR(AVERAGE($FC25:GZ25),"")</f>
        <v>0.64334398629905665</v>
      </c>
      <c r="LP25" s="606">
        <f>IFERROR(AVERAGE($FC25:HA25),"")</f>
        <v>0.64334398629905665</v>
      </c>
      <c r="LQ25" s="606">
        <f>IFERROR(AVERAGE($FC25:HB25),"")</f>
        <v>0.64334398629905665</v>
      </c>
      <c r="LR25" s="606">
        <f>IFERROR(AVERAGE($FC25:HC25),"")</f>
        <v>0.64334398629905665</v>
      </c>
      <c r="LT25" s="136" t="str">
        <f>+$C25</f>
        <v>KPI D1</v>
      </c>
      <c r="LU25" s="144" t="str">
        <f>+$D25</f>
        <v>Delivery</v>
      </c>
      <c r="LV25" s="144" t="str">
        <f t="shared" si="69"/>
        <v>Order Cleansing On Target / In Full (OTIF) days to complete</v>
      </c>
      <c r="LW25" s="145" t="str">
        <f t="shared" si="70"/>
        <v>Percentage</v>
      </c>
      <c r="LX25" s="145" t="s">
        <v>285</v>
      </c>
      <c r="LY25" s="606" t="str">
        <f>IFERROR(AVERAGE($HJ25:HJ25),"")</f>
        <v/>
      </c>
      <c r="LZ25" s="606">
        <f>IFERROR(IF(LAD$7&gt;$D$3,"",AVERAGE($HJ25:HK25)),"")</f>
        <v>0.95</v>
      </c>
      <c r="MA25" s="606">
        <f>IFERROR(IF(MA$7&gt;$D$3,"",AVERAGE($HJ25:HL25)),"")</f>
        <v>0.95</v>
      </c>
      <c r="MB25" s="606">
        <f>IFERROR(IF(MB$7&gt;$D$3,"",AVERAGE($HJ25:HM25)),"")</f>
        <v>0.94999999999999984</v>
      </c>
      <c r="MC25" s="606">
        <f>IFERROR(IF(MC$7&gt;$D$3,"",AVERAGE($HJ25:HN25)),"")</f>
        <v>0.95</v>
      </c>
      <c r="MD25" s="606">
        <f>IFERROR(IF(MD$7&gt;$D$3,"",AVERAGE($HJ25:HO25)),"")</f>
        <v>0.95</v>
      </c>
      <c r="ME25" s="606">
        <f>IFERROR(IF(ME$7&gt;$D$3,"",AVERAGE($HJ25:HP25)),"")</f>
        <v>0.95000000000000007</v>
      </c>
      <c r="MF25" s="606">
        <f>IFERROR(IF(MF$7&gt;$D$3,"",AVERAGE($HJ25:HQ25)),"")</f>
        <v>0.95000000000000007</v>
      </c>
      <c r="MG25" s="606">
        <f>IFERROR(IF(MG$7&gt;$D$3,"",AVERAGE($HJ25:HR25)),"")</f>
        <v>0.95000000000000007</v>
      </c>
      <c r="MH25" s="606">
        <f>IFERROR(IF(MH$7&gt;$D$3,"",AVERAGE($HJ25:HS25)),"")</f>
        <v>0.95000000000000007</v>
      </c>
      <c r="MI25" s="606">
        <f>IFERROR(IF(MI$7&gt;$D$3,"",AVERAGE($HJ25:HT25)),"")</f>
        <v>0.95</v>
      </c>
      <c r="MJ25" s="606">
        <f>IFERROR(IF(MJ$7&gt;$D$3,"",AVERAGE($HJ25:HU25)),"")</f>
        <v>0.95</v>
      </c>
      <c r="MK25" s="606">
        <f>IFERROR(IF(MK$7&gt;$D$3,"",AVERAGE($HJ25:HV25)),"")</f>
        <v>0.94999999999999984</v>
      </c>
      <c r="ML25" s="606">
        <f>IFERROR(IF(ML$7&gt;$D$3,"",AVERAGE($HJ25:HW25)),"")</f>
        <v>0.94999999999999984</v>
      </c>
      <c r="MM25" s="606">
        <f>IFERROR(IF(MM$7&gt;$D$3,"",AVERAGE($HJ25:HX25)),"")</f>
        <v>0.94999999999999984</v>
      </c>
      <c r="MN25" s="606">
        <f>IFERROR(IF(MN$7&gt;$D$3,"",AVERAGE($HJ25:HY25)),"")</f>
        <v>0.94999999999999973</v>
      </c>
      <c r="MO25" s="606">
        <f>IFERROR(IF(MO$7&gt;$D$3,"",AVERAGE($HJ25:HZ25)),"")</f>
        <v>0.94999999999999973</v>
      </c>
      <c r="MP25" s="606">
        <f>IFERROR(IF(MP$7&gt;$D$3,"",AVERAGE($HJ25:IA25)),"")</f>
        <v>0.94999999999999973</v>
      </c>
      <c r="MQ25" s="606">
        <f>IFERROR(IF(MQ$7&gt;$D$3,"",AVERAGE($HJ25:IB25)),"")</f>
        <v>0.94999999999999973</v>
      </c>
      <c r="MR25" s="606">
        <f>IFERROR(IF(MR$7&gt;$D$3,"",AVERAGE($HJ25:IC25)),"")</f>
        <v>0.94999999999999962</v>
      </c>
      <c r="MS25" s="606">
        <f>IFERROR(IF(MS$7&gt;$D$3,"",AVERAGE($HJ25:ID25)),"")</f>
        <v>0.94999999999999962</v>
      </c>
      <c r="MT25" s="606">
        <f>IFERROR(IF(MT$7&gt;$D$3,"",AVERAGE($HJ25:IE25)),"")</f>
        <v>0.94999999999999962</v>
      </c>
      <c r="MU25" s="606">
        <f>IFERROR(IF(MU$7&gt;$D$3,"",AVERAGE($HJ25:IF25)),"")</f>
        <v>0.94999999999999962</v>
      </c>
      <c r="MV25" s="606">
        <f>IFERROR(IF(MV$7&gt;$D$3,"",AVERAGE($HJ25:IG25)),"")</f>
        <v>0.94999999999999962</v>
      </c>
      <c r="MW25" s="606">
        <f>IFERROR(IF(MW$7&gt;$D$3,"",AVERAGE($HJ25:IH25)),"")</f>
        <v>0.94999999999999962</v>
      </c>
      <c r="MX25" s="606">
        <f>IFERROR(IF(MX$7&gt;$D$3,"",AVERAGE($HJ25:II25)),"")</f>
        <v>0.94999999999999962</v>
      </c>
      <c r="MY25" s="606">
        <f>IFERROR(IF(MY$7&gt;$D$3,"",AVERAGE($HJ25:IJ25)),"")</f>
        <v>0.94999999999999951</v>
      </c>
      <c r="MZ25" s="606">
        <f>IFERROR(IF(MZ$7&gt;$D$3,"",AVERAGE($HJ25:IK25)),"")</f>
        <v>0.94999999999999951</v>
      </c>
      <c r="NA25" s="606">
        <f>IFERROR(IF(NA$7&gt;$D$3,"",AVERAGE($HJ25:IL25)),"")</f>
        <v>0.94999999999999951</v>
      </c>
      <c r="NB25" s="606">
        <f>IFERROR(IF(NB$7&gt;$D$3,"",AVERAGE($HJ25:IM25)),"")</f>
        <v>0.94999999999999951</v>
      </c>
      <c r="NC25" s="606">
        <f>IFERROR(IF(NC$7&gt;$D$3,"",AVERAGE($HJ25:IN25)),"")</f>
        <v>0.94999999999999951</v>
      </c>
      <c r="ND25" s="606">
        <f>IFERROR(IF(ND$7&gt;$D$3,"",AVERAGE($HJ25:IO25)),"")</f>
        <v>0.94999999999999951</v>
      </c>
      <c r="NE25" s="606">
        <f>IFERROR(IF(NE$7&gt;$D$3,"",AVERAGE($HJ25:IP25)),"")</f>
        <v>0.94999999999999951</v>
      </c>
      <c r="NF25" s="606">
        <f>IFERROR(IF(NF$7&gt;$D$3,"",AVERAGE($HJ25:IQ25)),"")</f>
        <v>0.94999999999999951</v>
      </c>
      <c r="NG25" s="606">
        <f>IFERROR(IF(NG$7&gt;$D$3,"",AVERAGE($HJ25:IR25)),"")</f>
        <v>0.94999999999999951</v>
      </c>
      <c r="NH25" s="606">
        <f>IFERROR(IF(NH$7&gt;$D$3,"",AVERAGE($HJ25:IS25)),"")</f>
        <v>0.94999999999999962</v>
      </c>
      <c r="NI25" s="606">
        <f>IFERROR(IF(NI$7&gt;$D$3,"",AVERAGE($HJ25:IT25)),"")</f>
        <v>0.94999999999999973</v>
      </c>
      <c r="NJ25" s="606">
        <f>IFERROR(IF(NJ$7&gt;$D$3,"",AVERAGE($HJ25:IU25)),"")</f>
        <v>0.94999999999999973</v>
      </c>
      <c r="NK25" s="606">
        <f>IFERROR(IF(NK$7&gt;$D$3,"",AVERAGE($HJ25:IV25)),"")</f>
        <v>0.94999999999999984</v>
      </c>
      <c r="NL25" s="606">
        <f>IFERROR(IF(NL$7&gt;$D$3,"",AVERAGE($HJ25:IW25)),"")</f>
        <v>0.95</v>
      </c>
      <c r="NM25" s="606">
        <f>IFERROR(IF(NM$7&gt;$D$3,"",AVERAGE($HJ25:IX25)),"")</f>
        <v>0.95</v>
      </c>
      <c r="NN25" s="606">
        <f>IFERROR(IF(NN$7&gt;$D$3,"",AVERAGE($HJ25:IY25)),"")</f>
        <v>0.95000000000000007</v>
      </c>
      <c r="NO25" s="606" t="str">
        <f>IFERROR(IF(NO$7&gt;$D$3,"",AVERAGE($HJ25:IZ25)),"")</f>
        <v/>
      </c>
      <c r="NP25" s="606" t="str">
        <f>IFERROR(IF(NP$7&gt;$D$3,"",AVERAGE($HJ25:JA25)),"")</f>
        <v/>
      </c>
      <c r="NQ25" s="606" t="str">
        <f>IFERROR(IF(NQ$7&gt;$D$3,"",AVERAGE($HJ25:JB25)),"")</f>
        <v/>
      </c>
      <c r="NR25" s="606" t="str">
        <f>IFERROR(IF(NR$7&gt;$D$3,"",AVERAGE($HJ25:JC25)),"")</f>
        <v/>
      </c>
      <c r="NS25" s="606" t="str">
        <f>IFERROR(IF(NS$7&gt;$D$3,"",AVERAGE($HJ25:JD25)),"")</f>
        <v/>
      </c>
      <c r="NT25" s="606" t="str">
        <f>IFERROR(IF(NT$7&gt;$D$3,"",AVERAGE($HJ25:JE25)),"")</f>
        <v/>
      </c>
      <c r="NU25" s="606" t="str">
        <f>IFERROR(IF(NU$7&gt;$D$3,"",AVERAGE($HJ25:JF25)),"")</f>
        <v/>
      </c>
      <c r="NV25" s="606" t="str">
        <f>IFERROR(IF(NV$7&gt;$D$3,"",AVERAGE($HJ25:JG25)),"")</f>
        <v/>
      </c>
      <c r="NW25" s="606" t="str">
        <f>IFERROR(IF(NW$7&gt;$D$3,"",AVERAGE($HJ25:JH25)),"")</f>
        <v/>
      </c>
      <c r="NX25" s="606" t="str">
        <f>IFERROR(IF(NX$7&gt;$D$3,"",AVERAGE($HJ25:JI25)),"")</f>
        <v/>
      </c>
      <c r="NY25" s="606" t="str">
        <f>IFERROR(IF(NY$7&gt;$D$3,"",AVERAGE($HJ25:JJ25)),"")</f>
        <v/>
      </c>
    </row>
    <row r="26" spans="1:389" x14ac:dyDescent="0.3">
      <c r="A26" t="str">
        <f>$B$23&amp;"-"&amp;C26</f>
        <v>SOP-KPI D2</v>
      </c>
      <c r="B26" s="918"/>
      <c r="C26" s="136" t="str">
        <f>+'KPI Stats'!C25</f>
        <v>KPI D2</v>
      </c>
      <c r="D26" s="144" t="str">
        <f>+'KPI Stats'!D25</f>
        <v>Delivery</v>
      </c>
      <c r="E26" s="144" t="str">
        <f>+'KPI Stats'!E25</f>
        <v>Order Sign off On Target / In Full (OTIF) days to complete</v>
      </c>
      <c r="F26" s="145" t="str">
        <f>+'KPI Stats'!F25</f>
        <v>Percentage</v>
      </c>
      <c r="G26" s="169" t="str">
        <f>+'KPI Stats'!G25</f>
        <v>Under</v>
      </c>
      <c r="J26" s="69" t="str">
        <f>_xlfn.XLOOKUP(J$7,$AM$7:$CM$7,$AM26:$CM26,,FALSE)</f>
        <v>G</v>
      </c>
      <c r="K26" s="264">
        <f>_xlfn.XLOOKUP(K$7,$FC$7:$HC$7,$FC26:$HC26,,FALSE)</f>
        <v>1</v>
      </c>
      <c r="L26" s="278">
        <f>_xlfn.XLOOKUP(L$7,$HJ$7:$JJ$7,$HJ26:$JJ26,,FALSE)</f>
        <v>0.95</v>
      </c>
      <c r="M26" s="272">
        <f>_xlfn.XLOOKUP(M$7,$CU$7:$EU$7,$CU26:$EU26,,FALSE)</f>
        <v>1.0526315789473684</v>
      </c>
      <c r="P26" s="69" t="str">
        <f>_xlfn.XLOOKUP(P$7,$AM$7:$CM$7,$AM26:$CM26,,FALSE)</f>
        <v>G</v>
      </c>
      <c r="Q26" s="264">
        <f t="shared" si="73"/>
        <v>1</v>
      </c>
      <c r="R26" s="278">
        <f t="shared" si="73"/>
        <v>0.875</v>
      </c>
      <c r="S26" s="288">
        <f t="shared" si="74"/>
        <v>1.0526315789473684</v>
      </c>
      <c r="T26" s="265">
        <f t="shared" si="74"/>
        <v>0.92105263157894746</v>
      </c>
      <c r="U26" s="295" t="str">
        <f>IF(F24&lt;$R$2,"Not Complete",IF(Q26=R26,"Same −",IF($G26="Over",IF(Q26&lt;R26,"Better ↑","Worse ↓"),IF($G26="Under",IF(Q26&gt;R26,"Better ↑","Worse ↓"),"err"))))</f>
        <v>Better ↑</v>
      </c>
      <c r="X26" s="69" t="str">
        <f t="shared" ref="X26" si="78">IF(Y26="","",IF(Y26="Blank","",IF(AND(G26="above zero",Y26&gt;0),"R",IF(AA26&gt;1,"G",IF(AA26&gt;0.95,"A","R")))))</f>
        <v>R</v>
      </c>
      <c r="Y26" s="264">
        <f>_xlfn.XLOOKUP(Y$7,$JR$7:$LR$7,$JR26:$LR26,FALSE)</f>
        <v>0.75396154714143815</v>
      </c>
      <c r="Z26" s="278">
        <f>_xlfn.XLOOKUP(Z$7,$LY$7:$NY$7,$LY26:$NY26,FALSE)</f>
        <v>0.95000000000000007</v>
      </c>
      <c r="AA26" s="275">
        <f>IFERROR(IF(G26="under",Y26/Z26,IF(G26="Over",Z26/Y26,"")),"")</f>
        <v>0.79364373383309272</v>
      </c>
      <c r="AB26" s="295" t="str">
        <f>IF(F24&lt;$R$2,"TBC",IF(Y26=Z26,"Same −",IF($G26="Over",IF(Z26&lt;Y26,"Better ↑ ","Worse ↓ "),IF($G26="Under",IF(Y26&gt;Z26,"Better ↑ ","Worse ↓ "),"err"))))</f>
        <v xml:space="preserve">Worse ↓ </v>
      </c>
      <c r="AC26" s="69" t="str">
        <f>IF(AND(G26="above adero",AD26&gt;0),"R",IF(AF26&gt;1,"G",IF(AF26&gt;0.95,"A","R")))</f>
        <v>R</v>
      </c>
      <c r="AD26" s="264">
        <f>_xlfn.XLOOKUP(AD$7,$JR$7:$LR$7,$JR26:$LR26,FALSE)</f>
        <v>0.74781058581997406</v>
      </c>
      <c r="AE26" s="278">
        <f>_xlfn.XLOOKUP(AE$7,$LY$7:$NY$7,$LY26:$NY26,FALSE)</f>
        <v>0.95</v>
      </c>
      <c r="AF26" s="275">
        <f>IFERROR(IF(G26="under",AD26/AE26,IF(G26="Over",AE26/AD26,"")),"")</f>
        <v>0.78716903770523594</v>
      </c>
      <c r="AH26" s="465" t="str">
        <f>+$A26</f>
        <v>SOP-KPI D2</v>
      </c>
      <c r="AI26" s="136" t="str">
        <f t="shared" ref="AI26" si="79">+C26</f>
        <v>KPI D2</v>
      </c>
      <c r="AJ26" s="144" t="str">
        <f t="shared" ref="AJ26" si="80">+D26</f>
        <v>Delivery</v>
      </c>
      <c r="AK26" s="144" t="str">
        <f t="shared" ref="AK26" si="81">+E26</f>
        <v>Order Sign off On Target / In Full (OTIF) days to complete</v>
      </c>
      <c r="AL26" s="145" t="str">
        <f t="shared" ref="AL26" si="82">+F26</f>
        <v>Percentage</v>
      </c>
      <c r="AM26" s="69" t="str">
        <f>IF(AM$7&gt;$D$3,"",_xlfn.XLOOKUP(AM$7,SOP!$M$6:$BM$6,SOP!$M$16:$BM$16))</f>
        <v>Blank</v>
      </c>
      <c r="AN26" s="199" t="str">
        <f>IF(AN$7&gt;$D$3,"",_xlfn.XLOOKUP(AN$7,SOP!$M$6:$BM$6,SOP!$M$16:$BM$16))</f>
        <v>R</v>
      </c>
      <c r="AO26" s="69" t="str">
        <f>IF(AO$7&gt;$D$3,"",_xlfn.XLOOKUP(AO$7,SOP!$M$6:$BM$6,SOP!$M$16:$BM$16))</f>
        <v>R</v>
      </c>
      <c r="AP26" s="69" t="str">
        <f>IF(AP$7&gt;$D$3,"",_xlfn.XLOOKUP(AP$7,SOP!$M$6:$BM$6,SOP!$M$16:$BM$16))</f>
        <v>R</v>
      </c>
      <c r="AQ26" s="69" t="str">
        <f>IF(AQ$7&gt;$D$3,"",_xlfn.XLOOKUP(AQ$7,SOP!$M$6:$BM$6,SOP!$M$16:$BM$16))</f>
        <v>A</v>
      </c>
      <c r="AR26" s="69" t="str">
        <f>IF(AR$7&gt;$D$3,"",_xlfn.XLOOKUP(AR$7,SOP!$M$6:$BM$6,SOP!$M$16:$BM$16))</f>
        <v>R</v>
      </c>
      <c r="AS26" s="69" t="str">
        <f>IF(AS$7&gt;$D$3,"",_xlfn.XLOOKUP(AS$7,SOP!$M$6:$BM$6,SOP!$M$16:$BM$16))</f>
        <v>R</v>
      </c>
      <c r="AT26" s="69" t="str">
        <f>IF(AT$7&gt;$D$3,"",_xlfn.XLOOKUP(AT$7,SOP!$M$6:$BM$6,SOP!$M$16:$BM$16))</f>
        <v>R</v>
      </c>
      <c r="AU26" s="69" t="str">
        <f>IF(AU$7&gt;$D$3,"",_xlfn.XLOOKUP(AU$7,SOP!$M$6:$BM$6,SOP!$M$16:$BM$16))</f>
        <v>R</v>
      </c>
      <c r="AV26" s="69" t="str">
        <f>IF(AV$7&gt;$D$3,"",_xlfn.XLOOKUP(AV$7,SOP!$M$6:$BM$6,SOP!$M$16:$BM$16))</f>
        <v>R</v>
      </c>
      <c r="AW26" s="69" t="str">
        <f>IF(AW$7&gt;$D$3,"",_xlfn.XLOOKUP(AW$7,SOP!$M$6:$BM$6,SOP!$M$16:$BM$16))</f>
        <v>R</v>
      </c>
      <c r="AX26" s="69" t="str">
        <f>IF(AX$7&gt;$D$3,"",_xlfn.XLOOKUP(AX$7,SOP!$M$6:$BM$6,SOP!$M$16:$BM$16))</f>
        <v>R</v>
      </c>
      <c r="AY26" s="69" t="str">
        <f>IF(AY$7&gt;$D$3,"",_xlfn.XLOOKUP(AY$7,SOP!$M$6:$BM$6,SOP!$M$16:$BM$16))</f>
        <v>R</v>
      </c>
      <c r="AZ26" s="69" t="str">
        <f>IF(AZ$7&gt;$D$3,"",_xlfn.XLOOKUP(AZ$7,SOP!$M$6:$BM$6,SOP!$M$16:$BM$16))</f>
        <v>R</v>
      </c>
      <c r="BA26" s="69" t="str">
        <f>IF(BA$7&gt;$D$3,"",_xlfn.XLOOKUP(BA$7,SOP!$M$6:$BM$6,SOP!$M$16:$BM$16))</f>
        <v>R</v>
      </c>
      <c r="BB26" s="69" t="str">
        <f>IF(BB$7&gt;$D$3,"",_xlfn.XLOOKUP(BB$7,SOP!$M$6:$BM$6,SOP!$M$16:$BM$16))</f>
        <v>R</v>
      </c>
      <c r="BC26" s="69" t="str">
        <f>IF(BC$7&gt;$D$3,"",_xlfn.XLOOKUP(BC$7,SOP!$M$6:$BM$6,SOP!$M$16:$BM$16))</f>
        <v>R</v>
      </c>
      <c r="BD26" s="69" t="str">
        <f>IF(BD$7&gt;$D$3,"",_xlfn.XLOOKUP(BD$7,SOP!$M$6:$BM$6,SOP!$M$16:$BM$16))</f>
        <v>R</v>
      </c>
      <c r="BE26" s="69" t="str">
        <f>IF(BE$7&gt;$D$3,"",_xlfn.XLOOKUP(BE$7,SOP!$M$6:$BM$6,SOP!$M$16:$BM$16))</f>
        <v>R</v>
      </c>
      <c r="BF26" s="69" t="str">
        <f>IF(BF$7&gt;$D$3,"",_xlfn.XLOOKUP(BF$7,SOP!$M$6:$BM$6,SOP!$M$16:$BM$16))</f>
        <v>R</v>
      </c>
      <c r="BG26" s="69" t="str">
        <f>IF(BG$7&gt;$D$3,"",_xlfn.XLOOKUP(BG$7,SOP!$M$6:$BM$6,SOP!$M$16:$BM$16))</f>
        <v>R</v>
      </c>
      <c r="BH26" s="69" t="str">
        <f>IF(BH$7&gt;$D$3,"",_xlfn.XLOOKUP(BH$7,SOP!$M$6:$BM$6,SOP!$M$16:$BM$16))</f>
        <v>R</v>
      </c>
      <c r="BI26" s="69" t="str">
        <f>IF(BI$7&gt;$D$3,"",_xlfn.XLOOKUP(BI$7,SOP!$M$6:$BM$6,SOP!$M$16:$BM$16))</f>
        <v>R</v>
      </c>
      <c r="BJ26" s="69" t="str">
        <f>IF(BJ$7&gt;$D$3,"",_xlfn.XLOOKUP(BJ$7,SOP!$M$6:$BM$6,SOP!$M$16:$BM$16))</f>
        <v>R</v>
      </c>
      <c r="BK26" s="69" t="str">
        <f>IF(BK$7&gt;$D$3,"",_xlfn.XLOOKUP(BK$7,SOP!$M$6:$BM$6,SOP!$M$16:$BM$16))</f>
        <v>R</v>
      </c>
      <c r="BL26" s="69" t="str">
        <f>IF(BL$7&gt;$D$3,"",_xlfn.XLOOKUP(BL$7,SOP!$M$6:$BM$6,SOP!$M$16:$BM$16))</f>
        <v>R</v>
      </c>
      <c r="BM26" s="69" t="str">
        <f>IF(BM$7&gt;$D$3,"",_xlfn.XLOOKUP(BM$7,SOP!$M$6:$BM$6,SOP!$M$16:$BM$16))</f>
        <v>R</v>
      </c>
      <c r="BN26" s="69" t="str">
        <f>IF(BN$7&gt;$D$3,"",_xlfn.XLOOKUP(BN$7,SOP!$M$6:$BM$6,SOP!$M$16:$BM$16))</f>
        <v>R</v>
      </c>
      <c r="BO26" s="69" t="str">
        <f>IF(BO$7&gt;$D$3,"",_xlfn.XLOOKUP(BO$7,SOP!$M$6:$BM$6,SOP!$M$16:$BM$16))</f>
        <v>R</v>
      </c>
      <c r="BP26" s="69" t="str">
        <f>IF(BP$7&gt;$D$3,"",_xlfn.XLOOKUP(BP$7,SOP!$M$6:$BM$6,SOP!$M$16:$BM$16))</f>
        <v>R</v>
      </c>
      <c r="BQ26" s="69" t="str">
        <f>IF(BQ$7&gt;$D$3,"",_xlfn.XLOOKUP(BQ$7,SOP!$M$6:$BM$6,SOP!$M$16:$BM$16))</f>
        <v>R</v>
      </c>
      <c r="BR26" s="69" t="str">
        <f>IF(BR$7&gt;$D$3,"",_xlfn.XLOOKUP(BR$7,SOP!$M$6:$BM$6,SOP!$M$16:$BM$16))</f>
        <v>R</v>
      </c>
      <c r="BS26" s="69" t="str">
        <f>IF(BS$7&gt;$D$3,"",_xlfn.XLOOKUP(BS$7,SOP!$M$6:$BM$6,SOP!$M$16:$BM$16))</f>
        <v>R</v>
      </c>
      <c r="BT26" s="69" t="str">
        <f>IF(BT$7&gt;$D$3,"",_xlfn.XLOOKUP(BT$7,SOP!$M$6:$BM$6,SOP!$M$16:$BM$16))</f>
        <v>R</v>
      </c>
      <c r="BU26" s="69" t="str">
        <f>IF(BU$7&gt;$D$3,"",_xlfn.XLOOKUP(BU$7,SOP!$M$6:$BM$6,SOP!$M$16:$BM$16))</f>
        <v>R</v>
      </c>
      <c r="BV26" s="69" t="str">
        <f>IF(BV$7&gt;$D$3,"",_xlfn.XLOOKUP(BV$7,SOP!$M$6:$BM$6,SOP!$M$16:$BM$16))</f>
        <v>R</v>
      </c>
      <c r="BW26" s="69" t="str">
        <f>IF(BW$7&gt;$D$3,"",_xlfn.XLOOKUP(BW$7,SOP!$M$6:$BM$6,SOP!$M$16:$BM$16))</f>
        <v>R</v>
      </c>
      <c r="BX26" s="69" t="str">
        <f>IF(BX$7&gt;$D$3,"",_xlfn.XLOOKUP(BX$7,SOP!$M$6:$BM$6,SOP!$M$16:$BM$16))</f>
        <v>R</v>
      </c>
      <c r="BY26" s="69" t="str">
        <f>IF(BY$7&gt;$D$3,"",_xlfn.XLOOKUP(BY$7,SOP!$M$6:$BM$6,SOP!$M$16:$BM$16))</f>
        <v>R</v>
      </c>
      <c r="BZ26" s="69" t="str">
        <f>IF(BZ$7&gt;$D$3,"",_xlfn.XLOOKUP(BZ$7,SOP!$M$6:$BM$6,SOP!$M$16:$BM$16))</f>
        <v>A</v>
      </c>
      <c r="CA26" s="69" t="str">
        <f>IF(CA$7&gt;$D$3,"",_xlfn.XLOOKUP(CA$7,SOP!$M$6:$BM$6,SOP!$M$16:$BM$16))</f>
        <v>R</v>
      </c>
      <c r="CB26" s="69" t="str">
        <f>IF(CB$7&gt;$D$3,"",_xlfn.XLOOKUP(CB$7,SOP!$M$6:$BM$6,SOP!$M$16:$BM$16))</f>
        <v>G</v>
      </c>
      <c r="CC26" s="69" t="str">
        <f>IF(CC$7&gt;$D$3,"",_xlfn.XLOOKUP(CC$7,SOP!$M$6:$BM$6,SOP!$M$16:$BM$16))</f>
        <v/>
      </c>
      <c r="CD26" s="69" t="str">
        <f>IF(CD$7&gt;$D$3,"",_xlfn.XLOOKUP(CD$7,SOP!$M$6:$BM$6,SOP!$M$16:$BM$16))</f>
        <v/>
      </c>
      <c r="CE26" s="69" t="str">
        <f>IF(CE$7&gt;$D$3,"",_xlfn.XLOOKUP(CE$7,SOP!$M$6:$BM$6,SOP!$M$16:$BM$16))</f>
        <v/>
      </c>
      <c r="CF26" s="69" t="str">
        <f>IF(CF$7&gt;$D$3,"",_xlfn.XLOOKUP(CF$7,SOP!$M$6:$BM$6,SOP!$M$16:$BM$16))</f>
        <v/>
      </c>
      <c r="CG26" s="69" t="str">
        <f>IF(CG$7&gt;$D$3,"",_xlfn.XLOOKUP(CG$7,SOP!$M$6:$BM$6,SOP!$M$16:$BM$16))</f>
        <v/>
      </c>
      <c r="CH26" s="69" t="str">
        <f>IF(CH$7&gt;$D$3,"",_xlfn.XLOOKUP(CH$7,SOP!$M$6:$BM$6,SOP!$M$16:$BM$16))</f>
        <v/>
      </c>
      <c r="CI26" s="69" t="str">
        <f>IF(CI$7&gt;$D$3,"",_xlfn.XLOOKUP(CI$7,SOP!$M$6:$BM$6,SOP!$M$16:$BM$16))</f>
        <v/>
      </c>
      <c r="CJ26" s="69" t="str">
        <f>IF(CJ$7&gt;$D$3,"",_xlfn.XLOOKUP(CJ$7,SOP!$M$6:$BM$6,SOP!$M$16:$BM$16))</f>
        <v/>
      </c>
      <c r="CK26" s="69" t="str">
        <f>IF(CK$7&gt;$D$3,"",_xlfn.XLOOKUP(CK$7,SOP!$M$6:$BM$6,SOP!$M$16:$BM$16))</f>
        <v/>
      </c>
      <c r="CL26" s="69" t="str">
        <f>IF(CL$7&gt;$D$3,"",_xlfn.XLOOKUP(CL$7,SOP!$M$6:$BM$6,SOP!$M$16:$BM$16))</f>
        <v/>
      </c>
      <c r="CM26" s="69" t="str">
        <f>IF(CM$7&gt;$D$3,"",_xlfn.XLOOKUP(CM$7,SOP!$M$6:$BM$6,SOP!$M$16:$BM$16))</f>
        <v/>
      </c>
      <c r="CO26" s="465" t="str">
        <f>+$A26</f>
        <v>SOP-KPI D2</v>
      </c>
      <c r="CP26" s="136" t="str">
        <f t="shared" ref="CP26" si="83">+C26</f>
        <v>KPI D2</v>
      </c>
      <c r="CQ26" s="144" t="str">
        <f t="shared" ref="CQ26" si="84">+D26</f>
        <v>Delivery</v>
      </c>
      <c r="CR26" s="144" t="str">
        <f t="shared" ref="CR26" si="85">+E26</f>
        <v>Order Sign off On Target / In Full (OTIF) days to complete</v>
      </c>
      <c r="CS26" s="145" t="str">
        <f t="shared" ref="CS26" si="86">+F26</f>
        <v>Percentage</v>
      </c>
      <c r="CT26" s="207" t="s">
        <v>246</v>
      </c>
      <c r="CU26" s="212" t="str">
        <f>IF(CU$7&gt;$D$3,"",IF(AM26="Undefined","Undefined",IF(AM26="Missed","Missed",IF(AM26="Blank","Blank",IF(AM26="OD","OD",IF(AM26="TBC","TBC",_xlfn.XLOOKUP(CU$7,SOP!$M$6:$BM$6,SOP!$M$15:$BM$15)))))))</f>
        <v>Blank</v>
      </c>
      <c r="CV26" s="323" cm="1">
        <f t="array" ref="CV26">IF(CV$7&gt;$D$3,"",IF(AN26="Undefined","Undefined",IF(AN26="Missed","Missed",IF(AN26="Blank","Blank",IF(AN26="OD","OD",IF(AN26="TBC","TBC",_xlfn.XLOOKUP(CV$7,SOP!$M$6:$BM$6,SOP!$M$15:$BM$15/_xlfn.XLOOKUP(CV$7,SOP!$M$6:$BM$6,SOP!$M$14:$BM$14))))))))</f>
        <v>0.91503267973856217</v>
      </c>
      <c r="CW26" s="315" cm="1">
        <f t="array" ref="CW26">IF(CW$7&gt;$D$3,"",IF(AO26="Undefined","Undefined",IF(AO26="Missed","Missed",IF(AO26="Blank","Blank",IF(AO26="OD","OD",IF(AO26="TBC","TBC",_xlfn.XLOOKUP(CW$7,SOP!$M$6:$BM$6,SOP!$M$15:$BM$15/_xlfn.XLOOKUP(CW$7,SOP!$M$6:$BM$6,SOP!$M$14:$BM$14))))))))</f>
        <v>0.92999489013796632</v>
      </c>
      <c r="CX26" s="315" cm="1">
        <f t="array" ref="CX26">IF(CX$7&gt;$D$3,"",IF(AP26="Undefined","Undefined",IF(AP26="Missed","Missed",IF(AP26="Blank","Blank",IF(AP26="OD","OD",IF(AP26="TBC","TBC",_xlfn.XLOOKUP(CX$7,SOP!$M$6:$BM$6,SOP!$M$15:$BM$15/_xlfn.XLOOKUP(CX$7,SOP!$M$6:$BM$6,SOP!$M$14:$BM$14))))))))</f>
        <v>0.88157894736842113</v>
      </c>
      <c r="CY26" s="315" cm="1">
        <f t="array" ref="CY26">IF(CY$7&gt;$D$3,"",IF(AQ26="Undefined","Undefined",IF(AQ26="Missed","Missed",IF(AQ26="Blank","Blank",IF(AQ26="OD","OD",IF(AQ26="TBC","TBC",_xlfn.XLOOKUP(CY$7,SOP!$M$6:$BM$6,SOP!$M$15:$BM$15/_xlfn.XLOOKUP(CY$7,SOP!$M$6:$BM$6,SOP!$M$14:$BM$14))))))))</f>
        <v>0.9610983981693364</v>
      </c>
      <c r="CZ26" s="315" cm="1">
        <f t="array" ref="CZ26">IF(CZ$7&gt;$D$3,"",IF(AR26="Undefined","Undefined",IF(AR26="Missed","Missed",IF(AR26="Blank","Blank",IF(AR26="OD","OD",IF(AR26="TBC","TBC",_xlfn.XLOOKUP(CZ$7,SOP!$M$6:$BM$6,SOP!$M$15:$BM$15/_xlfn.XLOOKUP(CZ$7,SOP!$M$6:$BM$6,SOP!$M$14:$BM$14))))))))</f>
        <v>0.8494921514312096</v>
      </c>
      <c r="DA26" s="315" cm="1">
        <f t="array" ref="DA26">IF(DA$7&gt;$D$3,"",IF(AS26="Undefined","Undefined",IF(AS26="Missed","Missed",IF(AS26="Blank","Blank",IF(AS26="OD","OD",IF(AS26="TBC","TBC",_xlfn.XLOOKUP(DA$7,SOP!$M$6:$BM$6,SOP!$M$15:$BM$15/_xlfn.XLOOKUP(DA$7,SOP!$M$6:$BM$6,SOP!$M$14:$BM$14))))))))</f>
        <v>0.86687306501547989</v>
      </c>
      <c r="DB26" s="315" cm="1">
        <f t="array" ref="DB26">IF(DB$7&gt;$D$3,"",IF(AT26="Undefined","Undefined",IF(AT26="Missed","Missed",IF(AT26="Blank","Blank",IF(AT26="OD","OD",IF(AT26="TBC","TBC",_xlfn.XLOOKUP(DB$7,SOP!$M$6:$BM$6,SOP!$M$15:$BM$15/_xlfn.XLOOKUP(DB$7,SOP!$M$6:$BM$6,SOP!$M$14:$BM$14))))))))</f>
        <v>0.79532163742690065</v>
      </c>
      <c r="DC26" s="315" cm="1">
        <f t="array" ref="DC26">IF(DC$7&gt;$D$3,"",IF(AU26="Undefined","Undefined",IF(AU26="Missed","Missed",IF(AU26="Blank","Blank",IF(AU26="OD","OD",IF(AU26="TBC","TBC",_xlfn.XLOOKUP(DC$7,SOP!$M$6:$BM$6,SOP!$M$15:$BM$15/_xlfn.XLOOKUP(DC$7,SOP!$M$6:$BM$6,SOP!$M$14:$BM$14))))))))</f>
        <v>0.72874493927125505</v>
      </c>
      <c r="DD26" s="315" cm="1">
        <f t="array" ref="DD26">IF(DD$7&gt;$D$3,"",IF(AV26="Undefined","Undefined",IF(AV26="Missed","Missed",IF(AV26="Blank","Blank",IF(AV26="OD","OD",IF(AV26="TBC","TBC",_xlfn.XLOOKUP(DD$7,SOP!$M$6:$BM$6,SOP!$M$15:$BM$15/_xlfn.XLOOKUP(DD$7,SOP!$M$6:$BM$6,SOP!$M$14:$BM$14))))))))</f>
        <v>0.76367389060887514</v>
      </c>
      <c r="DE26" s="315" cm="1">
        <f t="array" ref="DE26">IF(DE$7&gt;$D$3,"",IF(AW26="Undefined","Undefined",IF(AW26="Missed","Missed",IF(AW26="Blank","Blank",IF(AW26="OD","OD",IF(AW26="TBC","TBC",_xlfn.XLOOKUP(DE$7,SOP!$M$6:$BM$6,SOP!$M$15:$BM$15/_xlfn.XLOOKUP(DE$7,SOP!$M$6:$BM$6,SOP!$M$14:$BM$14))))))))</f>
        <v>0.7456140350877194</v>
      </c>
      <c r="DF26" s="315" cm="1">
        <f t="array" ref="DF26">IF(DF$7&gt;$D$3,"",IF(AX26="Undefined","Undefined",IF(AX26="Missed","Missed",IF(AX26="Blank","Blank",IF(AX26="OD","OD",IF(AX26="TBC","TBC",_xlfn.XLOOKUP(DF$7,SOP!$M$6:$BM$6,SOP!$M$15:$BM$15/_xlfn.XLOOKUP(DF$7,SOP!$M$6:$BM$6,SOP!$M$14:$BM$14))))))))</f>
        <v>0.8133971291866029</v>
      </c>
      <c r="DG26" s="315" cm="1">
        <f t="array" ref="DG26">IF(DG$7&gt;$D$3,"",IF(AY26="Undefined","Undefined",IF(AY26="Missed","Missed",IF(AY26="Blank","Blank",IF(AY26="OD","OD",IF(AY26="TBC","TBC",_xlfn.XLOOKUP(DG$7,SOP!$M$6:$BM$6,SOP!$M$15:$BM$15/_xlfn.XLOOKUP(DG$7,SOP!$M$6:$BM$6,SOP!$M$14:$BM$14))))))))</f>
        <v>0.73439412484700128</v>
      </c>
      <c r="DH26" s="315" cm="1">
        <f t="array" ref="DH26">IF(DH$7&gt;$D$3,"",IF(AZ26="Undefined","Undefined",IF(AZ26="Missed","Missed",IF(AZ26="Blank","Blank",IF(AZ26="OD","OD",IF(AZ26="TBC","TBC",_xlfn.XLOOKUP(DH$7,SOP!$M$6:$BM$6,SOP!$M$15:$BM$15/_xlfn.XLOOKUP(DH$7,SOP!$M$6:$BM$6,SOP!$M$14:$BM$14))))))))</f>
        <v>0.76555023923444987</v>
      </c>
      <c r="DI26" s="315" cm="1">
        <f t="array" ref="DI26">IF(DI$7&gt;$D$3,"",IF(BA26="Undefined","Undefined",IF(BA26="Missed","Missed",IF(BA26="Blank","Blank",IF(BA26="OD","OD",IF(BA26="TBC","TBC",_xlfn.XLOOKUP(DI$7,SOP!$M$6:$BM$6,SOP!$M$15:$BM$15/_xlfn.XLOOKUP(DI$7,SOP!$M$6:$BM$6,SOP!$M$14:$BM$14))))))))</f>
        <v>0.82105263157894748</v>
      </c>
      <c r="DJ26" s="315" cm="1">
        <f t="array" ref="DJ26">IF(DJ$7&gt;$D$3,"",IF(BB26="Undefined","Undefined",IF(BB26="Missed","Missed",IF(BB26="Blank","Blank",IF(BB26="OD","OD",IF(BB26="TBC","TBC",_xlfn.XLOOKUP(DJ$7,SOP!$M$6:$BM$6,SOP!$M$15:$BM$15/_xlfn.XLOOKUP(DJ$7,SOP!$M$6:$BM$6,SOP!$M$14:$BM$14))))))))</f>
        <v>0.66165413533834583</v>
      </c>
      <c r="DK26" s="315" cm="1">
        <f t="array" ref="DK26">IF(DK$7&gt;$D$3,"",IF(BC26="Undefined","Undefined",IF(BC26="Missed","Missed",IF(BC26="Blank","Blank",IF(BC26="OD","OD",IF(BC26="TBC","TBC",_xlfn.XLOOKUP(DK$7,SOP!$M$6:$BM$6,SOP!$M$15:$BM$15/_xlfn.XLOOKUP(DK$7,SOP!$M$6:$BM$6,SOP!$M$14:$BM$14))))))))</f>
        <v>0.76923076923076927</v>
      </c>
      <c r="DL26" s="315" cm="1">
        <f t="array" ref="DL26">IF(DL$7&gt;$D$3,"",IF(BD26="Undefined","Undefined",IF(BD26="Missed","Missed",IF(BD26="Blank","Blank",IF(BD26="OD","OD",IF(BD26="TBC","TBC",_xlfn.XLOOKUP(DL$7,SOP!$M$6:$BM$6,SOP!$M$15:$BM$15/_xlfn.XLOOKUP(DL$7,SOP!$M$6:$BM$6,SOP!$M$14:$BM$14))))))))</f>
        <v>0.72646404744255</v>
      </c>
      <c r="DM26" s="315" cm="1">
        <f t="array" ref="DM26">IF(DM$7&gt;$D$3,"",IF(BE26="Undefined","Undefined",IF(BE26="Missed","Missed",IF(BE26="Blank","Blank",IF(BE26="OD","OD",IF(BE26="TBC","TBC",_xlfn.XLOOKUP(DM$7,SOP!$M$6:$BM$6,SOP!$M$15:$BM$15/_xlfn.XLOOKUP(DM$7,SOP!$M$6:$BM$6,SOP!$M$14:$BM$14))))))))</f>
        <v>0.7485380116959065</v>
      </c>
      <c r="DN26" s="315" cm="1">
        <f t="array" ref="DN26">IF(DN$7&gt;$D$3,"",IF(BF26="Undefined","Undefined",IF(BF26="Missed","Missed",IF(BF26="Blank","Blank",IF(BF26="OD","OD",IF(BF26="TBC","TBC",_xlfn.XLOOKUP(DN$7,SOP!$M$6:$BM$6,SOP!$M$15:$BM$15/_xlfn.XLOOKUP(DN$7,SOP!$M$6:$BM$6,SOP!$M$14:$BM$14))))))))</f>
        <v>0.8521303258145364</v>
      </c>
      <c r="DO26" s="315" cm="1">
        <f t="array" ref="DO26">IF(DO$7&gt;$D$3,"",IF(BG26="Undefined","Undefined",IF(BG26="Missed","Missed",IF(BG26="Blank","Blank",IF(BG26="OD","OD",IF(BG26="TBC","TBC",_xlfn.XLOOKUP(DO$7,SOP!$M$6:$BM$6,SOP!$M$15:$BM$15/_xlfn.XLOOKUP(DO$7,SOP!$M$6:$BM$6,SOP!$M$14:$BM$14))))))))</f>
        <v>0.94522019334049412</v>
      </c>
      <c r="DP26" s="315" cm="1">
        <f t="array" ref="DP26">IF(DP$7&gt;$D$3,"",IF(BH26="Undefined","Undefined",IF(BH26="Missed","Missed",IF(BH26="Blank","Blank",IF(BH26="OD","OD",IF(BH26="TBC","TBC",_xlfn.XLOOKUP(DP$7,SOP!$M$6:$BM$6,SOP!$M$15:$BM$15/_xlfn.XLOOKUP(DP$7,SOP!$M$6:$BM$6,SOP!$M$14:$BM$14))))))))</f>
        <v>0.71668533034714443</v>
      </c>
      <c r="DQ26" s="315" cm="1">
        <f t="array" ref="DQ26">IF(DQ$7&gt;$D$3,"",IF(BI26="Undefined","Undefined",IF(BI26="Missed","Missed",IF(BI26="Blank","Blank",IF(BI26="OD","OD",IF(BI26="TBC","TBC",_xlfn.XLOOKUP(DQ$7,SOP!$M$6:$BM$6,SOP!$M$15:$BM$15/_xlfn.XLOOKUP(DQ$7,SOP!$M$6:$BM$6,SOP!$M$14:$BM$14))))))))</f>
        <v>0.73684210526315785</v>
      </c>
      <c r="DR26" s="315" cm="1">
        <f t="array" ref="DR26">IF(DR$7&gt;$D$3,"",IF(BJ26="Undefined","Undefined",IF(BJ26="Missed","Missed",IF(BJ26="Blank","Blank",IF(BJ26="OD","OD",IF(BJ26="TBC","TBC",_xlfn.XLOOKUP(DR$7,SOP!$M$6:$BM$6,SOP!$M$15:$BM$15/_xlfn.XLOOKUP(DR$7,SOP!$M$6:$BM$6,SOP!$M$14:$BM$14))))))))</f>
        <v>0.80382775119617234</v>
      </c>
      <c r="DS26" s="315" cm="1">
        <f t="array" ref="DS26">IF(DS$7&gt;$D$3,"",IF(BK26="Undefined","Undefined",IF(BK26="Missed","Missed",IF(BK26="Blank","Blank",IF(BK26="OD","OD",IF(BK26="TBC","TBC",_xlfn.XLOOKUP(DS$7,SOP!$M$6:$BM$6,SOP!$M$15:$BM$15/_xlfn.XLOOKUP(DS$7,SOP!$M$6:$BM$6,SOP!$M$14:$BM$14))))))))</f>
        <v>0.71770334928229662</v>
      </c>
      <c r="DT26" s="315" cm="1">
        <f t="array" ref="DT26">IF(DT$7&gt;$D$3,"",IF(BL26="Undefined","Undefined",IF(BL26="Missed","Missed",IF(BL26="Blank","Blank",IF(BL26="OD","OD",IF(BL26="TBC","TBC",_xlfn.XLOOKUP(DT$7,SOP!$M$6:$BM$6,SOP!$M$15:$BM$15/_xlfn.XLOOKUP(DT$7,SOP!$M$6:$BM$6,SOP!$M$14:$BM$14))))))))</f>
        <v>0.74013157894736847</v>
      </c>
      <c r="DU26" s="315" cm="1">
        <f t="array" ref="DU26">IF(DU$7&gt;$D$3,"",IF(BM26="Undefined","Undefined",IF(BM26="Missed","Missed",IF(BM26="Blank","Blank",IF(BM26="OD","OD",IF(BM26="TBC","TBC",_xlfn.XLOOKUP(DU$7,SOP!$M$6:$BM$6,SOP!$M$15:$BM$15/_xlfn.XLOOKUP(DU$7,SOP!$M$6:$BM$6,SOP!$M$14:$BM$14))))))))</f>
        <v>0.68226120857699812</v>
      </c>
      <c r="DV26" s="315" cm="1">
        <f t="array" ref="DV26">IF(DV$7&gt;$D$3,"",IF(BN26="Undefined","Undefined",IF(BN26="Missed","Missed",IF(BN26="Blank","Blank",IF(BN26="OD","OD",IF(BN26="TBC","TBC",_xlfn.XLOOKUP(DV$7,SOP!$M$6:$BM$6,SOP!$M$15:$BM$15/_xlfn.XLOOKUP(DV$7,SOP!$M$6:$BM$6,SOP!$M$14:$BM$14))))))))</f>
        <v>0.66595059076262086</v>
      </c>
      <c r="DW26" s="315" cm="1">
        <f t="array" ref="DW26">IF(DW$7&gt;$D$3,"",IF(BO26="Undefined","Undefined",IF(BO26="Missed","Missed",IF(BO26="Blank","Blank",IF(BO26="OD","OD",IF(BO26="TBC","TBC",_xlfn.XLOOKUP(DW$7,SOP!$M$6:$BM$6,SOP!$M$15:$BM$15/_xlfn.XLOOKUP(DW$7,SOP!$M$6:$BM$6,SOP!$M$14:$BM$14))))))))</f>
        <v>0.62078272604588403</v>
      </c>
      <c r="DX26" s="315" cm="1">
        <f t="array" ref="DX26">IF(DX$7&gt;$D$3,"",IF(BP26="Undefined","Undefined",IF(BP26="Missed","Missed",IF(BP26="Blank","Blank",IF(BP26="OD","OD",IF(BP26="TBC","TBC",_xlfn.XLOOKUP(DX$7,SOP!$M$6:$BM$6,SOP!$M$15:$BM$15/_xlfn.XLOOKUP(DX$7,SOP!$M$6:$BM$6,SOP!$M$14:$BM$14))))))))</f>
        <v>0.68328716528162514</v>
      </c>
      <c r="DY26" s="315" cm="1">
        <f t="array" ref="DY26">IF(DY$7&gt;$D$3,"",IF(BQ26="Undefined","Undefined",IF(BQ26="Missed","Missed",IF(BQ26="Blank","Blank",IF(BQ26="OD","OD",IF(BQ26="TBC","TBC",_xlfn.XLOOKUP(DY$7,SOP!$M$6:$BM$6,SOP!$M$15:$BM$15/_xlfn.XLOOKUP(DY$7,SOP!$M$6:$BM$6,SOP!$M$14:$BM$14))))))))</f>
        <v>0.54919908466819223</v>
      </c>
      <c r="DZ26" s="315" cm="1">
        <f t="array" ref="DZ26">IF(DZ$7&gt;$D$3,"",IF(BR26="Undefined","Undefined",IF(BR26="Missed","Missed",IF(BR26="Blank","Blank",IF(BR26="OD","OD",IF(BR26="TBC","TBC",_xlfn.XLOOKUP(DZ$7,SOP!$M$6:$BM$6,SOP!$M$15:$BM$15/_xlfn.XLOOKUP(DZ$7,SOP!$M$6:$BM$6,SOP!$M$14:$BM$14))))))))</f>
        <v>0.79484425349087007</v>
      </c>
      <c r="EA26" s="315" cm="1">
        <f t="array" ref="EA26">IF(EA$7&gt;$D$3,"",IF(BS26="Undefined","Undefined",IF(BS26="Missed","Missed",IF(BS26="Blank","Blank",IF(BS26="OD","OD",IF(BS26="TBC","TBC",_xlfn.XLOOKUP(EA$7,SOP!$M$6:$BM$6,SOP!$M$15:$BM$15/_xlfn.XLOOKUP(EA$7,SOP!$M$6:$BM$6,SOP!$M$14:$BM$14))))))))</f>
        <v>0.81871345029239773</v>
      </c>
      <c r="EB26" s="315" cm="1">
        <f t="array" ref="EB26">IF(EB$7&gt;$D$3,"",IF(BT26="Undefined","Undefined",IF(BT26="Missed","Missed",IF(BT26="Blank","Blank",IF(BT26="OD","OD",IF(BT26="TBC","TBC",_xlfn.XLOOKUP(EB$7,SOP!$M$6:$BM$6,SOP!$M$15:$BM$15/_xlfn.XLOOKUP(EB$7,SOP!$M$6:$BM$6,SOP!$M$14:$BM$14))))))))</f>
        <v>0.89585666293393063</v>
      </c>
      <c r="EC26" s="315" cm="1">
        <f t="array" ref="EC26">IF(EC$7&gt;$D$3,"",IF(BU26="Undefined","Undefined",IF(BU26="Missed","Missed",IF(BU26="Blank","Blank",IF(BU26="OD","OD",IF(BU26="TBC","TBC",_xlfn.XLOOKUP(EC$7,SOP!$M$6:$BM$6,SOP!$M$15:$BM$15/_xlfn.XLOOKUP(EC$7,SOP!$M$6:$BM$6,SOP!$M$14:$BM$14))))))))</f>
        <v>0.84795321637426913</v>
      </c>
      <c r="ED26" s="315" cm="1">
        <f t="array" ref="ED26">IF(ED$7&gt;$D$3,"",IF(BV26="Undefined","Undefined",IF(BV26="Missed","Missed",IF(BV26="Blank","Blank",IF(BV26="OD","OD",IF(BV26="TBC","TBC",_xlfn.XLOOKUP(ED$7,SOP!$M$6:$BM$6,SOP!$M$15:$BM$15/_xlfn.XLOOKUP(ED$7,SOP!$M$6:$BM$6,SOP!$M$14:$BM$14))))))))</f>
        <v>0.8310249307479225</v>
      </c>
      <c r="EE26" s="315" cm="1">
        <f t="array" ref="EE26">IF(EE$7&gt;$D$3,"",IF(BW26="Undefined","Undefined",IF(BW26="Missed","Missed",IF(BW26="Blank","Blank",IF(BW26="OD","OD",IF(BW26="TBC","TBC",_xlfn.XLOOKUP(EE$7,SOP!$M$6:$BM$6,SOP!$M$15:$BM$15/_xlfn.XLOOKUP(EE$7,SOP!$M$6:$BM$6,SOP!$M$14:$BM$14))))))))</f>
        <v>0.58230683090705493</v>
      </c>
      <c r="EF26" s="315" cm="1">
        <f t="array" ref="EF26">IF(EF$7&gt;$D$3,"",IF(BX26="Undefined","Undefined",IF(BX26="Missed","Missed",IF(BX26="Blank","Blank",IF(BX26="OD","OD",IF(BX26="TBC","TBC",_xlfn.XLOOKUP(EF$7,SOP!$M$6:$BM$6,SOP!$M$15:$BM$15/_xlfn.XLOOKUP(EF$7,SOP!$M$6:$BM$6,SOP!$M$14:$BM$14))))))))</f>
        <v>0.84889643463497455</v>
      </c>
      <c r="EG26" s="315" cm="1">
        <f t="array" ref="EG26">IF(EG$7&gt;$D$3,"",IF(BY26="Undefined","Undefined",IF(BY26="Missed","Missed",IF(BY26="Blank","Blank",IF(BY26="OD","OD",IF(BY26="TBC","TBC",_xlfn.XLOOKUP(EG$7,SOP!$M$6:$BM$6,SOP!$M$15:$BM$15/_xlfn.XLOOKUP(EG$7,SOP!$M$6:$BM$6,SOP!$M$14:$BM$14))))))))</f>
        <v>0.78947368421052633</v>
      </c>
      <c r="EH26" s="315" cm="1">
        <f t="array" ref="EH26">IF(EH$7&gt;$D$3,"",IF(BZ26="Undefined","Undefined",IF(BZ26="Missed","Missed",IF(BZ26="Blank","Blank",IF(BZ26="OD","OD",IF(BZ26="TBC","TBC",_xlfn.XLOOKUP(EH$7,SOP!$M$6:$BM$6,SOP!$M$15:$BM$15/_xlfn.XLOOKUP(EH$7,SOP!$M$6:$BM$6,SOP!$M$14:$BM$14))))))))</f>
        <v>0.96491228070175439</v>
      </c>
      <c r="EI26" s="315" cm="1">
        <f t="array" ref="EI26">IF(EI$7&gt;$D$3,"",IF(CA26="Undefined","Undefined",IF(CA26="Missed","Missed",IF(CA26="Blank","Blank",IF(CA26="OD","OD",IF(CA26="TBC","TBC",_xlfn.XLOOKUP(EI$7,SOP!$M$6:$BM$6,SOP!$M$15:$BM$15/_xlfn.XLOOKUP(EI$7,SOP!$M$6:$BM$6,SOP!$M$14:$BM$14))))))))</f>
        <v>0.92105263157894746</v>
      </c>
      <c r="EJ26" s="315" cm="1">
        <f t="array" ref="EJ26">IF(EJ$7&gt;$D$3,"",IF(CB26="Undefined","Undefined",IF(CB26="Missed","Missed",IF(CB26="Blank","Blank",IF(CB26="OD","OD",IF(CB26="TBC","TBC",_xlfn.XLOOKUP(EJ$7,SOP!$M$6:$BM$6,SOP!$M$15:$BM$15/_xlfn.XLOOKUP(EJ$7,SOP!$M$6:$BM$6,SOP!$M$14:$BM$14))))))))</f>
        <v>1.0526315789473684</v>
      </c>
      <c r="EK26" s="315" t="str" cm="1">
        <f t="array" ref="EK26">IF(EK$7&gt;$D$3,"",IF(CC26="Undefined","Undefined",IF(CC26="Missed","Missed",IF(CC26="Blank","Blank",IF(CC26="OD","OD",IF(CC26="TBC","TBC",_xlfn.XLOOKUP(EK$7,SOP!$M$6:$BM$6,SOP!$M$15:$BM$15/_xlfn.XLOOKUP(EK$7,SOP!$M$6:$BM$6,SOP!$M$14:$BM$14))))))))</f>
        <v/>
      </c>
      <c r="EL26" s="315" t="str" cm="1">
        <f t="array" ref="EL26">IF(EL$7&gt;$D$3,"",IF(CD26="Undefined","Undefined",IF(CD26="Missed","Missed",IF(CD26="Blank","Blank",IF(CD26="OD","OD",IF(CD26="TBC","TBC",_xlfn.XLOOKUP(EL$7,SOP!$M$6:$BM$6,SOP!$M$15:$BM$15/_xlfn.XLOOKUP(EL$7,SOP!$M$6:$BM$6,SOP!$M$14:$BM$14))))))))</f>
        <v/>
      </c>
      <c r="EM26" s="315" t="str" cm="1">
        <f t="array" ref="EM26">IF(EM$7&gt;$D$3,"",IF(CE26="Undefined","Undefined",IF(CE26="Missed","Missed",IF(CE26="Blank","Blank",IF(CE26="OD","OD",IF(CE26="TBC","TBC",_xlfn.XLOOKUP(EM$7,SOP!$M$6:$BM$6,SOP!$M$15:$BM$15/_xlfn.XLOOKUP(EM$7,SOP!$M$6:$BM$6,SOP!$M$14:$BM$14))))))))</f>
        <v/>
      </c>
      <c r="EN26" s="315" t="str" cm="1">
        <f t="array" ref="EN26">IF(EN$7&gt;$D$3,"",IF(CF26="Undefined","Undefined",IF(CF26="Missed","Missed",IF(CF26="Blank","Blank",IF(CF26="OD","OD",IF(CF26="TBC","TBC",_xlfn.XLOOKUP(EN$7,SOP!$M$6:$BM$6,SOP!$M$15:$BM$15/_xlfn.XLOOKUP(EN$7,SOP!$M$6:$BM$6,SOP!$M$14:$BM$14))))))))</f>
        <v/>
      </c>
      <c r="EO26" s="315" t="str" cm="1">
        <f t="array" ref="EO26">IF(EO$7&gt;$D$3,"",IF(CG26="Undefined","Undefined",IF(CG26="Missed","Missed",IF(CG26="Blank","Blank",IF(CG26="OD","OD",IF(CG26="TBC","TBC",_xlfn.XLOOKUP(EO$7,SOP!$M$6:$BM$6,SOP!$M$15:$BM$15/_xlfn.XLOOKUP(EO$7,SOP!$M$6:$BM$6,SOP!$M$14:$BM$14))))))))</f>
        <v/>
      </c>
      <c r="EP26" s="315" t="str" cm="1">
        <f t="array" ref="EP26">IF(EP$7&gt;$D$3,"",IF(CH26="Undefined","Undefined",IF(CH26="Missed","Missed",IF(CH26="Blank","Blank",IF(CH26="OD","OD",IF(CH26="TBC","TBC",_xlfn.XLOOKUP(EP$7,SOP!$M$6:$BM$6,SOP!$M$15:$BM$15/_xlfn.XLOOKUP(EP$7,SOP!$M$6:$BM$6,SOP!$M$14:$BM$14))))))))</f>
        <v/>
      </c>
      <c r="EQ26" s="315" t="str" cm="1">
        <f t="array" ref="EQ26">IF(EQ$7&gt;$D$3,"",IF(CI26="Undefined","Undefined",IF(CI26="Missed","Missed",IF(CI26="Blank","Blank",IF(CI26="OD","OD",IF(CI26="TBC","TBC",_xlfn.XLOOKUP(EQ$7,SOP!$M$6:$BM$6,SOP!$M$15:$BM$15/_xlfn.XLOOKUP(EQ$7,SOP!$M$6:$BM$6,SOP!$M$14:$BM$14))))))))</f>
        <v/>
      </c>
      <c r="ER26" s="315" t="str" cm="1">
        <f t="array" ref="ER26">IF(ER$7&gt;$D$3,"",IF(CJ26="Undefined","Undefined",IF(CJ26="Missed","Missed",IF(CJ26="Blank","Blank",IF(CJ26="OD","OD",IF(CJ26="TBC","TBC",_xlfn.XLOOKUP(ER$7,SOP!$M$6:$BM$6,SOP!$M$15:$BM$15/_xlfn.XLOOKUP(ER$7,SOP!$M$6:$BM$6,SOP!$M$14:$BM$14))))))))</f>
        <v/>
      </c>
      <c r="ES26" s="315" t="str" cm="1">
        <f t="array" ref="ES26">IF(ES$7&gt;$D$3,"",IF(CK26="Undefined","Undefined",IF(CK26="Missed","Missed",IF(CK26="Blank","Blank",IF(CK26="OD","OD",IF(CK26="TBC","TBC",_xlfn.XLOOKUP(ES$7,SOP!$M$6:$BM$6,SOP!$M$15:$BM$15/_xlfn.XLOOKUP(ES$7,SOP!$M$6:$BM$6,SOP!$M$14:$BM$14))))))))</f>
        <v/>
      </c>
      <c r="ET26" s="315" t="str" cm="1">
        <f t="array" ref="ET26">IF(ET$7&gt;$D$3,"",IF(CL26="Undefined","Undefined",IF(CL26="Missed","Missed",IF(CL26="Blank","Blank",IF(CL26="OD","OD",IF(CL26="TBC","TBC",_xlfn.XLOOKUP(ET$7,SOP!$M$6:$BM$6,SOP!$M$15:$BM$15/_xlfn.XLOOKUP(ET$7,SOP!$M$6:$BM$6,SOP!$M$14:$BM$14))))))))</f>
        <v/>
      </c>
      <c r="EU26" s="315" t="str" cm="1">
        <f t="array" ref="EU26">IF(EU$7&gt;$D$3,"",IF(CM26="Undefined","Undefined",IF(CM26="Missed","Missed",IF(CM26="Blank","Blank",IF(CM26="OD","OD",IF(CM26="TBC","TBC",_xlfn.XLOOKUP(EU$7,SOP!$M$6:$BM$6,SOP!$M$15:$BM$15/_xlfn.XLOOKUP(EU$7,SOP!$M$6:$BM$6,SOP!$M$14:$BM$14))))))))</f>
        <v/>
      </c>
      <c r="EW26" s="465" t="str">
        <f>+$A26</f>
        <v>SOP-KPI D2</v>
      </c>
      <c r="EX26" s="136" t="str">
        <f>+$C26</f>
        <v>KPI D2</v>
      </c>
      <c r="EY26" s="144" t="str">
        <f>+$D26</f>
        <v>Delivery</v>
      </c>
      <c r="EZ26" s="144" t="str">
        <f t="shared" si="57"/>
        <v>Order Sign off On Target / In Full (OTIF) days to complete</v>
      </c>
      <c r="FA26" s="145" t="str">
        <f t="shared" si="58"/>
        <v>Percentage</v>
      </c>
      <c r="FB26" s="145" t="s">
        <v>251</v>
      </c>
      <c r="FC26" s="214" t="str">
        <f>IF(FC$7&gt;$D$3,"",IF($FA24&lt;FC$7,"OD",_xlfn.XLOOKUP(FC$7,SOP!$M$6:$BM$6,SOP!$M$15:$BM$15)))</f>
        <v>Blank</v>
      </c>
      <c r="FD26" s="605">
        <f>IF(FD$7&gt;$D$3,"",IF($FA24&lt;FD$7,"OD",_xlfn.XLOOKUP(FD$7,SOP!$M$6:$BM$6,SOP!$M$15:$BM$15)))</f>
        <v>0.86928104575163401</v>
      </c>
      <c r="FE26" s="605">
        <f>IF(FE$7&gt;$D$3,"",IF($FA24&lt;FE$7,"OD",_xlfn.XLOOKUP(FE$7,SOP!$M$6:$BM$6,SOP!$M$15:$BM$15)))</f>
        <v>0.88349514563106801</v>
      </c>
      <c r="FF26" s="605">
        <f>IF(FF$7&gt;$D$3,"",IF($FA24&lt;FF$7,"OD",_xlfn.XLOOKUP(FF$7,SOP!$M$6:$BM$6,SOP!$M$15:$BM$15)))</f>
        <v>0.83750000000000002</v>
      </c>
      <c r="FG26" s="605">
        <f>IF(FG$7&gt;$D$3,"",IF($FA24&lt;FG$7,"OD",_xlfn.XLOOKUP(FG$7,SOP!$M$6:$BM$6,SOP!$M$15:$BM$15)))</f>
        <v>0.91304347826086951</v>
      </c>
      <c r="FH26" s="605">
        <f>IF(FH$7&gt;$D$3,"",IF($FA24&lt;FH$7,"OD",_xlfn.XLOOKUP(FH$7,SOP!$M$6:$BM$6,SOP!$M$15:$BM$15)))</f>
        <v>0.80701754385964908</v>
      </c>
      <c r="FI26" s="605">
        <f>IF(FI$7&gt;$D$3,"",IF($FA24&lt;FI$7,"OD",_xlfn.XLOOKUP(FI$7,SOP!$M$6:$BM$6,SOP!$M$15:$BM$15)))</f>
        <v>0.82352941176470584</v>
      </c>
      <c r="FJ26" s="605">
        <f>IF(FJ$7&gt;$D$3,"",IF($FA24&lt;FJ$7,"OD",_xlfn.XLOOKUP(FJ$7,SOP!$M$6:$BM$6,SOP!$M$15:$BM$15)))</f>
        <v>0.75555555555555554</v>
      </c>
      <c r="FK26" s="605">
        <f>IF(FK$7&gt;$D$3,"",IF($FA24&lt;FK$7,"OD",_xlfn.XLOOKUP(FK$7,SOP!$M$6:$BM$6,SOP!$M$15:$BM$15)))</f>
        <v>0.69230769230769229</v>
      </c>
      <c r="FL26" s="605">
        <f>IF(FL$7&gt;$D$3,"",IF($FA24&lt;FL$7,"OD",_xlfn.XLOOKUP(FL$7,SOP!$M$6:$BM$6,SOP!$M$15:$BM$15)))</f>
        <v>0.72549019607843135</v>
      </c>
      <c r="FM26" s="605">
        <f>IF(FM$7&gt;$D$3,"",IF($FA24&lt;FM$7,"OD",_xlfn.XLOOKUP(FM$7,SOP!$M$6:$BM$6,SOP!$M$15:$BM$15)))</f>
        <v>0.70833333333333337</v>
      </c>
      <c r="FN26" s="605">
        <f>IF(FN$7&gt;$D$3,"",IF($FA24&lt;FN$7,"OD",_xlfn.XLOOKUP(FN$7,SOP!$M$6:$BM$6,SOP!$M$15:$BM$15)))</f>
        <v>0.77272727272727271</v>
      </c>
      <c r="FO26" s="605">
        <f>IF(FO$7&gt;$D$3,"",IF($FA24&lt;FO$7,"OD",_xlfn.XLOOKUP(FO$7,SOP!$M$6:$BM$6,SOP!$M$15:$BM$15)))</f>
        <v>0.69767441860465118</v>
      </c>
      <c r="FP26" s="605">
        <f>IF(FP$7&gt;$D$3,"",IF($FA24&lt;FP$7,"OD",_xlfn.XLOOKUP(FP$7,SOP!$M$6:$BM$6,SOP!$M$15:$BM$15)))</f>
        <v>0.72727272727272729</v>
      </c>
      <c r="FQ26" s="605">
        <f>IF(FQ$7&gt;$D$3,"",IF($FA24&lt;FQ$7,"OD",_xlfn.XLOOKUP(FQ$7,SOP!$M$6:$BM$6,SOP!$M$15:$BM$15)))</f>
        <v>0.78</v>
      </c>
      <c r="FR26" s="605">
        <f>IF(FR$7&gt;$D$3,"",IF($FA24&lt;FR$7,"OD",_xlfn.XLOOKUP(FR$7,SOP!$M$6:$BM$6,SOP!$M$15:$BM$15)))</f>
        <v>0.62857142857142856</v>
      </c>
      <c r="FS26" s="605">
        <f>IF(FS$7&gt;$D$3,"",IF($FA24&lt;FS$7,"OD",_xlfn.XLOOKUP(FS$7,SOP!$M$6:$BM$6,SOP!$M$15:$BM$15)))</f>
        <v>0.73076923076923073</v>
      </c>
      <c r="FT26" s="605">
        <f>IF(FT$7&gt;$D$3,"",IF($FA24&lt;FT$7,"OD",_xlfn.XLOOKUP(FT$7,SOP!$M$6:$BM$6,SOP!$M$15:$BM$15)))</f>
        <v>0.6901408450704225</v>
      </c>
      <c r="FU26" s="605">
        <f>IF(FU$7&gt;$D$3,"",IF($FA24&lt;FU$7,"OD",_xlfn.XLOOKUP(FU$7,SOP!$M$6:$BM$6,SOP!$M$15:$BM$15)))</f>
        <v>0.71111111111111114</v>
      </c>
      <c r="FV26" s="605">
        <f>IF(FV$7&gt;$D$3,"",IF($FA24&lt;FV$7,"OD",_xlfn.XLOOKUP(FV$7,SOP!$M$6:$BM$6,SOP!$M$15:$BM$15)))</f>
        <v>0.80952380952380953</v>
      </c>
      <c r="FW26" s="605">
        <f>IF(FW$7&gt;$D$3,"",IF($FA24&lt;FW$7,"OD",_xlfn.XLOOKUP(FW$7,SOP!$M$6:$BM$6,SOP!$M$15:$BM$15)))</f>
        <v>0.89795918367346939</v>
      </c>
      <c r="FX26" s="605">
        <f>IF(FX$7&gt;$D$3,"",IF($FA24&lt;FX$7,"OD",_xlfn.XLOOKUP(FX$7,SOP!$M$6:$BM$6,SOP!$M$15:$BM$15)))</f>
        <v>0.68085106382978722</v>
      </c>
      <c r="FY26" s="605">
        <f>IF(FY$7&gt;$D$3,"",IF($FA24&lt;FY$7,"OD",_xlfn.XLOOKUP(FY$7,SOP!$M$6:$BM$6,SOP!$M$15:$BM$15)))</f>
        <v>0.7</v>
      </c>
      <c r="FZ26" s="605">
        <f>IF(FZ$7&gt;$D$3,"",IF($FA24&lt;FZ$7,"OD",_xlfn.XLOOKUP(FZ$7,SOP!$M$6:$BM$6,SOP!$M$15:$BM$15)))</f>
        <v>0.76363636363636367</v>
      </c>
      <c r="GA26" s="605">
        <f>IF(GA$7&gt;$D$3,"",IF($FA24&lt;GA$7,"OD",_xlfn.XLOOKUP(GA$7,SOP!$M$6:$BM$6,SOP!$M$15:$BM$15)))</f>
        <v>0.68181818181818177</v>
      </c>
      <c r="GB26" s="605">
        <f>IF(GB$7&gt;$D$3,"",IF($FA24&lt;GB$7,"OD",_xlfn.XLOOKUP(GB$7,SOP!$M$6:$BM$6,SOP!$M$15:$BM$15)))</f>
        <v>0.703125</v>
      </c>
      <c r="GC26" s="605">
        <f>IF(GC$7&gt;$D$3,"",IF($FA24&lt;GC$7,"OD",_xlfn.XLOOKUP(GC$7,SOP!$M$6:$BM$6,SOP!$M$15:$BM$15)))</f>
        <v>0.64814814814814814</v>
      </c>
      <c r="GD26" s="605">
        <f>IF(GD$7&gt;$D$3,"",IF($FA24&lt;GD$7,"OD",_xlfn.XLOOKUP(GD$7,SOP!$M$6:$BM$6,SOP!$M$15:$BM$15)))</f>
        <v>0.63265306122448983</v>
      </c>
      <c r="GE26" s="605">
        <f>IF(GE$7&gt;$D$3,"",IF($FA24&lt;GE$7,"OD",_xlfn.XLOOKUP(GE$7,SOP!$M$6:$BM$6,SOP!$M$15:$BM$15)))</f>
        <v>0.58974358974358976</v>
      </c>
      <c r="GF26" s="605">
        <f>IF(GF$7&gt;$D$3,"",IF($FA24&lt;GF$7,"OD",_xlfn.XLOOKUP(GF$7,SOP!$M$6:$BM$6,SOP!$M$15:$BM$15)))</f>
        <v>0.64912280701754388</v>
      </c>
      <c r="GG26" s="605">
        <f>IF(GG$7&gt;$D$3,"",IF($FA24&lt;GG$7,"OD",_xlfn.XLOOKUP(GG$7,SOP!$M$6:$BM$6,SOP!$M$15:$BM$15)))</f>
        <v>0.52173913043478259</v>
      </c>
      <c r="GH26" s="605">
        <f>IF(GH$7&gt;$D$3,"",IF($FA24&lt;GH$7,"OD",_xlfn.XLOOKUP(GH$7,SOP!$M$6:$BM$6,SOP!$M$15:$BM$15)))</f>
        <v>0.75510204081632648</v>
      </c>
      <c r="GI26" s="605">
        <f>IF(GI$7&gt;$D$3,"",IF($FA24&lt;GI$7,"OD",_xlfn.XLOOKUP(GI$7,SOP!$M$6:$BM$6,SOP!$M$15:$BM$15)))</f>
        <v>0.77777777777777779</v>
      </c>
      <c r="GJ26" s="605">
        <f>IF(GJ$7&gt;$D$3,"",IF($FA24&lt;GJ$7,"OD",_xlfn.XLOOKUP(GJ$7,SOP!$M$6:$BM$6,SOP!$M$15:$BM$15)))</f>
        <v>0.85106382978723405</v>
      </c>
      <c r="GK26" s="605">
        <f>IF(GK$7&gt;$D$3,"",IF($FA24&lt;GK$7,"OD",_xlfn.XLOOKUP(GK$7,SOP!$M$6:$BM$6,SOP!$M$15:$BM$15)))</f>
        <v>0.80555555555555558</v>
      </c>
      <c r="GL26" s="605">
        <f>IF(GL$7&gt;$D$3,"",IF($FA24&lt;GL$7,"OD",_xlfn.XLOOKUP(GL$7,SOP!$M$6:$BM$6,SOP!$M$15:$BM$15)))</f>
        <v>0.78947368421052633</v>
      </c>
      <c r="GM26" s="605">
        <f>IF(GM$7&gt;$D$3,"",IF($FA24&lt;GM$7,"OD",_xlfn.XLOOKUP(GM$7,SOP!$M$6:$BM$6,SOP!$M$15:$BM$15)))</f>
        <v>0.55319148936170215</v>
      </c>
      <c r="GN26" s="605">
        <f>IF(GN$7&gt;$D$3,"",IF($FA24&lt;GN$7,"OD",_xlfn.XLOOKUP(GN$7,SOP!$M$6:$BM$6,SOP!$M$15:$BM$15)))</f>
        <v>0.80645161290322576</v>
      </c>
      <c r="GO26" s="605">
        <f>IF(GO$7&gt;$D$3,"",IF($FA24&lt;GO$7,"OD",_xlfn.XLOOKUP(GO$7,SOP!$M$6:$BM$6,SOP!$M$15:$BM$15)))</f>
        <v>0.75</v>
      </c>
      <c r="GP26" s="605">
        <f>IF(GP$7&gt;$D$3,"",IF($FA24&lt;GP$7,"OD",_xlfn.XLOOKUP(GP$7,SOP!$M$6:$BM$6,SOP!$M$15:$BM$15)))</f>
        <v>0.91666666666666663</v>
      </c>
      <c r="GQ26" s="605">
        <f>IF(GQ$7&gt;$D$3,"",IF($FA24&lt;GQ$7,"OD",_xlfn.XLOOKUP(GQ$7,SOP!$M$6:$BM$6,SOP!$M$15:$BM$15)))</f>
        <v>0.875</v>
      </c>
      <c r="GR26" s="605">
        <f>IF(GR$7&gt;$D$3,"",IF($FA24&lt;GR$7,"OD",_xlfn.XLOOKUP(GR$7,SOP!$M$6:$BM$6,SOP!$M$15:$BM$15)))</f>
        <v>1</v>
      </c>
      <c r="GS26" s="605" t="str">
        <f>IF(GS$7&gt;$D$3,"",IF($FA24&lt;GS$7,"OD",_xlfn.XLOOKUP(GS$7,SOP!$M$6:$BM$6,SOP!$M$15:$BM$15)))</f>
        <v/>
      </c>
      <c r="GT26" s="605" t="str">
        <f>IF(GT$7&gt;$D$3,"",IF($FA24&lt;GT$7,"OD",_xlfn.XLOOKUP(GT$7,SOP!$M$6:$BM$6,SOP!$M$15:$BM$15)))</f>
        <v/>
      </c>
      <c r="GU26" s="605" t="str">
        <f>IF(GU$7&gt;$D$3,"",IF($FA24&lt;GU$7,"OD",_xlfn.XLOOKUP(GU$7,SOP!$M$6:$BM$6,SOP!$M$15:$BM$15)))</f>
        <v/>
      </c>
      <c r="GV26" s="605" t="str">
        <f>IF(GV$7&gt;$D$3,"",IF($FA24&lt;GV$7,"OD",_xlfn.XLOOKUP(GV$7,SOP!$M$6:$BM$6,SOP!$M$15:$BM$15)))</f>
        <v/>
      </c>
      <c r="GW26" s="605" t="str">
        <f>IF(GW$7&gt;$D$3,"",IF($FA24&lt;GW$7,"OD",_xlfn.XLOOKUP(GW$7,SOP!$M$6:$BM$6,SOP!$M$15:$BM$15)))</f>
        <v/>
      </c>
      <c r="GX26" s="605" t="str">
        <f>IF(GX$7&gt;$D$3,"",IF($FA24&lt;GX$7,"OD",_xlfn.XLOOKUP(GX$7,SOP!$M$6:$BM$6,SOP!$M$15:$BM$15)))</f>
        <v/>
      </c>
      <c r="GY26" s="605" t="str">
        <f>IF(GY$7&gt;$D$3,"",IF($FA24&lt;GY$7,"OD",_xlfn.XLOOKUP(GY$7,SOP!$M$6:$BM$6,SOP!$M$15:$BM$15)))</f>
        <v/>
      </c>
      <c r="GZ26" s="605" t="str">
        <f>IF(GZ$7&gt;$D$3,"",IF($FA24&lt;GZ$7,"OD",_xlfn.XLOOKUP(GZ$7,SOP!$M$6:$BM$6,SOP!$M$15:$BM$15)))</f>
        <v/>
      </c>
      <c r="HA26" s="605" t="str">
        <f>IF(HA$7&gt;$D$3,"",IF($FA24&lt;HA$7,"OD",_xlfn.XLOOKUP(HA$7,SOP!$M$6:$BM$6,SOP!$M$15:$BM$15)))</f>
        <v/>
      </c>
      <c r="HB26" s="605" t="str">
        <f>IF(HB$7&gt;$D$3,"",IF($FA24&lt;HB$7,"OD",_xlfn.XLOOKUP(HB$7,SOP!$M$6:$BM$6,SOP!$M$15:$BM$15)))</f>
        <v/>
      </c>
      <c r="HC26" s="605" t="str">
        <f>IF(HC$7&gt;$D$3,"",IF($FA24&lt;HC$7,"OD",_xlfn.XLOOKUP(HC$7,SOP!$M$6:$BM$6,SOP!$M$15:$BM$15)))</f>
        <v/>
      </c>
      <c r="HE26" s="136" t="str">
        <f>+$C26</f>
        <v>KPI D2</v>
      </c>
      <c r="HF26" s="144" t="str">
        <f>+$D26</f>
        <v>Delivery</v>
      </c>
      <c r="HG26" s="144" t="str">
        <f t="shared" si="61"/>
        <v>Order Sign off On Target / In Full (OTIF) days to complete</v>
      </c>
      <c r="HH26" s="145" t="str">
        <f t="shared" si="62"/>
        <v>Percentage</v>
      </c>
      <c r="HI26" s="145" t="s">
        <v>44</v>
      </c>
      <c r="HJ26" s="605" t="s">
        <v>122</v>
      </c>
      <c r="HK26" s="605">
        <f>IF(HK$7&gt;$D$3,"",IF($FA24&lt;HK$7,"OD",_xlfn.XLOOKUP(HK$7,SOP!$M$6:$BM$6,SOP!$M$14:$BM$14)))</f>
        <v>0.95</v>
      </c>
      <c r="HL26" s="606">
        <f>IF(HL$7&gt;$D$3,"",IF($FA24&lt;HL$7,"OD",_xlfn.XLOOKUP(HL$7,SOP!$M$6:$BM$6,SOP!$M$14:$BM$14)))</f>
        <v>0.95</v>
      </c>
      <c r="HM26" s="606">
        <f>IF(HM$7&gt;$D$3,"",IF($FA24&lt;HM$7,"OD",_xlfn.XLOOKUP(HM$7,SOP!$M$6:$BM$6,SOP!$M$14:$BM$14)))</f>
        <v>0.95</v>
      </c>
      <c r="HN26" s="606">
        <f>IF(HN$7&gt;$D$3,"",IF($FA24&lt;HN$7,"OD",_xlfn.XLOOKUP(HN$7,SOP!$M$6:$BM$6,SOP!$M$14:$BM$14)))</f>
        <v>0.95</v>
      </c>
      <c r="HO26" s="606">
        <f>IF(HO$7&gt;$D$3,"",IF($FA24&lt;HO$7,"OD",_xlfn.XLOOKUP(HO$7,SOP!$M$6:$BM$6,SOP!$M$14:$BM$14)))</f>
        <v>0.95</v>
      </c>
      <c r="HP26" s="606">
        <f>IF(HP$7&gt;$D$3,"",IF($FA24&lt;HP$7,"OD",_xlfn.XLOOKUP(HP$7,SOP!$M$6:$BM$6,SOP!$M$14:$BM$14)))</f>
        <v>0.95</v>
      </c>
      <c r="HQ26" s="606">
        <f>IF(HQ$7&gt;$D$3,"",IF($FA24&lt;HQ$7,"OD",_xlfn.XLOOKUP(HQ$7,SOP!$M$6:$BM$6,SOP!$M$14:$BM$14)))</f>
        <v>0.95</v>
      </c>
      <c r="HR26" s="606">
        <f>IF(HR$7&gt;$D$3,"",IF($FA24&lt;HR$7,"OD",_xlfn.XLOOKUP(HR$7,SOP!$M$6:$BM$6,SOP!$M$14:$BM$14)))</f>
        <v>0.95</v>
      </c>
      <c r="HS26" s="606">
        <f>IF(HS$7&gt;$D$3,"",IF($FA24&lt;HS$7,"OD",_xlfn.XLOOKUP(HS$7,SOP!$M$6:$BM$6,SOP!$M$14:$BM$14)))</f>
        <v>0.95</v>
      </c>
      <c r="HT26" s="606">
        <f>IF(HT$7&gt;$D$3,"",IF($FA24&lt;HT$7,"OD",_xlfn.XLOOKUP(HT$7,SOP!$M$6:$BM$6,SOP!$M$14:$BM$14)))</f>
        <v>0.95</v>
      </c>
      <c r="HU26" s="606">
        <f>IF(HU$7&gt;$D$3,"",IF($FA24&lt;HU$7,"OD",_xlfn.XLOOKUP(HU$7,SOP!$M$6:$BM$6,SOP!$M$14:$BM$14)))</f>
        <v>0.95</v>
      </c>
      <c r="HV26" s="606">
        <f>IF(HV$7&gt;$D$3,"",IF($FA24&lt;HV$7,"OD",_xlfn.XLOOKUP(HV$7,SOP!$M$6:$BM$6,SOP!$M$14:$BM$14)))</f>
        <v>0.95</v>
      </c>
      <c r="HW26" s="606">
        <f>IF(HW$7&gt;$D$3,"",IF($FA24&lt;HW$7,"OD",_xlfn.XLOOKUP(HW$7,SOP!$M$6:$BM$6,SOP!$M$14:$BM$14)))</f>
        <v>0.95</v>
      </c>
      <c r="HX26" s="606">
        <f>IF(HX$7&gt;$D$3,"",IF($FA24&lt;HX$7,"OD",_xlfn.XLOOKUP(HX$7,SOP!$M$6:$BM$6,SOP!$M$14:$BM$14)))</f>
        <v>0.95</v>
      </c>
      <c r="HY26" s="606">
        <f>IF(HY$7&gt;$D$3,"",IF($FA24&lt;HY$7,"OD",_xlfn.XLOOKUP(HY$7,SOP!$M$6:$BM$6,SOP!$M$14:$BM$14)))</f>
        <v>0.95</v>
      </c>
      <c r="HZ26" s="606">
        <f>IF(HZ$7&gt;$D$3,"",IF($FA24&lt;HZ$7,"OD",_xlfn.XLOOKUP(HZ$7,SOP!$M$6:$BM$6,SOP!$M$14:$BM$14)))</f>
        <v>0.95</v>
      </c>
      <c r="IA26" s="606">
        <f>IF(IA$7&gt;$D$3,"",IF($FA24&lt;IA$7,"OD",_xlfn.XLOOKUP(IA$7,SOP!$M$6:$BM$6,SOP!$M$14:$BM$14)))</f>
        <v>0.95</v>
      </c>
      <c r="IB26" s="606">
        <f>IF(IB$7&gt;$D$3,"",IF($FA24&lt;IB$7,"OD",_xlfn.XLOOKUP(IB$7,SOP!$M$6:$BM$6,SOP!$M$14:$BM$14)))</f>
        <v>0.95</v>
      </c>
      <c r="IC26" s="606">
        <f>IF(IC$7&gt;$D$3,"",IF($FA24&lt;IC$7,"OD",_xlfn.XLOOKUP(IC$7,SOP!$M$6:$BM$6,SOP!$M$14:$BM$14)))</f>
        <v>0.95</v>
      </c>
      <c r="ID26" s="606">
        <f>IF(ID$7&gt;$D$3,"",IF($FA24&lt;ID$7,"OD",_xlfn.XLOOKUP(ID$7,SOP!$M$6:$BM$6,SOP!$M$14:$BM$14)))</f>
        <v>0.95</v>
      </c>
      <c r="IE26" s="606">
        <f>IF(IE$7&gt;$D$3,"",IF($FA24&lt;IE$7,"OD",_xlfn.XLOOKUP(IE$7,SOP!$M$6:$BM$6,SOP!$M$14:$BM$14)))</f>
        <v>0.95</v>
      </c>
      <c r="IF26" s="606">
        <f>IF(IF$7&gt;$D$3,"",IF($FA24&lt;IF$7,"OD",_xlfn.XLOOKUP(IF$7,SOP!$M$6:$BM$6,SOP!$M$14:$BM$14)))</f>
        <v>0.95</v>
      </c>
      <c r="IG26" s="606">
        <f>IF(IG$7&gt;$D$3,"",IF($FA24&lt;IG$7,"OD",_xlfn.XLOOKUP(IG$7,SOP!$M$6:$BM$6,SOP!$M$14:$BM$14)))</f>
        <v>0.95</v>
      </c>
      <c r="IH26" s="606">
        <f>IF(IH$7&gt;$D$3,"",IF($FA24&lt;IH$7,"OD",_xlfn.XLOOKUP(IH$7,SOP!$M$6:$BM$6,SOP!$M$14:$BM$14)))</f>
        <v>0.95</v>
      </c>
      <c r="II26" s="606">
        <f>IF(II$7&gt;$D$3,"",IF($FA24&lt;II$7,"OD",_xlfn.XLOOKUP(II$7,SOP!$M$6:$BM$6,SOP!$M$14:$BM$14)))</f>
        <v>0.95</v>
      </c>
      <c r="IJ26" s="606">
        <f>IF(IJ$7&gt;$D$3,"",IF($FA24&lt;IJ$7,"OD",_xlfn.XLOOKUP(IJ$7,SOP!$M$6:$BM$6,SOP!$M$14:$BM$14)))</f>
        <v>0.95</v>
      </c>
      <c r="IK26" s="606">
        <f>IF(IK$7&gt;$D$3,"",IF($FA24&lt;IK$7,"OD",_xlfn.XLOOKUP(IK$7,SOP!$M$6:$BM$6,SOP!$M$14:$BM$14)))</f>
        <v>0.95</v>
      </c>
      <c r="IL26" s="606">
        <f>IF(IL$7&gt;$D$3,"",IF($FA24&lt;IL$7,"OD",_xlfn.XLOOKUP(IL$7,SOP!$M$6:$BM$6,SOP!$M$14:$BM$14)))</f>
        <v>0.95</v>
      </c>
      <c r="IM26" s="606">
        <f>IF(IM$7&gt;$D$3,"",IF($FA24&lt;IM$7,"OD",_xlfn.XLOOKUP(IM$7,SOP!$M$6:$BM$6,SOP!$M$14:$BM$14)))</f>
        <v>0.95</v>
      </c>
      <c r="IN26" s="606">
        <f>IF(IN$7&gt;$D$3,"",IF($FA24&lt;IN$7,"OD",_xlfn.XLOOKUP(IN$7,SOP!$M$6:$BM$6,SOP!$M$14:$BM$14)))</f>
        <v>0.95</v>
      </c>
      <c r="IO26" s="606">
        <f>IF(IO$7&gt;$D$3,"",IF($FA24&lt;IO$7,"OD",_xlfn.XLOOKUP(IO$7,SOP!$M$6:$BM$6,SOP!$M$14:$BM$14)))</f>
        <v>0.95</v>
      </c>
      <c r="IP26" s="606">
        <f>IF(IP$7&gt;$D$3,"",IF($FA24&lt;IP$7,"OD",_xlfn.XLOOKUP(IP$7,SOP!$M$6:$BM$6,SOP!$M$14:$BM$14)))</f>
        <v>0.95</v>
      </c>
      <c r="IQ26" s="606">
        <f>IF(IQ$7&gt;$D$3,"",IF($FA24&lt;IQ$7,"OD",_xlfn.XLOOKUP(IQ$7,SOP!$M$6:$BM$6,SOP!$M$14:$BM$14)))</f>
        <v>0.95</v>
      </c>
      <c r="IR26" s="606">
        <f>IF(IR$7&gt;$D$3,"",IF($FA24&lt;IR$7,"OD",_xlfn.XLOOKUP(IR$7,SOP!$M$6:$BM$6,SOP!$M$14:$BM$14)))</f>
        <v>0.95</v>
      </c>
      <c r="IS26" s="606">
        <f>IF(IS$7&gt;$D$3,"",IF($FA24&lt;IS$7,"OD",_xlfn.XLOOKUP(IS$7,SOP!$M$6:$BM$6,SOP!$M$14:$BM$14)))</f>
        <v>0.95</v>
      </c>
      <c r="IT26" s="606">
        <f>IF(IT$7&gt;$D$3,"",IF($FA24&lt;IT$7,"OD",_xlfn.XLOOKUP(IT$7,SOP!$M$6:$BM$6,SOP!$M$14:$BM$14)))</f>
        <v>0.95</v>
      </c>
      <c r="IU26" s="606">
        <f>IF(IU$7&gt;$D$3,"",IF($FA24&lt;IU$7,"OD",_xlfn.XLOOKUP(IU$7,SOP!$M$6:$BM$6,SOP!$M$14:$BM$14)))</f>
        <v>0.95</v>
      </c>
      <c r="IV26" s="606">
        <f>IF(IV$7&gt;$D$3,"",IF($FA24&lt;IV$7,"OD",_xlfn.XLOOKUP(IV$7,SOP!$M$6:$BM$6,SOP!$M$14:$BM$14)))</f>
        <v>0.95</v>
      </c>
      <c r="IW26" s="606">
        <f>IF(IW$7&gt;$D$3,"",IF($FA24&lt;IW$7,"OD",_xlfn.XLOOKUP(IW$7,SOP!$M$6:$BM$6,SOP!$M$14:$BM$14)))</f>
        <v>0.95</v>
      </c>
      <c r="IX26" s="606">
        <f>IF(IX$7&gt;$D$3,"",IF($FA24&lt;IX$7,"OD",_xlfn.XLOOKUP(IX$7,SOP!$M$6:$BM$6,SOP!$M$14:$BM$14)))</f>
        <v>0.95</v>
      </c>
      <c r="IY26" s="606">
        <f>IF(IY$7&gt;$D$3,"",IF($FA24&lt;IY$7,"OD",_xlfn.XLOOKUP(IY$7,SOP!$M$6:$BM$6,SOP!$M$14:$BM$14)))</f>
        <v>0.95</v>
      </c>
      <c r="IZ26" s="606" t="str">
        <f>IF(IZ$7&gt;$D$3,"",IF($FA24&lt;IZ$7,"OD",_xlfn.XLOOKUP(IZ$7,SOP!$M$6:$BM$6,SOP!$M$14:$BM$14)))</f>
        <v/>
      </c>
      <c r="JA26" s="606" t="str">
        <f>IF(JA$7&gt;$D$3,"",IF($FA24&lt;JA$7,"OD",_xlfn.XLOOKUP(JA$7,SOP!$M$6:$BM$6,SOP!$M$14:$BM$14)))</f>
        <v/>
      </c>
      <c r="JB26" s="606" t="str">
        <f>IF(JB$7&gt;$D$3,"",IF($FA24&lt;JB$7,"OD",_xlfn.XLOOKUP(JB$7,SOP!$M$6:$BM$6,SOP!$M$14:$BM$14)))</f>
        <v/>
      </c>
      <c r="JC26" s="606" t="str">
        <f>IF(JC$7&gt;$D$3,"",IF($FA24&lt;JC$7,"OD",_xlfn.XLOOKUP(JC$7,SOP!$M$6:$BM$6,SOP!$M$14:$BM$14)))</f>
        <v/>
      </c>
      <c r="JD26" s="606" t="str">
        <f>IF(JD$7&gt;$D$3,"",IF($FA24&lt;JD$7,"OD",_xlfn.XLOOKUP(JD$7,SOP!$M$6:$BM$6,SOP!$M$14:$BM$14)))</f>
        <v/>
      </c>
      <c r="JE26" s="606" t="str">
        <f>IF(JE$7&gt;$D$3,"",IF($FA24&lt;JE$7,"OD",_xlfn.XLOOKUP(JE$7,SOP!$M$6:$BM$6,SOP!$M$14:$BM$14)))</f>
        <v/>
      </c>
      <c r="JF26" s="606" t="str">
        <f>IF(JF$7&gt;$D$3,"",IF($FA24&lt;JF$7,"OD",_xlfn.XLOOKUP(JF$7,SOP!$M$6:$BM$6,SOP!$M$14:$BM$14)))</f>
        <v/>
      </c>
      <c r="JG26" s="606" t="str">
        <f>IF(JG$7&gt;$D$3,"",IF($FA24&lt;JG$7,"OD",_xlfn.XLOOKUP(JG$7,SOP!$M$6:$BM$6,SOP!$M$14:$BM$14)))</f>
        <v/>
      </c>
      <c r="JH26" s="606" t="str">
        <f>IF(JH$7&gt;$D$3,"",IF($FA24&lt;JH$7,"OD",_xlfn.XLOOKUP(JH$7,SOP!$M$6:$BM$6,SOP!$M$14:$BM$14)))</f>
        <v/>
      </c>
      <c r="JI26" s="606" t="str">
        <f>IF(JI$7&gt;$D$3,"",IF($FA24&lt;JI$7,"OD",_xlfn.XLOOKUP(JI$7,SOP!$M$6:$BM$6,SOP!$M$14:$BM$14)))</f>
        <v/>
      </c>
      <c r="JJ26" s="606" t="str">
        <f>IF(JJ$7&gt;$D$3,"",IF($FA24&lt;JJ$7,"OD",_xlfn.XLOOKUP(JJ$7,SOP!$M$6:$BM$6,SOP!$M$14:$BM$14)))</f>
        <v/>
      </c>
      <c r="JM26" s="136" t="str">
        <f>+$C26</f>
        <v>KPI D2</v>
      </c>
      <c r="JN26" s="144" t="str">
        <f>+$D26</f>
        <v>Delivery</v>
      </c>
      <c r="JO26" s="144" t="str">
        <f t="shared" si="65"/>
        <v>Order Sign off On Target / In Full (OTIF) days to complete</v>
      </c>
      <c r="JP26" s="145" t="str">
        <f t="shared" si="66"/>
        <v>Percentage</v>
      </c>
      <c r="JQ26" s="145" t="s">
        <v>284</v>
      </c>
      <c r="JR26" s="606" t="str">
        <f>IFERROR(AVERAGE(FC26:$FC26),"")</f>
        <v/>
      </c>
      <c r="JS26" s="606">
        <f>IFERROR(AVERAGE($FC26:FD26),"")</f>
        <v>0.86928104575163401</v>
      </c>
      <c r="JT26" s="606">
        <f>IFERROR(AVERAGE($FC26:FE26),"")</f>
        <v>0.87638809569135101</v>
      </c>
      <c r="JU26" s="606">
        <f>IFERROR(AVERAGE($FC26:FF26),"")</f>
        <v>0.86342539712756727</v>
      </c>
      <c r="JV26" s="606">
        <f>IFERROR(AVERAGE($FC26:FG26),"")</f>
        <v>0.87582991741089289</v>
      </c>
      <c r="JW26" s="606">
        <f>IFERROR(AVERAGE($FC26:FH26),"")</f>
        <v>0.86206744270064417</v>
      </c>
      <c r="JX26" s="606">
        <f>IFERROR(AVERAGE($FC26:FI26),"")</f>
        <v>0.85564443754465447</v>
      </c>
      <c r="JY26" s="606">
        <f>IFERROR(AVERAGE($FC26:FJ26),"")</f>
        <v>0.84134602583192597</v>
      </c>
      <c r="JZ26" s="606">
        <f>IFERROR(AVERAGE($FC26:FK26),"")</f>
        <v>0.82271623414139683</v>
      </c>
      <c r="KA26" s="606">
        <f>IFERROR(AVERAGE($FC26:FL26),"")</f>
        <v>0.8119133410232896</v>
      </c>
      <c r="KB26" s="606">
        <f>IFERROR(AVERAGE($FC26:FM26),"")</f>
        <v>0.80155534025429398</v>
      </c>
      <c r="KC26" s="606">
        <f>IFERROR(AVERAGE($FC26:FN26),"")</f>
        <v>0.79893460684274664</v>
      </c>
      <c r="KD26" s="606">
        <f>IFERROR(AVERAGE($FC26:FO26),"")</f>
        <v>0.79049625782290533</v>
      </c>
      <c r="KE26" s="606">
        <f>IFERROR(AVERAGE($FC26:FP26),"")</f>
        <v>0.78563290931904539</v>
      </c>
      <c r="KF26" s="606">
        <f>IFERROR(AVERAGE($FC26:FQ26),"")</f>
        <v>0.7852305586533993</v>
      </c>
      <c r="KG26" s="606">
        <f>IFERROR(AVERAGE($FC26:FR26),"")</f>
        <v>0.77478661664793458</v>
      </c>
      <c r="KH26" s="606">
        <f>IFERROR(AVERAGE($FC26:FS26),"")</f>
        <v>0.7720355300305155</v>
      </c>
      <c r="KI26" s="606">
        <f>IFERROR(AVERAGE($FC26:FT26),"")</f>
        <v>0.76721819562109828</v>
      </c>
      <c r="KJ26" s="606">
        <f>IFERROR(AVERAGE($FC26:FU26),"")</f>
        <v>0.76410113537054336</v>
      </c>
      <c r="KK26" s="606">
        <f>IFERROR(AVERAGE($FC26:FV26),"")</f>
        <v>0.7664918024312416</v>
      </c>
      <c r="KL26" s="606">
        <f>IFERROR(AVERAGE($FC26:FW26),"")</f>
        <v>0.77306517149335297</v>
      </c>
      <c r="KM26" s="606">
        <f>IFERROR(AVERAGE($FC26:FX26),"")</f>
        <v>0.76867402350937364</v>
      </c>
      <c r="KN26" s="606">
        <f>IFERROR(AVERAGE($FC26:FY26),"")</f>
        <v>0.76555247698622031</v>
      </c>
      <c r="KO26" s="606">
        <f>IFERROR(AVERAGE($FC26:FZ26),"")</f>
        <v>0.76546916771013962</v>
      </c>
      <c r="KP26" s="606">
        <f>IFERROR(AVERAGE($FC26:GA26),"")</f>
        <v>0.76198370996464149</v>
      </c>
      <c r="KQ26" s="606">
        <f>IFERROR(AVERAGE($FC26:GB26),"")</f>
        <v>0.75962936156605576</v>
      </c>
      <c r="KR26" s="606">
        <f>IFERROR(AVERAGE($FC26:GC26),"")</f>
        <v>0.75534162258844395</v>
      </c>
      <c r="KS26" s="606">
        <f>IFERROR(AVERAGE($FC26:GD26),"")</f>
        <v>0.75079760179718635</v>
      </c>
      <c r="KT26" s="606">
        <f>IFERROR(AVERAGE($FC26:GE26),"")</f>
        <v>0.74504567279527223</v>
      </c>
      <c r="KU26" s="606">
        <f>IFERROR(AVERAGE($FC26:GF26),"")</f>
        <v>0.74173798776845401</v>
      </c>
      <c r="KV26" s="606">
        <f>IFERROR(AVERAGE($FC26:GG26),"")</f>
        <v>0.73440469252399831</v>
      </c>
      <c r="KW26" s="606">
        <f>IFERROR(AVERAGE($FC26:GH26),"")</f>
        <v>0.73507234892052498</v>
      </c>
      <c r="KX26" s="606">
        <f>IFERROR(AVERAGE($FC26:GI26),"")</f>
        <v>0.73640689357231415</v>
      </c>
      <c r="KY26" s="606">
        <f>IFERROR(AVERAGE($FC26:GJ26),"")</f>
        <v>0.73988134618488743</v>
      </c>
      <c r="KZ26" s="606">
        <f>IFERROR(AVERAGE($FC26:GK26),"")</f>
        <v>0.7418129405781424</v>
      </c>
      <c r="LA26" s="606">
        <f>IFERROR(AVERAGE($FC26:GL26),"")</f>
        <v>0.74317467611049626</v>
      </c>
      <c r="LB26" s="606">
        <f>IFERROR(AVERAGE($FC26:GM26),"")</f>
        <v>0.73789736536747419</v>
      </c>
      <c r="LC26" s="606">
        <f>IFERROR(AVERAGE($FC26:GN26),"")</f>
        <v>0.73975018286844041</v>
      </c>
      <c r="LD26" s="606">
        <f>IFERROR(AVERAGE($FC26:GO26),"")</f>
        <v>0.74001991489821828</v>
      </c>
      <c r="LE26" s="606">
        <f>IFERROR(AVERAGE($FC26:GP26),"")</f>
        <v>0.74454931878971697</v>
      </c>
      <c r="LF26" s="606">
        <f>IFERROR(AVERAGE($FC26:GQ26),"")</f>
        <v>0.74781058581997406</v>
      </c>
      <c r="LG26" s="606">
        <f>IFERROR(AVERAGE($FC26:GR26),"")</f>
        <v>0.75396154714143815</v>
      </c>
      <c r="LH26" s="606">
        <f>IFERROR(AVERAGE($FC26:GS26),"")</f>
        <v>0.75396154714143815</v>
      </c>
      <c r="LI26" s="606">
        <f>IFERROR(AVERAGE($FC26:GT26),"")</f>
        <v>0.75396154714143815</v>
      </c>
      <c r="LJ26" s="606">
        <f>IFERROR(AVERAGE($FC26:GU26),"")</f>
        <v>0.75396154714143815</v>
      </c>
      <c r="LK26" s="606">
        <f>IFERROR(AVERAGE($FC26:GV26),"")</f>
        <v>0.75396154714143815</v>
      </c>
      <c r="LL26" s="606">
        <f>IFERROR(AVERAGE($FC26:GW26),"")</f>
        <v>0.75396154714143815</v>
      </c>
      <c r="LM26" s="606">
        <f>IFERROR(AVERAGE($FC26:GX26),"")</f>
        <v>0.75396154714143815</v>
      </c>
      <c r="LN26" s="606">
        <f>IFERROR(AVERAGE($FC26:GY26),"")</f>
        <v>0.75396154714143815</v>
      </c>
      <c r="LO26" s="606">
        <f>IFERROR(AVERAGE($FC26:GZ26),"")</f>
        <v>0.75396154714143815</v>
      </c>
      <c r="LP26" s="606">
        <f>IFERROR(AVERAGE($FC26:HA26),"")</f>
        <v>0.75396154714143815</v>
      </c>
      <c r="LQ26" s="606">
        <f>IFERROR(AVERAGE($FC26:HB26),"")</f>
        <v>0.75396154714143815</v>
      </c>
      <c r="LR26" s="606">
        <f>IFERROR(AVERAGE($FC26:HC26),"")</f>
        <v>0.75396154714143815</v>
      </c>
      <c r="LT26" s="136" t="str">
        <f>+$C26</f>
        <v>KPI D2</v>
      </c>
      <c r="LU26" s="144" t="str">
        <f>+$D26</f>
        <v>Delivery</v>
      </c>
      <c r="LV26" s="144" t="str">
        <f t="shared" si="69"/>
        <v>Order Sign off On Target / In Full (OTIF) days to complete</v>
      </c>
      <c r="LW26" s="145" t="str">
        <f t="shared" si="70"/>
        <v>Percentage</v>
      </c>
      <c r="LX26" s="145" t="s">
        <v>285</v>
      </c>
      <c r="LY26" s="606" t="str">
        <f>IFERROR(AVERAGE($HJ26:HJ26),"")</f>
        <v/>
      </c>
      <c r="LZ26" s="606">
        <f>IFERROR(IF(LAD$7&gt;$D$3,"",AVERAGE($HJ26:HK26)),"")</f>
        <v>0.95</v>
      </c>
      <c r="MA26" s="606">
        <f>IFERROR(IF(MA$7&gt;$D$3,"",AVERAGE($HJ26:HL26)),"")</f>
        <v>0.95</v>
      </c>
      <c r="MB26" s="606">
        <f>IFERROR(IF(MB$7&gt;$D$3,"",AVERAGE($HJ26:HM26)),"")</f>
        <v>0.94999999999999984</v>
      </c>
      <c r="MC26" s="606">
        <f>IFERROR(IF(MC$7&gt;$D$3,"",AVERAGE($HJ26:HN26)),"")</f>
        <v>0.95</v>
      </c>
      <c r="MD26" s="606">
        <f>IFERROR(IF(MD$7&gt;$D$3,"",AVERAGE($HJ26:HO26)),"")</f>
        <v>0.95</v>
      </c>
      <c r="ME26" s="606">
        <f>IFERROR(IF(ME$7&gt;$D$3,"",AVERAGE($HJ26:HP26)),"")</f>
        <v>0.95000000000000007</v>
      </c>
      <c r="MF26" s="606">
        <f>IFERROR(IF(MF$7&gt;$D$3,"",AVERAGE($HJ26:HQ26)),"")</f>
        <v>0.95000000000000007</v>
      </c>
      <c r="MG26" s="606">
        <f>IFERROR(IF(MG$7&gt;$D$3,"",AVERAGE($HJ26:HR26)),"")</f>
        <v>0.95000000000000007</v>
      </c>
      <c r="MH26" s="606">
        <f>IFERROR(IF(MH$7&gt;$D$3,"",AVERAGE($HJ26:HS26)),"")</f>
        <v>0.95000000000000007</v>
      </c>
      <c r="MI26" s="606">
        <f>IFERROR(IF(MI$7&gt;$D$3,"",AVERAGE($HJ26:HT26)),"")</f>
        <v>0.95</v>
      </c>
      <c r="MJ26" s="606">
        <f>IFERROR(IF(MJ$7&gt;$D$3,"",AVERAGE($HJ26:HU26)),"")</f>
        <v>0.95</v>
      </c>
      <c r="MK26" s="606">
        <f>IFERROR(IF(MK$7&gt;$D$3,"",AVERAGE($HJ26:HV26)),"")</f>
        <v>0.94999999999999984</v>
      </c>
      <c r="ML26" s="606">
        <f>IFERROR(IF(ML$7&gt;$D$3,"",AVERAGE($HJ26:HW26)),"")</f>
        <v>0.94999999999999984</v>
      </c>
      <c r="MM26" s="606">
        <f>IFERROR(IF(MM$7&gt;$D$3,"",AVERAGE($HJ26:HX26)),"")</f>
        <v>0.94999999999999984</v>
      </c>
      <c r="MN26" s="606">
        <f>IFERROR(IF(MN$7&gt;$D$3,"",AVERAGE($HJ26:HY26)),"")</f>
        <v>0.94999999999999973</v>
      </c>
      <c r="MO26" s="606">
        <f>IFERROR(IF(MO$7&gt;$D$3,"",AVERAGE($HJ26:HZ26)),"")</f>
        <v>0.94999999999999973</v>
      </c>
      <c r="MP26" s="606">
        <f>IFERROR(IF(MP$7&gt;$D$3,"",AVERAGE($HJ26:IA26)),"")</f>
        <v>0.94999999999999973</v>
      </c>
      <c r="MQ26" s="606">
        <f>IFERROR(IF(MQ$7&gt;$D$3,"",AVERAGE($HJ26:IB26)),"")</f>
        <v>0.94999999999999973</v>
      </c>
      <c r="MR26" s="606">
        <f>IFERROR(IF(MR$7&gt;$D$3,"",AVERAGE($HJ26:IC26)),"")</f>
        <v>0.94999999999999962</v>
      </c>
      <c r="MS26" s="606">
        <f>IFERROR(IF(MS$7&gt;$D$3,"",AVERAGE($HJ26:ID26)),"")</f>
        <v>0.94999999999999962</v>
      </c>
      <c r="MT26" s="606">
        <f>IFERROR(IF(MT$7&gt;$D$3,"",AVERAGE($HJ26:IE26)),"")</f>
        <v>0.94999999999999962</v>
      </c>
      <c r="MU26" s="606">
        <f>IFERROR(IF(MU$7&gt;$D$3,"",AVERAGE($HJ26:IF26)),"")</f>
        <v>0.94999999999999962</v>
      </c>
      <c r="MV26" s="606">
        <f>IFERROR(IF(MV$7&gt;$D$3,"",AVERAGE($HJ26:IG26)),"")</f>
        <v>0.94999999999999962</v>
      </c>
      <c r="MW26" s="606">
        <f>IFERROR(IF(MW$7&gt;$D$3,"",AVERAGE($HJ26:IH26)),"")</f>
        <v>0.94999999999999962</v>
      </c>
      <c r="MX26" s="606">
        <f>IFERROR(IF(MX$7&gt;$D$3,"",AVERAGE($HJ26:II26)),"")</f>
        <v>0.94999999999999962</v>
      </c>
      <c r="MY26" s="606">
        <f>IFERROR(IF(MY$7&gt;$D$3,"",AVERAGE($HJ26:IJ26)),"")</f>
        <v>0.94999999999999951</v>
      </c>
      <c r="MZ26" s="606">
        <f>IFERROR(IF(MZ$7&gt;$D$3,"",AVERAGE($HJ26:IK26)),"")</f>
        <v>0.94999999999999951</v>
      </c>
      <c r="NA26" s="606">
        <f>IFERROR(IF(NA$7&gt;$D$3,"",AVERAGE($HJ26:IL26)),"")</f>
        <v>0.94999999999999951</v>
      </c>
      <c r="NB26" s="606">
        <f>IFERROR(IF(NB$7&gt;$D$3,"",AVERAGE($HJ26:IM26)),"")</f>
        <v>0.94999999999999951</v>
      </c>
      <c r="NC26" s="606">
        <f>IFERROR(IF(NC$7&gt;$D$3,"",AVERAGE($HJ26:IN26)),"")</f>
        <v>0.94999999999999951</v>
      </c>
      <c r="ND26" s="606">
        <f>IFERROR(IF(ND$7&gt;$D$3,"",AVERAGE($HJ26:IO26)),"")</f>
        <v>0.94999999999999951</v>
      </c>
      <c r="NE26" s="606">
        <f>IFERROR(IF(NE$7&gt;$D$3,"",AVERAGE($HJ26:IP26)),"")</f>
        <v>0.94999999999999951</v>
      </c>
      <c r="NF26" s="606">
        <f>IFERROR(IF(NF$7&gt;$D$3,"",AVERAGE($HJ26:IQ26)),"")</f>
        <v>0.94999999999999951</v>
      </c>
      <c r="NG26" s="606">
        <f>IFERROR(IF(NG$7&gt;$D$3,"",AVERAGE($HJ26:IR26)),"")</f>
        <v>0.94999999999999951</v>
      </c>
      <c r="NH26" s="606">
        <f>IFERROR(IF(NH$7&gt;$D$3,"",AVERAGE($HJ26:IS26)),"")</f>
        <v>0.94999999999999962</v>
      </c>
      <c r="NI26" s="606">
        <f>IFERROR(IF(NI$7&gt;$D$3,"",AVERAGE($HJ26:IT26)),"")</f>
        <v>0.94999999999999973</v>
      </c>
      <c r="NJ26" s="606">
        <f>IFERROR(IF(NJ$7&gt;$D$3,"",AVERAGE($HJ26:IU26)),"")</f>
        <v>0.94999999999999973</v>
      </c>
      <c r="NK26" s="606">
        <f>IFERROR(IF(NK$7&gt;$D$3,"",AVERAGE($HJ26:IV26)),"")</f>
        <v>0.94999999999999984</v>
      </c>
      <c r="NL26" s="606">
        <f>IFERROR(IF(NL$7&gt;$D$3,"",AVERAGE($HJ26:IW26)),"")</f>
        <v>0.95</v>
      </c>
      <c r="NM26" s="606">
        <f>IFERROR(IF(NM$7&gt;$D$3,"",AVERAGE($HJ26:IX26)),"")</f>
        <v>0.95</v>
      </c>
      <c r="NN26" s="606">
        <f>IFERROR(IF(NN$7&gt;$D$3,"",AVERAGE($HJ26:IY26)),"")</f>
        <v>0.95000000000000007</v>
      </c>
      <c r="NO26" s="606" t="str">
        <f>IFERROR(IF(NO$7&gt;$D$3,"",AVERAGE($HJ26:IZ26)),"")</f>
        <v/>
      </c>
      <c r="NP26" s="606" t="str">
        <f>IFERROR(IF(NP$7&gt;$D$3,"",AVERAGE($HJ26:JA26)),"")</f>
        <v/>
      </c>
      <c r="NQ26" s="606" t="str">
        <f>IFERROR(IF(NQ$7&gt;$D$3,"",AVERAGE($HJ26:JB26)),"")</f>
        <v/>
      </c>
      <c r="NR26" s="606" t="str">
        <f>IFERROR(IF(NR$7&gt;$D$3,"",AVERAGE($HJ26:JC26)),"")</f>
        <v/>
      </c>
      <c r="NS26" s="606" t="str">
        <f>IFERROR(IF(NS$7&gt;$D$3,"",AVERAGE($HJ26:JD26)),"")</f>
        <v/>
      </c>
      <c r="NT26" s="606" t="str">
        <f>IFERROR(IF(NT$7&gt;$D$3,"",AVERAGE($HJ26:JE26)),"")</f>
        <v/>
      </c>
      <c r="NU26" s="606" t="str">
        <f>IFERROR(IF(NU$7&gt;$D$3,"",AVERAGE($HJ26:JF26)),"")</f>
        <v/>
      </c>
      <c r="NV26" s="606" t="str">
        <f>IFERROR(IF(NV$7&gt;$D$3,"",AVERAGE($HJ26:JG26)),"")</f>
        <v/>
      </c>
      <c r="NW26" s="606" t="str">
        <f>IFERROR(IF(NW$7&gt;$D$3,"",AVERAGE($HJ26:JH26)),"")</f>
        <v/>
      </c>
      <c r="NX26" s="606" t="str">
        <f>IFERROR(IF(NX$7&gt;$D$3,"",AVERAGE($HJ26:JI26)),"")</f>
        <v/>
      </c>
      <c r="NY26" s="606" t="str">
        <f>IFERROR(IF(NY$7&gt;$D$3,"",AVERAGE($HJ26:JJ26)),"")</f>
        <v/>
      </c>
    </row>
    <row r="27" spans="1:389" x14ac:dyDescent="0.3">
      <c r="A27" t="str">
        <f>$B$23&amp;"-"&amp;C27</f>
        <v>SOP-KPI Q1</v>
      </c>
      <c r="B27" s="918">
        <f>+'KPI Stats'!B26</f>
        <v>0</v>
      </c>
      <c r="C27" s="136" t="str">
        <f>+'KPI Stats'!C26</f>
        <v>KPI Q1</v>
      </c>
      <c r="D27" s="144" t="str">
        <f>+'KPI Stats'!D26</f>
        <v>Quality</v>
      </c>
      <c r="E27" s="144" t="str">
        <f>+'KPI Stats'!E26</f>
        <v>Customer Complaints</v>
      </c>
      <c r="F27" s="145" t="str">
        <f>+'KPI Stats'!F26</f>
        <v>Count</v>
      </c>
      <c r="G27" s="169" t="str">
        <f>+'KPI Stats'!G26</f>
        <v>Above Zero</v>
      </c>
      <c r="J27" s="69" t="str">
        <f>_xlfn.XLOOKUP(J$7,$AM$7:$CM$7,$AM27:$CM27,,FALSE)</f>
        <v>G</v>
      </c>
      <c r="K27" s="264">
        <f>_xlfn.XLOOKUP(K$7,$FC$7:$HC$7,$FC27:$HC27,,FALSE)</f>
        <v>0</v>
      </c>
      <c r="L27" s="278">
        <f>_xlfn.XLOOKUP(L$7,$HJ$7:$JJ$7,$HJ27:$JJ27,,FALSE)</f>
        <v>0</v>
      </c>
      <c r="M27" s="372" t="s">
        <v>295</v>
      </c>
      <c r="P27" s="69" t="str">
        <f>_xlfn.XLOOKUP(P$7,$AM$7:$CM$7,$AM27:$CM27,,FALSE)</f>
        <v>G</v>
      </c>
      <c r="Q27" s="264">
        <f t="shared" si="73"/>
        <v>0</v>
      </c>
      <c r="R27" s="278">
        <f t="shared" si="73"/>
        <v>4</v>
      </c>
      <c r="S27" s="288" t="s">
        <v>295</v>
      </c>
      <c r="T27" s="374" t="s">
        <v>295</v>
      </c>
      <c r="U27" s="295" t="str">
        <f>IF(F23&lt;$R$2,"Not Complete",IF(Q27=R27,"Same −",IF($G27="Over",IF(Q27&lt;R27,"Better ↑","Worse ↓"),IF($G27="Above Zero",IF(Q27&lt;R27,"Better ↑","Worse ↓"),IF($G27="Under",IF(Q27&gt;R27,"Better ↑","Worse ↓"),IF(G27="Above Zero",IF(Q27&lt;R27,"Better ↑","Worse ↓"),"err"))))))</f>
        <v>Better ↑</v>
      </c>
      <c r="X27" s="69" t="str">
        <f t="shared" si="75"/>
        <v>R</v>
      </c>
      <c r="Y27" s="264">
        <f>_xlfn.XLOOKUP(Y$7,$JR$7:$LR$7,$JR27:$LR27,FALSE)</f>
        <v>1.631578947368421</v>
      </c>
      <c r="Z27" s="278">
        <f>_xlfn.XLOOKUP(Z$7,$LY$7:$NY$7,$LY27:$NY27,FALSE)</f>
        <v>0</v>
      </c>
      <c r="AA27" s="375" t="s">
        <v>295</v>
      </c>
      <c r="AB27" s="295" t="str">
        <f>IF(F23&lt;$R$2,"TBC",IF(Y27=Z27,"Same −",IF($G27="Over",IF(Z27&lt;Y27,"Better ↑ ","Worse ↓ "),IF($G27="Under",IF(Y27&gt;Z27,"Better ↑ ","Worse ↓ "),IF(G27="Above Zero",IF(Y27&lt;Z27,"Better ↑","Worse ↓"),"err")))))</f>
        <v>Worse ↓</v>
      </c>
      <c r="AC27" s="69" t="str">
        <f>IF(AND(G27="above adero",AD27&gt;0),"R",IF(AF27&gt;1,"G",IF(AF27&gt;0.95,"A","R")))</f>
        <v>G</v>
      </c>
      <c r="AD27" s="264">
        <f>_xlfn.XLOOKUP(AD$7,$JR$7:$LR$7,$JR27:$LR27,FALSE)</f>
        <v>1.6756756756756757</v>
      </c>
      <c r="AE27" s="278">
        <f>_xlfn.XLOOKUP(AE$7,$LY$7:$NY$7,$LY27:$NY27,FALSE)</f>
        <v>0</v>
      </c>
      <c r="AF27" s="275" t="s">
        <v>295</v>
      </c>
      <c r="AH27" s="465" t="str">
        <f>+$A27</f>
        <v>SOP-KPI Q1</v>
      </c>
      <c r="AI27" s="136" t="str">
        <f t="shared" si="76"/>
        <v>KPI Q1</v>
      </c>
      <c r="AJ27" s="144" t="str">
        <f t="shared" si="76"/>
        <v>Quality</v>
      </c>
      <c r="AK27" s="144" t="str">
        <f t="shared" si="52"/>
        <v>Customer Complaints</v>
      </c>
      <c r="AL27" s="145" t="str">
        <f t="shared" si="52"/>
        <v>Count</v>
      </c>
      <c r="AM27" s="69" t="str">
        <f>IF(AM$7&gt;$D$3,"",_xlfn.XLOOKUP(AM$7,SOP!$M$6:$BM$6,SOP!$M$19:$BM$19))</f>
        <v>Blank</v>
      </c>
      <c r="AN27" s="199" t="str">
        <f>IF(AN$7&gt;$D$3,"",_xlfn.XLOOKUP(AN$7,SOP!$M$6:$BM$6,SOP!$M$19:$BM$19))</f>
        <v>Missed</v>
      </c>
      <c r="AO27" s="69" t="str">
        <f>IF(AO$7&gt;$D$3,"",_xlfn.XLOOKUP(AO$7,SOP!$M$6:$BM$6,SOP!$M$19:$BM$19))</f>
        <v>Missed</v>
      </c>
      <c r="AP27" s="69" t="str">
        <f>IF(AP$7&gt;$D$3,"",_xlfn.XLOOKUP(AP$7,SOP!$M$6:$BM$6,SOP!$M$19:$BM$19))</f>
        <v>Missed</v>
      </c>
      <c r="AQ27" s="69" t="str">
        <f>IF(AQ$7&gt;$D$3,"",_xlfn.XLOOKUP(AQ$7,SOP!$M$6:$BM$6,SOP!$M$19:$BM$19))</f>
        <v>R</v>
      </c>
      <c r="AR27" s="69" t="str">
        <f>IF(AR$7&gt;$D$3,"",_xlfn.XLOOKUP(AR$7,SOP!$M$6:$BM$6,SOP!$M$19:$BM$19))</f>
        <v>G</v>
      </c>
      <c r="AS27" s="69" t="str">
        <f>IF(AS$7&gt;$D$3,"",_xlfn.XLOOKUP(AS$7,SOP!$M$6:$BM$6,SOP!$M$19:$BM$19))</f>
        <v>R</v>
      </c>
      <c r="AT27" s="69" t="str">
        <f>IF(AT$7&gt;$D$3,"",_xlfn.XLOOKUP(AT$7,SOP!$M$6:$BM$6,SOP!$M$19:$BM$19))</f>
        <v>R</v>
      </c>
      <c r="AU27" s="69" t="str">
        <f>IF(AU$7&gt;$D$3,"",_xlfn.XLOOKUP(AU$7,SOP!$M$6:$BM$6,SOP!$M$19:$BM$19))</f>
        <v>R</v>
      </c>
      <c r="AV27" s="69" t="str">
        <f>IF(AV$7&gt;$D$3,"",_xlfn.XLOOKUP(AV$7,SOP!$M$6:$BM$6,SOP!$M$19:$BM$19))</f>
        <v>R</v>
      </c>
      <c r="AW27" s="69" t="str">
        <f>IF(AW$7&gt;$D$3,"",_xlfn.XLOOKUP(AW$7,SOP!$M$6:$BM$6,SOP!$M$19:$BM$19))</f>
        <v>R</v>
      </c>
      <c r="AX27" s="69" t="str">
        <f>IF(AX$7&gt;$D$3,"",_xlfn.XLOOKUP(AX$7,SOP!$M$6:$BM$6,SOP!$M$19:$BM$19))</f>
        <v>R</v>
      </c>
      <c r="AY27" s="69" t="str">
        <f>IF(AY$7&gt;$D$3,"",_xlfn.XLOOKUP(AY$7,SOP!$M$6:$BM$6,SOP!$M$19:$BM$19))</f>
        <v>R</v>
      </c>
      <c r="AZ27" s="69" t="str">
        <f>IF(AZ$7&gt;$D$3,"",_xlfn.XLOOKUP(AZ$7,SOP!$M$6:$BM$6,SOP!$M$19:$BM$19))</f>
        <v>G</v>
      </c>
      <c r="BA27" s="69" t="str">
        <f>IF(BA$7&gt;$D$3,"",_xlfn.XLOOKUP(BA$7,SOP!$M$6:$BM$6,SOP!$M$19:$BM$19))</f>
        <v>R</v>
      </c>
      <c r="BB27" s="69" t="str">
        <f>IF(BB$7&gt;$D$3,"",_xlfn.XLOOKUP(BB$7,SOP!$M$6:$BM$6,SOP!$M$19:$BM$19))</f>
        <v>R</v>
      </c>
      <c r="BC27" s="69" t="str">
        <f>IF(BC$7&gt;$D$3,"",_xlfn.XLOOKUP(BC$7,SOP!$M$6:$BM$6,SOP!$M$19:$BM$19))</f>
        <v>R</v>
      </c>
      <c r="BD27" s="69" t="str">
        <f>IF(BD$7&gt;$D$3,"",_xlfn.XLOOKUP(BD$7,SOP!$M$6:$BM$6,SOP!$M$19:$BM$19))</f>
        <v>R</v>
      </c>
      <c r="BE27" s="69" t="str">
        <f>IF(BE$7&gt;$D$3,"",_xlfn.XLOOKUP(BE$7,SOP!$M$6:$BM$6,SOP!$M$19:$BM$19))</f>
        <v>R</v>
      </c>
      <c r="BF27" s="69" t="str">
        <f>IF(BF$7&gt;$D$3,"",_xlfn.XLOOKUP(BF$7,SOP!$M$6:$BM$6,SOP!$M$19:$BM$19))</f>
        <v>R</v>
      </c>
      <c r="BG27" s="69" t="str">
        <f>IF(BG$7&gt;$D$3,"",_xlfn.XLOOKUP(BG$7,SOP!$M$6:$BM$6,SOP!$M$19:$BM$19))</f>
        <v>R</v>
      </c>
      <c r="BH27" s="69" t="str">
        <f>IF(BH$7&gt;$D$3,"",_xlfn.XLOOKUP(BH$7,SOP!$M$6:$BM$6,SOP!$M$19:$BM$19))</f>
        <v>G</v>
      </c>
      <c r="BI27" s="69" t="str">
        <f>IF(BI$7&gt;$D$3,"",_xlfn.XLOOKUP(BI$7,SOP!$M$6:$BM$6,SOP!$M$19:$BM$19))</f>
        <v>R</v>
      </c>
      <c r="BJ27" s="69" t="str">
        <f>IF(BJ$7&gt;$D$3,"",_xlfn.XLOOKUP(BJ$7,SOP!$M$6:$BM$6,SOP!$M$19:$BM$19))</f>
        <v>R</v>
      </c>
      <c r="BK27" s="69" t="str">
        <f>IF(BK$7&gt;$D$3,"",_xlfn.XLOOKUP(BK$7,SOP!$M$6:$BM$6,SOP!$M$19:$BM$19))</f>
        <v>R</v>
      </c>
      <c r="BL27" s="69" t="str">
        <f>IF(BL$7&gt;$D$3,"",_xlfn.XLOOKUP(BL$7,SOP!$M$6:$BM$6,SOP!$M$19:$BM$19))</f>
        <v>R</v>
      </c>
      <c r="BM27" s="69" t="str">
        <f>IF(BM$7&gt;$D$3,"",_xlfn.XLOOKUP(BM$7,SOP!$M$6:$BM$6,SOP!$M$19:$BM$19))</f>
        <v>R</v>
      </c>
      <c r="BN27" s="69" t="str">
        <f>IF(BN$7&gt;$D$3,"",_xlfn.XLOOKUP(BN$7,SOP!$M$6:$BM$6,SOP!$M$19:$BM$19))</f>
        <v>G</v>
      </c>
      <c r="BO27" s="69" t="str">
        <f>IF(BO$7&gt;$D$3,"",_xlfn.XLOOKUP(BO$7,SOP!$M$6:$BM$6,SOP!$M$19:$BM$19))</f>
        <v>R</v>
      </c>
      <c r="BP27" s="69" t="str">
        <f>IF(BP$7&gt;$D$3,"",_xlfn.XLOOKUP(BP$7,SOP!$M$6:$BM$6,SOP!$M$19:$BM$19))</f>
        <v>R</v>
      </c>
      <c r="BQ27" s="69" t="str">
        <f>IF(BQ$7&gt;$D$3,"",_xlfn.XLOOKUP(BQ$7,SOP!$M$6:$BM$6,SOP!$M$19:$BM$19))</f>
        <v>R</v>
      </c>
      <c r="BR27" s="69" t="str">
        <f>IF(BR$7&gt;$D$3,"",_xlfn.XLOOKUP(BR$7,SOP!$M$6:$BM$6,SOP!$M$19:$BM$19))</f>
        <v>R</v>
      </c>
      <c r="BS27" s="69" t="str">
        <f>IF(BS$7&gt;$D$3,"",_xlfn.XLOOKUP(BS$7,SOP!$M$6:$BM$6,SOP!$M$19:$BM$19))</f>
        <v>R</v>
      </c>
      <c r="BT27" s="69" t="str">
        <f>IF(BT$7&gt;$D$3,"",_xlfn.XLOOKUP(BT$7,SOP!$M$6:$BM$6,SOP!$M$19:$BM$19))</f>
        <v>R</v>
      </c>
      <c r="BU27" s="69" t="str">
        <f>IF(BU$7&gt;$D$3,"",_xlfn.XLOOKUP(BU$7,SOP!$M$6:$BM$6,SOP!$M$19:$BM$19))</f>
        <v>R</v>
      </c>
      <c r="BV27" s="69" t="str">
        <f>IF(BV$7&gt;$D$3,"",_xlfn.XLOOKUP(BV$7,SOP!$M$6:$BM$6,SOP!$M$19:$BM$19))</f>
        <v>R</v>
      </c>
      <c r="BW27" s="69" t="str">
        <f>IF(BW$7&gt;$D$3,"",_xlfn.XLOOKUP(BW$7,SOP!$M$6:$BM$6,SOP!$M$19:$BM$19))</f>
        <v>G</v>
      </c>
      <c r="BX27" s="69" t="str">
        <f>IF(BX$7&gt;$D$3,"",_xlfn.XLOOKUP(BX$7,SOP!$M$6:$BM$6,SOP!$M$19:$BM$19))</f>
        <v>R</v>
      </c>
      <c r="BY27" s="69" t="str">
        <f>IF(BY$7&gt;$D$3,"",_xlfn.XLOOKUP(BY$7,SOP!$M$6:$BM$6,SOP!$M$19:$BM$19))</f>
        <v>R</v>
      </c>
      <c r="BZ27" s="69" t="str">
        <f>IF(BZ$7&gt;$D$3,"",_xlfn.XLOOKUP(BZ$7,SOP!$M$6:$BM$6,SOP!$M$19:$BM$19))</f>
        <v>R</v>
      </c>
      <c r="CA27" s="69" t="str">
        <f>IF(CA$7&gt;$D$3,"",_xlfn.XLOOKUP(CA$7,SOP!$M$6:$BM$6,SOP!$M$19:$BM$19))</f>
        <v>R</v>
      </c>
      <c r="CB27" s="69" t="str">
        <f>IF(CB$7&gt;$D$3,"",_xlfn.XLOOKUP(CB$7,SOP!$M$6:$BM$6,SOP!$M$19:$BM$19))</f>
        <v>G</v>
      </c>
      <c r="CC27" s="69" t="str">
        <f>IF(CC$7&gt;$D$3,"",_xlfn.XLOOKUP(CC$7,SOP!$M$6:$BM$6,SOP!$M$19:$BM$19))</f>
        <v/>
      </c>
      <c r="CD27" s="69" t="str">
        <f>IF(CD$7&gt;$D$3,"",_xlfn.XLOOKUP(CD$7,SOP!$M$6:$BM$6,SOP!$M$19:$BM$19))</f>
        <v/>
      </c>
      <c r="CE27" s="69" t="str">
        <f>IF(CE$7&gt;$D$3,"",_xlfn.XLOOKUP(CE$7,SOP!$M$6:$BM$6,SOP!$M$19:$BM$19))</f>
        <v/>
      </c>
      <c r="CF27" s="69" t="str">
        <f>IF(CF$7&gt;$D$3,"",_xlfn.XLOOKUP(CF$7,SOP!$M$6:$BM$6,SOP!$M$19:$BM$19))</f>
        <v/>
      </c>
      <c r="CG27" s="69" t="str">
        <f>IF(CG$7&gt;$D$3,"",_xlfn.XLOOKUP(CG$7,SOP!$M$6:$BM$6,SOP!$M$19:$BM$19))</f>
        <v/>
      </c>
      <c r="CH27" s="69" t="str">
        <f>IF(CH$7&gt;$D$3,"",_xlfn.XLOOKUP(CH$7,SOP!$M$6:$BM$6,SOP!$M$19:$BM$19))</f>
        <v/>
      </c>
      <c r="CI27" s="69" t="str">
        <f>IF(CI$7&gt;$D$3,"",_xlfn.XLOOKUP(CI$7,SOP!$M$6:$BM$6,SOP!$M$19:$BM$19))</f>
        <v/>
      </c>
      <c r="CJ27" s="69" t="str">
        <f>IF(CJ$7&gt;$D$3,"",_xlfn.XLOOKUP(CJ$7,SOP!$M$6:$BM$6,SOP!$M$19:$BM$19))</f>
        <v/>
      </c>
      <c r="CK27" s="69" t="str">
        <f>IF(CK$7&gt;$D$3,"",_xlfn.XLOOKUP(CK$7,SOP!$M$6:$BM$6,SOP!$M$19:$BM$19))</f>
        <v/>
      </c>
      <c r="CL27" s="69" t="str">
        <f>IF(CL$7&gt;$D$3,"",_xlfn.XLOOKUP(CL$7,SOP!$M$6:$BM$6,SOP!$M$19:$BM$19))</f>
        <v/>
      </c>
      <c r="CM27" s="69" t="str">
        <f>IF(CM$7&gt;$D$3,"",_xlfn.XLOOKUP(CM$7,SOP!$M$6:$BM$6,SOP!$M$19:$BM$19))</f>
        <v/>
      </c>
      <c r="CO27" s="465" t="str">
        <f>+$A27</f>
        <v>SOP-KPI Q1</v>
      </c>
      <c r="CP27" s="136" t="str">
        <f t="shared" si="77"/>
        <v>KPI Q1</v>
      </c>
      <c r="CQ27" s="144" t="str">
        <f t="shared" si="77"/>
        <v>Quality</v>
      </c>
      <c r="CR27" s="144" t="str">
        <f t="shared" si="55"/>
        <v>Customer Complaints</v>
      </c>
      <c r="CS27" s="145" t="str">
        <f t="shared" si="55"/>
        <v>Count</v>
      </c>
      <c r="CT27" s="207" t="s">
        <v>247</v>
      </c>
      <c r="CU27" s="212" t="str">
        <f>IF(CU$7&gt;$D$3,"",IF(AM27="Undefined","Undefined",IF(AM27="Missed","Missed",IF(AM27="Bkank","Blank",IF(AM27="OD","OD",IF(AM27="TBC","TBC",_xlfn.XLOOKUP(CU$7,SOP!$M$6:$BM$6,SOP!$M$18:$BM$18)))))))</f>
        <v>Blank</v>
      </c>
      <c r="CV27" s="509" t="str">
        <f>IF(CV$7&gt;$D$3,"",IF(AN27="Undefined","Undefined",IF(AN27="Missed","Missed",IF(AN27="Bkank","Blank",IF(AN27="OD","OD",IF(AN27="TBC","TBC",_xlfn.XLOOKUP(CV$7,SOP!$M$6:$BM$6,SOP!$M$18:$BM$18)))))))</f>
        <v>Missed</v>
      </c>
      <c r="CW27" s="508" t="str">
        <f>IF(CW$7&gt;$D$3,"",IF(AO27="Undefined","Undefined",IF(AO27="Missed","Missed",IF(AO27="Bkank","Blank",IF(AO27="OD","OD",IF(AO27="TBC","TBC",_xlfn.XLOOKUP(CW$7,SOP!$M$6:$BM$6,SOP!$M$18:$BM$18)))))))</f>
        <v>Missed</v>
      </c>
      <c r="CX27" s="508" t="str">
        <f>IF(CX$7&gt;$D$3,"",IF(AP27="Undefined","Undefined",IF(AP27="Missed","Missed",IF(AP27="Bkank","Blank",IF(AP27="OD","OD",IF(AP27="TBC","TBC",_xlfn.XLOOKUP(CX$7,SOP!$M$6:$BM$6,SOP!$M$18:$BM$18)))))))</f>
        <v>Missed</v>
      </c>
      <c r="CY27" s="508">
        <f>IF(CY$7&gt;$D$3,"",IF(AQ27="Undefined","Undefined",IF(AQ27="Missed","Missed",IF(AQ27="Bkank","Blank",IF(AQ27="OD","OD",IF(AQ27="TBC","TBC",_xlfn.XLOOKUP(CY$7,SOP!$M$6:$BM$6,SOP!$M$18:$BM$18)))))))</f>
        <v>3</v>
      </c>
      <c r="CZ27" s="508">
        <f>IF(CZ$7&gt;$D$3,"",IF(AR27="Undefined","Undefined",IF(AR27="Missed","Missed",IF(AR27="Bkank","Blank",IF(AR27="OD","OD",IF(AR27="TBC","TBC",_xlfn.XLOOKUP(CZ$7,SOP!$M$6:$BM$6,SOP!$M$18:$BM$18)))))))</f>
        <v>0</v>
      </c>
      <c r="DA27" s="508">
        <f>IF(DA$7&gt;$D$3,"",IF(AS27="Undefined","Undefined",IF(AS27="Missed","Missed",IF(AS27="Bkank","Blank",IF(AS27="OD","OD",IF(AS27="TBC","TBC",_xlfn.XLOOKUP(DA$7,SOP!$M$6:$BM$6,SOP!$M$18:$BM$18)))))))</f>
        <v>1</v>
      </c>
      <c r="DB27" s="508">
        <f>IF(DB$7&gt;$D$3,"",IF(AT27="Undefined","Undefined",IF(AT27="Missed","Missed",IF(AT27="Bkank","Blank",IF(AT27="OD","OD",IF(AT27="TBC","TBC",_xlfn.XLOOKUP(DB$7,SOP!$M$6:$BM$6,SOP!$M$18:$BM$18)))))))</f>
        <v>3</v>
      </c>
      <c r="DC27" s="508">
        <f>IF(DC$7&gt;$D$3,"",IF(AU27="Undefined","Undefined",IF(AU27="Missed","Missed",IF(AU27="Bkank","Blank",IF(AU27="OD","OD",IF(AU27="TBC","TBC",_xlfn.XLOOKUP(DC$7,SOP!$M$6:$BM$6,SOP!$M$18:$BM$18)))))))</f>
        <v>2</v>
      </c>
      <c r="DD27" s="508">
        <f>IF(DD$7&gt;$D$3,"",IF(AV27="Undefined","Undefined",IF(AV27="Missed","Missed",IF(AV27="Bkank","Blank",IF(AV27="OD","OD",IF(AV27="TBC","TBC",_xlfn.XLOOKUP(DD$7,SOP!$M$6:$BM$6,SOP!$M$18:$BM$18)))))))</f>
        <v>1</v>
      </c>
      <c r="DE27" s="508">
        <f>IF(DE$7&gt;$D$3,"",IF(AW27="Undefined","Undefined",IF(AW27="Missed","Missed",IF(AW27="Bkank","Blank",IF(AW27="OD","OD",IF(AW27="TBC","TBC",_xlfn.XLOOKUP(DE$7,SOP!$M$6:$BM$6,SOP!$M$18:$BM$18)))))))</f>
        <v>1</v>
      </c>
      <c r="DF27" s="508">
        <f>IF(DF$7&gt;$D$3,"",IF(AX27="Undefined","Undefined",IF(AX27="Missed","Missed",IF(AX27="Bkank","Blank",IF(AX27="OD","OD",IF(AX27="TBC","TBC",_xlfn.XLOOKUP(DF$7,SOP!$M$6:$BM$6,SOP!$M$18:$BM$18)))))))</f>
        <v>3</v>
      </c>
      <c r="DG27" s="508">
        <f>IF(DG$7&gt;$D$3,"",IF(AY27="Undefined","Undefined",IF(AY27="Missed","Missed",IF(AY27="Bkank","Blank",IF(AY27="OD","OD",IF(AY27="TBC","TBC",_xlfn.XLOOKUP(DG$7,SOP!$M$6:$BM$6,SOP!$M$18:$BM$18)))))))</f>
        <v>4</v>
      </c>
      <c r="DH27" s="508">
        <f>IF(DH$7&gt;$D$3,"",IF(AZ27="Undefined","Undefined",IF(AZ27="Missed","Missed",IF(AZ27="Bkank","Blank",IF(AZ27="OD","OD",IF(AZ27="TBC","TBC",_xlfn.XLOOKUP(DH$7,SOP!$M$6:$BM$6,SOP!$M$18:$BM$18)))))))</f>
        <v>0</v>
      </c>
      <c r="DI27" s="508">
        <f>IF(DI$7&gt;$D$3,"",IF(BA27="Undefined","Undefined",IF(BA27="Missed","Missed",IF(BA27="Bkank","Blank",IF(BA27="OD","OD",IF(BA27="TBC","TBC",_xlfn.XLOOKUP(DI$7,SOP!$M$6:$BM$6,SOP!$M$18:$BM$18)))))))</f>
        <v>1</v>
      </c>
      <c r="DJ27" s="508">
        <f>IF(DJ$7&gt;$D$3,"",IF(BB27="Undefined","Undefined",IF(BB27="Missed","Missed",IF(BB27="Bkank","Blank",IF(BB27="OD","OD",IF(BB27="TBC","TBC",_xlfn.XLOOKUP(DJ$7,SOP!$M$6:$BM$6,SOP!$M$18:$BM$18)))))))</f>
        <v>2</v>
      </c>
      <c r="DK27" s="508">
        <f>IF(DK$7&gt;$D$3,"",IF(BC27="Undefined","Undefined",IF(BC27="Missed","Missed",IF(BC27="Bkank","Blank",IF(BC27="OD","OD",IF(BC27="TBC","TBC",_xlfn.XLOOKUP(DK$7,SOP!$M$6:$BM$6,SOP!$M$18:$BM$18)))))))</f>
        <v>1</v>
      </c>
      <c r="DL27" s="508">
        <f>IF(DL$7&gt;$D$3,"",IF(BD27="Undefined","Undefined",IF(BD27="Missed","Missed",IF(BD27="Bkank","Blank",IF(BD27="OD","OD",IF(BD27="TBC","TBC",_xlfn.XLOOKUP(DL$7,SOP!$M$6:$BM$6,SOP!$M$18:$BM$18)))))))</f>
        <v>1</v>
      </c>
      <c r="DM27" s="508">
        <f>IF(DM$7&gt;$D$3,"",IF(BE27="Undefined","Undefined",IF(BE27="Missed","Missed",IF(BE27="Bkank","Blank",IF(BE27="OD","OD",IF(BE27="TBC","TBC",_xlfn.XLOOKUP(DM$7,SOP!$M$6:$BM$6,SOP!$M$18:$BM$18)))))))</f>
        <v>3</v>
      </c>
      <c r="DN27" s="508">
        <f>IF(DN$7&gt;$D$3,"",IF(BF27="Undefined","Undefined",IF(BF27="Missed","Missed",IF(BF27="Bkank","Blank",IF(BF27="OD","OD",IF(BF27="TBC","TBC",_xlfn.XLOOKUP(DN$7,SOP!$M$6:$BM$6,SOP!$M$18:$BM$18)))))))</f>
        <v>2</v>
      </c>
      <c r="DO27" s="508">
        <f>IF(DO$7&gt;$D$3,"",IF(BG27="Undefined","Undefined",IF(BG27="Missed","Missed",IF(BG27="Bkank","Blank",IF(BG27="OD","OD",IF(BG27="TBC","TBC",_xlfn.XLOOKUP(DO$7,SOP!$M$6:$BM$6,SOP!$M$18:$BM$18)))))))</f>
        <v>2</v>
      </c>
      <c r="DP27" s="508">
        <f>IF(DP$7&gt;$D$3,"",IF(BH27="Undefined","Undefined",IF(BH27="Missed","Missed",IF(BH27="Bkank","Blank",IF(BH27="OD","OD",IF(BH27="TBC","TBC",_xlfn.XLOOKUP(DP$7,SOP!$M$6:$BM$6,SOP!$M$18:$BM$18)))))))</f>
        <v>0</v>
      </c>
      <c r="DQ27" s="508">
        <f>IF(DQ$7&gt;$D$3,"",IF(BI27="Undefined","Undefined",IF(BI27="Missed","Missed",IF(BI27="Bkank","Blank",IF(BI27="OD","OD",IF(BI27="TBC","TBC",_xlfn.XLOOKUP(DQ$7,SOP!$M$6:$BM$6,SOP!$M$18:$BM$18)))))))</f>
        <v>2</v>
      </c>
      <c r="DR27" s="508">
        <f>IF(DR$7&gt;$D$3,"",IF(BJ27="Undefined","Undefined",IF(BJ27="Missed","Missed",IF(BJ27="Bkank","Blank",IF(BJ27="OD","OD",IF(BJ27="TBC","TBC",_xlfn.XLOOKUP(DR$7,SOP!$M$6:$BM$6,SOP!$M$18:$BM$18)))))))</f>
        <v>3</v>
      </c>
      <c r="DS27" s="508">
        <f>IF(DS$7&gt;$D$3,"",IF(BK27="Undefined","Undefined",IF(BK27="Missed","Missed",IF(BK27="Bkank","Blank",IF(BK27="OD","OD",IF(BK27="TBC","TBC",_xlfn.XLOOKUP(DS$7,SOP!$M$6:$BM$6,SOP!$M$18:$BM$18)))))))</f>
        <v>1</v>
      </c>
      <c r="DT27" s="508">
        <f>IF(DT$7&gt;$D$3,"",IF(BL27="Undefined","Undefined",IF(BL27="Missed","Missed",IF(BL27="Bkank","Blank",IF(BL27="OD","OD",IF(BL27="TBC","TBC",_xlfn.XLOOKUP(DT$7,SOP!$M$6:$BM$6,SOP!$M$18:$BM$18)))))))</f>
        <v>1</v>
      </c>
      <c r="DU27" s="508">
        <f>IF(DU$7&gt;$D$3,"",IF(BM27="Undefined","Undefined",IF(BM27="Missed","Missed",IF(BM27="Bkank","Blank",IF(BM27="OD","OD",IF(BM27="TBC","TBC",_xlfn.XLOOKUP(DU$7,SOP!$M$6:$BM$6,SOP!$M$18:$BM$18)))))))</f>
        <v>2</v>
      </c>
      <c r="DV27" s="508">
        <f>IF(DV$7&gt;$D$3,"",IF(BN27="Undefined","Undefined",IF(BN27="Missed","Missed",IF(BN27="Bkank","Blank",IF(BN27="OD","OD",IF(BN27="TBC","TBC",_xlfn.XLOOKUP(DV$7,SOP!$M$6:$BM$6,SOP!$M$18:$BM$18)))))))</f>
        <v>0</v>
      </c>
      <c r="DW27" s="508">
        <f>IF(DW$7&gt;$D$3,"",IF(BO27="Undefined","Undefined",IF(BO27="Missed","Missed",IF(BO27="Bkank","Blank",IF(BO27="OD","OD",IF(BO27="TBC","TBC",_xlfn.XLOOKUP(DW$7,SOP!$M$6:$BM$6,SOP!$M$18:$BM$18)))))))</f>
        <v>1</v>
      </c>
      <c r="DX27" s="508">
        <f>IF(DX$7&gt;$D$3,"",IF(BP27="Undefined","Undefined",IF(BP27="Missed","Missed",IF(BP27="Bkank","Blank",IF(BP27="OD","OD",IF(BP27="TBC","TBC",_xlfn.XLOOKUP(DX$7,SOP!$M$6:$BM$6,SOP!$M$18:$BM$18)))))))</f>
        <v>3</v>
      </c>
      <c r="DY27" s="508">
        <f>IF(DY$7&gt;$D$3,"",IF(BQ27="Undefined","Undefined",IF(BQ27="Missed","Missed",IF(BQ27="Bkank","Blank",IF(BQ27="OD","OD",IF(BQ27="TBC","TBC",_xlfn.XLOOKUP(DY$7,SOP!$M$6:$BM$6,SOP!$M$18:$BM$18)))))))</f>
        <v>1</v>
      </c>
      <c r="DZ27" s="508">
        <f>IF(DZ$7&gt;$D$3,"",IF(BR27="Undefined","Undefined",IF(BR27="Missed","Missed",IF(BR27="Bkank","Blank",IF(BR27="OD","OD",IF(BR27="TBC","TBC",_xlfn.XLOOKUP(DZ$7,SOP!$M$6:$BM$6,SOP!$M$18:$BM$18)))))))</f>
        <v>2</v>
      </c>
      <c r="EA27" s="508">
        <f>IF(EA$7&gt;$D$3,"",IF(BS27="Undefined","Undefined",IF(BS27="Missed","Missed",IF(BS27="Bkank","Blank",IF(BS27="OD","OD",IF(BS27="TBC","TBC",_xlfn.XLOOKUP(EA$7,SOP!$M$6:$BM$6,SOP!$M$18:$BM$18)))))))</f>
        <v>1</v>
      </c>
      <c r="EB27" s="508">
        <f>IF(EB$7&gt;$D$3,"",IF(BT27="Undefined","Undefined",IF(BT27="Missed","Missed",IF(BT27="Bkank","Blank",IF(BT27="OD","OD",IF(BT27="TBC","TBC",_xlfn.XLOOKUP(EB$7,SOP!$M$6:$BM$6,SOP!$M$18:$BM$18)))))))</f>
        <v>1</v>
      </c>
      <c r="EC27" s="508">
        <f>IF(EC$7&gt;$D$3,"",IF(BU27="Undefined","Undefined",IF(BU27="Missed","Missed",IF(BU27="Bkank","Blank",IF(BU27="OD","OD",IF(BU27="TBC","TBC",_xlfn.XLOOKUP(EC$7,SOP!$M$6:$BM$6,SOP!$M$18:$BM$18)))))))</f>
        <v>3</v>
      </c>
      <c r="ED27" s="508">
        <f>IF(ED$7&gt;$D$3,"",IF(BV27="Undefined","Undefined",IF(BV27="Missed","Missed",IF(BV27="Bkank","Blank",IF(BV27="OD","OD",IF(BV27="TBC","TBC",_xlfn.XLOOKUP(ED$7,SOP!$M$6:$BM$6,SOP!$M$18:$BM$18)))))))</f>
        <v>1</v>
      </c>
      <c r="EE27" s="508">
        <f>IF(EE$7&gt;$D$3,"",IF(BW27="Undefined","Undefined",IF(BW27="Missed","Missed",IF(BW27="Bkank","Blank",IF(BW27="OD","OD",IF(BW27="TBC","TBC",_xlfn.XLOOKUP(EE$7,SOP!$M$6:$BM$6,SOP!$M$18:$BM$18)))))))</f>
        <v>0</v>
      </c>
      <c r="EF27" s="508">
        <f>IF(EF$7&gt;$D$3,"",IF(BX27="Undefined","Undefined",IF(BX27="Missed","Missed",IF(BX27="Bkank","Blank",IF(BX27="OD","OD",IF(BX27="TBC","TBC",_xlfn.XLOOKUP(EF$7,SOP!$M$6:$BM$6,SOP!$M$18:$BM$18)))))))</f>
        <v>1</v>
      </c>
      <c r="EG27" s="508">
        <f>IF(EG$7&gt;$D$3,"",IF(BY27="Undefined","Undefined",IF(BY27="Missed","Missed",IF(BY27="Bkank","Blank",IF(BY27="OD","OD",IF(BY27="TBC","TBC",_xlfn.XLOOKUP(EG$7,SOP!$M$6:$BM$6,SOP!$M$18:$BM$18)))))))</f>
        <v>3</v>
      </c>
      <c r="EH27" s="508">
        <f>IF(EH$7&gt;$D$3,"",IF(BZ27="Undefined","Undefined",IF(BZ27="Missed","Missed",IF(BZ27="Bkank","Blank",IF(BZ27="OD","OD",IF(BZ27="TBC","TBC",_xlfn.XLOOKUP(EH$7,SOP!$M$6:$BM$6,SOP!$M$18:$BM$18)))))))</f>
        <v>2</v>
      </c>
      <c r="EI27" s="508">
        <f>IF(EI$7&gt;$D$3,"",IF(CA27="Undefined","Undefined",IF(CA27="Missed","Missed",IF(CA27="Bkank","Blank",IF(CA27="OD","OD",IF(CA27="TBC","TBC",_xlfn.XLOOKUP(EI$7,SOP!$M$6:$BM$6,SOP!$M$18:$BM$18)))))))</f>
        <v>4</v>
      </c>
      <c r="EJ27" s="508">
        <f>IF(EJ$7&gt;$D$3,"",IF(CB27="Undefined","Undefined",IF(CB27="Missed","Missed",IF(CB27="Bkank","Blank",IF(CB27="OD","OD",IF(CB27="TBC","TBC",_xlfn.XLOOKUP(EJ$7,SOP!$M$6:$BM$6,SOP!$M$18:$BM$18)))))))</f>
        <v>0</v>
      </c>
      <c r="EK27" s="508" t="str">
        <f>IF(EK$7&gt;$D$3,"",IF(CC27="Undefined","Undefined",IF(CC27="Missed","Missed",IF(CC27="Bkank","Blank",IF(CC27="OD","OD",IF(CC27="TBC","TBC",_xlfn.XLOOKUP(EK$7,SOP!$M$6:$BM$6,SOP!$M$18:$BM$18)))))))</f>
        <v/>
      </c>
      <c r="EL27" s="508" t="str">
        <f>IF(EL$7&gt;$D$3,"",IF(CD27="Undefined","Undefined",IF(CD27="Missed","Missed",IF(CD27="Bkank","Blank",IF(CD27="OD","OD",IF(CD27="TBC","TBC",_xlfn.XLOOKUP(EL$7,SOP!$M$6:$BM$6,SOP!$M$18:$BM$18)))))))</f>
        <v/>
      </c>
      <c r="EM27" s="508" t="str">
        <f>IF(EM$7&gt;$D$3,"",IF(CE27="Undefined","Undefined",IF(CE27="Missed","Missed",IF(CE27="Bkank","Blank",IF(CE27="OD","OD",IF(CE27="TBC","TBC",_xlfn.XLOOKUP(EM$7,SOP!$M$6:$BM$6,SOP!$M$18:$BM$18)))))))</f>
        <v/>
      </c>
      <c r="EN27" s="508" t="str">
        <f>IF(EN$7&gt;$D$3,"",IF(CF27="Undefined","Undefined",IF(CF27="Missed","Missed",IF(CF27="Bkank","Blank",IF(CF27="OD","OD",IF(CF27="TBC","TBC",_xlfn.XLOOKUP(EN$7,SOP!$M$6:$BM$6,SOP!$M$18:$BM$18)))))))</f>
        <v/>
      </c>
      <c r="EO27" s="508" t="str">
        <f>IF(EO$7&gt;$D$3,"",IF(CG27="Undefined","Undefined",IF(CG27="Missed","Missed",IF(CG27="Bkank","Blank",IF(CG27="OD","OD",IF(CG27="TBC","TBC",_xlfn.XLOOKUP(EO$7,SOP!$M$6:$BM$6,SOP!$M$18:$BM$18)))))))</f>
        <v/>
      </c>
      <c r="EP27" s="508" t="str">
        <f>IF(EP$7&gt;$D$3,"",IF(CH27="Undefined","Undefined",IF(CH27="Missed","Missed",IF(CH27="Bkank","Blank",IF(CH27="OD","OD",IF(CH27="TBC","TBC",_xlfn.XLOOKUP(EP$7,SOP!$M$6:$BM$6,SOP!$M$18:$BM$18)))))))</f>
        <v/>
      </c>
      <c r="EQ27" s="508" t="str">
        <f>IF(EQ$7&gt;$D$3,"",IF(CI27="Undefined","Undefined",IF(CI27="Missed","Missed",IF(CI27="Bkank","Blank",IF(CI27="OD","OD",IF(CI27="TBC","TBC",_xlfn.XLOOKUP(EQ$7,SOP!$M$6:$BM$6,SOP!$M$18:$BM$18)))))))</f>
        <v/>
      </c>
      <c r="ER27" s="508" t="str">
        <f>IF(ER$7&gt;$D$3,"",IF(CJ27="Undefined","Undefined",IF(CJ27="Missed","Missed",IF(CJ27="Bkank","Blank",IF(CJ27="OD","OD",IF(CJ27="TBC","TBC",_xlfn.XLOOKUP(ER$7,SOP!$M$6:$BM$6,SOP!$M$18:$BM$18)))))))</f>
        <v/>
      </c>
      <c r="ES27" s="508" t="str">
        <f>IF(ES$7&gt;$D$3,"",IF(CK27="Undefined","Undefined",IF(CK27="Missed","Missed",IF(CK27="Bkank","Blank",IF(CK27="OD","OD",IF(CK27="TBC","TBC",_xlfn.XLOOKUP(ES$7,SOP!$M$6:$BM$6,SOP!$M$18:$BM$18)))))))</f>
        <v/>
      </c>
      <c r="ET27" s="508" t="str">
        <f>IF(ET$7&gt;$D$3,"",IF(CL27="Undefined","Undefined",IF(CL27="Missed","Missed",IF(CL27="Bkank","Blank",IF(CL27="OD","OD",IF(CL27="TBC","TBC",_xlfn.XLOOKUP(ET$7,SOP!$M$6:$BM$6,SOP!$M$18:$BM$18)))))))</f>
        <v/>
      </c>
      <c r="EU27" s="508" t="str">
        <f>IF(EU$7&gt;$D$3,"",IF(CM27="Undefined","Undefined",IF(CM27="Missed","Missed",IF(CM27="Bkank","Blank",IF(CM27="OD","OD",IF(CM27="TBC","TBC",_xlfn.XLOOKUP(EU$7,SOP!$M$6:$BM$6,SOP!$M$18:$BM$18)))))))</f>
        <v/>
      </c>
      <c r="EW27" s="465" t="str">
        <f>+$A27</f>
        <v>SOP-KPI Q1</v>
      </c>
      <c r="EX27" s="136" t="str">
        <f>+$C27</f>
        <v>KPI Q1</v>
      </c>
      <c r="EY27" s="144" t="str">
        <f>+$D27</f>
        <v>Quality</v>
      </c>
      <c r="EZ27" s="144" t="str">
        <f t="shared" si="57"/>
        <v>Customer Complaints</v>
      </c>
      <c r="FA27" s="145" t="str">
        <f t="shared" si="58"/>
        <v>Count</v>
      </c>
      <c r="FB27" s="145" t="s">
        <v>251</v>
      </c>
      <c r="FC27" s="214" t="str">
        <f>IF(FC$7&gt;$D$3,"",IF($FA23&lt;FC$7,"OD",_xlfn.XLOOKUP(FC$7,SOP!$M$6:$BM$6,SOP!$M$18:$BM$18)))</f>
        <v>Blank</v>
      </c>
      <c r="FD27" s="214" t="str">
        <f>IF(FD$7&gt;$D$3,"",IF($FA23&lt;FD$7,"OD",_xlfn.XLOOKUP(FD$7,SOP!$M$6:$BM$6,SOP!$M$18:$BM$18)))</f>
        <v>Missed</v>
      </c>
      <c r="FE27" s="214" t="str">
        <f>IF(FE$7&gt;$D$3,"",IF($FA23&lt;FE$7,"OD",_xlfn.XLOOKUP(FE$7,SOP!$M$6:$BM$6,SOP!$M$18:$BM$18)))</f>
        <v>Missed</v>
      </c>
      <c r="FF27" s="214" t="str">
        <f>IF(FF$7&gt;$D$3,"",IF($FA23&lt;FF$7,"OD",_xlfn.XLOOKUP(FF$7,SOP!$M$6:$BM$6,SOP!$M$18:$BM$18)))</f>
        <v>Missed</v>
      </c>
      <c r="FG27" s="214">
        <f>IF(FG$7&gt;$D$3,"",IF($FA23&lt;FG$7,"OD",_xlfn.XLOOKUP(FG$7,SOP!$M$6:$BM$6,SOP!$M$18:$BM$18)))</f>
        <v>3</v>
      </c>
      <c r="FH27" s="214">
        <f>IF(FH$7&gt;$D$3,"",IF($FA23&lt;FH$7,"OD",_xlfn.XLOOKUP(FH$7,SOP!$M$6:$BM$6,SOP!$M$18:$BM$18)))</f>
        <v>0</v>
      </c>
      <c r="FI27" s="214">
        <f>IF(FI$7&gt;$D$3,"",IF($FA23&lt;FI$7,"OD",_xlfn.XLOOKUP(FI$7,SOP!$M$6:$BM$6,SOP!$M$18:$BM$18)))</f>
        <v>1</v>
      </c>
      <c r="FJ27" s="214">
        <f>IF(FJ$7&gt;$D$3,"",IF($FA23&lt;FJ$7,"OD",_xlfn.XLOOKUP(FJ$7,SOP!$M$6:$BM$6,SOP!$M$18:$BM$18)))</f>
        <v>3</v>
      </c>
      <c r="FK27" s="214">
        <f>IF(FK$7&gt;$D$3,"",IF($FA23&lt;FK$7,"OD",_xlfn.XLOOKUP(FK$7,SOP!$M$6:$BM$6,SOP!$M$18:$BM$18)))</f>
        <v>2</v>
      </c>
      <c r="FL27" s="214">
        <f>IF(FL$7&gt;$D$3,"",IF($FA23&lt;FL$7,"OD",_xlfn.XLOOKUP(FL$7,SOP!$M$6:$BM$6,SOP!$M$18:$BM$18)))</f>
        <v>1</v>
      </c>
      <c r="FM27" s="214">
        <f>IF(FM$7&gt;$D$3,"",IF($FA23&lt;FM$7,"OD",_xlfn.XLOOKUP(FM$7,SOP!$M$6:$BM$6,SOP!$M$18:$BM$18)))</f>
        <v>1</v>
      </c>
      <c r="FN27" s="214">
        <f>IF(FN$7&gt;$D$3,"",IF($FA23&lt;FN$7,"OD",_xlfn.XLOOKUP(FN$7,SOP!$M$6:$BM$6,SOP!$M$18:$BM$18)))</f>
        <v>3</v>
      </c>
      <c r="FO27" s="214">
        <f>IF(FO$7&gt;$D$3,"",IF($FA23&lt;FO$7,"OD",_xlfn.XLOOKUP(FO$7,SOP!$M$6:$BM$6,SOP!$M$18:$BM$18)))</f>
        <v>4</v>
      </c>
      <c r="FP27" s="214">
        <f>IF(FP$7&gt;$D$3,"",IF($FA23&lt;FP$7,"OD",_xlfn.XLOOKUP(FP$7,SOP!$M$6:$BM$6,SOP!$M$18:$BM$18)))</f>
        <v>0</v>
      </c>
      <c r="FQ27" s="214">
        <f>IF(FQ$7&gt;$D$3,"",IF($FA23&lt;FQ$7,"OD",_xlfn.XLOOKUP(FQ$7,SOP!$M$6:$BM$6,SOP!$M$18:$BM$18)))</f>
        <v>1</v>
      </c>
      <c r="FR27" s="214">
        <f>IF(FR$7&gt;$D$3,"",IF($FA23&lt;FR$7,"OD",_xlfn.XLOOKUP(FR$7,SOP!$M$6:$BM$6,SOP!$M$18:$BM$18)))</f>
        <v>2</v>
      </c>
      <c r="FS27" s="214">
        <f>IF(FS$7&gt;$D$3,"",IF($FA23&lt;FS$7,"OD",_xlfn.XLOOKUP(FS$7,SOP!$M$6:$BM$6,SOP!$M$18:$BM$18)))</f>
        <v>1</v>
      </c>
      <c r="FT27" s="214">
        <f>IF(FT$7&gt;$D$3,"",IF($FA23&lt;FT$7,"OD",_xlfn.XLOOKUP(FT$7,SOP!$M$6:$BM$6,SOP!$M$18:$BM$18)))</f>
        <v>1</v>
      </c>
      <c r="FU27" s="214">
        <f>IF(FU$7&gt;$D$3,"",IF($FA23&lt;FU$7,"OD",_xlfn.XLOOKUP(FU$7,SOP!$M$6:$BM$6,SOP!$M$18:$BM$18)))</f>
        <v>3</v>
      </c>
      <c r="FV27" s="214">
        <f>IF(FV$7&gt;$D$3,"",IF($FA23&lt;FV$7,"OD",_xlfn.XLOOKUP(FV$7,SOP!$M$6:$BM$6,SOP!$M$18:$BM$18)))</f>
        <v>2</v>
      </c>
      <c r="FW27" s="214">
        <f>IF(FW$7&gt;$D$3,"",IF($FA23&lt;FW$7,"OD",_xlfn.XLOOKUP(FW$7,SOP!$M$6:$BM$6,SOP!$M$18:$BM$18)))</f>
        <v>2</v>
      </c>
      <c r="FX27" s="214">
        <f>IF(FX$7&gt;$D$3,"",IF($FA23&lt;FX$7,"OD",_xlfn.XLOOKUP(FX$7,SOP!$M$6:$BM$6,SOP!$M$18:$BM$18)))</f>
        <v>0</v>
      </c>
      <c r="FY27" s="214">
        <f>IF(FY$7&gt;$D$3,"",IF($FA23&lt;FY$7,"OD",_xlfn.XLOOKUP(FY$7,SOP!$M$6:$BM$6,SOP!$M$18:$BM$18)))</f>
        <v>2</v>
      </c>
      <c r="FZ27" s="214">
        <f>IF(FZ$7&gt;$D$3,"",IF($FA23&lt;FZ$7,"OD",_xlfn.XLOOKUP(FZ$7,SOP!$M$6:$BM$6,SOP!$M$18:$BM$18)))</f>
        <v>3</v>
      </c>
      <c r="GA27" s="214">
        <f>IF(GA$7&gt;$D$3,"",IF($FA23&lt;GA$7,"OD",_xlfn.XLOOKUP(GA$7,SOP!$M$6:$BM$6,SOP!$M$18:$BM$18)))</f>
        <v>1</v>
      </c>
      <c r="GB27" s="214">
        <f>IF(GB$7&gt;$D$3,"",IF($FA23&lt;GB$7,"OD",_xlfn.XLOOKUP(GB$7,SOP!$M$6:$BM$6,SOP!$M$18:$BM$18)))</f>
        <v>1</v>
      </c>
      <c r="GC27" s="214">
        <f>IF(GC$7&gt;$D$3,"",IF($FA23&lt;GC$7,"OD",_xlfn.XLOOKUP(GC$7,SOP!$M$6:$BM$6,SOP!$M$18:$BM$18)))</f>
        <v>2</v>
      </c>
      <c r="GD27" s="214">
        <f>IF(GD$7&gt;$D$3,"",IF($FA23&lt;GD$7,"OD",_xlfn.XLOOKUP(GD$7,SOP!$M$6:$BM$6,SOP!$M$18:$BM$18)))</f>
        <v>0</v>
      </c>
      <c r="GE27" s="214">
        <f>IF(GE$7&gt;$D$3,"",IF($FA23&lt;GE$7,"OD",_xlfn.XLOOKUP(GE$7,SOP!$M$6:$BM$6,SOP!$M$18:$BM$18)))</f>
        <v>1</v>
      </c>
      <c r="GF27" s="214">
        <f>IF(GF$7&gt;$D$3,"",IF($FA23&lt;GF$7,"OD",_xlfn.XLOOKUP(GF$7,SOP!$M$6:$BM$6,SOP!$M$18:$BM$18)))</f>
        <v>3</v>
      </c>
      <c r="GG27" s="214">
        <f>IF(GG$7&gt;$D$3,"",IF($FA23&lt;GG$7,"OD",_xlfn.XLOOKUP(GG$7,SOP!$M$6:$BM$6,SOP!$M$18:$BM$18)))</f>
        <v>1</v>
      </c>
      <c r="GH27" s="214">
        <f>IF(GH$7&gt;$D$3,"",IF($FA23&lt;GH$7,"OD",_xlfn.XLOOKUP(GH$7,SOP!$M$6:$BM$6,SOP!$M$18:$BM$18)))</f>
        <v>2</v>
      </c>
      <c r="GI27" s="214">
        <f>IF(GI$7&gt;$D$3,"",IF($FA23&lt;GI$7,"OD",_xlfn.XLOOKUP(GI$7,SOP!$M$6:$BM$6,SOP!$M$18:$BM$18)))</f>
        <v>1</v>
      </c>
      <c r="GJ27" s="214">
        <f>IF(GJ$7&gt;$D$3,"",IF($FA23&lt;GJ$7,"OD",_xlfn.XLOOKUP(GJ$7,SOP!$M$6:$BM$6,SOP!$M$18:$BM$18)))</f>
        <v>1</v>
      </c>
      <c r="GK27" s="214">
        <f>IF(GK$7&gt;$D$3,"",IF($FA23&lt;GK$7,"OD",_xlfn.XLOOKUP(GK$7,SOP!$M$6:$BM$6,SOP!$M$18:$BM$18)))</f>
        <v>3</v>
      </c>
      <c r="GL27" s="214">
        <f>IF(GL$7&gt;$D$3,"",IF($FA23&lt;GL$7,"OD",_xlfn.XLOOKUP(GL$7,SOP!$M$6:$BM$6,SOP!$M$18:$BM$18)))</f>
        <v>1</v>
      </c>
      <c r="GM27" s="214">
        <f>IF(GM$7&gt;$D$3,"",IF($FA23&lt;GM$7,"OD",_xlfn.XLOOKUP(GM$7,SOP!$M$6:$BM$6,SOP!$M$18:$BM$18)))</f>
        <v>0</v>
      </c>
      <c r="GN27" s="214">
        <f>IF(GN$7&gt;$D$3,"",IF($FA23&lt;GN$7,"OD",_xlfn.XLOOKUP(GN$7,SOP!$M$6:$BM$6,SOP!$M$18:$BM$18)))</f>
        <v>1</v>
      </c>
      <c r="GO27" s="214">
        <f>IF(GO$7&gt;$D$3,"",IF($FA23&lt;GO$7,"OD",_xlfn.XLOOKUP(GO$7,SOP!$M$6:$BM$6,SOP!$M$18:$BM$18)))</f>
        <v>3</v>
      </c>
      <c r="GP27" s="214">
        <f>IF(GP$7&gt;$D$3,"",IF($FA23&lt;GP$7,"OD",_xlfn.XLOOKUP(GP$7,SOP!$M$6:$BM$6,SOP!$M$18:$BM$18)))</f>
        <v>2</v>
      </c>
      <c r="GQ27" s="214">
        <f>IF(GQ$7&gt;$D$3,"",IF($FA23&lt;GQ$7,"OD",_xlfn.XLOOKUP(GQ$7,SOP!$M$6:$BM$6,SOP!$M$18:$BM$18)))</f>
        <v>4</v>
      </c>
      <c r="GR27" s="214">
        <f>IF(GR$7&gt;$D$3,"",IF($FA23&lt;GR$7,"OD",_xlfn.XLOOKUP(GR$7,SOP!$M$6:$BM$6,SOP!$M$18:$BM$18)))</f>
        <v>0</v>
      </c>
      <c r="GS27" s="214" t="str">
        <f>IF(GS$7&gt;$D$3,"",IF($FA23&lt;GS$7,"OD",_xlfn.XLOOKUP(GS$7,SOP!$M$6:$BM$6,SOP!$M$18:$BM$18)))</f>
        <v/>
      </c>
      <c r="GT27" s="214" t="str">
        <f>IF(GT$7&gt;$D$3,"",IF($FA23&lt;GT$7,"OD",_xlfn.XLOOKUP(GT$7,SOP!$M$6:$BM$6,SOP!$M$18:$BM$18)))</f>
        <v/>
      </c>
      <c r="GU27" s="214" t="str">
        <f>IF(GU$7&gt;$D$3,"",IF($FA23&lt;GU$7,"OD",_xlfn.XLOOKUP(GU$7,SOP!$M$6:$BM$6,SOP!$M$18:$BM$18)))</f>
        <v/>
      </c>
      <c r="GV27" s="214" t="str">
        <f>IF(GV$7&gt;$D$3,"",IF($FA23&lt;GV$7,"OD",_xlfn.XLOOKUP(GV$7,SOP!$M$6:$BM$6,SOP!$M$18:$BM$18)))</f>
        <v/>
      </c>
      <c r="GW27" s="214" t="str">
        <f>IF(GW$7&gt;$D$3,"",IF($FA23&lt;GW$7,"OD",_xlfn.XLOOKUP(GW$7,SOP!$M$6:$BM$6,SOP!$M$18:$BM$18)))</f>
        <v/>
      </c>
      <c r="GX27" s="214" t="str">
        <f>IF(GX$7&gt;$D$3,"",IF($FA23&lt;GX$7,"OD",_xlfn.XLOOKUP(GX$7,SOP!$M$6:$BM$6,SOP!$M$18:$BM$18)))</f>
        <v/>
      </c>
      <c r="GY27" s="214" t="str">
        <f>IF(GY$7&gt;$D$3,"",IF($FA23&lt;GY$7,"OD",_xlfn.XLOOKUP(GY$7,SOP!$M$6:$BM$6,SOP!$M$18:$BM$18)))</f>
        <v/>
      </c>
      <c r="GZ27" s="214" t="str">
        <f>IF(GZ$7&gt;$D$3,"",IF($FA23&lt;GZ$7,"OD",_xlfn.XLOOKUP(GZ$7,SOP!$M$6:$BM$6,SOP!$M$18:$BM$18)))</f>
        <v/>
      </c>
      <c r="HA27" s="214" t="str">
        <f>IF(HA$7&gt;$D$3,"",IF($FA23&lt;HA$7,"OD",_xlfn.XLOOKUP(HA$7,SOP!$M$6:$BM$6,SOP!$M$18:$BM$18)))</f>
        <v/>
      </c>
      <c r="HB27" s="214" t="str">
        <f>IF(HB$7&gt;$D$3,"",IF($FA23&lt;HB$7,"OD",_xlfn.XLOOKUP(HB$7,SOP!$M$6:$BM$6,SOP!$M$18:$BM$18)))</f>
        <v/>
      </c>
      <c r="HC27" s="214" t="str">
        <f>IF(HC$7&gt;$D$3,"",IF($FA23&lt;HC$7,"OD",_xlfn.XLOOKUP(HC$7,SOP!$M$6:$BM$6,SOP!$M$18:$BM$18)))</f>
        <v/>
      </c>
      <c r="HE27" s="136" t="str">
        <f>+$C27</f>
        <v>KPI Q1</v>
      </c>
      <c r="HF27" s="144" t="str">
        <f>+$D27</f>
        <v>Quality</v>
      </c>
      <c r="HG27" s="144" t="str">
        <f t="shared" si="61"/>
        <v>Customer Complaints</v>
      </c>
      <c r="HH27" s="145" t="str">
        <f t="shared" si="62"/>
        <v>Count</v>
      </c>
      <c r="HI27" s="145" t="s">
        <v>44</v>
      </c>
      <c r="HJ27" s="214" t="s">
        <v>122</v>
      </c>
      <c r="HK27" s="214">
        <f>IF(HK$7&gt;$D$3,"",IF($FA23&lt;HK$7,"OD",_xlfn.XLOOKUP(HK$7,SOP!$M$6:$BM$6,SOP!$M$17:$BM$17)))</f>
        <v>0</v>
      </c>
      <c r="HL27" s="226">
        <f>IF(HL$7&gt;$D$3,"",IF($FA23&lt;HL$7,"OD",_xlfn.XLOOKUP(HL$7,SOP!$M$6:$BM$6,SOP!$M$17:$BM$17)))</f>
        <v>0</v>
      </c>
      <c r="HM27" s="226">
        <f>IF(HM$7&gt;$D$3,"",IF($FA23&lt;HM$7,"OD",_xlfn.XLOOKUP(HM$7,SOP!$M$6:$BM$6,SOP!$M$17:$BM$17)))</f>
        <v>0</v>
      </c>
      <c r="HN27" s="226">
        <f>IF(HN$7&gt;$D$3,"",IF($FA23&lt;HN$7,"OD",_xlfn.XLOOKUP(HN$7,SOP!$M$6:$BM$6,SOP!$M$17:$BM$17)))</f>
        <v>0</v>
      </c>
      <c r="HO27" s="226">
        <f>IF(HO$7&gt;$D$3,"",IF($FA23&lt;HO$7,"OD",_xlfn.XLOOKUP(HO$7,SOP!$M$6:$BM$6,SOP!$M$17:$BM$17)))</f>
        <v>0</v>
      </c>
      <c r="HP27" s="226">
        <f>IF(HP$7&gt;$D$3,"",IF($FA23&lt;HP$7,"OD",_xlfn.XLOOKUP(HP$7,SOP!$M$6:$BM$6,SOP!$M$17:$BM$17)))</f>
        <v>0</v>
      </c>
      <c r="HQ27" s="226">
        <f>IF(HQ$7&gt;$D$3,"",IF($FA23&lt;HQ$7,"OD",_xlfn.XLOOKUP(HQ$7,SOP!$M$6:$BM$6,SOP!$M$17:$BM$17)))</f>
        <v>0</v>
      </c>
      <c r="HR27" s="226">
        <f>IF(HR$7&gt;$D$3,"",IF($FA23&lt;HR$7,"OD",_xlfn.XLOOKUP(HR$7,SOP!$M$6:$BM$6,SOP!$M$17:$BM$17)))</f>
        <v>0</v>
      </c>
      <c r="HS27" s="226">
        <f>IF(HS$7&gt;$D$3,"",IF($FA23&lt;HS$7,"OD",_xlfn.XLOOKUP(HS$7,SOP!$M$6:$BM$6,SOP!$M$17:$BM$17)))</f>
        <v>0</v>
      </c>
      <c r="HT27" s="226">
        <f>IF(HT$7&gt;$D$3,"",IF($FA23&lt;HT$7,"OD",_xlfn.XLOOKUP(HT$7,SOP!$M$6:$BM$6,SOP!$M$17:$BM$17)))</f>
        <v>0</v>
      </c>
      <c r="HU27" s="226">
        <f>IF(HU$7&gt;$D$3,"",IF($FA23&lt;HU$7,"OD",_xlfn.XLOOKUP(HU$7,SOP!$M$6:$BM$6,SOP!$M$17:$BM$17)))</f>
        <v>0</v>
      </c>
      <c r="HV27" s="226">
        <f>IF(HV$7&gt;$D$3,"",IF($FA23&lt;HV$7,"OD",_xlfn.XLOOKUP(HV$7,SOP!$M$6:$BM$6,SOP!$M$17:$BM$17)))</f>
        <v>0</v>
      </c>
      <c r="HW27" s="226">
        <f>IF(HW$7&gt;$D$3,"",IF($FA23&lt;HW$7,"OD",_xlfn.XLOOKUP(HW$7,SOP!$M$6:$BM$6,SOP!$M$17:$BM$17)))</f>
        <v>0</v>
      </c>
      <c r="HX27" s="226">
        <f>IF(HX$7&gt;$D$3,"",IF($FA23&lt;HX$7,"OD",_xlfn.XLOOKUP(HX$7,SOP!$M$6:$BM$6,SOP!$M$17:$BM$17)))</f>
        <v>0</v>
      </c>
      <c r="HY27" s="226">
        <f>IF(HY$7&gt;$D$3,"",IF($FA23&lt;HY$7,"OD",_xlfn.XLOOKUP(HY$7,SOP!$M$6:$BM$6,SOP!$M$17:$BM$17)))</f>
        <v>0</v>
      </c>
      <c r="HZ27" s="226">
        <f>IF(HZ$7&gt;$D$3,"",IF($FA23&lt;HZ$7,"OD",_xlfn.XLOOKUP(HZ$7,SOP!$M$6:$BM$6,SOP!$M$17:$BM$17)))</f>
        <v>0</v>
      </c>
      <c r="IA27" s="226">
        <f>IF(IA$7&gt;$D$3,"",IF($FA23&lt;IA$7,"OD",_xlfn.XLOOKUP(IA$7,SOP!$M$6:$BM$6,SOP!$M$17:$BM$17)))</f>
        <v>0</v>
      </c>
      <c r="IB27" s="226">
        <f>IF(IB$7&gt;$D$3,"",IF($FA23&lt;IB$7,"OD",_xlfn.XLOOKUP(IB$7,SOP!$M$6:$BM$6,SOP!$M$17:$BM$17)))</f>
        <v>0</v>
      </c>
      <c r="IC27" s="226">
        <f>IF(IC$7&gt;$D$3,"",IF($FA23&lt;IC$7,"OD",_xlfn.XLOOKUP(IC$7,SOP!$M$6:$BM$6,SOP!$M$17:$BM$17)))</f>
        <v>0</v>
      </c>
      <c r="ID27" s="226">
        <f>IF(ID$7&gt;$D$3,"",IF($FA23&lt;ID$7,"OD",_xlfn.XLOOKUP(ID$7,SOP!$M$6:$BM$6,SOP!$M$17:$BM$17)))</f>
        <v>0</v>
      </c>
      <c r="IE27" s="226">
        <f>IF(IE$7&gt;$D$3,"",IF($FA23&lt;IE$7,"OD",_xlfn.XLOOKUP(IE$7,SOP!$M$6:$BM$6,SOP!$M$17:$BM$17)))</f>
        <v>0</v>
      </c>
      <c r="IF27" s="226">
        <f>IF(IF$7&gt;$D$3,"",IF($FA23&lt;IF$7,"OD",_xlfn.XLOOKUP(IF$7,SOP!$M$6:$BM$6,SOP!$M$17:$BM$17)))</f>
        <v>0</v>
      </c>
      <c r="IG27" s="226">
        <f>IF(IG$7&gt;$D$3,"",IF($FA23&lt;IG$7,"OD",_xlfn.XLOOKUP(IG$7,SOP!$M$6:$BM$6,SOP!$M$17:$BM$17)))</f>
        <v>0</v>
      </c>
      <c r="IH27" s="226">
        <f>IF(IH$7&gt;$D$3,"",IF($FA23&lt;IH$7,"OD",_xlfn.XLOOKUP(IH$7,SOP!$M$6:$BM$6,SOP!$M$17:$BM$17)))</f>
        <v>0</v>
      </c>
      <c r="II27" s="226">
        <f>IF(II$7&gt;$D$3,"",IF($FA23&lt;II$7,"OD",_xlfn.XLOOKUP(II$7,SOP!$M$6:$BM$6,SOP!$M$17:$BM$17)))</f>
        <v>0</v>
      </c>
      <c r="IJ27" s="226">
        <f>IF(IJ$7&gt;$D$3,"",IF($FA23&lt;IJ$7,"OD",_xlfn.XLOOKUP(IJ$7,SOP!$M$6:$BM$6,SOP!$M$17:$BM$17)))</f>
        <v>0</v>
      </c>
      <c r="IK27" s="226">
        <f>IF(IK$7&gt;$D$3,"",IF($FA23&lt;IK$7,"OD",_xlfn.XLOOKUP(IK$7,SOP!$M$6:$BM$6,SOP!$M$17:$BM$17)))</f>
        <v>0</v>
      </c>
      <c r="IL27" s="226">
        <f>IF(IL$7&gt;$D$3,"",IF($FA23&lt;IL$7,"OD",_xlfn.XLOOKUP(IL$7,SOP!$M$6:$BM$6,SOP!$M$17:$BM$17)))</f>
        <v>0</v>
      </c>
      <c r="IM27" s="226">
        <f>IF(IM$7&gt;$D$3,"",IF($FA23&lt;IM$7,"OD",_xlfn.XLOOKUP(IM$7,SOP!$M$6:$BM$6,SOP!$M$17:$BM$17)))</f>
        <v>0</v>
      </c>
      <c r="IN27" s="226">
        <f>IF(IN$7&gt;$D$3,"",IF($FA23&lt;IN$7,"OD",_xlfn.XLOOKUP(IN$7,SOP!$M$6:$BM$6,SOP!$M$17:$BM$17)))</f>
        <v>0</v>
      </c>
      <c r="IO27" s="226">
        <f>IF(IO$7&gt;$D$3,"",IF($FA23&lt;IO$7,"OD",_xlfn.XLOOKUP(IO$7,SOP!$M$6:$BM$6,SOP!$M$17:$BM$17)))</f>
        <v>0</v>
      </c>
      <c r="IP27" s="226">
        <f>IF(IP$7&gt;$D$3,"",IF($FA23&lt;IP$7,"OD",_xlfn.XLOOKUP(IP$7,SOP!$M$6:$BM$6,SOP!$M$17:$BM$17)))</f>
        <v>0</v>
      </c>
      <c r="IQ27" s="226">
        <f>IF(IQ$7&gt;$D$3,"",IF($FA23&lt;IQ$7,"OD",_xlfn.XLOOKUP(IQ$7,SOP!$M$6:$BM$6,SOP!$M$17:$BM$17)))</f>
        <v>0</v>
      </c>
      <c r="IR27" s="226">
        <f>IF(IR$7&gt;$D$3,"",IF($FA23&lt;IR$7,"OD",_xlfn.XLOOKUP(IR$7,SOP!$M$6:$BM$6,SOP!$M$17:$BM$17)))</f>
        <v>0</v>
      </c>
      <c r="IS27" s="226">
        <f>IF(IS$7&gt;$D$3,"",IF($FA23&lt;IS$7,"OD",_xlfn.XLOOKUP(IS$7,SOP!$M$6:$BM$6,SOP!$M$17:$BM$17)))</f>
        <v>0</v>
      </c>
      <c r="IT27" s="226">
        <f>IF(IT$7&gt;$D$3,"",IF($FA23&lt;IT$7,"OD",_xlfn.XLOOKUP(IT$7,SOP!$M$6:$BM$6,SOP!$M$17:$BM$17)))</f>
        <v>0</v>
      </c>
      <c r="IU27" s="226">
        <f>IF(IU$7&gt;$D$3,"",IF($FA23&lt;IU$7,"OD",_xlfn.XLOOKUP(IU$7,SOP!$M$6:$BM$6,SOP!$M$17:$BM$17)))</f>
        <v>0</v>
      </c>
      <c r="IV27" s="226">
        <f>IF(IV$7&gt;$D$3,"",IF($FA23&lt;IV$7,"OD",_xlfn.XLOOKUP(IV$7,SOP!$M$6:$BM$6,SOP!$M$17:$BM$17)))</f>
        <v>0</v>
      </c>
      <c r="IW27" s="226">
        <f>IF(IW$7&gt;$D$3,"",IF($FA23&lt;IW$7,"OD",_xlfn.XLOOKUP(IW$7,SOP!$M$6:$BM$6,SOP!$M$17:$BM$17)))</f>
        <v>0</v>
      </c>
      <c r="IX27" s="226">
        <f>IF(IX$7&gt;$D$3,"",IF($FA23&lt;IX$7,"OD",_xlfn.XLOOKUP(IX$7,SOP!$M$6:$BM$6,SOP!$M$17:$BM$17)))</f>
        <v>0</v>
      </c>
      <c r="IY27" s="226">
        <f>IF(IY$7&gt;$D$3,"",IF($FA23&lt;IY$7,"OD",_xlfn.XLOOKUP(IY$7,SOP!$M$6:$BM$6,SOP!$M$17:$BM$17)))</f>
        <v>0</v>
      </c>
      <c r="IZ27" s="226" t="str">
        <f>IF(IZ$7&gt;$D$3,"",IF($FA23&lt;IZ$7,"OD",_xlfn.XLOOKUP(IZ$7,SOP!$M$6:$BM$6,SOP!$M$17:$BM$17)))</f>
        <v/>
      </c>
      <c r="JA27" s="226" t="str">
        <f>IF(JA$7&gt;$D$3,"",IF($FA23&lt;JA$7,"OD",_xlfn.XLOOKUP(JA$7,SOP!$M$6:$BM$6,SOP!$M$17:$BM$17)))</f>
        <v/>
      </c>
      <c r="JB27" s="226" t="str">
        <f>IF(JB$7&gt;$D$3,"",IF($FA23&lt;JB$7,"OD",_xlfn.XLOOKUP(JB$7,SOP!$M$6:$BM$6,SOP!$M$17:$BM$17)))</f>
        <v/>
      </c>
      <c r="JC27" s="226" t="str">
        <f>IF(JC$7&gt;$D$3,"",IF($FA23&lt;JC$7,"OD",_xlfn.XLOOKUP(JC$7,SOP!$M$6:$BM$6,SOP!$M$17:$BM$17)))</f>
        <v/>
      </c>
      <c r="JD27" s="226" t="str">
        <f>IF(JD$7&gt;$D$3,"",IF($FA23&lt;JD$7,"OD",_xlfn.XLOOKUP(JD$7,SOP!$M$6:$BM$6,SOP!$M$17:$BM$17)))</f>
        <v/>
      </c>
      <c r="JE27" s="226" t="str">
        <f>IF(JE$7&gt;$D$3,"",IF($FA23&lt;JE$7,"OD",_xlfn.XLOOKUP(JE$7,SOP!$M$6:$BM$6,SOP!$M$17:$BM$17)))</f>
        <v/>
      </c>
      <c r="JF27" s="226" t="str">
        <f>IF(JF$7&gt;$D$3,"",IF($FA23&lt;JF$7,"OD",_xlfn.XLOOKUP(JF$7,SOP!$M$6:$BM$6,SOP!$M$17:$BM$17)))</f>
        <v/>
      </c>
      <c r="JG27" s="226" t="str">
        <f>IF(JG$7&gt;$D$3,"",IF($FA23&lt;JG$7,"OD",_xlfn.XLOOKUP(JG$7,SOP!$M$6:$BM$6,SOP!$M$17:$BM$17)))</f>
        <v/>
      </c>
      <c r="JH27" s="226" t="str">
        <f>IF(JH$7&gt;$D$3,"",IF($FA23&lt;JH$7,"OD",_xlfn.XLOOKUP(JH$7,SOP!$M$6:$BM$6,SOP!$M$17:$BM$17)))</f>
        <v/>
      </c>
      <c r="JI27" s="226" t="str">
        <f>IF(JI$7&gt;$D$3,"",IF($FA23&lt;JI$7,"OD",_xlfn.XLOOKUP(JI$7,SOP!$M$6:$BM$6,SOP!$M$17:$BM$17)))</f>
        <v/>
      </c>
      <c r="JJ27" s="226" t="str">
        <f>IF(JJ$7&gt;$D$3,"",IF($FA23&lt;JJ$7,"OD",_xlfn.XLOOKUP(JJ$7,SOP!$M$6:$BM$6,SOP!$M$17:$BM$17)))</f>
        <v/>
      </c>
      <c r="JM27" s="136" t="str">
        <f>+$C27</f>
        <v>KPI Q1</v>
      </c>
      <c r="JN27" s="144" t="str">
        <f>+$D27</f>
        <v>Quality</v>
      </c>
      <c r="JO27" s="144" t="str">
        <f t="shared" si="65"/>
        <v>Customer Complaints</v>
      </c>
      <c r="JP27" s="145" t="str">
        <f t="shared" si="66"/>
        <v>Count</v>
      </c>
      <c r="JQ27" s="145" t="s">
        <v>284</v>
      </c>
      <c r="JR27" s="226" t="str">
        <f>IFERROR(AVERAGE(FC27:$FC27),"")</f>
        <v/>
      </c>
      <c r="JS27" s="226" t="str">
        <f>IFERROR(AVERAGE($FC27:FD27),"")</f>
        <v/>
      </c>
      <c r="JT27" s="226" t="str">
        <f>IFERROR(AVERAGE($FC27:FE27),"")</f>
        <v/>
      </c>
      <c r="JU27" s="226" t="str">
        <f>IFERROR(AVERAGE($FC27:FF27),"")</f>
        <v/>
      </c>
      <c r="JV27" s="226">
        <f>IFERROR(AVERAGE($FC27:FG27),"")</f>
        <v>3</v>
      </c>
      <c r="JW27" s="226">
        <f>IFERROR(AVERAGE($FC27:FH27),"")</f>
        <v>1.5</v>
      </c>
      <c r="JX27" s="226">
        <f>IFERROR(AVERAGE($FC27:FI27),"")</f>
        <v>1.3333333333333333</v>
      </c>
      <c r="JY27" s="226">
        <f>IFERROR(AVERAGE($FC27:FJ27),"")</f>
        <v>1.75</v>
      </c>
      <c r="JZ27" s="226">
        <f>IFERROR(AVERAGE($FC27:FK27),"")</f>
        <v>1.8</v>
      </c>
      <c r="KA27" s="226">
        <f>IFERROR(AVERAGE($FC27:FL27),"")</f>
        <v>1.6666666666666667</v>
      </c>
      <c r="KB27" s="226">
        <f>IFERROR(AVERAGE($FC27:FM27),"")</f>
        <v>1.5714285714285714</v>
      </c>
      <c r="KC27" s="226">
        <f>IFERROR(AVERAGE($FC27:FN27),"")</f>
        <v>1.75</v>
      </c>
      <c r="KD27" s="226">
        <f>IFERROR(AVERAGE($FC27:FO27),"")</f>
        <v>2</v>
      </c>
      <c r="KE27" s="226">
        <f>IFERROR(AVERAGE($FC27:FP27),"")</f>
        <v>1.8</v>
      </c>
      <c r="KF27" s="226">
        <f>IFERROR(AVERAGE($FC27:FQ27),"")</f>
        <v>1.7272727272727273</v>
      </c>
      <c r="KG27" s="226">
        <f>IFERROR(AVERAGE($FC27:FR27),"")</f>
        <v>1.75</v>
      </c>
      <c r="KH27" s="226">
        <f>IFERROR(AVERAGE($FC27:FS27),"")</f>
        <v>1.6923076923076923</v>
      </c>
      <c r="KI27" s="226">
        <f>IFERROR(AVERAGE($FC27:FT27),"")</f>
        <v>1.6428571428571428</v>
      </c>
      <c r="KJ27" s="226">
        <f>IFERROR(AVERAGE($FC27:FU27),"")</f>
        <v>1.7333333333333334</v>
      </c>
      <c r="KK27" s="226">
        <f>IFERROR(AVERAGE($FC27:FV27),"")</f>
        <v>1.75</v>
      </c>
      <c r="KL27" s="226">
        <f>IFERROR(AVERAGE($FC27:FW27),"")</f>
        <v>1.7647058823529411</v>
      </c>
      <c r="KM27" s="226">
        <f>IFERROR(AVERAGE($FC27:FX27),"")</f>
        <v>1.6666666666666667</v>
      </c>
      <c r="KN27" s="226">
        <f>IFERROR(AVERAGE($FC27:FY27),"")</f>
        <v>1.6842105263157894</v>
      </c>
      <c r="KO27" s="226">
        <f>IFERROR(AVERAGE($FC27:FZ27),"")</f>
        <v>1.75</v>
      </c>
      <c r="KP27" s="226">
        <f>IFERROR(AVERAGE($FC27:GA27),"")</f>
        <v>1.7142857142857142</v>
      </c>
      <c r="KQ27" s="226">
        <f>IFERROR(AVERAGE($FC27:GB27),"")</f>
        <v>1.6818181818181819</v>
      </c>
      <c r="KR27" s="226">
        <f>IFERROR(AVERAGE($FC27:GC27),"")</f>
        <v>1.6956521739130435</v>
      </c>
      <c r="KS27" s="226">
        <f>IFERROR(AVERAGE($FC27:GD27),"")</f>
        <v>1.625</v>
      </c>
      <c r="KT27" s="226">
        <f>IFERROR(AVERAGE($FC27:GE27),"")</f>
        <v>1.6</v>
      </c>
      <c r="KU27" s="226">
        <f>IFERROR(AVERAGE($FC27:GF27),"")</f>
        <v>1.6538461538461537</v>
      </c>
      <c r="KV27" s="226">
        <f>IFERROR(AVERAGE($FC27:GG27),"")</f>
        <v>1.6296296296296295</v>
      </c>
      <c r="KW27" s="226">
        <f>IFERROR(AVERAGE($FC27:GH27),"")</f>
        <v>1.6428571428571428</v>
      </c>
      <c r="KX27" s="226">
        <f>IFERROR(AVERAGE($FC27:GI27),"")</f>
        <v>1.6206896551724137</v>
      </c>
      <c r="KY27" s="226">
        <f>IFERROR(AVERAGE($FC27:GJ27),"")</f>
        <v>1.6</v>
      </c>
      <c r="KZ27" s="226">
        <f>IFERROR(AVERAGE($FC27:GK27),"")</f>
        <v>1.6451612903225807</v>
      </c>
      <c r="LA27" s="226">
        <f>IFERROR(AVERAGE($FC27:GL27),"")</f>
        <v>1.625</v>
      </c>
      <c r="LB27" s="226">
        <f>IFERROR(AVERAGE($FC27:GM27),"")</f>
        <v>1.5757575757575757</v>
      </c>
      <c r="LC27" s="226">
        <f>IFERROR(AVERAGE($FC27:GN27),"")</f>
        <v>1.5588235294117647</v>
      </c>
      <c r="LD27" s="226">
        <f>IFERROR(AVERAGE($FC27:GO27),"")</f>
        <v>1.6</v>
      </c>
      <c r="LE27" s="226">
        <f>IFERROR(AVERAGE($FC27:GP27),"")</f>
        <v>1.6111111111111112</v>
      </c>
      <c r="LF27" s="226">
        <f>IFERROR(AVERAGE($FC27:GQ27),"")</f>
        <v>1.6756756756756757</v>
      </c>
      <c r="LG27" s="226">
        <f>IFERROR(AVERAGE($FC27:GR27),"")</f>
        <v>1.631578947368421</v>
      </c>
      <c r="LH27" s="226">
        <f>IFERROR(AVERAGE($FC27:GS27),"")</f>
        <v>1.631578947368421</v>
      </c>
      <c r="LI27" s="226">
        <f>IFERROR(AVERAGE($FC27:GT27),"")</f>
        <v>1.631578947368421</v>
      </c>
      <c r="LJ27" s="226">
        <f>IFERROR(AVERAGE($FC27:GU27),"")</f>
        <v>1.631578947368421</v>
      </c>
      <c r="LK27" s="226">
        <f>IFERROR(AVERAGE($FC27:GV27),"")</f>
        <v>1.631578947368421</v>
      </c>
      <c r="LL27" s="226">
        <f>IFERROR(AVERAGE($FC27:GW27),"")</f>
        <v>1.631578947368421</v>
      </c>
      <c r="LM27" s="226">
        <f>IFERROR(AVERAGE($FC27:GX27),"")</f>
        <v>1.631578947368421</v>
      </c>
      <c r="LN27" s="226">
        <f>IFERROR(AVERAGE($FC27:GY27),"")</f>
        <v>1.631578947368421</v>
      </c>
      <c r="LO27" s="226">
        <f>IFERROR(AVERAGE($FC27:GZ27),"")</f>
        <v>1.631578947368421</v>
      </c>
      <c r="LP27" s="226">
        <f>IFERROR(AVERAGE($FC27:HA27),"")</f>
        <v>1.631578947368421</v>
      </c>
      <c r="LQ27" s="226">
        <f>IFERROR(AVERAGE($FC27:HB27),"")</f>
        <v>1.631578947368421</v>
      </c>
      <c r="LR27" s="226">
        <f>IFERROR(AVERAGE($FC27:HC27),"")</f>
        <v>1.631578947368421</v>
      </c>
      <c r="LT27" s="136" t="str">
        <f>+$C27</f>
        <v>KPI Q1</v>
      </c>
      <c r="LU27" s="144" t="str">
        <f>+$D27</f>
        <v>Quality</v>
      </c>
      <c r="LV27" s="144" t="str">
        <f t="shared" si="69"/>
        <v>Customer Complaints</v>
      </c>
      <c r="LW27" s="145" t="str">
        <f t="shared" si="70"/>
        <v>Count</v>
      </c>
      <c r="LX27" s="145" t="s">
        <v>285</v>
      </c>
      <c r="LY27" s="226" t="str">
        <f>IFERROR(AVERAGE($HJ27:HJ27),"")</f>
        <v/>
      </c>
      <c r="LZ27" s="226">
        <f>IFERROR(IF(LAD$7&gt;$D$3,"",AVERAGE($HJ27:HK27)),"")</f>
        <v>0</v>
      </c>
      <c r="MA27" s="226">
        <f>IFERROR(IF(MA$7&gt;$D$3,"",AVERAGE($HJ27:HL27)),"")</f>
        <v>0</v>
      </c>
      <c r="MB27" s="226">
        <f>IFERROR(IF(MB$7&gt;$D$3,"",AVERAGE($HJ27:HM27)),"")</f>
        <v>0</v>
      </c>
      <c r="MC27" s="226">
        <f>IFERROR(IF(MC$7&gt;$D$3,"",AVERAGE($HJ27:HN27)),"")</f>
        <v>0</v>
      </c>
      <c r="MD27" s="226">
        <f>IFERROR(IF(MD$7&gt;$D$3,"",AVERAGE($HJ27:HO27)),"")</f>
        <v>0</v>
      </c>
      <c r="ME27" s="226">
        <f>IFERROR(IF(ME$7&gt;$D$3,"",AVERAGE($HJ27:HP27)),"")</f>
        <v>0</v>
      </c>
      <c r="MF27" s="226">
        <f>IFERROR(IF(MF$7&gt;$D$3,"",AVERAGE($HJ27:HQ27)),"")</f>
        <v>0</v>
      </c>
      <c r="MG27" s="226">
        <f>IFERROR(IF(MG$7&gt;$D$3,"",AVERAGE($HJ27:HR27)),"")</f>
        <v>0</v>
      </c>
      <c r="MH27" s="226">
        <f>IFERROR(IF(MH$7&gt;$D$3,"",AVERAGE($HJ27:HS27)),"")</f>
        <v>0</v>
      </c>
      <c r="MI27" s="226">
        <f>IFERROR(IF(MI$7&gt;$D$3,"",AVERAGE($HJ27:HT27)),"")</f>
        <v>0</v>
      </c>
      <c r="MJ27" s="226">
        <f>IFERROR(IF(MJ$7&gt;$D$3,"",AVERAGE($HJ27:HU27)),"")</f>
        <v>0</v>
      </c>
      <c r="MK27" s="226">
        <f>IFERROR(IF(MK$7&gt;$D$3,"",AVERAGE($HJ27:HV27)),"")</f>
        <v>0</v>
      </c>
      <c r="ML27" s="226">
        <f>IFERROR(IF(ML$7&gt;$D$3,"",AVERAGE($HJ27:HW27)),"")</f>
        <v>0</v>
      </c>
      <c r="MM27" s="226">
        <f>IFERROR(IF(MM$7&gt;$D$3,"",AVERAGE($HJ27:HX27)),"")</f>
        <v>0</v>
      </c>
      <c r="MN27" s="226">
        <f>IFERROR(IF(MN$7&gt;$D$3,"",AVERAGE($HJ27:HY27)),"")</f>
        <v>0</v>
      </c>
      <c r="MO27" s="226">
        <f>IFERROR(IF(MO$7&gt;$D$3,"",AVERAGE($HJ27:HZ27)),"")</f>
        <v>0</v>
      </c>
      <c r="MP27" s="226">
        <f>IFERROR(IF(MP$7&gt;$D$3,"",AVERAGE($HJ27:IA27)),"")</f>
        <v>0</v>
      </c>
      <c r="MQ27" s="226">
        <f>IFERROR(IF(MQ$7&gt;$D$3,"",AVERAGE($HJ27:IB27)),"")</f>
        <v>0</v>
      </c>
      <c r="MR27" s="226">
        <f>IFERROR(IF(MR$7&gt;$D$3,"",AVERAGE($HJ27:IC27)),"")</f>
        <v>0</v>
      </c>
      <c r="MS27" s="226">
        <f>IFERROR(IF(MS$7&gt;$D$3,"",AVERAGE($HJ27:ID27)),"")</f>
        <v>0</v>
      </c>
      <c r="MT27" s="226">
        <f>IFERROR(IF(MT$7&gt;$D$3,"",AVERAGE($HJ27:IE27)),"")</f>
        <v>0</v>
      </c>
      <c r="MU27" s="226">
        <f>IFERROR(IF(MU$7&gt;$D$3,"",AVERAGE($HJ27:IF27)),"")</f>
        <v>0</v>
      </c>
      <c r="MV27" s="226">
        <f>IFERROR(IF(MV$7&gt;$D$3,"",AVERAGE($HJ27:IG27)),"")</f>
        <v>0</v>
      </c>
      <c r="MW27" s="226">
        <f>IFERROR(IF(MW$7&gt;$D$3,"",AVERAGE($HJ27:IH27)),"")</f>
        <v>0</v>
      </c>
      <c r="MX27" s="226">
        <f>IFERROR(IF(MX$7&gt;$D$3,"",AVERAGE($HJ27:II27)),"")</f>
        <v>0</v>
      </c>
      <c r="MY27" s="226">
        <f>IFERROR(IF(MY$7&gt;$D$3,"",AVERAGE($HJ27:IJ27)),"")</f>
        <v>0</v>
      </c>
      <c r="MZ27" s="226">
        <f>IFERROR(IF(MZ$7&gt;$D$3,"",AVERAGE($HJ27:IK27)),"")</f>
        <v>0</v>
      </c>
      <c r="NA27" s="226">
        <f>IFERROR(IF(NA$7&gt;$D$3,"",AVERAGE($HJ27:IL27)),"")</f>
        <v>0</v>
      </c>
      <c r="NB27" s="226">
        <f>IFERROR(IF(NB$7&gt;$D$3,"",AVERAGE($HJ27:IM27)),"")</f>
        <v>0</v>
      </c>
      <c r="NC27" s="226">
        <f>IFERROR(IF(NC$7&gt;$D$3,"",AVERAGE($HJ27:IN27)),"")</f>
        <v>0</v>
      </c>
      <c r="ND27" s="226">
        <f>IFERROR(IF(ND$7&gt;$D$3,"",AVERAGE($HJ27:IO27)),"")</f>
        <v>0</v>
      </c>
      <c r="NE27" s="226">
        <f>IFERROR(IF(NE$7&gt;$D$3,"",AVERAGE($HJ27:IP27)),"")</f>
        <v>0</v>
      </c>
      <c r="NF27" s="226">
        <f>IFERROR(IF(NF$7&gt;$D$3,"",AVERAGE($HJ27:IQ27)),"")</f>
        <v>0</v>
      </c>
      <c r="NG27" s="226">
        <f>IFERROR(IF(NG$7&gt;$D$3,"",AVERAGE($HJ27:IR27)),"")</f>
        <v>0</v>
      </c>
      <c r="NH27" s="226">
        <f>IFERROR(IF(NH$7&gt;$D$3,"",AVERAGE($HJ27:IS27)),"")</f>
        <v>0</v>
      </c>
      <c r="NI27" s="226">
        <f>IFERROR(IF(NI$7&gt;$D$3,"",AVERAGE($HJ27:IT27)),"")</f>
        <v>0</v>
      </c>
      <c r="NJ27" s="226">
        <f>IFERROR(IF(NJ$7&gt;$D$3,"",AVERAGE($HJ27:IU27)),"")</f>
        <v>0</v>
      </c>
      <c r="NK27" s="226">
        <f>IFERROR(IF(NK$7&gt;$D$3,"",AVERAGE($HJ27:IV27)),"")</f>
        <v>0</v>
      </c>
      <c r="NL27" s="226">
        <f>IFERROR(IF(NL$7&gt;$D$3,"",AVERAGE($HJ27:IW27)),"")</f>
        <v>0</v>
      </c>
      <c r="NM27" s="226">
        <f>IFERROR(IF(NM$7&gt;$D$3,"",AVERAGE($HJ27:IX27)),"")</f>
        <v>0</v>
      </c>
      <c r="NN27" s="226">
        <f>IFERROR(IF(NN$7&gt;$D$3,"",AVERAGE($HJ27:IY27)),"")</f>
        <v>0</v>
      </c>
      <c r="NO27" s="226" t="str">
        <f>IFERROR(IF(NO$7&gt;$D$3,"",AVERAGE($HJ27:IZ27)),"")</f>
        <v/>
      </c>
      <c r="NP27" s="226" t="str">
        <f>IFERROR(IF(NP$7&gt;$D$3,"",AVERAGE($HJ27:JA27)),"")</f>
        <v/>
      </c>
      <c r="NQ27" s="226" t="str">
        <f>IFERROR(IF(NQ$7&gt;$D$3,"",AVERAGE($HJ27:JB27)),"")</f>
        <v/>
      </c>
      <c r="NR27" s="226" t="str">
        <f>IFERROR(IF(NR$7&gt;$D$3,"",AVERAGE($HJ27:JC27)),"")</f>
        <v/>
      </c>
      <c r="NS27" s="226" t="str">
        <f>IFERROR(IF(NS$7&gt;$D$3,"",AVERAGE($HJ27:JD27)),"")</f>
        <v/>
      </c>
      <c r="NT27" s="226" t="str">
        <f>IFERROR(IF(NT$7&gt;$D$3,"",AVERAGE($HJ27:JE27)),"")</f>
        <v/>
      </c>
      <c r="NU27" s="226" t="str">
        <f>IFERROR(IF(NU$7&gt;$D$3,"",AVERAGE($HJ27:JF27)),"")</f>
        <v/>
      </c>
      <c r="NV27" s="226" t="str">
        <f>IFERROR(IF(NV$7&gt;$D$3,"",AVERAGE($HJ27:JG27)),"")</f>
        <v/>
      </c>
      <c r="NW27" s="226" t="str">
        <f>IFERROR(IF(NW$7&gt;$D$3,"",AVERAGE($HJ27:JH27)),"")</f>
        <v/>
      </c>
      <c r="NX27" s="226" t="str">
        <f>IFERROR(IF(NX$7&gt;$D$3,"",AVERAGE($HJ27:JI27)),"")</f>
        <v/>
      </c>
      <c r="NY27" s="226" t="str">
        <f>IFERROR(IF(NY$7&gt;$D$3,"",AVERAGE($HJ27:JJ27)),"")</f>
        <v/>
      </c>
    </row>
    <row r="28" spans="1:389" ht="15" thickBot="1" x14ac:dyDescent="0.35">
      <c r="A28" t="str">
        <f>$B$23&amp;"-"&amp;C28</f>
        <v>SOP-KPI C1</v>
      </c>
      <c r="B28" s="138"/>
      <c r="C28" s="138" t="str">
        <f>+'KPI Stats'!C27</f>
        <v>KPI C1</v>
      </c>
      <c r="D28" s="146" t="str">
        <f>+'KPI Stats'!D27</f>
        <v>Cost</v>
      </c>
      <c r="E28" s="146" t="str">
        <f>+'KPI Stats'!E27</f>
        <v>Order Value completed per FTE head</v>
      </c>
      <c r="F28" s="147" t="str">
        <f>+'KPI Stats'!F27</f>
        <v>£'s</v>
      </c>
      <c r="G28" s="170" t="str">
        <f>+'KPI Stats'!G27</f>
        <v>Under</v>
      </c>
      <c r="J28" s="160" t="str">
        <f>_xlfn.XLOOKUP(J$7,$AM$7:$CM$7,$AM28:$CM28,,FALSE)</f>
        <v>G</v>
      </c>
      <c r="K28" s="266">
        <f>_xlfn.XLOOKUP(K$7,$FC$7:$HC$7,$FC28:$HC28,,FALSE)</f>
        <v>43514.86363636364</v>
      </c>
      <c r="L28" s="279">
        <f>_xlfn.XLOOKUP(L$7,$HJ$7:$JJ$7,$HJ28:$JJ28,,FALSE)</f>
        <v>31629.788200592062</v>
      </c>
      <c r="M28" s="273">
        <f>_xlfn.XLOOKUP(M$7,$CU$7:$EU$7,$CU28:$EU28,,FALSE)</f>
        <v>1.3757557704907144</v>
      </c>
      <c r="P28" s="160" t="str">
        <f>_xlfn.XLOOKUP(P$7,$AM$7:$CM$7,$AM28:$CM28,,FALSE)</f>
        <v>G</v>
      </c>
      <c r="Q28" s="266">
        <f t="shared" si="73"/>
        <v>43514.86363636364</v>
      </c>
      <c r="R28" s="279">
        <f t="shared" si="73"/>
        <v>52323.230769230766</v>
      </c>
      <c r="S28" s="289">
        <f>_xlfn.XLOOKUP(S$7,$CU$7:$EU$7,$CU28:$EU28,,FALSE)</f>
        <v>1.3757557704907144</v>
      </c>
      <c r="T28" s="267">
        <f>_xlfn.XLOOKUP(T$7,$CU$7:$EU$7,$CU28:$EU28,,FALSE)</f>
        <v>1.6848585001713088</v>
      </c>
      <c r="U28" s="296" t="str">
        <f>IF(F23&lt;$R$2,"Not Complete",IF(Q28=R28,"Same −",IF($G28="Over",IF(Q28&lt;R28,"Better ↑","Worse ↓"),IF($G28="Under",IF(Q28&gt;R28,"Better ↑","Worse ↓"),"err"))))</f>
        <v>Worse ↓</v>
      </c>
      <c r="X28" s="160" t="str">
        <f t="shared" si="75"/>
        <v>G</v>
      </c>
      <c r="Y28" s="266">
        <f>_xlfn.XLOOKUP(Y$7,$JR$7:$LR$7,$JR28:$LR28,FALSE)</f>
        <v>31942.55334363868</v>
      </c>
      <c r="Z28" s="279">
        <f>_xlfn.XLOOKUP(Z$7,$LY$7:$NY$7,$LY28:$NY28,FALSE)</f>
        <v>27302.938751686012</v>
      </c>
      <c r="AA28" s="276">
        <f>IFERROR(IF(G28="under",Y28/Z28,IF(G28="Over",Z28/Y28,"")),"")</f>
        <v>1.1699309599654786</v>
      </c>
      <c r="AB28" s="296" t="str">
        <f>IF(F23&lt;$R$2,"TBC",IF(Y28=Z28,"Same −",IF($G28="Over",IF(Z28&lt;Y28,"Better ↑ ","Worse ↓ "),IF($G28="Under",IF(Y28&gt;Z28,"Better ↑ ","Worse ↓ "),"err"))))</f>
        <v xml:space="preserve">Better ↑ </v>
      </c>
      <c r="AC28" s="160" t="str">
        <f>IF(AND(G28="above adero",AD28&gt;0),"R",IF(AF28&gt;1,"G",IF(AF28&gt;0.95,"A","R")))</f>
        <v>G</v>
      </c>
      <c r="AD28" s="266">
        <f>_xlfn.XLOOKUP(AD$7,$JR$7:$LR$7,$JR28:$LR28,FALSE)</f>
        <v>31629.788200592062</v>
      </c>
      <c r="AE28" s="279">
        <f>_xlfn.XLOOKUP(AE$7,$LY$7:$NY$7,$LY28:$NY28,FALSE)</f>
        <v>27194.767515463358</v>
      </c>
      <c r="AF28" s="276">
        <f>IFERROR(IF(G28="under",AD28/AE28,IF(G28="Over",AE28/AD28,"")),"")</f>
        <v>1.1630836035868621</v>
      </c>
      <c r="AH28" s="465" t="str">
        <f>+$A28</f>
        <v>SOP-KPI C1</v>
      </c>
      <c r="AI28" s="138" t="str">
        <f t="shared" si="76"/>
        <v>KPI C1</v>
      </c>
      <c r="AJ28" s="146" t="str">
        <f t="shared" si="76"/>
        <v>Cost</v>
      </c>
      <c r="AK28" s="146" t="str">
        <f t="shared" si="52"/>
        <v>Order Value completed per FTE head</v>
      </c>
      <c r="AL28" s="147" t="str">
        <f t="shared" si="52"/>
        <v>£'s</v>
      </c>
      <c r="AM28" s="160" t="str">
        <f>IF(AM$7&gt;$D$3,"",_xlfn.XLOOKUP(AM$7,SOP!$M$6:$BM$6,SOP!$M$22:$BM$22))</f>
        <v>Blank</v>
      </c>
      <c r="AN28" s="200" t="str">
        <f>IF(AN$7&gt;$D$3,"",_xlfn.XLOOKUP(AN$7,SOP!$M$6:$BM$6,SOP!$M$22:$BM$22))</f>
        <v>Missed</v>
      </c>
      <c r="AO28" s="160" t="str">
        <f>IF(AO$7&gt;$D$3,"",_xlfn.XLOOKUP(AO$7,SOP!$M$6:$BM$6,SOP!$M$22:$BM$22))</f>
        <v>Missed</v>
      </c>
      <c r="AP28" s="160" t="str">
        <f>IF(AP$7&gt;$D$3,"",_xlfn.XLOOKUP(AP$7,SOP!$M$6:$BM$6,SOP!$M$22:$BM$22))</f>
        <v>Missed</v>
      </c>
      <c r="AQ28" s="160" t="str">
        <f>IF(AQ$7&gt;$D$3,"",_xlfn.XLOOKUP(AQ$7,SOP!$M$6:$BM$6,SOP!$M$22:$BM$22))</f>
        <v>G</v>
      </c>
      <c r="AR28" s="160" t="str">
        <f>IF(AR$7&gt;$D$3,"",_xlfn.XLOOKUP(AR$7,SOP!$M$6:$BM$6,SOP!$M$22:$BM$22))</f>
        <v>G</v>
      </c>
      <c r="AS28" s="160" t="str">
        <f>IF(AS$7&gt;$D$3,"",_xlfn.XLOOKUP(AS$7,SOP!$M$6:$BM$6,SOP!$M$22:$BM$22))</f>
        <v>R</v>
      </c>
      <c r="AT28" s="160" t="str">
        <f>IF(AT$7&gt;$D$3,"",_xlfn.XLOOKUP(AT$7,SOP!$M$6:$BM$6,SOP!$M$22:$BM$22))</f>
        <v>G</v>
      </c>
      <c r="AU28" s="160" t="str">
        <f>IF(AU$7&gt;$D$3,"",_xlfn.XLOOKUP(AU$7,SOP!$M$6:$BM$6,SOP!$M$22:$BM$22))</f>
        <v>G</v>
      </c>
      <c r="AV28" s="160" t="str">
        <f>IF(AV$7&gt;$D$3,"",_xlfn.XLOOKUP(AV$7,SOP!$M$6:$BM$6,SOP!$M$22:$BM$22))</f>
        <v>G</v>
      </c>
      <c r="AW28" s="160" t="str">
        <f>IF(AW$7&gt;$D$3,"",_xlfn.XLOOKUP(AW$7,SOP!$M$6:$BM$6,SOP!$M$22:$BM$22))</f>
        <v>R</v>
      </c>
      <c r="AX28" s="160" t="str">
        <f>IF(AX$7&gt;$D$3,"",_xlfn.XLOOKUP(AX$7,SOP!$M$6:$BM$6,SOP!$M$22:$BM$22))</f>
        <v>G</v>
      </c>
      <c r="AY28" s="160" t="str">
        <f>IF(AY$7&gt;$D$3,"",_xlfn.XLOOKUP(AY$7,SOP!$M$6:$BM$6,SOP!$M$22:$BM$22))</f>
        <v>R</v>
      </c>
      <c r="AZ28" s="160" t="str">
        <f>IF(AZ$7&gt;$D$3,"",_xlfn.XLOOKUP(AZ$7,SOP!$M$6:$BM$6,SOP!$M$22:$BM$22))</f>
        <v>G</v>
      </c>
      <c r="BA28" s="160" t="str">
        <f>IF(BA$7&gt;$D$3,"",_xlfn.XLOOKUP(BA$7,SOP!$M$6:$BM$6,SOP!$M$22:$BM$22))</f>
        <v>G</v>
      </c>
      <c r="BB28" s="160" t="str">
        <f>IF(BB$7&gt;$D$3,"",_xlfn.XLOOKUP(BB$7,SOP!$M$6:$BM$6,SOP!$M$22:$BM$22))</f>
        <v>R</v>
      </c>
      <c r="BC28" s="160" t="str">
        <f>IF(BC$7&gt;$D$3,"",_xlfn.XLOOKUP(BC$7,SOP!$M$6:$BM$6,SOP!$M$22:$BM$22))</f>
        <v>G</v>
      </c>
      <c r="BD28" s="160" t="str">
        <f>IF(BD$7&gt;$D$3,"",_xlfn.XLOOKUP(BD$7,SOP!$M$6:$BM$6,SOP!$M$22:$BM$22))</f>
        <v>G</v>
      </c>
      <c r="BE28" s="160" t="str">
        <f>IF(BE$7&gt;$D$3,"",_xlfn.XLOOKUP(BE$7,SOP!$M$6:$BM$6,SOP!$M$22:$BM$22))</f>
        <v>R</v>
      </c>
      <c r="BF28" s="160" t="str">
        <f>IF(BF$7&gt;$D$3,"",_xlfn.XLOOKUP(BF$7,SOP!$M$6:$BM$6,SOP!$M$22:$BM$22))</f>
        <v>R</v>
      </c>
      <c r="BG28" s="160" t="str">
        <f>IF(BG$7&gt;$D$3,"",_xlfn.XLOOKUP(BG$7,SOP!$M$6:$BM$6,SOP!$M$22:$BM$22))</f>
        <v>G</v>
      </c>
      <c r="BH28" s="160" t="str">
        <f>IF(BH$7&gt;$D$3,"",_xlfn.XLOOKUP(BH$7,SOP!$M$6:$BM$6,SOP!$M$22:$BM$22))</f>
        <v>G</v>
      </c>
      <c r="BI28" s="160" t="str">
        <f>IF(BI$7&gt;$D$3,"",_xlfn.XLOOKUP(BI$7,SOP!$M$6:$BM$6,SOP!$M$22:$BM$22))</f>
        <v>G</v>
      </c>
      <c r="BJ28" s="160" t="str">
        <f>IF(BJ$7&gt;$D$3,"",_xlfn.XLOOKUP(BJ$7,SOP!$M$6:$BM$6,SOP!$M$22:$BM$22))</f>
        <v>R</v>
      </c>
      <c r="BK28" s="160" t="str">
        <f>IF(BK$7&gt;$D$3,"",_xlfn.XLOOKUP(BK$7,SOP!$M$6:$BM$6,SOP!$M$22:$BM$22))</f>
        <v>R</v>
      </c>
      <c r="BL28" s="160" t="str">
        <f>IF(BL$7&gt;$D$3,"",_xlfn.XLOOKUP(BL$7,SOP!$M$6:$BM$6,SOP!$M$22:$BM$22))</f>
        <v>G</v>
      </c>
      <c r="BM28" s="160" t="str">
        <f>IF(BM$7&gt;$D$3,"",_xlfn.XLOOKUP(BM$7,SOP!$M$6:$BM$6,SOP!$M$22:$BM$22))</f>
        <v>G</v>
      </c>
      <c r="BN28" s="160" t="str">
        <f>IF(BN$7&gt;$D$3,"",_xlfn.XLOOKUP(BN$7,SOP!$M$6:$BM$6,SOP!$M$22:$BM$22))</f>
        <v>R</v>
      </c>
      <c r="BO28" s="160" t="str">
        <f>IF(BO$7&gt;$D$3,"",_xlfn.XLOOKUP(BO$7,SOP!$M$6:$BM$6,SOP!$M$22:$BM$22))</f>
        <v>G</v>
      </c>
      <c r="BP28" s="160" t="str">
        <f>IF(BP$7&gt;$D$3,"",_xlfn.XLOOKUP(BP$7,SOP!$M$6:$BM$6,SOP!$M$22:$BM$22))</f>
        <v>G</v>
      </c>
      <c r="BQ28" s="160" t="str">
        <f>IF(BQ$7&gt;$D$3,"",_xlfn.XLOOKUP(BQ$7,SOP!$M$6:$BM$6,SOP!$M$22:$BM$22))</f>
        <v>R</v>
      </c>
      <c r="BR28" s="160" t="str">
        <f>IF(BR$7&gt;$D$3,"",_xlfn.XLOOKUP(BR$7,SOP!$M$6:$BM$6,SOP!$M$22:$BM$22))</f>
        <v>G</v>
      </c>
      <c r="BS28" s="160" t="str">
        <f>IF(BS$7&gt;$D$3,"",_xlfn.XLOOKUP(BS$7,SOP!$M$6:$BM$6,SOP!$M$22:$BM$22))</f>
        <v>R</v>
      </c>
      <c r="BT28" s="160" t="str">
        <f>IF(BT$7&gt;$D$3,"",_xlfn.XLOOKUP(BT$7,SOP!$M$6:$BM$6,SOP!$M$22:$BM$22))</f>
        <v>G</v>
      </c>
      <c r="BU28" s="160" t="str">
        <f>IF(BU$7&gt;$D$3,"",_xlfn.XLOOKUP(BU$7,SOP!$M$6:$BM$6,SOP!$M$22:$BM$22))</f>
        <v>R</v>
      </c>
      <c r="BV28" s="160" t="str">
        <f>IF(BV$7&gt;$D$3,"",_xlfn.XLOOKUP(BV$7,SOP!$M$6:$BM$6,SOP!$M$22:$BM$22))</f>
        <v>R</v>
      </c>
      <c r="BW28" s="160" t="str">
        <f>IF(BW$7&gt;$D$3,"",_xlfn.XLOOKUP(BW$7,SOP!$M$6:$BM$6,SOP!$M$22:$BM$22))</f>
        <v>R</v>
      </c>
      <c r="BX28" s="160" t="str">
        <f>IF(BX$7&gt;$D$3,"",_xlfn.XLOOKUP(BX$7,SOP!$M$6:$BM$6,SOP!$M$22:$BM$22))</f>
        <v>G</v>
      </c>
      <c r="BY28" s="160" t="str">
        <f>IF(BY$7&gt;$D$3,"",_xlfn.XLOOKUP(BY$7,SOP!$M$6:$BM$6,SOP!$M$22:$BM$22))</f>
        <v>R</v>
      </c>
      <c r="BZ28" s="160" t="str">
        <f>IF(BZ$7&gt;$D$3,"",_xlfn.XLOOKUP(BZ$7,SOP!$M$6:$BM$6,SOP!$M$22:$BM$22))</f>
        <v>R</v>
      </c>
      <c r="CA28" s="160" t="str">
        <f>IF(CA$7&gt;$D$3,"",_xlfn.XLOOKUP(CA$7,SOP!$M$6:$BM$6,SOP!$M$22:$BM$22))</f>
        <v>G</v>
      </c>
      <c r="CB28" s="160" t="str">
        <f>IF(CB$7&gt;$D$3,"",_xlfn.XLOOKUP(CB$7,SOP!$M$6:$BM$6,SOP!$M$22:$BM$22))</f>
        <v>G</v>
      </c>
      <c r="CC28" s="160" t="str">
        <f>IF(CC$7&gt;$D$3,"",_xlfn.XLOOKUP(CC$7,SOP!$M$6:$BM$6,SOP!$M$22:$BM$22))</f>
        <v/>
      </c>
      <c r="CD28" s="160" t="str">
        <f>IF(CD$7&gt;$D$3,"",_xlfn.XLOOKUP(CD$7,SOP!$M$6:$BM$6,SOP!$M$22:$BM$22))</f>
        <v/>
      </c>
      <c r="CE28" s="160" t="str">
        <f>IF(CE$7&gt;$D$3,"",_xlfn.XLOOKUP(CE$7,SOP!$M$6:$BM$6,SOP!$M$22:$BM$22))</f>
        <v/>
      </c>
      <c r="CF28" s="160" t="str">
        <f>IF(CF$7&gt;$D$3,"",_xlfn.XLOOKUP(CF$7,SOP!$M$6:$BM$6,SOP!$M$22:$BM$22))</f>
        <v/>
      </c>
      <c r="CG28" s="160" t="str">
        <f>IF(CG$7&gt;$D$3,"",_xlfn.XLOOKUP(CG$7,SOP!$M$6:$BM$6,SOP!$M$22:$BM$22))</f>
        <v/>
      </c>
      <c r="CH28" s="160" t="str">
        <f>IF(CH$7&gt;$D$3,"",_xlfn.XLOOKUP(CH$7,SOP!$M$6:$BM$6,SOP!$M$22:$BM$22))</f>
        <v/>
      </c>
      <c r="CI28" s="160" t="str">
        <f>IF(CI$7&gt;$D$3,"",_xlfn.XLOOKUP(CI$7,SOP!$M$6:$BM$6,SOP!$M$22:$BM$22))</f>
        <v/>
      </c>
      <c r="CJ28" s="160" t="str">
        <f>IF(CJ$7&gt;$D$3,"",_xlfn.XLOOKUP(CJ$7,SOP!$M$6:$BM$6,SOP!$M$22:$BM$22))</f>
        <v/>
      </c>
      <c r="CK28" s="160" t="str">
        <f>IF(CK$7&gt;$D$3,"",_xlfn.XLOOKUP(CK$7,SOP!$M$6:$BM$6,SOP!$M$22:$BM$22))</f>
        <v/>
      </c>
      <c r="CL28" s="160" t="str">
        <f>IF(CL$7&gt;$D$3,"",_xlfn.XLOOKUP(CL$7,SOP!$M$6:$BM$6,SOP!$M$22:$BM$22))</f>
        <v/>
      </c>
      <c r="CM28" s="160" t="str">
        <f>IF(CM$7&gt;$D$3,"",_xlfn.XLOOKUP(CM$7,SOP!$M$6:$BM$6,SOP!$M$22:$BM$22))</f>
        <v/>
      </c>
      <c r="CO28" s="465" t="str">
        <f>+$A28</f>
        <v>SOP-KPI C1</v>
      </c>
      <c r="CP28" s="138" t="str">
        <f t="shared" si="77"/>
        <v>KPI C1</v>
      </c>
      <c r="CQ28" s="146" t="str">
        <f t="shared" si="77"/>
        <v>Cost</v>
      </c>
      <c r="CR28" s="146" t="str">
        <f t="shared" si="55"/>
        <v>Order Value completed per FTE head</v>
      </c>
      <c r="CS28" s="147" t="str">
        <f t="shared" si="55"/>
        <v>£'s</v>
      </c>
      <c r="CT28" s="208" t="s">
        <v>246</v>
      </c>
      <c r="CU28" s="217" t="str" cm="1">
        <f t="array" ref="CU28">IFERROR(IF(CU$7&gt;$D$3,"",IF(AM28="Undefined","Undefined",IF(AM28="Missed","Missed",IF(AM28="Blank","Blank",IF(AM28="OD","OD",IF(AM28="TBC","TBC",_xlfn.XLOOKUP(CU$7,SOP!$M$6:$BM$6,SOP!$M$21:$BM$21/_xlfn.XLOOKUP(CU$7,SOP!$M$6:$BM$6,SOP!$M$20:$BM$20)))))))),"")</f>
        <v>Blank</v>
      </c>
      <c r="CV28" s="324" t="str" cm="1">
        <f t="array" ref="CV28">IFERROR(IF(CV$7&gt;$D$3,"",IF(AN28="Undefined","Undefined",IF(AN28="Missed","Missed",IF(AN28="Blank","Blank",IF(AN28="OD","OD",IF(AN28="TBC","TBC",_xlfn.XLOOKUP(CV$7,SOP!$M$6:$BM$6,SOP!$M$21:$BM$21/_xlfn.XLOOKUP(CV$7,SOP!$M$6:$BM$6,SOP!$M$20:$BM$20)))))))),"")</f>
        <v>Missed</v>
      </c>
      <c r="CW28" s="325" t="str" cm="1">
        <f t="array" ref="CW28">IFERROR(IF(CW$7&gt;$D$3,"",IF(AO28="Undefined","Undefined",IF(AO28="Missed","Missed",IF(AO28="Blank","Blank",IF(AO28="OD","OD",IF(AO28="TBC","TBC",_xlfn.XLOOKUP(CW$7,SOP!$M$6:$BM$6,SOP!$M$21:$BM$21/_xlfn.XLOOKUP(CW$7,SOP!$M$6:$BM$6,SOP!$M$20:$BM$20)))))))),"")</f>
        <v>Missed</v>
      </c>
      <c r="CX28" s="325" t="str" cm="1">
        <f t="array" ref="CX28">IFERROR(IF(CX$7&gt;$D$3,"",IF(AP28="Undefined","Undefined",IF(AP28="Missed","Missed",IF(AP28="Blank","Blank",IF(AP28="OD","OD",IF(AP28="TBC","TBC",_xlfn.XLOOKUP(CX$7,SOP!$M$6:$BM$6,SOP!$M$21:$BM$21/_xlfn.XLOOKUP(CX$7,SOP!$M$6:$BM$6,SOP!$M$20:$BM$20)))))))),"")</f>
        <v>Missed</v>
      </c>
      <c r="CY28" s="325" cm="1">
        <f t="array" ref="CY28">IFERROR(IF(CY$7&gt;$D$3,"",IF(AQ28="Undefined","Undefined",IF(AQ28="Missed","Missed",IF(AQ28="Blank","Blank",IF(AQ28="OD","OD",IF(AQ28="TBC","TBC",_xlfn.XLOOKUP(CY$7,SOP!$M$6:$BM$6,SOP!$M$21:$BM$21/_xlfn.XLOOKUP(CY$7,SOP!$M$6:$BM$6,SOP!$M$20:$BM$20)))))))),"")</f>
        <v>1</v>
      </c>
      <c r="CZ28" s="325" cm="1">
        <f t="array" ref="CZ28">IFERROR(IF(CZ$7&gt;$D$3,"",IF(AR28="Undefined","Undefined",IF(AR28="Missed","Missed",IF(AR28="Blank","Blank",IF(AR28="OD","OD",IF(AR28="TBC","TBC",_xlfn.XLOOKUP(CZ$7,SOP!$M$6:$BM$6,SOP!$M$21:$BM$21/_xlfn.XLOOKUP(CZ$7,SOP!$M$6:$BM$6,SOP!$M$20:$BM$20)))))))),"")</f>
        <v>1.7474212970554504</v>
      </c>
      <c r="DA28" s="325" cm="1">
        <f t="array" ref="DA28">IFERROR(IF(DA$7&gt;$D$3,"",IF(AS28="Undefined","Undefined",IF(AS28="Missed","Missed",IF(AS28="Blank","Blank",IF(AS28="OD","OD",IF(AS28="TBC","TBC",_xlfn.XLOOKUP(DA$7,SOP!$M$6:$BM$6,SOP!$M$21:$BM$21/_xlfn.XLOOKUP(DA$7,SOP!$M$6:$BM$6,SOP!$M$20:$BM$20)))))))),"")</f>
        <v>0.73943726343689209</v>
      </c>
      <c r="DB28" s="325" cm="1">
        <f t="array" ref="DB28">IFERROR(IF(DB$7&gt;$D$3,"",IF(AT28="Undefined","Undefined",IF(AT28="Missed","Missed",IF(AT28="Blank","Blank",IF(AT28="OD","OD",IF(AT28="TBC","TBC",_xlfn.XLOOKUP(DB$7,SOP!$M$6:$BM$6,SOP!$M$21:$BM$21/_xlfn.XLOOKUP(DB$7,SOP!$M$6:$BM$6,SOP!$M$20:$BM$20)))))))),"")</f>
        <v>1.0213187915800968</v>
      </c>
      <c r="DC28" s="325" cm="1">
        <f t="array" ref="DC28">IFERROR(IF(DC$7&gt;$D$3,"",IF(AU28="Undefined","Undefined",IF(AU28="Missed","Missed",IF(AU28="Blank","Blank",IF(AU28="OD","OD",IF(AU28="TBC","TBC",_xlfn.XLOOKUP(DC$7,SOP!$M$6:$BM$6,SOP!$M$21:$BM$21/_xlfn.XLOOKUP(DC$7,SOP!$M$6:$BM$6,SOP!$M$20:$BM$20)))))))),"")</f>
        <v>1.5769988670306303</v>
      </c>
      <c r="DD28" s="325" cm="1">
        <f t="array" ref="DD28">IFERROR(IF(DD$7&gt;$D$3,"",IF(AV28="Undefined","Undefined",IF(AV28="Missed","Missed",IF(AV28="Blank","Blank",IF(AV28="OD","OD",IF(AV28="TBC","TBC",_xlfn.XLOOKUP(DD$7,SOP!$M$6:$BM$6,SOP!$M$21:$BM$21/_xlfn.XLOOKUP(DD$7,SOP!$M$6:$BM$6,SOP!$M$20:$BM$20)))))))),"")</f>
        <v>1.0780780063803848</v>
      </c>
      <c r="DE28" s="325" cm="1">
        <f t="array" ref="DE28">IFERROR(IF(DE$7&gt;$D$3,"",IF(AW28="Undefined","Undefined",IF(AW28="Missed","Missed",IF(AW28="Blank","Blank",IF(AW28="OD","OD",IF(AW28="TBC","TBC",_xlfn.XLOOKUP(DE$7,SOP!$M$6:$BM$6,SOP!$M$21:$BM$21/_xlfn.XLOOKUP(DE$7,SOP!$M$6:$BM$6,SOP!$M$20:$BM$20)))))))),"")</f>
        <v>0.72045478370615279</v>
      </c>
      <c r="DF28" s="325" cm="1">
        <f t="array" ref="DF28">IFERROR(IF(DF$7&gt;$D$3,"",IF(AX28="Undefined","Undefined",IF(AX28="Missed","Missed",IF(AX28="Blank","Blank",IF(AX28="OD","OD",IF(AX28="TBC","TBC",_xlfn.XLOOKUP(DF$7,SOP!$M$6:$BM$6,SOP!$M$21:$BM$21/_xlfn.XLOOKUP(DF$7,SOP!$M$6:$BM$6,SOP!$M$20:$BM$20)))))))),"")</f>
        <v>1.5362185538962732</v>
      </c>
      <c r="DG28" s="325" cm="1">
        <f t="array" ref="DG28">IFERROR(IF(DG$7&gt;$D$3,"",IF(AY28="Undefined","Undefined",IF(AY28="Missed","Missed",IF(AY28="Blank","Blank",IF(AY28="OD","OD",IF(AY28="TBC","TBC",_xlfn.XLOOKUP(DG$7,SOP!$M$6:$BM$6,SOP!$M$21:$BM$21/_xlfn.XLOOKUP(DG$7,SOP!$M$6:$BM$6,SOP!$M$20:$BM$20)))))))),"")</f>
        <v>0.80129636570871432</v>
      </c>
      <c r="DH28" s="325" cm="1">
        <f t="array" ref="DH28">IFERROR(IF(DH$7&gt;$D$3,"",IF(AZ28="Undefined","Undefined",IF(AZ28="Missed","Missed",IF(AZ28="Blank","Blank",IF(AZ28="OD","OD",IF(AZ28="TBC","TBC",_xlfn.XLOOKUP(DH$7,SOP!$M$6:$BM$6,SOP!$M$21:$BM$21/_xlfn.XLOOKUP(DH$7,SOP!$M$6:$BM$6,SOP!$M$20:$BM$20)))))))),"")</f>
        <v>1.0770568476518212</v>
      </c>
      <c r="DI28" s="325" cm="1">
        <f t="array" ref="DI28">IFERROR(IF(DI$7&gt;$D$3,"",IF(BA28="Undefined","Undefined",IF(BA28="Missed","Missed",IF(BA28="Blank","Blank",IF(BA28="OD","OD",IF(BA28="TBC","TBC",_xlfn.XLOOKUP(DI$7,SOP!$M$6:$BM$6,SOP!$M$21:$BM$21/_xlfn.XLOOKUP(DI$7,SOP!$M$6:$BM$6,SOP!$M$20:$BM$20)))))))),"")</f>
        <v>1.2537799546467567</v>
      </c>
      <c r="DJ28" s="325" cm="1">
        <f t="array" ref="DJ28">IFERROR(IF(DJ$7&gt;$D$3,"",IF(BB28="Undefined","Undefined",IF(BB28="Missed","Missed",IF(BB28="Blank","Blank",IF(BB28="OD","OD",IF(BB28="TBC","TBC",_xlfn.XLOOKUP(DJ$7,SOP!$M$6:$BM$6,SOP!$M$21:$BM$21/_xlfn.XLOOKUP(DJ$7,SOP!$M$6:$BM$6,SOP!$M$20:$BM$20)))))))),"")</f>
        <v>0.66233721134695644</v>
      </c>
      <c r="DK28" s="325" cm="1">
        <f t="array" ref="DK28">IFERROR(IF(DK$7&gt;$D$3,"",IF(BC28="Undefined","Undefined",IF(BC28="Missed","Missed",IF(BC28="Blank","Blank",IF(BC28="OD","OD",IF(BC28="TBC","TBC",_xlfn.XLOOKUP(DK$7,SOP!$M$6:$BM$6,SOP!$M$21:$BM$21/_xlfn.XLOOKUP(DK$7,SOP!$M$6:$BM$6,SOP!$M$20:$BM$20)))))))),"")</f>
        <v>1.1886486755010879</v>
      </c>
      <c r="DL28" s="325" cm="1">
        <f t="array" ref="DL28">IFERROR(IF(DL$7&gt;$D$3,"",IF(BD28="Undefined","Undefined",IF(BD28="Missed","Missed",IF(BD28="Blank","Blank",IF(BD28="OD","OD",IF(BD28="TBC","TBC",_xlfn.XLOOKUP(DL$7,SOP!$M$6:$BM$6,SOP!$M$21:$BM$21/_xlfn.XLOOKUP(DL$7,SOP!$M$6:$BM$6,SOP!$M$20:$BM$20)))))))),"")</f>
        <v>1.2113703846152855</v>
      </c>
      <c r="DM28" s="325" cm="1">
        <f t="array" ref="DM28">IFERROR(IF(DM$7&gt;$D$3,"",IF(BE28="Undefined","Undefined",IF(BE28="Missed","Missed",IF(BE28="Blank","Blank",IF(BE28="OD","OD",IF(BE28="TBC","TBC",_xlfn.XLOOKUP(DM$7,SOP!$M$6:$BM$6,SOP!$M$21:$BM$21/_xlfn.XLOOKUP(DM$7,SOP!$M$6:$BM$6,SOP!$M$20:$BM$20)))))))),"")</f>
        <v>0.7360625249287075</v>
      </c>
      <c r="DN28" s="325" cm="1">
        <f t="array" ref="DN28">IFERROR(IF(DN$7&gt;$D$3,"",IF(BF28="Undefined","Undefined",IF(BF28="Missed","Missed",IF(BF28="Blank","Blank",IF(BF28="OD","OD",IF(BF28="TBC","TBC",_xlfn.XLOOKUP(DN$7,SOP!$M$6:$BM$6,SOP!$M$21:$BM$21/_xlfn.XLOOKUP(DN$7,SOP!$M$6:$BM$6,SOP!$M$20:$BM$20)))))))),"")</f>
        <v>0.70346343307504311</v>
      </c>
      <c r="DO28" s="325" cm="1">
        <f t="array" ref="DO28">IFERROR(IF(DO$7&gt;$D$3,"",IF(BG28="Undefined","Undefined",IF(BG28="Missed","Missed",IF(BG28="Blank","Blank",IF(BG28="OD","OD",IF(BG28="TBC","TBC",_xlfn.XLOOKUP(DO$7,SOP!$M$6:$BM$6,SOP!$M$21:$BM$21/_xlfn.XLOOKUP(DO$7,SOP!$M$6:$BM$6,SOP!$M$20:$BM$20)))))))),"")</f>
        <v>1.7418383332516514</v>
      </c>
      <c r="DP28" s="325" cm="1">
        <f t="array" ref="DP28">IFERROR(IF(DP$7&gt;$D$3,"",IF(BH28="Undefined","Undefined",IF(BH28="Missed","Missed",IF(BH28="Blank","Blank",IF(BH28="OD","OD",IF(BH28="TBC","TBC",_xlfn.XLOOKUP(DP$7,SOP!$M$6:$BM$6,SOP!$M$21:$BM$21/_xlfn.XLOOKUP(DP$7,SOP!$M$6:$BM$6,SOP!$M$20:$BM$20)))))))),"")</f>
        <v>1.1615977877694592</v>
      </c>
      <c r="DQ28" s="325" cm="1">
        <f t="array" ref="DQ28">IFERROR(IF(DQ$7&gt;$D$3,"",IF(BI28="Undefined","Undefined",IF(BI28="Missed","Missed",IF(BI28="Blank","Blank",IF(BI28="OD","OD",IF(BI28="TBC","TBC",_xlfn.XLOOKUP(DQ$7,SOP!$M$6:$BM$6,SOP!$M$21:$BM$21/_xlfn.XLOOKUP(DQ$7,SOP!$M$6:$BM$6,SOP!$M$20:$BM$20)))))))),"")</f>
        <v>1.2575770369129835</v>
      </c>
      <c r="DR28" s="325" cm="1">
        <f t="array" ref="DR28">IFERROR(IF(DR$7&gt;$D$3,"",IF(BJ28="Undefined","Undefined",IF(BJ28="Missed","Missed",IF(BJ28="Blank","Blank",IF(BJ28="OD","OD",IF(BJ28="TBC","TBC",_xlfn.XLOOKUP(DR$7,SOP!$M$6:$BM$6,SOP!$M$21:$BM$21/_xlfn.XLOOKUP(DR$7,SOP!$M$6:$BM$6,SOP!$M$20:$BM$20)))))))),"")</f>
        <v>0.92394773133615371</v>
      </c>
      <c r="DS28" s="325" cm="1">
        <f t="array" ref="DS28">IFERROR(IF(DS$7&gt;$D$3,"",IF(BK28="Undefined","Undefined",IF(BK28="Missed","Missed",IF(BK28="Blank","Blank",IF(BK28="OD","OD",IF(BK28="TBC","TBC",_xlfn.XLOOKUP(DS$7,SOP!$M$6:$BM$6,SOP!$M$21:$BM$21/_xlfn.XLOOKUP(DS$7,SOP!$M$6:$BM$6,SOP!$M$20:$BM$20)))))))),"")</f>
        <v>0.76487293838982828</v>
      </c>
      <c r="DT28" s="325" cm="1">
        <f t="array" ref="DT28">IFERROR(IF(DT$7&gt;$D$3,"",IF(BL28="Undefined","Undefined",IF(BL28="Missed","Missed",IF(BL28="Blank","Blank",IF(BL28="OD","OD",IF(BL28="TBC","TBC",_xlfn.XLOOKUP(DT$7,SOP!$M$6:$BM$6,SOP!$M$21:$BM$21/_xlfn.XLOOKUP(DT$7,SOP!$M$6:$BM$6,SOP!$M$20:$BM$20)))))))),"")</f>
        <v>1.0313885601885089</v>
      </c>
      <c r="DU28" s="325" cm="1">
        <f t="array" ref="DU28">IFERROR(IF(DU$7&gt;$D$3,"",IF(BM28="Undefined","Undefined",IF(BM28="Missed","Missed",IF(BM28="Blank","Blank",IF(BM28="OD","OD",IF(BM28="TBC","TBC",_xlfn.XLOOKUP(DU$7,SOP!$M$6:$BM$6,SOP!$M$21:$BM$21/_xlfn.XLOOKUP(DU$7,SOP!$M$6:$BM$6,SOP!$M$20:$BM$20)))))))),"")</f>
        <v>1.3146933874171722</v>
      </c>
      <c r="DV28" s="325" cm="1">
        <f t="array" ref="DV28">IFERROR(IF(DV$7&gt;$D$3,"",IF(BN28="Undefined","Undefined",IF(BN28="Missed","Missed",IF(BN28="Blank","Blank",IF(BN28="OD","OD",IF(BN28="TBC","TBC",_xlfn.XLOOKUP(DV$7,SOP!$M$6:$BM$6,SOP!$M$21:$BM$21/_xlfn.XLOOKUP(DV$7,SOP!$M$6:$BM$6,SOP!$M$20:$BM$20)))))))),"")</f>
        <v>0.8433464724360098</v>
      </c>
      <c r="DW28" s="325" cm="1">
        <f t="array" ref="DW28">IFERROR(IF(DW$7&gt;$D$3,"",IF(BO28="Undefined","Undefined",IF(BO28="Missed","Missed",IF(BO28="Blank","Blank",IF(BO28="OD","OD",IF(BO28="TBC","TBC",_xlfn.XLOOKUP(DW$7,SOP!$M$6:$BM$6,SOP!$M$21:$BM$21/_xlfn.XLOOKUP(DW$7,SOP!$M$6:$BM$6,SOP!$M$20:$BM$20)))))))),"")</f>
        <v>1.3475536920605653</v>
      </c>
      <c r="DX28" s="325" cm="1">
        <f t="array" ref="DX28">IFERROR(IF(DX$7&gt;$D$3,"",IF(BP28="Undefined","Undefined",IF(BP28="Missed","Missed",IF(BP28="Blank","Blank",IF(BP28="OD","OD",IF(BP28="TBC","TBC",_xlfn.XLOOKUP(DX$7,SOP!$M$6:$BM$6,SOP!$M$21:$BM$21/_xlfn.XLOOKUP(DX$7,SOP!$M$6:$BM$6,SOP!$M$20:$BM$20)))))))),"")</f>
        <v>1.0557489759769567</v>
      </c>
      <c r="DY28" s="325" cm="1">
        <f t="array" ref="DY28">IFERROR(IF(DY$7&gt;$D$3,"",IF(BQ28="Undefined","Undefined",IF(BQ28="Missed","Missed",IF(BQ28="Blank","Blank",IF(BQ28="OD","OD",IF(BQ28="TBC","TBC",_xlfn.XLOOKUP(DY$7,SOP!$M$6:$BM$6,SOP!$M$21:$BM$21/_xlfn.XLOOKUP(DY$7,SOP!$M$6:$BM$6,SOP!$M$20:$BM$20)))))))),"")</f>
        <v>0.74608299202069461</v>
      </c>
      <c r="DZ28" s="325" cm="1">
        <f t="array" ref="DZ28">IFERROR(IF(DZ$7&gt;$D$3,"",IF(BR28="Undefined","Undefined",IF(BR28="Missed","Missed",IF(BR28="Blank","Blank",IF(BR28="OD","OD",IF(BR28="TBC","TBC",_xlfn.XLOOKUP(DZ$7,SOP!$M$6:$BM$6,SOP!$M$21:$BM$21/_xlfn.XLOOKUP(DZ$7,SOP!$M$6:$BM$6,SOP!$M$20:$BM$20)))))))),"")</f>
        <v>1.5071951860844133</v>
      </c>
      <c r="EA28" s="325" cm="1">
        <f t="array" ref="EA28">IFERROR(IF(EA$7&gt;$D$3,"",IF(BS28="Undefined","Undefined",IF(BS28="Missed","Missed",IF(BS28="Blank","Blank",IF(BS28="OD","OD",IF(BS28="TBC","TBC",_xlfn.XLOOKUP(EA$7,SOP!$M$6:$BM$6,SOP!$M$21:$BM$21/_xlfn.XLOOKUP(EA$7,SOP!$M$6:$BM$6,SOP!$M$20:$BM$20)))))))),"")</f>
        <v>0.86924979009393766</v>
      </c>
      <c r="EB28" s="325" cm="1">
        <f t="array" ref="EB28">IFERROR(IF(EB$7&gt;$D$3,"",IF(BT28="Undefined","Undefined",IF(BT28="Missed","Missed",IF(BT28="Blank","Blank",IF(BT28="OD","OD",IF(BT28="TBC","TBC",_xlfn.XLOOKUP(EB$7,SOP!$M$6:$BM$6,SOP!$M$21:$BM$21/_xlfn.XLOOKUP(EB$7,SOP!$M$6:$BM$6,SOP!$M$20:$BM$20)))))))),"")</f>
        <v>1.3961083842838464</v>
      </c>
      <c r="EC28" s="325" cm="1">
        <f t="array" ref="EC28">IFERROR(IF(EC$7&gt;$D$3,"",IF(BU28="Undefined","Undefined",IF(BU28="Missed","Missed",IF(BU28="Blank","Blank",IF(BU28="OD","OD",IF(BU28="TBC","TBC",_xlfn.XLOOKUP(EC$7,SOP!$M$6:$BM$6,SOP!$M$21:$BM$21/_xlfn.XLOOKUP(EC$7,SOP!$M$6:$BM$6,SOP!$M$20:$BM$20)))))))),"")</f>
        <v>0.88583576013122345</v>
      </c>
      <c r="ED28" s="325" cm="1">
        <f t="array" ref="ED28">IFERROR(IF(ED$7&gt;$D$3,"",IF(BV28="Undefined","Undefined",IF(BV28="Missed","Missed",IF(BV28="Blank","Blank",IF(BV28="OD","OD",IF(BV28="TBC","TBC",_xlfn.XLOOKUP(ED$7,SOP!$M$6:$BM$6,SOP!$M$21:$BM$21/_xlfn.XLOOKUP(ED$7,SOP!$M$6:$BM$6,SOP!$M$20:$BM$20)))))))),"")</f>
        <v>0.74463873822848137</v>
      </c>
      <c r="EE28" s="325" cm="1">
        <f t="array" ref="EE28">IFERROR(IF(EE$7&gt;$D$3,"",IF(BW28="Undefined","Undefined",IF(BW28="Missed","Missed",IF(BW28="Blank","Blank",IF(BW28="OD","OD",IF(BW28="TBC","TBC",_xlfn.XLOOKUP(EE$7,SOP!$M$6:$BM$6,SOP!$M$21:$BM$21/_xlfn.XLOOKUP(EE$7,SOP!$M$6:$BM$6,SOP!$M$20:$BM$20)))))))),"")</f>
        <v>0.92773469892703286</v>
      </c>
      <c r="EF28" s="325" cm="1">
        <f t="array" ref="EF28">IFERROR(IF(EF$7&gt;$D$3,"",IF(BX28="Undefined","Undefined",IF(BX28="Missed","Missed",IF(BX28="Blank","Blank",IF(BX28="OD","OD",IF(BX28="TBC","TBC",_xlfn.XLOOKUP(EF$7,SOP!$M$6:$BM$6,SOP!$M$21:$BM$21/_xlfn.XLOOKUP(EF$7,SOP!$M$6:$BM$6,SOP!$M$20:$BM$20)))))))),"")</f>
        <v>1.2945749979420049</v>
      </c>
      <c r="EG28" s="325" cm="1">
        <f t="array" ref="EG28">IFERROR(IF(EG$7&gt;$D$3,"",IF(BY28="Undefined","Undefined",IF(BY28="Missed","Missed",IF(BY28="Blank","Blank",IF(BY28="OD","OD",IF(BY28="TBC","TBC",_xlfn.XLOOKUP(EG$7,SOP!$M$6:$BM$6,SOP!$M$21:$BM$21/_xlfn.XLOOKUP(EG$7,SOP!$M$6:$BM$6,SOP!$M$20:$BM$20)))))))),"")</f>
        <v>0.72838709985512684</v>
      </c>
      <c r="EH28" s="325" cm="1">
        <f t="array" ref="EH28">IFERROR(IF(EH$7&gt;$D$3,"",IF(BZ28="Undefined","Undefined",IF(BZ28="Missed","Missed",IF(BZ28="Blank","Blank",IF(BZ28="OD","OD",IF(BZ28="TBC","TBC",_xlfn.XLOOKUP(EH$7,SOP!$M$6:$BM$6,SOP!$M$21:$BM$21/_xlfn.XLOOKUP(EH$7,SOP!$M$6:$BM$6,SOP!$M$20:$BM$20)))))))),"")</f>
        <v>0.83726755487980808</v>
      </c>
      <c r="EI28" s="325" cm="1">
        <f t="array" ref="EI28">IFERROR(IF(EI$7&gt;$D$3,"",IF(CA28="Undefined","Undefined",IF(CA28="Missed","Missed",IF(CA28="Blank","Blank",IF(CA28="OD","OD",IF(CA28="TBC","TBC",_xlfn.XLOOKUP(EI$7,SOP!$M$6:$BM$6,SOP!$M$21:$BM$21/_xlfn.XLOOKUP(EI$7,SOP!$M$6:$BM$6,SOP!$M$20:$BM$20)))))))),"")</f>
        <v>1.6848585001713088</v>
      </c>
      <c r="EJ28" s="325" cm="1">
        <f t="array" ref="EJ28">IFERROR(IF(EJ$7&gt;$D$3,"",IF(CB28="Undefined","Undefined",IF(CB28="Missed","Missed",IF(CB28="Blank","Blank",IF(CB28="OD","OD",IF(CB28="TBC","TBC",_xlfn.XLOOKUP(EJ$7,SOP!$M$6:$BM$6,SOP!$M$21:$BM$21/_xlfn.XLOOKUP(EJ$7,SOP!$M$6:$BM$6,SOP!$M$20:$BM$20)))))))),"")</f>
        <v>1.3757557704907144</v>
      </c>
      <c r="EK28" s="325" t="str" cm="1">
        <f t="array" ref="EK28">IFERROR(IF(EK$7&gt;$D$3,"",IF(CC28="Undefined","Undefined",IF(CC28="Missed","Missed",IF(CC28="Blank","Blank",IF(CC28="OD","OD",IF(CC28="TBC","TBC",_xlfn.XLOOKUP(EK$7,SOP!$M$6:$BM$6,SOP!$M$21:$BM$21/_xlfn.XLOOKUP(EK$7,SOP!$M$6:$BM$6,SOP!$M$20:$BM$20)))))))),"")</f>
        <v/>
      </c>
      <c r="EL28" s="325" t="str" cm="1">
        <f t="array" ref="EL28">IFERROR(IF(EL$7&gt;$D$3,"",IF(CD28="Undefined","Undefined",IF(CD28="Missed","Missed",IF(CD28="Blank","Blank",IF(CD28="OD","OD",IF(CD28="TBC","TBC",_xlfn.XLOOKUP(EL$7,SOP!$M$6:$BM$6,SOP!$M$21:$BM$21/_xlfn.XLOOKUP(EL$7,SOP!$M$6:$BM$6,SOP!$M$20:$BM$20)))))))),"")</f>
        <v/>
      </c>
      <c r="EM28" s="325" t="str" cm="1">
        <f t="array" ref="EM28">IFERROR(IF(EM$7&gt;$D$3,"",IF(CE28="Undefined","Undefined",IF(CE28="Missed","Missed",IF(CE28="Blank","Blank",IF(CE28="OD","OD",IF(CE28="TBC","TBC",_xlfn.XLOOKUP(EM$7,SOP!$M$6:$BM$6,SOP!$M$21:$BM$21/_xlfn.XLOOKUP(EM$7,SOP!$M$6:$BM$6,SOP!$M$20:$BM$20)))))))),"")</f>
        <v/>
      </c>
      <c r="EN28" s="325" t="str" cm="1">
        <f t="array" ref="EN28">IFERROR(IF(EN$7&gt;$D$3,"",IF(CF28="Undefined","Undefined",IF(CF28="Missed","Missed",IF(CF28="Blank","Blank",IF(CF28="OD","OD",IF(CF28="TBC","TBC",_xlfn.XLOOKUP(EN$7,SOP!$M$6:$BM$6,SOP!$M$21:$BM$21/_xlfn.XLOOKUP(EN$7,SOP!$M$6:$BM$6,SOP!$M$20:$BM$20)))))))),"")</f>
        <v/>
      </c>
      <c r="EO28" s="325" t="str" cm="1">
        <f t="array" ref="EO28">IFERROR(IF(EO$7&gt;$D$3,"",IF(CG28="Undefined","Undefined",IF(CG28="Missed","Missed",IF(CG28="Blank","Blank",IF(CG28="OD","OD",IF(CG28="TBC","TBC",_xlfn.XLOOKUP(EO$7,SOP!$M$6:$BM$6,SOP!$M$21:$BM$21/_xlfn.XLOOKUP(EO$7,SOP!$M$6:$BM$6,SOP!$M$20:$BM$20)))))))),"")</f>
        <v/>
      </c>
      <c r="EP28" s="325" t="str" cm="1">
        <f t="array" ref="EP28">IFERROR(IF(EP$7&gt;$D$3,"",IF(CH28="Undefined","Undefined",IF(CH28="Missed","Missed",IF(CH28="Blank","Blank",IF(CH28="OD","OD",IF(CH28="TBC","TBC",_xlfn.XLOOKUP(EP$7,SOP!$M$6:$BM$6,SOP!$M$21:$BM$21/_xlfn.XLOOKUP(EP$7,SOP!$M$6:$BM$6,SOP!$M$20:$BM$20)))))))),"")</f>
        <v/>
      </c>
      <c r="EQ28" s="325" t="str" cm="1">
        <f t="array" ref="EQ28">IFERROR(IF(EQ$7&gt;$D$3,"",IF(CI28="Undefined","Undefined",IF(CI28="Missed","Missed",IF(CI28="Blank","Blank",IF(CI28="OD","OD",IF(CI28="TBC","TBC",_xlfn.XLOOKUP(EQ$7,SOP!$M$6:$BM$6,SOP!$M$21:$BM$21/_xlfn.XLOOKUP(EQ$7,SOP!$M$6:$BM$6,SOP!$M$20:$BM$20)))))))),"")</f>
        <v/>
      </c>
      <c r="ER28" s="325" t="str" cm="1">
        <f t="array" ref="ER28">IFERROR(IF(ER$7&gt;$D$3,"",IF(CJ28="Undefined","Undefined",IF(CJ28="Missed","Missed",IF(CJ28="Blank","Blank",IF(CJ28="OD","OD",IF(CJ28="TBC","TBC",_xlfn.XLOOKUP(ER$7,SOP!$M$6:$BM$6,SOP!$M$21:$BM$21/_xlfn.XLOOKUP(ER$7,SOP!$M$6:$BM$6,SOP!$M$20:$BM$20)))))))),"")</f>
        <v/>
      </c>
      <c r="ES28" s="325" t="str" cm="1">
        <f t="array" ref="ES28">IFERROR(IF(ES$7&gt;$D$3,"",IF(CK28="Undefined","Undefined",IF(CK28="Missed","Missed",IF(CK28="Blank","Blank",IF(CK28="OD","OD",IF(CK28="TBC","TBC",_xlfn.XLOOKUP(ES$7,SOP!$M$6:$BM$6,SOP!$M$21:$BM$21/_xlfn.XLOOKUP(ES$7,SOP!$M$6:$BM$6,SOP!$M$20:$BM$20)))))))),"")</f>
        <v/>
      </c>
      <c r="ET28" s="325" t="str" cm="1">
        <f t="array" ref="ET28">IFERROR(IF(ET$7&gt;$D$3,"",IF(CL28="Undefined","Undefined",IF(CL28="Missed","Missed",IF(CL28="Blank","Blank",IF(CL28="OD","OD",IF(CL28="TBC","TBC",_xlfn.XLOOKUP(ET$7,SOP!$M$6:$BM$6,SOP!$M$21:$BM$21/_xlfn.XLOOKUP(ET$7,SOP!$M$6:$BM$6,SOP!$M$20:$BM$20)))))))),"")</f>
        <v/>
      </c>
      <c r="EU28" s="325" t="str" cm="1">
        <f t="array" ref="EU28">IFERROR(IF(EU$7&gt;$D$3,"",IF(CM28="Undefined","Undefined",IF(CM28="Missed","Missed",IF(CM28="Blank","Blank",IF(CM28="OD","OD",IF(CM28="TBC","TBC",_xlfn.XLOOKUP(EU$7,SOP!$M$6:$BM$6,SOP!$M$21:$BM$21/_xlfn.XLOOKUP(EU$7,SOP!$M$6:$BM$6,SOP!$M$20:$BM$20)))))))),"")</f>
        <v/>
      </c>
      <c r="EW28" s="465" t="str">
        <f>+$A28</f>
        <v>SOP-KPI C1</v>
      </c>
      <c r="EX28" s="138" t="str">
        <f>+$C28</f>
        <v>KPI C1</v>
      </c>
      <c r="EY28" s="146" t="str">
        <f>+$D28</f>
        <v>Cost</v>
      </c>
      <c r="EZ28" s="146" t="str">
        <f t="shared" si="57"/>
        <v>Order Value completed per FTE head</v>
      </c>
      <c r="FA28" s="147" t="str">
        <f t="shared" si="58"/>
        <v>£'s</v>
      </c>
      <c r="FB28" s="147" t="s">
        <v>251</v>
      </c>
      <c r="FC28" s="227" t="str">
        <f>IF(FC$7&gt;$D$3,"",IF($FA23&lt;FC$7,"OD",_xlfn.XLOOKUP(FC$7,SOP!$M$6:$BM$6,SOP!$M$21:$BM$21)))</f>
        <v>Blank</v>
      </c>
      <c r="FD28" s="227" t="str">
        <f>IF(FD$7&gt;$D$3,"",IF($FA23&lt;FD$7,"OD",_xlfn.XLOOKUP(FD$7,SOP!$M$6:$BM$6,SOP!$M$21:$BM$21)))</f>
        <v>Missed</v>
      </c>
      <c r="FE28" s="227" t="str">
        <f>IF(FE$7&gt;$D$3,"",IF($FA23&lt;FE$7,"OD",_xlfn.XLOOKUP(FE$7,SOP!$M$6:$BM$6,SOP!$M$21:$BM$21)))</f>
        <v>Missed</v>
      </c>
      <c r="FF28" s="227" t="str">
        <f>IF(FF$7&gt;$D$3,"",IF($FA23&lt;FF$7,"OD",_xlfn.XLOOKUP(FF$7,SOP!$M$6:$BM$6,SOP!$M$21:$BM$21)))</f>
        <v>Missed</v>
      </c>
      <c r="FG28" s="227">
        <f>IF(FG$7&gt;$D$3,"",IF($FA23&lt;FG$7,"OD",_xlfn.XLOOKUP(FG$7,SOP!$M$6:$BM$6,SOP!$M$21:$BM$21)))</f>
        <v>20307.689999999999</v>
      </c>
      <c r="FH28" s="227">
        <f>IF(FH$7&gt;$D$3,"",IF($FA23&lt;FH$7,"OD",_xlfn.XLOOKUP(FH$7,SOP!$M$6:$BM$6,SOP!$M$21:$BM$21)))</f>
        <v>35486.089999999997</v>
      </c>
      <c r="FI28" s="227">
        <f>IF(FI$7&gt;$D$3,"",IF($FA23&lt;FI$7,"OD",_xlfn.XLOOKUP(FI$7,SOP!$M$6:$BM$6,SOP!$M$21:$BM$21)))</f>
        <v>20628</v>
      </c>
      <c r="FJ28" s="227">
        <f>IF(FJ$7&gt;$D$3,"",IF($FA23&lt;FJ$7,"OD",_xlfn.XLOOKUP(FJ$7,SOP!$M$6:$BM$6,SOP!$M$21:$BM$21)))</f>
        <v>26017</v>
      </c>
      <c r="FK28" s="227">
        <f>IF(FK$7&gt;$D$3,"",IF($FA23&lt;FK$7,"OD",_xlfn.XLOOKUP(FK$7,SOP!$M$6:$BM$6,SOP!$M$21:$BM$21)))</f>
        <v>40386.46</v>
      </c>
      <c r="FL28" s="227">
        <f>IF(FL$7&gt;$D$3,"",IF($FA23&lt;FL$7,"OD",_xlfn.XLOOKUP(FL$7,SOP!$M$6:$BM$6,SOP!$M$21:$BM$21)))</f>
        <v>30795.35</v>
      </c>
      <c r="FM28" s="227">
        <f>IF(FM$7&gt;$D$3,"",IF($FA23&lt;FM$7,"OD",_xlfn.XLOOKUP(FM$7,SOP!$M$6:$BM$6,SOP!$M$21:$BM$21)))</f>
        <v>20847.630769230771</v>
      </c>
      <c r="FN28" s="227">
        <f>IF(FN$7&gt;$D$3,"",IF($FA23&lt;FN$7,"OD",_xlfn.XLOOKUP(FN$7,SOP!$M$6:$BM$6,SOP!$M$21:$BM$21)))</f>
        <v>42677.955555555556</v>
      </c>
      <c r="FO28" s="227">
        <f>IF(FO$7&gt;$D$3,"",IF($FA23&lt;FO$7,"OD",_xlfn.XLOOKUP(FO$7,SOP!$M$6:$BM$6,SOP!$M$21:$BM$21)))</f>
        <v>23753.046153846153</v>
      </c>
      <c r="FP28" s="227">
        <f>IF(FP$7&gt;$D$3,"",IF($FA23&lt;FP$7,"OD",_xlfn.XLOOKUP(FP$7,SOP!$M$6:$BM$6,SOP!$M$21:$BM$21)))</f>
        <v>31222.588235294119</v>
      </c>
      <c r="FQ28" s="227">
        <f>IF(FQ$7&gt;$D$3,"",IF($FA23&lt;FQ$7,"OD",_xlfn.XLOOKUP(FQ$7,SOP!$M$6:$BM$6,SOP!$M$21:$BM$21)))</f>
        <v>36625.647058823532</v>
      </c>
      <c r="FR28" s="227">
        <f>IF(FR$7&gt;$D$3,"",IF($FA23&lt;FR$7,"OD",_xlfn.XLOOKUP(FR$7,SOP!$M$6:$BM$6,SOP!$M$21:$BM$21)))</f>
        <v>19794.697674418603</v>
      </c>
      <c r="FS28" s="227">
        <f>IF(FS$7&gt;$D$3,"",IF($FA23&lt;FS$7,"OD",_xlfn.XLOOKUP(FS$7,SOP!$M$6:$BM$6,SOP!$M$21:$BM$21)))</f>
        <v>34524.514285714286</v>
      </c>
      <c r="FT28" s="227">
        <f>IF(FT$7&gt;$D$3,"",IF($FA23&lt;FT$7,"OD",_xlfn.XLOOKUP(FT$7,SOP!$M$6:$BM$6,SOP!$M$21:$BM$21)))</f>
        <v>35695.047619047618</v>
      </c>
      <c r="FU28" s="227">
        <f>IF(FU$7&gt;$D$3,"",IF($FA23&lt;FU$7,"OD",_xlfn.XLOOKUP(FU$7,SOP!$M$6:$BM$6,SOP!$M$21:$BM$21)))</f>
        <v>22016.771929824561</v>
      </c>
      <c r="FV28" s="227">
        <f>IF(FV$7&gt;$D$3,"",IF($FA23&lt;FV$7,"OD",_xlfn.XLOOKUP(FV$7,SOP!$M$6:$BM$6,SOP!$M$21:$BM$21)))</f>
        <v>20671.436619718308</v>
      </c>
      <c r="FW28" s="227">
        <f>IF(FW$7&gt;$D$3,"",IF($FA23&lt;FW$7,"OD",_xlfn.XLOOKUP(FW$7,SOP!$M$6:$BM$6,SOP!$M$21:$BM$21)))</f>
        <v>50235.698113207545</v>
      </c>
      <c r="FX28" s="227">
        <f>IF(FX$7&gt;$D$3,"",IF($FA23&lt;FX$7,"OD",_xlfn.XLOOKUP(FX$7,SOP!$M$6:$BM$6,SOP!$M$21:$BM$21)))</f>
        <v>34963.111111111109</v>
      </c>
      <c r="FY28" s="227">
        <f>IF(FY$7&gt;$D$3,"",IF($FA23&lt;FY$7,"OD",_xlfn.XLOOKUP(FY$7,SOP!$M$6:$BM$6,SOP!$M$21:$BM$21)))</f>
        <v>38191.827586206899</v>
      </c>
      <c r="FZ28" s="227">
        <f>IF(FZ$7&gt;$D$3,"",IF($FA23&lt;FZ$7,"OD",_xlfn.XLOOKUP(FZ$7,SOP!$M$6:$BM$6,SOP!$M$21:$BM$21)))</f>
        <v>28440.111111111109</v>
      </c>
      <c r="GA28" s="227">
        <f>IF(GA$7&gt;$D$3,"",IF($FA23&lt;GA$7,"OD",_xlfn.XLOOKUP(GA$7,SOP!$M$6:$BM$6,SOP!$M$21:$BM$21)))</f>
        <v>23454.089552238805</v>
      </c>
      <c r="GB28" s="227">
        <f>IF(GB$7&gt;$D$3,"",IF($FA23&lt;GB$7,"OD",_xlfn.XLOOKUP(GB$7,SOP!$M$6:$BM$6,SOP!$M$21:$BM$21)))</f>
        <v>31272.426229508197</v>
      </c>
      <c r="GC28" s="227">
        <f>IF(GC$7&gt;$D$3,"",IF($FA23&lt;GC$7,"OD",_xlfn.XLOOKUP(GC$7,SOP!$M$6:$BM$6,SOP!$M$21:$BM$21)))</f>
        <v>39919.30158730159</v>
      </c>
      <c r="GD28" s="227">
        <f>IF(GD$7&gt;$D$3,"",IF($FA23&lt;GD$7,"OD",_xlfn.XLOOKUP(GD$7,SOP!$M$6:$BM$6,SOP!$M$21:$BM$21)))</f>
        <v>25957.709090909091</v>
      </c>
      <c r="GE28" s="227">
        <f>IF(GE$7&gt;$D$3,"",IF($FA23&lt;GE$7,"OD",_xlfn.XLOOKUP(GE$7,SOP!$M$6:$BM$6,SOP!$M$21:$BM$21)))</f>
        <v>41206.181818181816</v>
      </c>
      <c r="GF28" s="227">
        <f>IF(GF$7&gt;$D$3,"",IF($FA23&lt;GF$7,"OD",_xlfn.XLOOKUP(GF$7,SOP!$M$6:$BM$6,SOP!$M$21:$BM$21)))</f>
        <v>32732.035087719298</v>
      </c>
      <c r="GG28" s="227">
        <f>IF(GG$7&gt;$D$3,"",IF($FA23&lt;GG$7,"OD",_xlfn.XLOOKUP(GG$7,SOP!$M$6:$BM$6,SOP!$M$21:$BM$21)))</f>
        <v>23180.867924528302</v>
      </c>
      <c r="GH28" s="227">
        <f>IF(GH$7&gt;$D$3,"",IF($FA23&lt;GH$7,"OD",_xlfn.XLOOKUP(GH$7,SOP!$M$6:$BM$6,SOP!$M$21:$BM$21)))</f>
        <v>46388.301886792455</v>
      </c>
      <c r="GI28" s="227">
        <f>IF(GI$7&gt;$D$3,"",IF($FA23&lt;GI$7,"OD",_xlfn.XLOOKUP(GI$7,SOP!$M$6:$BM$6,SOP!$M$21:$BM$21)))</f>
        <v>27238.301886792451</v>
      </c>
      <c r="GJ28" s="227">
        <f>IF(GJ$7&gt;$D$3,"",IF($FA23&lt;GJ$7,"OD",_xlfn.XLOOKUP(GJ$7,SOP!$M$6:$BM$6,SOP!$M$21:$BM$21)))</f>
        <v>43550.392156862748</v>
      </c>
      <c r="GK28" s="227">
        <f>IF(GK$7&gt;$D$3,"",IF($FA23&lt;GK$7,"OD",_xlfn.XLOOKUP(GK$7,SOP!$M$6:$BM$6,SOP!$M$21:$BM$21)))</f>
        <v>27997.733333333334</v>
      </c>
      <c r="GL28" s="227">
        <f>IF(GL$7&gt;$D$3,"",IF($FA23&lt;GL$7,"OD",_xlfn.XLOOKUP(GL$7,SOP!$M$6:$BM$6,SOP!$M$21:$BM$21)))</f>
        <v>23448.385964912282</v>
      </c>
      <c r="GM28" s="227">
        <f>IF(GM$7&gt;$D$3,"",IF($FA23&lt;GM$7,"OD",_xlfn.XLOOKUP(GM$7,SOP!$M$6:$BM$6,SOP!$M$21:$BM$21)))</f>
        <v>28980.878048780487</v>
      </c>
      <c r="GN28" s="227">
        <f>IF(GN$7&gt;$D$3,"",IF($FA23&lt;GN$7,"OD",_xlfn.XLOOKUP(GN$7,SOP!$M$6:$BM$6,SOP!$M$21:$BM$21)))</f>
        <v>40351.795918367345</v>
      </c>
      <c r="GO28" s="227">
        <f>IF(GO$7&gt;$D$3,"",IF($FA23&lt;GO$7,"OD",_xlfn.XLOOKUP(GO$7,SOP!$M$6:$BM$6,SOP!$M$21:$BM$21)))</f>
        <v>22900.470588235294</v>
      </c>
      <c r="GP28" s="227">
        <f>IF(GP$7&gt;$D$3,"",IF($FA23&lt;GP$7,"OD",_xlfn.XLOOKUP(GP$7,SOP!$M$6:$BM$6,SOP!$M$21:$BM$21)))</f>
        <v>26119.387755102041</v>
      </c>
      <c r="GQ28" s="227">
        <f>IF(GQ$7&gt;$D$3,"",IF($FA23&lt;GQ$7,"OD",_xlfn.XLOOKUP(GQ$7,SOP!$M$6:$BM$6,SOP!$M$21:$BM$21)))</f>
        <v>52323.230769230766</v>
      </c>
      <c r="GR28" s="227">
        <f>IF(GR$7&gt;$D$3,"",IF($FA23&lt;GR$7,"OD",_xlfn.XLOOKUP(GR$7,SOP!$M$6:$BM$6,SOP!$M$21:$BM$21)))</f>
        <v>43514.86363636364</v>
      </c>
      <c r="GS28" s="227" t="str">
        <f>IF(GS$7&gt;$D$3,"",IF($FA23&lt;GS$7,"OD",_xlfn.XLOOKUP(GS$7,SOP!$M$6:$BM$6,SOP!$M$21:$BM$21)))</f>
        <v/>
      </c>
      <c r="GT28" s="227" t="str">
        <f>IF(GT$7&gt;$D$3,"",IF($FA23&lt;GT$7,"OD",_xlfn.XLOOKUP(GT$7,SOP!$M$6:$BM$6,SOP!$M$21:$BM$21)))</f>
        <v/>
      </c>
      <c r="GU28" s="227" t="str">
        <f>IF(GU$7&gt;$D$3,"",IF($FA23&lt;GU$7,"OD",_xlfn.XLOOKUP(GU$7,SOP!$M$6:$BM$6,SOP!$M$21:$BM$21)))</f>
        <v/>
      </c>
      <c r="GV28" s="227" t="str">
        <f>IF(GV$7&gt;$D$3,"",IF($FA23&lt;GV$7,"OD",_xlfn.XLOOKUP(GV$7,SOP!$M$6:$BM$6,SOP!$M$21:$BM$21)))</f>
        <v/>
      </c>
      <c r="GW28" s="227" t="str">
        <f>IF(GW$7&gt;$D$3,"",IF($FA23&lt;GW$7,"OD",_xlfn.XLOOKUP(GW$7,SOP!$M$6:$BM$6,SOP!$M$21:$BM$21)))</f>
        <v/>
      </c>
      <c r="GX28" s="227" t="str">
        <f>IF(GX$7&gt;$D$3,"",IF($FA23&lt;GX$7,"OD",_xlfn.XLOOKUP(GX$7,SOP!$M$6:$BM$6,SOP!$M$21:$BM$21)))</f>
        <v/>
      </c>
      <c r="GY28" s="227" t="str">
        <f>IF(GY$7&gt;$D$3,"",IF($FA23&lt;GY$7,"OD",_xlfn.XLOOKUP(GY$7,SOP!$M$6:$BM$6,SOP!$M$21:$BM$21)))</f>
        <v/>
      </c>
      <c r="GZ28" s="227" t="str">
        <f>IF(GZ$7&gt;$D$3,"",IF($FA23&lt;GZ$7,"OD",_xlfn.XLOOKUP(GZ$7,SOP!$M$6:$BM$6,SOP!$M$21:$BM$21)))</f>
        <v/>
      </c>
      <c r="HA28" s="227" t="str">
        <f>IF(HA$7&gt;$D$3,"",IF($FA23&lt;HA$7,"OD",_xlfn.XLOOKUP(HA$7,SOP!$M$6:$BM$6,SOP!$M$21:$BM$21)))</f>
        <v/>
      </c>
      <c r="HB28" s="227" t="str">
        <f>IF(HB$7&gt;$D$3,"",IF($FA23&lt;HB$7,"OD",_xlfn.XLOOKUP(HB$7,SOP!$M$6:$BM$6,SOP!$M$21:$BM$21)))</f>
        <v/>
      </c>
      <c r="HC28" s="227" t="str">
        <f>IF(HC$7&gt;$D$3,"",IF($FA23&lt;HC$7,"OD",_xlfn.XLOOKUP(HC$7,SOP!$M$6:$BM$6,SOP!$M$21:$BM$21)))</f>
        <v/>
      </c>
      <c r="HE28" s="138" t="str">
        <f>+$C28</f>
        <v>KPI C1</v>
      </c>
      <c r="HF28" s="146" t="str">
        <f>+$D28</f>
        <v>Cost</v>
      </c>
      <c r="HG28" s="146" t="str">
        <f t="shared" si="61"/>
        <v>Order Value completed per FTE head</v>
      </c>
      <c r="HH28" s="147" t="str">
        <f t="shared" si="62"/>
        <v>£'s</v>
      </c>
      <c r="HI28" s="147" t="s">
        <v>44</v>
      </c>
      <c r="HJ28" s="227" t="s">
        <v>122</v>
      </c>
      <c r="HK28" s="227">
        <f>IF(HK$7&gt;$D$3,"",IF($FA23&lt;HK$7,"OD",_xlfn.XLOOKUP(HK$7,SOP!$M$6:$BM$6,SOP!$M$20:$BM$20)))</f>
        <v>0</v>
      </c>
      <c r="HL28" s="227">
        <f>IF(HL$7&gt;$D$3,"",IF($FA23&lt;HL$7,"OD",_xlfn.XLOOKUP(HL$7,SOP!$M$6:$BM$6,SOP!$M$20:$BM$20)))</f>
        <v>0</v>
      </c>
      <c r="HM28" s="227">
        <f>IF(HM$7&gt;$D$3,"",IF($FA23&lt;HM$7,"OD",_xlfn.XLOOKUP(HM$7,SOP!$M$6:$BM$6,SOP!$M$20:$BM$20)))</f>
        <v>0</v>
      </c>
      <c r="HN28" s="227">
        <f>IF(HN$7&gt;$D$3,"",IF($FA23&lt;HN$7,"OD",_xlfn.XLOOKUP(HN$7,SOP!$M$6:$BM$6,SOP!$M$20:$BM$20)))</f>
        <v>20307.689999999999</v>
      </c>
      <c r="HO28" s="227">
        <f>IF(HO$7&gt;$D$3,"",IF($FA23&lt;HO$7,"OD",_xlfn.XLOOKUP(HO$7,SOP!$M$6:$BM$6,SOP!$M$20:$BM$20)))</f>
        <v>20307.689999999999</v>
      </c>
      <c r="HP28" s="227">
        <f>IF(HP$7&gt;$D$3,"",IF($FA23&lt;HP$7,"OD",_xlfn.XLOOKUP(HP$7,SOP!$M$6:$BM$6,SOP!$M$20:$BM$20)))</f>
        <v>27896.89</v>
      </c>
      <c r="HQ28" s="227">
        <f>IF(HQ$7&gt;$D$3,"",IF($FA23&lt;HQ$7,"OD",_xlfn.XLOOKUP(HQ$7,SOP!$M$6:$BM$6,SOP!$M$20:$BM$20)))</f>
        <v>25473.926666666666</v>
      </c>
      <c r="HR28" s="227">
        <f>IF(HR$7&gt;$D$3,"",IF($FA23&lt;HR$7,"OD",_xlfn.XLOOKUP(HR$7,SOP!$M$6:$BM$6,SOP!$M$20:$BM$20)))</f>
        <v>25609.695</v>
      </c>
      <c r="HS28" s="227">
        <f>IF(HS$7&gt;$D$3,"",IF($FA23&lt;HS$7,"OD",_xlfn.XLOOKUP(HS$7,SOP!$M$6:$BM$6,SOP!$M$20:$BM$20)))</f>
        <v>28565.047999999999</v>
      </c>
      <c r="HT28" s="227">
        <f>IF(HT$7&gt;$D$3,"",IF($FA23&lt;HT$7,"OD",_xlfn.XLOOKUP(HT$7,SOP!$M$6:$BM$6,SOP!$M$20:$BM$20)))</f>
        <v>28936.764999999999</v>
      </c>
      <c r="HU28" s="227">
        <f>IF(HU$7&gt;$D$3,"",IF($FA23&lt;HU$7,"OD",_xlfn.XLOOKUP(HU$7,SOP!$M$6:$BM$6,SOP!$M$20:$BM$20)))</f>
        <v>27781.174395604397</v>
      </c>
      <c r="HV28" s="227">
        <f>IF(HV$7&gt;$D$3,"",IF($FA23&lt;HV$7,"OD",_xlfn.XLOOKUP(HV$7,SOP!$M$6:$BM$6,SOP!$M$20:$BM$20)))</f>
        <v>29643.272040598291</v>
      </c>
      <c r="HW28" s="227">
        <f>IF(HW$7&gt;$D$3,"",IF($FA23&lt;HW$7,"OD",_xlfn.XLOOKUP(HW$7,SOP!$M$6:$BM$6,SOP!$M$20:$BM$20)))</f>
        <v>28988.802497625831</v>
      </c>
      <c r="HX28" s="227">
        <f>IF(HX$7&gt;$D$3,"",IF($FA23&lt;HX$7,"OD",_xlfn.XLOOKUP(HX$7,SOP!$M$6:$BM$6,SOP!$M$20:$BM$20)))</f>
        <v>29212.181071392657</v>
      </c>
      <c r="HY28" s="227">
        <f>IF(HY$7&gt;$D$3,"",IF($FA23&lt;HY$7,"OD",_xlfn.XLOOKUP(HY$7,SOP!$M$6:$BM$6,SOP!$M$20:$BM$20)))</f>
        <v>29886.132524795466</v>
      </c>
      <c r="HZ28" s="227">
        <f>IF(HZ$7&gt;$D$3,"",IF($FA23&lt;HZ$7,"OD",_xlfn.XLOOKUP(HZ$7,SOP!$M$6:$BM$6,SOP!$M$20:$BM$20)))</f>
        <v>29045.179620597395</v>
      </c>
      <c r="IA28" s="227">
        <f>IF(IA$7&gt;$D$3,"",IF($FA23&lt;IA$7,"OD",_xlfn.XLOOKUP(IA$7,SOP!$M$6:$BM$6,SOP!$M$20:$BM$20)))</f>
        <v>29466.666902529465</v>
      </c>
      <c r="IB28" s="227">
        <f>IF(IB$7&gt;$D$3,"",IF($FA23&lt;IB$7,"OD",_xlfn.XLOOKUP(IB$7,SOP!$M$6:$BM$6,SOP!$M$20:$BM$20)))</f>
        <v>29911.551239423621</v>
      </c>
      <c r="IC28" s="227">
        <f>IF(IC$7&gt;$D$3,"",IF($FA23&lt;IC$7,"OD",_xlfn.XLOOKUP(IC$7,SOP!$M$6:$BM$6,SOP!$M$20:$BM$20)))</f>
        <v>29385.232618783681</v>
      </c>
      <c r="ID28" s="227">
        <f>IF(ID$7&gt;$D$3,"",IF($FA23&lt;ID$7,"OD",_xlfn.XLOOKUP(ID$7,SOP!$M$6:$BM$6,SOP!$M$20:$BM$20)))</f>
        <v>28840.620368842097</v>
      </c>
      <c r="IE28" s="227">
        <f>IF(IE$7&gt;$D$3,"",IF($FA23&lt;IE$7,"OD",_xlfn.XLOOKUP(IE$7,SOP!$M$6:$BM$6,SOP!$M$20:$BM$20)))</f>
        <v>30099.15435380477</v>
      </c>
      <c r="IF28" s="227">
        <f>IF(IF$7&gt;$D$3,"",IF($FA23&lt;IF$7,"OD",_xlfn.XLOOKUP(IF$7,SOP!$M$6:$BM$6,SOP!$M$20:$BM$20)))</f>
        <v>30369.374173655124</v>
      </c>
      <c r="IG28" s="227">
        <f>IF(IG$7&gt;$D$3,"",IF($FA23&lt;IG$7,"OD",_xlfn.XLOOKUP(IG$7,SOP!$M$6:$BM$6,SOP!$M$20:$BM$20)))</f>
        <v>30781.082247999952</v>
      </c>
      <c r="IH28" s="227">
        <f>IF(IH$7&gt;$D$3,"",IF($FA23&lt;IH$7,"OD",_xlfn.XLOOKUP(IH$7,SOP!$M$6:$BM$6,SOP!$M$20:$BM$20)))</f>
        <v>30664.03369115551</v>
      </c>
      <c r="II28" s="227">
        <f>IF(II$7&gt;$D$3,"",IF($FA23&lt;II$7,"OD",_xlfn.XLOOKUP(II$7,SOP!$M$6:$BM$6,SOP!$M$20:$BM$20)))</f>
        <v>30320.703017873762</v>
      </c>
      <c r="IJ28" s="227">
        <f>IF(IJ$7&gt;$D$3,"",IF($FA23&lt;IJ$7,"OD",_xlfn.XLOOKUP(IJ$7,SOP!$M$6:$BM$6,SOP!$M$20:$BM$20)))</f>
        <v>30363.963163857148</v>
      </c>
      <c r="IK28" s="227">
        <f>IF(IK$7&gt;$D$3,"",IF($FA23&lt;IK$7,"OD",_xlfn.XLOOKUP(IK$7,SOP!$M$6:$BM$6,SOP!$M$20:$BM$20)))</f>
        <v>30779.412660528644</v>
      </c>
      <c r="IL28" s="227">
        <f>IF(IL$7&gt;$D$3,"",IF($FA23&lt;IL$7,"OD",_xlfn.XLOOKUP(IL$7,SOP!$M$6:$BM$6,SOP!$M$20:$BM$20)))</f>
        <v>30578.50834512783</v>
      </c>
      <c r="IM28" s="227">
        <f>IF(IM$7&gt;$D$3,"",IF($FA23&lt;IM$7,"OD",_xlfn.XLOOKUP(IM$7,SOP!$M$6:$BM$6,SOP!$M$20:$BM$20)))</f>
        <v>31003.615284049985</v>
      </c>
      <c r="IN28" s="227">
        <f>IF(IN$7&gt;$D$3,"",IF($FA23&lt;IN$7,"OD",_xlfn.XLOOKUP(IN$7,SOP!$M$6:$BM$6,SOP!$M$20:$BM$20)))</f>
        <v>31070.092968806501</v>
      </c>
      <c r="IO28" s="227">
        <f>IF(IO$7&gt;$D$3,"",IF($FA23&lt;IO$7,"OD",_xlfn.XLOOKUP(IO$7,SOP!$M$6:$BM$6,SOP!$M$20:$BM$20)))</f>
        <v>30777.899448648048</v>
      </c>
      <c r="IP28" s="227">
        <f>IF(IP$7&gt;$D$3,"",IF($FA23&lt;IP$7,"OD",_xlfn.XLOOKUP(IP$7,SOP!$M$6:$BM$6,SOP!$M$20:$BM$20)))</f>
        <v>31335.413821438917</v>
      </c>
      <c r="IQ28" s="227">
        <f>IF(IQ$7&gt;$D$3,"",IF($FA23&lt;IQ$7,"OD",_xlfn.XLOOKUP(IQ$7,SOP!$M$6:$BM$6,SOP!$M$20:$BM$20)))</f>
        <v>31194.134099554554</v>
      </c>
      <c r="IR28" s="227">
        <f>IF(IR$7&gt;$D$3,"",IF($FA23&lt;IR$7,"OD",_xlfn.XLOOKUP(IR$7,SOP!$M$6:$BM$6,SOP!$M$20:$BM$20)))</f>
        <v>31606.009368131497</v>
      </c>
      <c r="IS28" s="227">
        <f>IF(IS$7&gt;$D$3,"",IF($FA23&lt;IS$7,"OD",_xlfn.XLOOKUP(IS$7,SOP!$M$6:$BM$6,SOP!$M$20:$BM$20)))</f>
        <v>31489.613367008973</v>
      </c>
      <c r="IT28" s="227">
        <f>IF(IT$7&gt;$D$3,"",IF($FA23&lt;IT$7,"OD",_xlfn.XLOOKUP(IT$7,SOP!$M$6:$BM$6,SOP!$M$20:$BM$20)))</f>
        <v>31238.32501069345</v>
      </c>
      <c r="IU28" s="227">
        <f>IF(IU$7&gt;$D$3,"",IF($FA23&lt;IU$7,"OD",_xlfn.XLOOKUP(IU$7,SOP!$M$6:$BM$6,SOP!$M$20:$BM$20)))</f>
        <v>31169.917526999117</v>
      </c>
      <c r="IV28" s="227">
        <f>IF(IV$7&gt;$D$3,"",IF($FA23&lt;IV$7,"OD",_xlfn.XLOOKUP(IV$7,SOP!$M$6:$BM$6,SOP!$M$20:$BM$20)))</f>
        <v>31439.972773804067</v>
      </c>
      <c r="IW28" s="227">
        <f>IF(IW$7&gt;$D$3,"",IF($FA23&lt;IW$7,"OD",_xlfn.XLOOKUP(IW$7,SOP!$M$6:$BM$6,SOP!$M$20:$BM$20)))</f>
        <v>31195.986997073531</v>
      </c>
      <c r="IX28" s="227">
        <f>IF(IX$7&gt;$D$3,"",IF($FA23&lt;IX$7,"OD",_xlfn.XLOOKUP(IX$7,SOP!$M$6:$BM$6,SOP!$M$20:$BM$20)))</f>
        <v>31054.970351463209</v>
      </c>
      <c r="IY28" s="227">
        <f>IF(IY$7&gt;$D$3,"",IF($FA23&lt;IY$7,"OD",_xlfn.XLOOKUP(IY$7,SOP!$M$6:$BM$6,SOP!$M$20:$BM$20)))</f>
        <v>31629.788200592062</v>
      </c>
      <c r="IZ28" s="227" t="str">
        <f>IF(IZ$7&gt;$D$3,"",IF($FA23&lt;IZ$7,"OD",_xlfn.XLOOKUP(IZ$7,SOP!$M$6:$BM$6,SOP!$M$20:$BM$20)))</f>
        <v/>
      </c>
      <c r="JA28" s="227" t="str">
        <f>IF(JA$7&gt;$D$3,"",IF($FA23&lt;JA$7,"OD",_xlfn.XLOOKUP(JA$7,SOP!$M$6:$BM$6,SOP!$M$20:$BM$20)))</f>
        <v/>
      </c>
      <c r="JB28" s="227" t="str">
        <f>IF(JB$7&gt;$D$3,"",IF($FA23&lt;JB$7,"OD",_xlfn.XLOOKUP(JB$7,SOP!$M$6:$BM$6,SOP!$M$20:$BM$20)))</f>
        <v/>
      </c>
      <c r="JC28" s="227" t="str">
        <f>IF(JC$7&gt;$D$3,"",IF($FA23&lt;JC$7,"OD",_xlfn.XLOOKUP(JC$7,SOP!$M$6:$BM$6,SOP!$M$20:$BM$20)))</f>
        <v/>
      </c>
      <c r="JD28" s="227" t="str">
        <f>IF(JD$7&gt;$D$3,"",IF($FA23&lt;JD$7,"OD",_xlfn.XLOOKUP(JD$7,SOP!$M$6:$BM$6,SOP!$M$20:$BM$20)))</f>
        <v/>
      </c>
      <c r="JE28" s="227" t="str">
        <f>IF(JE$7&gt;$D$3,"",IF($FA23&lt;JE$7,"OD",_xlfn.XLOOKUP(JE$7,SOP!$M$6:$BM$6,SOP!$M$20:$BM$20)))</f>
        <v/>
      </c>
      <c r="JF28" s="227" t="str">
        <f>IF(JF$7&gt;$D$3,"",IF($FA23&lt;JF$7,"OD",_xlfn.XLOOKUP(JF$7,SOP!$M$6:$BM$6,SOP!$M$20:$BM$20)))</f>
        <v/>
      </c>
      <c r="JG28" s="227" t="str">
        <f>IF(JG$7&gt;$D$3,"",IF($FA23&lt;JG$7,"OD",_xlfn.XLOOKUP(JG$7,SOP!$M$6:$BM$6,SOP!$M$20:$BM$20)))</f>
        <v/>
      </c>
      <c r="JH28" s="227" t="str">
        <f>IF(JH$7&gt;$D$3,"",IF($FA23&lt;JH$7,"OD",_xlfn.XLOOKUP(JH$7,SOP!$M$6:$BM$6,SOP!$M$20:$BM$20)))</f>
        <v/>
      </c>
      <c r="JI28" s="227" t="str">
        <f>IF(JI$7&gt;$D$3,"",IF($FA23&lt;JI$7,"OD",_xlfn.XLOOKUP(JI$7,SOP!$M$6:$BM$6,SOP!$M$20:$BM$20)))</f>
        <v/>
      </c>
      <c r="JJ28" s="227" t="str">
        <f>IF(JJ$7&gt;$D$3,"",IF($FA23&lt;JJ$7,"OD",_xlfn.XLOOKUP(JJ$7,SOP!$M$6:$BM$6,SOP!$M$20:$BM$20)))</f>
        <v/>
      </c>
      <c r="JM28" s="138" t="str">
        <f>+$C28</f>
        <v>KPI C1</v>
      </c>
      <c r="JN28" s="146" t="str">
        <f>+$D28</f>
        <v>Cost</v>
      </c>
      <c r="JO28" s="146" t="str">
        <f t="shared" si="65"/>
        <v>Order Value completed per FTE head</v>
      </c>
      <c r="JP28" s="147" t="str">
        <f t="shared" si="66"/>
        <v>£'s</v>
      </c>
      <c r="JQ28" s="147" t="s">
        <v>284</v>
      </c>
      <c r="JR28" s="227" t="str">
        <f>IFERROR(AVERAGE(FC28:$FC28),"")</f>
        <v/>
      </c>
      <c r="JS28" s="227" t="str">
        <f>IFERROR(AVERAGE($FC28:FD28),"")</f>
        <v/>
      </c>
      <c r="JT28" s="227" t="str">
        <f>IFERROR(AVERAGE($FC28:FE28),"")</f>
        <v/>
      </c>
      <c r="JU28" s="227" t="str">
        <f>IFERROR(AVERAGE($FC28:FF28),"")</f>
        <v/>
      </c>
      <c r="JV28" s="227">
        <f>IFERROR(AVERAGE($FC28:FG28),"")</f>
        <v>20307.689999999999</v>
      </c>
      <c r="JW28" s="227">
        <f>IFERROR(AVERAGE($FC28:FH28),"")</f>
        <v>27896.89</v>
      </c>
      <c r="JX28" s="227">
        <f>IFERROR(AVERAGE($FC28:FI28),"")</f>
        <v>25473.926666666666</v>
      </c>
      <c r="JY28" s="227">
        <f>IFERROR(AVERAGE($FC28:FJ28),"")</f>
        <v>25609.695</v>
      </c>
      <c r="JZ28" s="227">
        <f>IFERROR(AVERAGE($FC28:FK28),"")</f>
        <v>28565.047999999999</v>
      </c>
      <c r="KA28" s="227">
        <f>IFERROR(AVERAGE($FC28:FL28),"")</f>
        <v>28936.764999999999</v>
      </c>
      <c r="KB28" s="227">
        <f>IFERROR(AVERAGE($FC28:FM28),"")</f>
        <v>27781.174395604397</v>
      </c>
      <c r="KC28" s="227">
        <f>IFERROR(AVERAGE($FC28:FN28),"")</f>
        <v>29643.272040598291</v>
      </c>
      <c r="KD28" s="227">
        <f>IFERROR(AVERAGE($FC28:FO28),"")</f>
        <v>28988.802497625831</v>
      </c>
      <c r="KE28" s="227">
        <f>IFERROR(AVERAGE($FC28:FP28),"")</f>
        <v>29212.181071392657</v>
      </c>
      <c r="KF28" s="227">
        <f>IFERROR(AVERAGE($FC28:FQ28),"")</f>
        <v>29886.132524795466</v>
      </c>
      <c r="KG28" s="227">
        <f>IFERROR(AVERAGE($FC28:FR28),"")</f>
        <v>29045.179620597395</v>
      </c>
      <c r="KH28" s="227">
        <f>IFERROR(AVERAGE($FC28:FS28),"")</f>
        <v>29466.666902529465</v>
      </c>
      <c r="KI28" s="227">
        <f>IFERROR(AVERAGE($FC28:FT28),"")</f>
        <v>29911.551239423621</v>
      </c>
      <c r="KJ28" s="227">
        <f>IFERROR(AVERAGE($FC28:FU28),"")</f>
        <v>29385.232618783681</v>
      </c>
      <c r="KK28" s="227">
        <f>IFERROR(AVERAGE($FC28:FV28),"")</f>
        <v>28840.620368842097</v>
      </c>
      <c r="KL28" s="227">
        <f>IFERROR(AVERAGE($FC28:FW28),"")</f>
        <v>30099.15435380477</v>
      </c>
      <c r="KM28" s="227">
        <f>IFERROR(AVERAGE($FC28:FX28),"")</f>
        <v>30369.374173655124</v>
      </c>
      <c r="KN28" s="227">
        <f>IFERROR(AVERAGE($FC28:FY28),"")</f>
        <v>30781.082247999952</v>
      </c>
      <c r="KO28" s="227">
        <f>IFERROR(AVERAGE($FC28:FZ28),"")</f>
        <v>30664.03369115551</v>
      </c>
      <c r="KP28" s="227">
        <f>IFERROR(AVERAGE($FC28:GA28),"")</f>
        <v>30320.703017873762</v>
      </c>
      <c r="KQ28" s="227">
        <f>IFERROR(AVERAGE($FC28:GB28),"")</f>
        <v>30363.963163857148</v>
      </c>
      <c r="KR28" s="227">
        <f>IFERROR(AVERAGE($FC28:GC28),"")</f>
        <v>30779.412660528644</v>
      </c>
      <c r="KS28" s="227">
        <f>IFERROR(AVERAGE($FC28:GD28),"")</f>
        <v>30578.50834512783</v>
      </c>
      <c r="KT28" s="227">
        <f>IFERROR(AVERAGE($FC28:GE28),"")</f>
        <v>31003.615284049985</v>
      </c>
      <c r="KU28" s="227">
        <f>IFERROR(AVERAGE($FC28:GF28),"")</f>
        <v>31070.092968806501</v>
      </c>
      <c r="KV28" s="227">
        <f>IFERROR(AVERAGE($FC28:GG28),"")</f>
        <v>30777.899448648048</v>
      </c>
      <c r="KW28" s="227">
        <f>IFERROR(AVERAGE($FC28:GH28),"")</f>
        <v>31335.413821438917</v>
      </c>
      <c r="KX28" s="227">
        <f>IFERROR(AVERAGE($FC28:GI28),"")</f>
        <v>31194.134099554554</v>
      </c>
      <c r="KY28" s="227">
        <f>IFERROR(AVERAGE($FC28:GJ28),"")</f>
        <v>31606.009368131497</v>
      </c>
      <c r="KZ28" s="227">
        <f>IFERROR(AVERAGE($FC28:GK28),"")</f>
        <v>31489.613367008973</v>
      </c>
      <c r="LA28" s="227">
        <f>IFERROR(AVERAGE($FC28:GL28),"")</f>
        <v>31238.32501069345</v>
      </c>
      <c r="LB28" s="227">
        <f>IFERROR(AVERAGE($FC28:GM28),"")</f>
        <v>31169.917526999117</v>
      </c>
      <c r="LC28" s="227">
        <f>IFERROR(AVERAGE($FC28:GN28),"")</f>
        <v>31439.972773804067</v>
      </c>
      <c r="LD28" s="227">
        <f>IFERROR(AVERAGE($FC28:GO28),"")</f>
        <v>31195.986997073531</v>
      </c>
      <c r="LE28" s="227">
        <f>IFERROR(AVERAGE($FC28:GP28),"")</f>
        <v>31054.970351463209</v>
      </c>
      <c r="LF28" s="227">
        <f>IFERROR(AVERAGE($FC28:GQ28),"")</f>
        <v>31629.788200592062</v>
      </c>
      <c r="LG28" s="227">
        <f>IFERROR(AVERAGE($FC28:GR28),"")</f>
        <v>31942.55334363868</v>
      </c>
      <c r="LH28" s="227">
        <f>IFERROR(AVERAGE($FC28:GS28),"")</f>
        <v>31942.55334363868</v>
      </c>
      <c r="LI28" s="227">
        <f>IFERROR(AVERAGE($FC28:GT28),"")</f>
        <v>31942.55334363868</v>
      </c>
      <c r="LJ28" s="227">
        <f>IFERROR(AVERAGE($FC28:GU28),"")</f>
        <v>31942.55334363868</v>
      </c>
      <c r="LK28" s="227">
        <f>IFERROR(AVERAGE($FC28:GV28),"")</f>
        <v>31942.55334363868</v>
      </c>
      <c r="LL28" s="227">
        <f>IFERROR(AVERAGE($FC28:GW28),"")</f>
        <v>31942.55334363868</v>
      </c>
      <c r="LM28" s="227">
        <f>IFERROR(AVERAGE($FC28:GX28),"")</f>
        <v>31942.55334363868</v>
      </c>
      <c r="LN28" s="227">
        <f>IFERROR(AVERAGE($FC28:GY28),"")</f>
        <v>31942.55334363868</v>
      </c>
      <c r="LO28" s="227">
        <f>IFERROR(AVERAGE($FC28:GZ28),"")</f>
        <v>31942.55334363868</v>
      </c>
      <c r="LP28" s="227">
        <f>IFERROR(AVERAGE($FC28:HA28),"")</f>
        <v>31942.55334363868</v>
      </c>
      <c r="LQ28" s="227">
        <f>IFERROR(AVERAGE($FC28:HB28),"")</f>
        <v>31942.55334363868</v>
      </c>
      <c r="LR28" s="227">
        <f>IFERROR(AVERAGE($FC28:HC28),"")</f>
        <v>31942.55334363868</v>
      </c>
      <c r="LT28" s="138" t="str">
        <f>+$C28</f>
        <v>KPI C1</v>
      </c>
      <c r="LU28" s="146" t="str">
        <f>+$D28</f>
        <v>Cost</v>
      </c>
      <c r="LV28" s="146" t="str">
        <f t="shared" si="69"/>
        <v>Order Value completed per FTE head</v>
      </c>
      <c r="LW28" s="147" t="str">
        <f t="shared" si="70"/>
        <v>£'s</v>
      </c>
      <c r="LX28" s="147" t="s">
        <v>285</v>
      </c>
      <c r="LY28" s="227" t="str">
        <f>IFERROR(AVERAGE($HJ28:HJ28),"")</f>
        <v/>
      </c>
      <c r="LZ28" s="227">
        <f>IFERROR(IF(LAD$7&gt;$D$3,"",AVERAGE($HJ28:HK28)),"")</f>
        <v>0</v>
      </c>
      <c r="MA28" s="227">
        <f>IFERROR(IF(MA$7&gt;$D$3,"",AVERAGE($HJ28:HL28)),"")</f>
        <v>0</v>
      </c>
      <c r="MB28" s="227">
        <f>IFERROR(IF(MB$7&gt;$D$3,"",AVERAGE($HJ28:HM28)),"")</f>
        <v>0</v>
      </c>
      <c r="MC28" s="227">
        <f>IFERROR(IF(MC$7&gt;$D$3,"",AVERAGE($HJ28:HN28)),"")</f>
        <v>5076.9224999999997</v>
      </c>
      <c r="MD28" s="227">
        <f>IFERROR(IF(MD$7&gt;$D$3,"",AVERAGE($HJ28:HO28)),"")</f>
        <v>8123.0759999999991</v>
      </c>
      <c r="ME28" s="227">
        <f>IFERROR(IF(ME$7&gt;$D$3,"",AVERAGE($HJ28:HP28)),"")</f>
        <v>11418.711666666664</v>
      </c>
      <c r="MF28" s="227">
        <f>IFERROR(IF(MF$7&gt;$D$3,"",AVERAGE($HJ28:HQ28)),"")</f>
        <v>13426.599523809522</v>
      </c>
      <c r="MG28" s="227">
        <f>IFERROR(IF(MG$7&gt;$D$3,"",AVERAGE($HJ28:HR28)),"")</f>
        <v>14949.486458333333</v>
      </c>
      <c r="MH28" s="227">
        <f>IFERROR(IF(MH$7&gt;$D$3,"",AVERAGE($HJ28:HS28)),"")</f>
        <v>16462.326629629631</v>
      </c>
      <c r="MI28" s="227">
        <f>IFERROR(IF(MI$7&gt;$D$3,"",AVERAGE($HJ28:HT28)),"")</f>
        <v>17709.770466666669</v>
      </c>
      <c r="MJ28" s="227">
        <f>IFERROR(IF(MJ$7&gt;$D$3,"",AVERAGE($HJ28:HU28)),"")</f>
        <v>18625.352642024645</v>
      </c>
      <c r="MK28" s="227">
        <f>IFERROR(IF(MK$7&gt;$D$3,"",AVERAGE($HJ28:HV28)),"")</f>
        <v>19543.512591905783</v>
      </c>
      <c r="ML28" s="227">
        <f>IFERROR(IF(ML$7&gt;$D$3,"",AVERAGE($HJ28:HW28)),"")</f>
        <v>20270.073353884251</v>
      </c>
      <c r="MM28" s="227">
        <f>IFERROR(IF(MM$7&gt;$D$3,"",AVERAGE($HJ28:HX28)),"")</f>
        <v>20908.795333706279</v>
      </c>
      <c r="MN28" s="227">
        <f>IFERROR(IF(MN$7&gt;$D$3,"",AVERAGE($HJ28:HY28)),"")</f>
        <v>21507.284479778893</v>
      </c>
      <c r="MO28" s="227">
        <f>IFERROR(IF(MO$7&gt;$D$3,"",AVERAGE($HJ28:HZ28)),"")</f>
        <v>21978.402926080049</v>
      </c>
      <c r="MP28" s="227">
        <f>IFERROR(IF(MP$7&gt;$D$3,"",AVERAGE($HJ28:IA28)),"")</f>
        <v>22418.88904234178</v>
      </c>
      <c r="MQ28" s="227">
        <f>IFERROR(IF(MQ$7&gt;$D$3,"",AVERAGE($HJ28:IB28)),"")</f>
        <v>22835.148053290774</v>
      </c>
      <c r="MR28" s="227">
        <f>IFERROR(IF(MR$7&gt;$D$3,"",AVERAGE($HJ28:IC28)),"")</f>
        <v>23179.88934621145</v>
      </c>
      <c r="MS28" s="227">
        <f>IFERROR(IF(MS$7&gt;$D$3,"",AVERAGE($HJ28:ID28)),"")</f>
        <v>23462.925897342982</v>
      </c>
      <c r="MT28" s="227">
        <f>IFERROR(IF(MT$7&gt;$D$3,"",AVERAGE($HJ28:IE28)),"")</f>
        <v>23778.936776222115</v>
      </c>
      <c r="MU28" s="227">
        <f>IFERROR(IF(MU$7&gt;$D$3,"",AVERAGE($HJ28:IF28)),"")</f>
        <v>24078.502112469068</v>
      </c>
      <c r="MV28" s="227">
        <f>IFERROR(IF(MV$7&gt;$D$3,"",AVERAGE($HJ28:IG28)),"")</f>
        <v>24369.918640100848</v>
      </c>
      <c r="MW28" s="227">
        <f>IFERROR(IF(MW$7&gt;$D$3,"",AVERAGE($HJ28:IH28)),"")</f>
        <v>24632.17343389479</v>
      </c>
      <c r="MX28" s="227">
        <f>IFERROR(IF(MX$7&gt;$D$3,"",AVERAGE($HJ28:II28)),"")</f>
        <v>24859.714617253951</v>
      </c>
      <c r="MY28" s="227">
        <f>IFERROR(IF(MY$7&gt;$D$3,"",AVERAGE($HJ28:IJ28)),"")</f>
        <v>25071.416484430996</v>
      </c>
      <c r="MZ28" s="227">
        <f>IFERROR(IF(MZ$7&gt;$D$3,"",AVERAGE($HJ28:IK28)),"")</f>
        <v>25282.823750212392</v>
      </c>
      <c r="NA28" s="227">
        <f>IFERROR(IF(NA$7&gt;$D$3,"",AVERAGE($HJ28:IL28)),"")</f>
        <v>25471.955342887941</v>
      </c>
      <c r="NB28" s="227">
        <f>IFERROR(IF(NB$7&gt;$D$3,"",AVERAGE($HJ28:IM28)),"")</f>
        <v>25662.702237410773</v>
      </c>
      <c r="NC28" s="227">
        <f>IFERROR(IF(NC$7&gt;$D$3,"",AVERAGE($HJ28:IN28)),"")</f>
        <v>25842.948595123962</v>
      </c>
      <c r="ND28" s="227">
        <f>IFERROR(IF(ND$7&gt;$D$3,"",AVERAGE($HJ28:IO28)),"")</f>
        <v>26002.140558140869</v>
      </c>
      <c r="NE28" s="227">
        <f>IFERROR(IF(NE$7&gt;$D$3,"",AVERAGE($HJ28:IP28)),"")</f>
        <v>26168.805347618934</v>
      </c>
      <c r="NF28" s="227">
        <f>IFERROR(IF(NF$7&gt;$D$3,"",AVERAGE($HJ28:IQ28)),"")</f>
        <v>26321.088037071528</v>
      </c>
      <c r="NG28" s="227">
        <f>IFERROR(IF(NG$7&gt;$D$3,"",AVERAGE($HJ28:IR28)),"")</f>
        <v>26476.526899749762</v>
      </c>
      <c r="NH28" s="227">
        <f>IFERROR(IF(NH$7&gt;$D$3,"",AVERAGE($HJ28:IS28)),"")</f>
        <v>26619.757941671454</v>
      </c>
      <c r="NI28" s="227">
        <f>IFERROR(IF(NI$7&gt;$D$3,"",AVERAGE($HJ28:IT28)),"")</f>
        <v>26748.051471366507</v>
      </c>
      <c r="NJ28" s="227">
        <f>IFERROR(IF(NJ$7&gt;$D$3,"",AVERAGE($HJ28:IU28)),"")</f>
        <v>26867.561364761983</v>
      </c>
      <c r="NK28" s="227">
        <f>IFERROR(IF(NK$7&gt;$D$3,"",AVERAGE($HJ28:IV28)),"")</f>
        <v>26987.887980789408</v>
      </c>
      <c r="NL28" s="227">
        <f>IFERROR(IF(NL$7&gt;$D$3,"",AVERAGE($HJ28:IW28)),"")</f>
        <v>27095.787955565927</v>
      </c>
      <c r="NM28" s="227">
        <f>IFERROR(IF(NM$7&gt;$D$3,"",AVERAGE($HJ28:IX28)),"")</f>
        <v>27194.767515463358</v>
      </c>
      <c r="NN28" s="227">
        <f>IFERROR(IF(NN$7&gt;$D$3,"",AVERAGE($HJ28:IY28)),"")</f>
        <v>27302.938751686012</v>
      </c>
      <c r="NO28" s="227" t="str">
        <f>IFERROR(IF(NO$7&gt;$D$3,"",AVERAGE($HJ28:IZ28)),"")</f>
        <v/>
      </c>
      <c r="NP28" s="227" t="str">
        <f>IFERROR(IF(NP$7&gt;$D$3,"",AVERAGE($HJ28:JA28)),"")</f>
        <v/>
      </c>
      <c r="NQ28" s="227" t="str">
        <f>IFERROR(IF(NQ$7&gt;$D$3,"",AVERAGE($HJ28:JB28)),"")</f>
        <v/>
      </c>
      <c r="NR28" s="227" t="str">
        <f>IFERROR(IF(NR$7&gt;$D$3,"",AVERAGE($HJ28:JC28)),"")</f>
        <v/>
      </c>
      <c r="NS28" s="227" t="str">
        <f>IFERROR(IF(NS$7&gt;$D$3,"",AVERAGE($HJ28:JD28)),"")</f>
        <v/>
      </c>
      <c r="NT28" s="227" t="str">
        <f>IFERROR(IF(NT$7&gt;$D$3,"",AVERAGE($HJ28:JE28)),"")</f>
        <v/>
      </c>
      <c r="NU28" s="227" t="str">
        <f>IFERROR(IF(NU$7&gt;$D$3,"",AVERAGE($HJ28:JF28)),"")</f>
        <v/>
      </c>
      <c r="NV28" s="227" t="str">
        <f>IFERROR(IF(NV$7&gt;$D$3,"",AVERAGE($HJ28:JG28)),"")</f>
        <v/>
      </c>
      <c r="NW28" s="227" t="str">
        <f>IFERROR(IF(NW$7&gt;$D$3,"",AVERAGE($HJ28:JH28)),"")</f>
        <v/>
      </c>
      <c r="NX28" s="227" t="str">
        <f>IFERROR(IF(NX$7&gt;$D$3,"",AVERAGE($HJ28:JI28)),"")</f>
        <v/>
      </c>
      <c r="NY28" s="227" t="str">
        <f>IFERROR(IF(NY$7&gt;$D$3,"",AVERAGE($HJ28:JJ28)),"")</f>
        <v/>
      </c>
    </row>
    <row r="29" spans="1:389" ht="15" thickBot="1" x14ac:dyDescent="0.35">
      <c r="AB29" s="292"/>
      <c r="AH29" s="465"/>
      <c r="AN29" s="201"/>
      <c r="CO29" s="465"/>
      <c r="CV29" s="316"/>
      <c r="CW29" s="316"/>
      <c r="CX29" s="316"/>
      <c r="CY29" s="316"/>
      <c r="CZ29" s="316"/>
      <c r="DA29" s="316"/>
      <c r="DB29" s="316"/>
      <c r="DC29" s="316"/>
      <c r="DD29" s="316"/>
      <c r="DE29" s="316"/>
      <c r="DF29" s="316"/>
      <c r="DG29" s="316"/>
      <c r="DH29" s="316"/>
      <c r="DI29" s="316"/>
      <c r="DJ29" s="316"/>
      <c r="DK29" s="316"/>
      <c r="DL29" s="316"/>
      <c r="DM29" s="316"/>
      <c r="DN29" s="316"/>
      <c r="DO29" s="316"/>
      <c r="DP29" s="316"/>
      <c r="DQ29" s="316"/>
      <c r="DR29" s="316"/>
      <c r="DS29" s="316"/>
      <c r="DT29" s="316"/>
      <c r="DU29" s="316"/>
      <c r="DV29" s="316"/>
      <c r="DW29" s="316"/>
      <c r="DX29" s="316"/>
      <c r="DY29" s="316"/>
      <c r="DZ29" s="316"/>
      <c r="EA29" s="316"/>
      <c r="EB29" s="316"/>
      <c r="EC29" s="316"/>
      <c r="ED29" s="316"/>
      <c r="EE29" s="316"/>
      <c r="EF29" s="316"/>
      <c r="EG29" s="316"/>
      <c r="EH29" s="316"/>
      <c r="EI29" s="316"/>
      <c r="EJ29" s="316"/>
      <c r="EK29" s="316"/>
      <c r="EL29" s="316"/>
      <c r="EM29" s="316"/>
      <c r="EN29" s="316"/>
      <c r="EO29" s="316"/>
      <c r="EP29" s="316"/>
      <c r="EQ29" s="316"/>
      <c r="ER29" s="316"/>
      <c r="ES29" s="316"/>
      <c r="ET29" s="316"/>
      <c r="EU29" s="316"/>
      <c r="EW29" s="465"/>
      <c r="FC29" s="201"/>
      <c r="FD29" s="201"/>
      <c r="FE29" s="201"/>
      <c r="FF29" s="201"/>
      <c r="FG29" s="201"/>
      <c r="FH29" s="201"/>
      <c r="FI29" s="201"/>
      <c r="FJ29" s="201"/>
      <c r="FK29" s="201"/>
      <c r="FL29" s="201"/>
      <c r="FM29" s="201"/>
      <c r="FN29" s="201"/>
      <c r="FO29" s="201"/>
      <c r="FP29" s="201"/>
      <c r="FQ29" s="201"/>
      <c r="FR29" s="201"/>
      <c r="FS29" s="201"/>
      <c r="FT29" s="201"/>
      <c r="FU29" s="201"/>
      <c r="FV29" s="201"/>
      <c r="FW29" s="201"/>
      <c r="FX29" s="201"/>
      <c r="FY29" s="201"/>
      <c r="FZ29" s="201"/>
      <c r="GA29" s="201"/>
      <c r="GB29" s="201"/>
      <c r="GC29" s="201"/>
      <c r="GD29" s="201"/>
      <c r="GE29" s="201"/>
      <c r="GF29" s="201"/>
      <c r="GG29" s="201"/>
      <c r="GH29" s="201"/>
      <c r="GI29" s="201"/>
      <c r="GJ29" s="201"/>
      <c r="GK29" s="201"/>
      <c r="GL29" s="201"/>
      <c r="GM29" s="201"/>
      <c r="GN29" s="201"/>
      <c r="GO29" s="201"/>
      <c r="GP29" s="201"/>
      <c r="GQ29" s="201"/>
      <c r="GR29" s="201"/>
      <c r="GS29" s="201"/>
      <c r="GT29" s="201"/>
      <c r="GU29" s="201"/>
      <c r="GV29" s="201"/>
      <c r="GW29" s="201"/>
      <c r="GX29" s="201"/>
      <c r="GY29" s="201"/>
      <c r="GZ29" s="201"/>
      <c r="HA29" s="201"/>
      <c r="HB29" s="201"/>
      <c r="HC29" s="201"/>
      <c r="HJ29" s="201"/>
      <c r="HK29" s="201"/>
      <c r="HL29" s="249"/>
      <c r="HM29" s="249"/>
      <c r="HN29" s="249"/>
      <c r="HO29" s="249"/>
      <c r="HP29" s="249"/>
      <c r="HQ29" s="249"/>
      <c r="HR29" s="249"/>
      <c r="HS29" s="249"/>
      <c r="HT29" s="249"/>
      <c r="HU29" s="249"/>
      <c r="HV29" s="249"/>
      <c r="HW29" s="249"/>
      <c r="HX29" s="249"/>
      <c r="HY29" s="249"/>
      <c r="HZ29" s="249"/>
      <c r="IA29" s="249"/>
      <c r="IB29" s="249"/>
      <c r="IC29" s="249"/>
      <c r="ID29" s="249"/>
      <c r="IE29" s="249"/>
      <c r="IF29" s="249"/>
      <c r="IG29" s="249"/>
      <c r="IH29" s="249"/>
      <c r="II29" s="249"/>
      <c r="IJ29" s="249"/>
      <c r="IK29" s="249"/>
      <c r="IL29" s="249"/>
      <c r="IM29" s="249"/>
      <c r="IN29" s="249"/>
      <c r="IO29" s="249"/>
      <c r="IP29" s="249"/>
      <c r="IQ29" s="249"/>
      <c r="IR29" s="249"/>
      <c r="IS29" s="249"/>
      <c r="IT29" s="249"/>
      <c r="IU29" s="249"/>
      <c r="IV29" s="249"/>
      <c r="IW29" s="249"/>
      <c r="IX29" s="249"/>
      <c r="IY29" s="249"/>
      <c r="IZ29" s="249"/>
      <c r="JA29" s="249"/>
      <c r="JB29" s="249"/>
      <c r="JC29" s="249"/>
      <c r="JD29" s="249"/>
      <c r="JE29" s="249"/>
      <c r="JF29" s="249"/>
      <c r="JG29" s="249"/>
      <c r="JH29" s="249"/>
      <c r="JI29" s="249"/>
      <c r="JJ29" s="249"/>
      <c r="JR29" s="249"/>
      <c r="JS29" s="249"/>
      <c r="JT29" s="249"/>
      <c r="JU29" s="249"/>
      <c r="JV29" s="249"/>
      <c r="JW29" s="249"/>
      <c r="JX29" s="249"/>
      <c r="JY29" s="249"/>
      <c r="JZ29" s="249"/>
      <c r="KA29" s="249"/>
      <c r="KB29" s="249"/>
      <c r="KC29" s="249"/>
      <c r="KD29" s="249"/>
      <c r="KE29" s="249"/>
      <c r="KF29" s="249"/>
      <c r="KG29" s="249"/>
      <c r="KH29" s="249"/>
      <c r="KI29" s="249"/>
      <c r="KJ29" s="249"/>
      <c r="KK29" s="249"/>
      <c r="KL29" s="249"/>
      <c r="KM29" s="249"/>
      <c r="KN29" s="249"/>
      <c r="KO29" s="249"/>
      <c r="KP29" s="249"/>
      <c r="KQ29" s="249"/>
      <c r="KR29" s="249"/>
      <c r="KS29" s="249"/>
      <c r="KT29" s="249"/>
      <c r="KU29" s="249"/>
      <c r="KV29" s="249"/>
      <c r="KW29" s="249"/>
      <c r="KX29" s="249"/>
      <c r="KY29" s="249"/>
      <c r="KZ29" s="249"/>
      <c r="LA29" s="249"/>
      <c r="LB29" s="249"/>
      <c r="LC29" s="249"/>
      <c r="LD29" s="249"/>
      <c r="LE29" s="249"/>
      <c r="LF29" s="249"/>
      <c r="LG29" s="249"/>
      <c r="LH29" s="249"/>
      <c r="LI29" s="249"/>
      <c r="LJ29" s="249"/>
      <c r="LK29" s="249"/>
      <c r="LL29" s="249"/>
      <c r="LM29" s="249"/>
      <c r="LN29" s="249"/>
      <c r="LO29" s="249"/>
      <c r="LP29" s="249"/>
      <c r="LQ29" s="249"/>
      <c r="LR29" s="249"/>
      <c r="LY29" s="201"/>
      <c r="LZ29" s="201"/>
      <c r="MA29" s="201"/>
      <c r="MB29" s="201"/>
      <c r="MC29" s="201"/>
      <c r="MD29" s="201"/>
      <c r="ME29" s="201"/>
      <c r="MF29" s="201"/>
      <c r="MG29" s="201"/>
      <c r="MH29" s="201"/>
      <c r="MI29" s="201"/>
      <c r="MJ29" s="201"/>
      <c r="MK29" s="201"/>
      <c r="ML29" s="201"/>
      <c r="MM29" s="201"/>
      <c r="MN29" s="201"/>
      <c r="MO29" s="201"/>
      <c r="MP29" s="201"/>
      <c r="MQ29" s="201"/>
      <c r="MR29" s="201"/>
      <c r="MS29" s="201"/>
      <c r="MT29" s="201"/>
      <c r="MU29" s="201"/>
      <c r="MV29" s="201"/>
      <c r="MW29" s="201"/>
      <c r="MX29" s="201"/>
      <c r="MY29" s="201"/>
      <c r="MZ29" s="201"/>
      <c r="NA29" s="201"/>
      <c r="NB29" s="201"/>
      <c r="NC29" s="201"/>
      <c r="ND29" s="201"/>
      <c r="NE29" s="201"/>
      <c r="NF29" s="201"/>
      <c r="NG29" s="201"/>
      <c r="NH29" s="201"/>
      <c r="NI29" s="201"/>
      <c r="NJ29" s="201"/>
      <c r="NK29" s="201"/>
      <c r="NL29" s="201"/>
      <c r="NM29" s="201"/>
      <c r="NN29" s="201"/>
      <c r="NO29" s="201"/>
      <c r="NP29" s="201"/>
      <c r="NQ29" s="201"/>
      <c r="NR29" s="201"/>
      <c r="NS29" s="201"/>
      <c r="NT29" s="201"/>
      <c r="NU29" s="201"/>
      <c r="NV29" s="201"/>
      <c r="NW29" s="201"/>
      <c r="NX29" s="201"/>
      <c r="NY29" s="201"/>
    </row>
    <row r="30" spans="1:389" ht="29.4" thickBot="1" x14ac:dyDescent="0.35">
      <c r="B30" s="180" t="str">
        <f>+'KPI Stats'!B35</f>
        <v>Product Design</v>
      </c>
      <c r="C30" s="133" t="str">
        <f>+'KPI Stats'!C35</f>
        <v>Paul Dolan</v>
      </c>
      <c r="D30" s="134"/>
      <c r="E30" s="141" t="str">
        <f>+'KPI Stats'!E35</f>
        <v>Completed to Week</v>
      </c>
      <c r="F30" s="141">
        <f>+'KPI Stats'!F35</f>
        <v>42</v>
      </c>
      <c r="G30" s="181" t="s">
        <v>506</v>
      </c>
      <c r="J30" s="181" t="str">
        <f>+$B30</f>
        <v>Product Design</v>
      </c>
      <c r="K30" s="181"/>
      <c r="L30" s="182"/>
      <c r="M30" s="183"/>
      <c r="P30" s="181" t="str">
        <f>+$B30</f>
        <v>Product Design</v>
      </c>
      <c r="Q30" s="181"/>
      <c r="R30" s="181"/>
      <c r="S30" s="183"/>
      <c r="T30" s="183"/>
      <c r="U30" s="291"/>
      <c r="X30" s="181" t="str">
        <f>+$B30</f>
        <v>Product Design</v>
      </c>
      <c r="Y30" s="181"/>
      <c r="Z30" s="181"/>
      <c r="AA30" s="183"/>
      <c r="AB30" s="291"/>
      <c r="AC30" s="181" t="str">
        <f>+$B30</f>
        <v>Product Design</v>
      </c>
      <c r="AD30" s="181"/>
      <c r="AE30" s="181"/>
      <c r="AF30" s="183"/>
      <c r="AH30" s="465"/>
      <c r="AI30" s="191" t="str">
        <f>+B31</f>
        <v xml:space="preserve">Product Design </v>
      </c>
      <c r="AJ30" s="192"/>
      <c r="AK30" s="141" t="str">
        <f t="shared" ref="AK30:AL35" si="87">+E30</f>
        <v>Completed to Week</v>
      </c>
      <c r="AL30" s="141">
        <f t="shared" si="87"/>
        <v>42</v>
      </c>
      <c r="AM30" s="209" t="str">
        <f t="shared" ref="AM30:BR30" si="88">+$B30</f>
        <v>Product Design</v>
      </c>
      <c r="AN30" s="210" t="str">
        <f t="shared" si="88"/>
        <v>Product Design</v>
      </c>
      <c r="AO30" s="209" t="str">
        <f t="shared" si="88"/>
        <v>Product Design</v>
      </c>
      <c r="AP30" s="209" t="str">
        <f t="shared" si="88"/>
        <v>Product Design</v>
      </c>
      <c r="AQ30" s="209" t="str">
        <f t="shared" si="88"/>
        <v>Product Design</v>
      </c>
      <c r="AR30" s="209" t="str">
        <f t="shared" si="88"/>
        <v>Product Design</v>
      </c>
      <c r="AS30" s="209" t="str">
        <f t="shared" si="88"/>
        <v>Product Design</v>
      </c>
      <c r="AT30" s="209" t="str">
        <f t="shared" si="88"/>
        <v>Product Design</v>
      </c>
      <c r="AU30" s="209" t="str">
        <f t="shared" si="88"/>
        <v>Product Design</v>
      </c>
      <c r="AV30" s="209" t="str">
        <f t="shared" si="88"/>
        <v>Product Design</v>
      </c>
      <c r="AW30" s="209" t="str">
        <f t="shared" si="88"/>
        <v>Product Design</v>
      </c>
      <c r="AX30" s="209" t="str">
        <f t="shared" si="88"/>
        <v>Product Design</v>
      </c>
      <c r="AY30" s="209" t="str">
        <f t="shared" si="88"/>
        <v>Product Design</v>
      </c>
      <c r="AZ30" s="209" t="str">
        <f t="shared" si="88"/>
        <v>Product Design</v>
      </c>
      <c r="BA30" s="209" t="str">
        <f t="shared" si="88"/>
        <v>Product Design</v>
      </c>
      <c r="BB30" s="209" t="str">
        <f t="shared" si="88"/>
        <v>Product Design</v>
      </c>
      <c r="BC30" s="209" t="str">
        <f t="shared" si="88"/>
        <v>Product Design</v>
      </c>
      <c r="BD30" s="209" t="str">
        <f t="shared" si="88"/>
        <v>Product Design</v>
      </c>
      <c r="BE30" s="209" t="str">
        <f t="shared" si="88"/>
        <v>Product Design</v>
      </c>
      <c r="BF30" s="209" t="str">
        <f t="shared" si="88"/>
        <v>Product Design</v>
      </c>
      <c r="BG30" s="209" t="str">
        <f t="shared" si="88"/>
        <v>Product Design</v>
      </c>
      <c r="BH30" s="209" t="str">
        <f t="shared" si="88"/>
        <v>Product Design</v>
      </c>
      <c r="BI30" s="209" t="str">
        <f t="shared" si="88"/>
        <v>Product Design</v>
      </c>
      <c r="BJ30" s="209" t="str">
        <f t="shared" si="88"/>
        <v>Product Design</v>
      </c>
      <c r="BK30" s="209" t="str">
        <f t="shared" si="88"/>
        <v>Product Design</v>
      </c>
      <c r="BL30" s="209" t="str">
        <f t="shared" si="88"/>
        <v>Product Design</v>
      </c>
      <c r="BM30" s="209" t="str">
        <f t="shared" si="88"/>
        <v>Product Design</v>
      </c>
      <c r="BN30" s="209" t="str">
        <f t="shared" si="88"/>
        <v>Product Design</v>
      </c>
      <c r="BO30" s="209" t="str">
        <f t="shared" si="88"/>
        <v>Product Design</v>
      </c>
      <c r="BP30" s="209" t="str">
        <f t="shared" si="88"/>
        <v>Product Design</v>
      </c>
      <c r="BQ30" s="209" t="str">
        <f t="shared" si="88"/>
        <v>Product Design</v>
      </c>
      <c r="BR30" s="209" t="str">
        <f t="shared" si="88"/>
        <v>Product Design</v>
      </c>
      <c r="BS30" s="209" t="str">
        <f t="shared" ref="BS30:CM30" si="89">+$B30</f>
        <v>Product Design</v>
      </c>
      <c r="BT30" s="209" t="str">
        <f t="shared" si="89"/>
        <v>Product Design</v>
      </c>
      <c r="BU30" s="209" t="str">
        <f t="shared" si="89"/>
        <v>Product Design</v>
      </c>
      <c r="BV30" s="209" t="str">
        <f t="shared" si="89"/>
        <v>Product Design</v>
      </c>
      <c r="BW30" s="209" t="str">
        <f t="shared" si="89"/>
        <v>Product Design</v>
      </c>
      <c r="BX30" s="209" t="str">
        <f t="shared" si="89"/>
        <v>Product Design</v>
      </c>
      <c r="BY30" s="209" t="str">
        <f t="shared" si="89"/>
        <v>Product Design</v>
      </c>
      <c r="BZ30" s="209" t="str">
        <f t="shared" si="89"/>
        <v>Product Design</v>
      </c>
      <c r="CA30" s="209" t="str">
        <f t="shared" si="89"/>
        <v>Product Design</v>
      </c>
      <c r="CB30" s="209" t="str">
        <f t="shared" si="89"/>
        <v>Product Design</v>
      </c>
      <c r="CC30" s="209" t="str">
        <f t="shared" si="89"/>
        <v>Product Design</v>
      </c>
      <c r="CD30" s="209" t="str">
        <f t="shared" si="89"/>
        <v>Product Design</v>
      </c>
      <c r="CE30" s="209" t="str">
        <f t="shared" si="89"/>
        <v>Product Design</v>
      </c>
      <c r="CF30" s="209" t="str">
        <f t="shared" si="89"/>
        <v>Product Design</v>
      </c>
      <c r="CG30" s="209" t="str">
        <f t="shared" si="89"/>
        <v>Product Design</v>
      </c>
      <c r="CH30" s="209" t="str">
        <f t="shared" si="89"/>
        <v>Product Design</v>
      </c>
      <c r="CI30" s="209" t="str">
        <f t="shared" si="89"/>
        <v>Product Design</v>
      </c>
      <c r="CJ30" s="209" t="str">
        <f t="shared" si="89"/>
        <v>Product Design</v>
      </c>
      <c r="CK30" s="209" t="str">
        <f t="shared" si="89"/>
        <v>Product Design</v>
      </c>
      <c r="CL30" s="209" t="str">
        <f t="shared" si="89"/>
        <v>Product Design</v>
      </c>
      <c r="CM30" s="209" t="str">
        <f t="shared" si="89"/>
        <v>Product Design</v>
      </c>
      <c r="CO30" s="465"/>
      <c r="CP30" s="191" t="str">
        <f>+B31</f>
        <v xml:space="preserve">Product Design </v>
      </c>
      <c r="CQ30" s="192"/>
      <c r="CR30" s="141" t="str">
        <f>+E30</f>
        <v>Completed to Week</v>
      </c>
      <c r="CS30" s="141">
        <f>+F30</f>
        <v>42</v>
      </c>
      <c r="CT30" s="351" t="str">
        <f>+G30</f>
        <v>Weekly KPI</v>
      </c>
      <c r="CU30" s="326" t="str">
        <f t="shared" ref="CU30:EU30" si="90">+$B30</f>
        <v>Product Design</v>
      </c>
      <c r="CV30" s="321" t="str">
        <f t="shared" si="90"/>
        <v>Product Design</v>
      </c>
      <c r="CW30" s="321" t="str">
        <f t="shared" si="90"/>
        <v>Product Design</v>
      </c>
      <c r="CX30" s="321" t="str">
        <f t="shared" si="90"/>
        <v>Product Design</v>
      </c>
      <c r="CY30" s="321" t="str">
        <f t="shared" si="90"/>
        <v>Product Design</v>
      </c>
      <c r="CZ30" s="321" t="str">
        <f t="shared" si="90"/>
        <v>Product Design</v>
      </c>
      <c r="DA30" s="321" t="str">
        <f t="shared" si="90"/>
        <v>Product Design</v>
      </c>
      <c r="DB30" s="321" t="str">
        <f t="shared" si="90"/>
        <v>Product Design</v>
      </c>
      <c r="DC30" s="321" t="str">
        <f t="shared" si="90"/>
        <v>Product Design</v>
      </c>
      <c r="DD30" s="321" t="str">
        <f t="shared" si="90"/>
        <v>Product Design</v>
      </c>
      <c r="DE30" s="321" t="str">
        <f t="shared" si="90"/>
        <v>Product Design</v>
      </c>
      <c r="DF30" s="321" t="str">
        <f t="shared" si="90"/>
        <v>Product Design</v>
      </c>
      <c r="DG30" s="321" t="str">
        <f t="shared" si="90"/>
        <v>Product Design</v>
      </c>
      <c r="DH30" s="321" t="str">
        <f t="shared" si="90"/>
        <v>Product Design</v>
      </c>
      <c r="DI30" s="321" t="str">
        <f t="shared" si="90"/>
        <v>Product Design</v>
      </c>
      <c r="DJ30" s="321" t="str">
        <f t="shared" si="90"/>
        <v>Product Design</v>
      </c>
      <c r="DK30" s="321" t="str">
        <f t="shared" si="90"/>
        <v>Product Design</v>
      </c>
      <c r="DL30" s="321" t="str">
        <f t="shared" si="90"/>
        <v>Product Design</v>
      </c>
      <c r="DM30" s="321" t="str">
        <f t="shared" si="90"/>
        <v>Product Design</v>
      </c>
      <c r="DN30" s="321" t="str">
        <f t="shared" si="90"/>
        <v>Product Design</v>
      </c>
      <c r="DO30" s="321" t="str">
        <f t="shared" si="90"/>
        <v>Product Design</v>
      </c>
      <c r="DP30" s="321" t="str">
        <f t="shared" si="90"/>
        <v>Product Design</v>
      </c>
      <c r="DQ30" s="321" t="str">
        <f t="shared" si="90"/>
        <v>Product Design</v>
      </c>
      <c r="DR30" s="321" t="str">
        <f t="shared" si="90"/>
        <v>Product Design</v>
      </c>
      <c r="DS30" s="321" t="str">
        <f t="shared" si="90"/>
        <v>Product Design</v>
      </c>
      <c r="DT30" s="321" t="str">
        <f t="shared" si="90"/>
        <v>Product Design</v>
      </c>
      <c r="DU30" s="321" t="str">
        <f t="shared" si="90"/>
        <v>Product Design</v>
      </c>
      <c r="DV30" s="321" t="str">
        <f t="shared" si="90"/>
        <v>Product Design</v>
      </c>
      <c r="DW30" s="321" t="str">
        <f t="shared" si="90"/>
        <v>Product Design</v>
      </c>
      <c r="DX30" s="321" t="str">
        <f t="shared" si="90"/>
        <v>Product Design</v>
      </c>
      <c r="DY30" s="321" t="str">
        <f t="shared" si="90"/>
        <v>Product Design</v>
      </c>
      <c r="DZ30" s="321" t="str">
        <f t="shared" si="90"/>
        <v>Product Design</v>
      </c>
      <c r="EA30" s="321" t="str">
        <f t="shared" si="90"/>
        <v>Product Design</v>
      </c>
      <c r="EB30" s="321" t="str">
        <f t="shared" si="90"/>
        <v>Product Design</v>
      </c>
      <c r="EC30" s="321" t="str">
        <f t="shared" si="90"/>
        <v>Product Design</v>
      </c>
      <c r="ED30" s="321" t="str">
        <f t="shared" si="90"/>
        <v>Product Design</v>
      </c>
      <c r="EE30" s="321" t="str">
        <f t="shared" si="90"/>
        <v>Product Design</v>
      </c>
      <c r="EF30" s="321" t="str">
        <f t="shared" si="90"/>
        <v>Product Design</v>
      </c>
      <c r="EG30" s="321" t="str">
        <f t="shared" si="90"/>
        <v>Product Design</v>
      </c>
      <c r="EH30" s="321" t="str">
        <f t="shared" si="90"/>
        <v>Product Design</v>
      </c>
      <c r="EI30" s="321" t="str">
        <f t="shared" si="90"/>
        <v>Product Design</v>
      </c>
      <c r="EJ30" s="321" t="str">
        <f t="shared" si="90"/>
        <v>Product Design</v>
      </c>
      <c r="EK30" s="321" t="str">
        <f t="shared" si="90"/>
        <v>Product Design</v>
      </c>
      <c r="EL30" s="321" t="str">
        <f t="shared" si="90"/>
        <v>Product Design</v>
      </c>
      <c r="EM30" s="321" t="str">
        <f t="shared" si="90"/>
        <v>Product Design</v>
      </c>
      <c r="EN30" s="321" t="str">
        <f t="shared" si="90"/>
        <v>Product Design</v>
      </c>
      <c r="EO30" s="321" t="str">
        <f t="shared" si="90"/>
        <v>Product Design</v>
      </c>
      <c r="EP30" s="321" t="str">
        <f t="shared" si="90"/>
        <v>Product Design</v>
      </c>
      <c r="EQ30" s="321" t="str">
        <f t="shared" si="90"/>
        <v>Product Design</v>
      </c>
      <c r="ER30" s="321" t="str">
        <f t="shared" si="90"/>
        <v>Product Design</v>
      </c>
      <c r="ES30" s="321" t="str">
        <f t="shared" si="90"/>
        <v>Product Design</v>
      </c>
      <c r="ET30" s="321" t="str">
        <f t="shared" si="90"/>
        <v>Product Design</v>
      </c>
      <c r="EU30" s="321" t="str">
        <f t="shared" si="90"/>
        <v>Product Design</v>
      </c>
      <c r="EW30" s="465"/>
      <c r="EX30" s="191" t="str">
        <f>+$B30</f>
        <v>Product Design</v>
      </c>
      <c r="EY30" s="192"/>
      <c r="EZ30" s="141" t="str">
        <f t="shared" ref="EZ30:EZ35" si="91">+$E30</f>
        <v>Completed to Week</v>
      </c>
      <c r="FA30" s="141">
        <f t="shared" ref="FA30:FA35" si="92">+$F30</f>
        <v>42</v>
      </c>
      <c r="FB30" s="141"/>
      <c r="FC30" s="210" t="str">
        <f t="shared" ref="FC30:GH30" si="93">+$B30</f>
        <v>Product Design</v>
      </c>
      <c r="FD30" s="210" t="str">
        <f t="shared" si="93"/>
        <v>Product Design</v>
      </c>
      <c r="FE30" s="210" t="str">
        <f t="shared" si="93"/>
        <v>Product Design</v>
      </c>
      <c r="FF30" s="210" t="str">
        <f t="shared" si="93"/>
        <v>Product Design</v>
      </c>
      <c r="FG30" s="210" t="str">
        <f t="shared" si="93"/>
        <v>Product Design</v>
      </c>
      <c r="FH30" s="210" t="str">
        <f t="shared" si="93"/>
        <v>Product Design</v>
      </c>
      <c r="FI30" s="210" t="str">
        <f t="shared" si="93"/>
        <v>Product Design</v>
      </c>
      <c r="FJ30" s="210" t="str">
        <f t="shared" si="93"/>
        <v>Product Design</v>
      </c>
      <c r="FK30" s="210" t="str">
        <f t="shared" si="93"/>
        <v>Product Design</v>
      </c>
      <c r="FL30" s="210" t="str">
        <f t="shared" si="93"/>
        <v>Product Design</v>
      </c>
      <c r="FM30" s="210" t="str">
        <f t="shared" si="93"/>
        <v>Product Design</v>
      </c>
      <c r="FN30" s="210" t="str">
        <f t="shared" si="93"/>
        <v>Product Design</v>
      </c>
      <c r="FO30" s="210" t="str">
        <f t="shared" si="93"/>
        <v>Product Design</v>
      </c>
      <c r="FP30" s="210" t="str">
        <f t="shared" si="93"/>
        <v>Product Design</v>
      </c>
      <c r="FQ30" s="210" t="str">
        <f t="shared" si="93"/>
        <v>Product Design</v>
      </c>
      <c r="FR30" s="210" t="str">
        <f t="shared" si="93"/>
        <v>Product Design</v>
      </c>
      <c r="FS30" s="210" t="str">
        <f t="shared" si="93"/>
        <v>Product Design</v>
      </c>
      <c r="FT30" s="210" t="str">
        <f t="shared" si="93"/>
        <v>Product Design</v>
      </c>
      <c r="FU30" s="210" t="str">
        <f t="shared" si="93"/>
        <v>Product Design</v>
      </c>
      <c r="FV30" s="210" t="str">
        <f t="shared" si="93"/>
        <v>Product Design</v>
      </c>
      <c r="FW30" s="210" t="str">
        <f t="shared" si="93"/>
        <v>Product Design</v>
      </c>
      <c r="FX30" s="210" t="str">
        <f t="shared" si="93"/>
        <v>Product Design</v>
      </c>
      <c r="FY30" s="210" t="str">
        <f t="shared" si="93"/>
        <v>Product Design</v>
      </c>
      <c r="FZ30" s="210" t="str">
        <f t="shared" si="93"/>
        <v>Product Design</v>
      </c>
      <c r="GA30" s="210" t="str">
        <f t="shared" si="93"/>
        <v>Product Design</v>
      </c>
      <c r="GB30" s="210" t="str">
        <f t="shared" si="93"/>
        <v>Product Design</v>
      </c>
      <c r="GC30" s="210" t="str">
        <f t="shared" si="93"/>
        <v>Product Design</v>
      </c>
      <c r="GD30" s="210" t="str">
        <f t="shared" si="93"/>
        <v>Product Design</v>
      </c>
      <c r="GE30" s="210" t="str">
        <f t="shared" si="93"/>
        <v>Product Design</v>
      </c>
      <c r="GF30" s="210" t="str">
        <f t="shared" si="93"/>
        <v>Product Design</v>
      </c>
      <c r="GG30" s="210" t="str">
        <f t="shared" si="93"/>
        <v>Product Design</v>
      </c>
      <c r="GH30" s="210" t="str">
        <f t="shared" si="93"/>
        <v>Product Design</v>
      </c>
      <c r="GI30" s="210" t="str">
        <f t="shared" ref="GI30:HC30" si="94">+$B30</f>
        <v>Product Design</v>
      </c>
      <c r="GJ30" s="210" t="str">
        <f t="shared" si="94"/>
        <v>Product Design</v>
      </c>
      <c r="GK30" s="210" t="str">
        <f t="shared" si="94"/>
        <v>Product Design</v>
      </c>
      <c r="GL30" s="210" t="str">
        <f t="shared" si="94"/>
        <v>Product Design</v>
      </c>
      <c r="GM30" s="210" t="str">
        <f t="shared" si="94"/>
        <v>Product Design</v>
      </c>
      <c r="GN30" s="210" t="str">
        <f t="shared" si="94"/>
        <v>Product Design</v>
      </c>
      <c r="GO30" s="210" t="str">
        <f t="shared" si="94"/>
        <v>Product Design</v>
      </c>
      <c r="GP30" s="210" t="str">
        <f t="shared" si="94"/>
        <v>Product Design</v>
      </c>
      <c r="GQ30" s="210" t="str">
        <f t="shared" si="94"/>
        <v>Product Design</v>
      </c>
      <c r="GR30" s="210" t="str">
        <f t="shared" si="94"/>
        <v>Product Design</v>
      </c>
      <c r="GS30" s="210" t="str">
        <f t="shared" si="94"/>
        <v>Product Design</v>
      </c>
      <c r="GT30" s="210" t="str">
        <f t="shared" si="94"/>
        <v>Product Design</v>
      </c>
      <c r="GU30" s="210" t="str">
        <f t="shared" si="94"/>
        <v>Product Design</v>
      </c>
      <c r="GV30" s="210" t="str">
        <f t="shared" si="94"/>
        <v>Product Design</v>
      </c>
      <c r="GW30" s="210" t="str">
        <f t="shared" si="94"/>
        <v>Product Design</v>
      </c>
      <c r="GX30" s="210" t="str">
        <f t="shared" si="94"/>
        <v>Product Design</v>
      </c>
      <c r="GY30" s="210" t="str">
        <f t="shared" si="94"/>
        <v>Product Design</v>
      </c>
      <c r="GZ30" s="210" t="str">
        <f t="shared" si="94"/>
        <v>Product Design</v>
      </c>
      <c r="HA30" s="210" t="str">
        <f t="shared" si="94"/>
        <v>Product Design</v>
      </c>
      <c r="HB30" s="210" t="str">
        <f t="shared" si="94"/>
        <v>Product Design</v>
      </c>
      <c r="HC30" s="210" t="str">
        <f t="shared" si="94"/>
        <v>Product Design</v>
      </c>
      <c r="HE30" s="191" t="str">
        <f>+$B30</f>
        <v>Product Design</v>
      </c>
      <c r="HF30" s="192"/>
      <c r="HG30" s="141" t="str">
        <f t="shared" ref="HG30:HG35" si="95">+$E30</f>
        <v>Completed to Week</v>
      </c>
      <c r="HH30" s="141">
        <f t="shared" ref="HH30:HH35" si="96">+$F30</f>
        <v>42</v>
      </c>
      <c r="HI30" s="141" t="str">
        <f t="shared" ref="HI30" si="97">+GJ30</f>
        <v>Product Design</v>
      </c>
      <c r="HJ30" s="210" t="str">
        <f t="shared" ref="HJ30:IO30" si="98">+$B30</f>
        <v>Product Design</v>
      </c>
      <c r="HK30" s="210" t="str">
        <f t="shared" si="98"/>
        <v>Product Design</v>
      </c>
      <c r="HL30" s="251" t="str">
        <f t="shared" si="98"/>
        <v>Product Design</v>
      </c>
      <c r="HM30" s="251" t="str">
        <f t="shared" si="98"/>
        <v>Product Design</v>
      </c>
      <c r="HN30" s="251" t="str">
        <f t="shared" si="98"/>
        <v>Product Design</v>
      </c>
      <c r="HO30" s="251" t="str">
        <f t="shared" si="98"/>
        <v>Product Design</v>
      </c>
      <c r="HP30" s="251" t="str">
        <f t="shared" si="98"/>
        <v>Product Design</v>
      </c>
      <c r="HQ30" s="251" t="str">
        <f t="shared" si="98"/>
        <v>Product Design</v>
      </c>
      <c r="HR30" s="251" t="str">
        <f t="shared" si="98"/>
        <v>Product Design</v>
      </c>
      <c r="HS30" s="251" t="str">
        <f t="shared" si="98"/>
        <v>Product Design</v>
      </c>
      <c r="HT30" s="251" t="str">
        <f t="shared" si="98"/>
        <v>Product Design</v>
      </c>
      <c r="HU30" s="251" t="str">
        <f t="shared" si="98"/>
        <v>Product Design</v>
      </c>
      <c r="HV30" s="251" t="str">
        <f t="shared" si="98"/>
        <v>Product Design</v>
      </c>
      <c r="HW30" s="251" t="str">
        <f t="shared" si="98"/>
        <v>Product Design</v>
      </c>
      <c r="HX30" s="251" t="str">
        <f t="shared" si="98"/>
        <v>Product Design</v>
      </c>
      <c r="HY30" s="251" t="str">
        <f t="shared" si="98"/>
        <v>Product Design</v>
      </c>
      <c r="HZ30" s="251" t="str">
        <f t="shared" si="98"/>
        <v>Product Design</v>
      </c>
      <c r="IA30" s="251" t="str">
        <f t="shared" si="98"/>
        <v>Product Design</v>
      </c>
      <c r="IB30" s="251" t="str">
        <f t="shared" si="98"/>
        <v>Product Design</v>
      </c>
      <c r="IC30" s="251" t="str">
        <f t="shared" si="98"/>
        <v>Product Design</v>
      </c>
      <c r="ID30" s="251" t="str">
        <f t="shared" si="98"/>
        <v>Product Design</v>
      </c>
      <c r="IE30" s="251" t="str">
        <f t="shared" si="98"/>
        <v>Product Design</v>
      </c>
      <c r="IF30" s="251" t="str">
        <f t="shared" si="98"/>
        <v>Product Design</v>
      </c>
      <c r="IG30" s="251" t="str">
        <f t="shared" si="98"/>
        <v>Product Design</v>
      </c>
      <c r="IH30" s="251" t="str">
        <f t="shared" si="98"/>
        <v>Product Design</v>
      </c>
      <c r="II30" s="251" t="str">
        <f t="shared" si="98"/>
        <v>Product Design</v>
      </c>
      <c r="IJ30" s="251" t="str">
        <f t="shared" si="98"/>
        <v>Product Design</v>
      </c>
      <c r="IK30" s="251" t="str">
        <f t="shared" si="98"/>
        <v>Product Design</v>
      </c>
      <c r="IL30" s="251" t="str">
        <f t="shared" si="98"/>
        <v>Product Design</v>
      </c>
      <c r="IM30" s="251" t="str">
        <f t="shared" si="98"/>
        <v>Product Design</v>
      </c>
      <c r="IN30" s="251" t="str">
        <f t="shared" si="98"/>
        <v>Product Design</v>
      </c>
      <c r="IO30" s="251" t="str">
        <f t="shared" si="98"/>
        <v>Product Design</v>
      </c>
      <c r="IP30" s="251" t="str">
        <f t="shared" ref="IP30:JJ30" si="99">+$B30</f>
        <v>Product Design</v>
      </c>
      <c r="IQ30" s="251" t="str">
        <f t="shared" si="99"/>
        <v>Product Design</v>
      </c>
      <c r="IR30" s="251" t="str">
        <f t="shared" si="99"/>
        <v>Product Design</v>
      </c>
      <c r="IS30" s="251" t="str">
        <f t="shared" si="99"/>
        <v>Product Design</v>
      </c>
      <c r="IT30" s="251" t="str">
        <f t="shared" si="99"/>
        <v>Product Design</v>
      </c>
      <c r="IU30" s="251" t="str">
        <f t="shared" si="99"/>
        <v>Product Design</v>
      </c>
      <c r="IV30" s="251" t="str">
        <f t="shared" si="99"/>
        <v>Product Design</v>
      </c>
      <c r="IW30" s="251" t="str">
        <f t="shared" si="99"/>
        <v>Product Design</v>
      </c>
      <c r="IX30" s="251" t="str">
        <f t="shared" si="99"/>
        <v>Product Design</v>
      </c>
      <c r="IY30" s="251" t="str">
        <f t="shared" si="99"/>
        <v>Product Design</v>
      </c>
      <c r="IZ30" s="251" t="str">
        <f t="shared" si="99"/>
        <v>Product Design</v>
      </c>
      <c r="JA30" s="251" t="str">
        <f t="shared" si="99"/>
        <v>Product Design</v>
      </c>
      <c r="JB30" s="251" t="str">
        <f t="shared" si="99"/>
        <v>Product Design</v>
      </c>
      <c r="JC30" s="251" t="str">
        <f t="shared" si="99"/>
        <v>Product Design</v>
      </c>
      <c r="JD30" s="251" t="str">
        <f t="shared" si="99"/>
        <v>Product Design</v>
      </c>
      <c r="JE30" s="251" t="str">
        <f t="shared" si="99"/>
        <v>Product Design</v>
      </c>
      <c r="JF30" s="251" t="str">
        <f t="shared" si="99"/>
        <v>Product Design</v>
      </c>
      <c r="JG30" s="251" t="str">
        <f t="shared" si="99"/>
        <v>Product Design</v>
      </c>
      <c r="JH30" s="251" t="str">
        <f t="shared" si="99"/>
        <v>Product Design</v>
      </c>
      <c r="JI30" s="251" t="str">
        <f t="shared" si="99"/>
        <v>Product Design</v>
      </c>
      <c r="JJ30" s="251" t="str">
        <f t="shared" si="99"/>
        <v>Product Design</v>
      </c>
      <c r="JM30" s="191" t="str">
        <f>+$B30</f>
        <v>Product Design</v>
      </c>
      <c r="JN30" s="192"/>
      <c r="JO30" s="141" t="str">
        <f t="shared" ref="JO30:JO35" si="100">+$E30</f>
        <v>Completed to Week</v>
      </c>
      <c r="JP30" s="141">
        <f t="shared" ref="JP30:JP35" si="101">+$F30</f>
        <v>42</v>
      </c>
      <c r="JQ30" s="141"/>
      <c r="JR30" s="251" t="str">
        <f t="shared" ref="JR30:KW30" si="102">+$B30</f>
        <v>Product Design</v>
      </c>
      <c r="JS30" s="251" t="str">
        <f t="shared" si="102"/>
        <v>Product Design</v>
      </c>
      <c r="JT30" s="251" t="str">
        <f t="shared" si="102"/>
        <v>Product Design</v>
      </c>
      <c r="JU30" s="251" t="str">
        <f t="shared" si="102"/>
        <v>Product Design</v>
      </c>
      <c r="JV30" s="251" t="str">
        <f t="shared" si="102"/>
        <v>Product Design</v>
      </c>
      <c r="JW30" s="251" t="str">
        <f t="shared" si="102"/>
        <v>Product Design</v>
      </c>
      <c r="JX30" s="251" t="str">
        <f t="shared" si="102"/>
        <v>Product Design</v>
      </c>
      <c r="JY30" s="251" t="str">
        <f t="shared" si="102"/>
        <v>Product Design</v>
      </c>
      <c r="JZ30" s="251" t="str">
        <f t="shared" si="102"/>
        <v>Product Design</v>
      </c>
      <c r="KA30" s="251" t="str">
        <f t="shared" si="102"/>
        <v>Product Design</v>
      </c>
      <c r="KB30" s="251" t="str">
        <f t="shared" si="102"/>
        <v>Product Design</v>
      </c>
      <c r="KC30" s="251" t="str">
        <f t="shared" si="102"/>
        <v>Product Design</v>
      </c>
      <c r="KD30" s="251" t="str">
        <f t="shared" si="102"/>
        <v>Product Design</v>
      </c>
      <c r="KE30" s="251" t="str">
        <f t="shared" si="102"/>
        <v>Product Design</v>
      </c>
      <c r="KF30" s="251" t="str">
        <f t="shared" si="102"/>
        <v>Product Design</v>
      </c>
      <c r="KG30" s="251" t="str">
        <f t="shared" si="102"/>
        <v>Product Design</v>
      </c>
      <c r="KH30" s="251" t="str">
        <f t="shared" si="102"/>
        <v>Product Design</v>
      </c>
      <c r="KI30" s="251" t="str">
        <f t="shared" si="102"/>
        <v>Product Design</v>
      </c>
      <c r="KJ30" s="251" t="str">
        <f t="shared" si="102"/>
        <v>Product Design</v>
      </c>
      <c r="KK30" s="251" t="str">
        <f t="shared" si="102"/>
        <v>Product Design</v>
      </c>
      <c r="KL30" s="251" t="str">
        <f t="shared" si="102"/>
        <v>Product Design</v>
      </c>
      <c r="KM30" s="251" t="str">
        <f t="shared" si="102"/>
        <v>Product Design</v>
      </c>
      <c r="KN30" s="251" t="str">
        <f t="shared" si="102"/>
        <v>Product Design</v>
      </c>
      <c r="KO30" s="251" t="str">
        <f t="shared" si="102"/>
        <v>Product Design</v>
      </c>
      <c r="KP30" s="251" t="str">
        <f t="shared" si="102"/>
        <v>Product Design</v>
      </c>
      <c r="KQ30" s="251" t="str">
        <f t="shared" si="102"/>
        <v>Product Design</v>
      </c>
      <c r="KR30" s="251" t="str">
        <f t="shared" si="102"/>
        <v>Product Design</v>
      </c>
      <c r="KS30" s="251" t="str">
        <f t="shared" si="102"/>
        <v>Product Design</v>
      </c>
      <c r="KT30" s="251" t="str">
        <f t="shared" si="102"/>
        <v>Product Design</v>
      </c>
      <c r="KU30" s="251" t="str">
        <f t="shared" si="102"/>
        <v>Product Design</v>
      </c>
      <c r="KV30" s="251" t="str">
        <f t="shared" si="102"/>
        <v>Product Design</v>
      </c>
      <c r="KW30" s="251" t="str">
        <f t="shared" si="102"/>
        <v>Product Design</v>
      </c>
      <c r="KX30" s="251" t="str">
        <f t="shared" ref="KX30:LR30" si="103">+$B30</f>
        <v>Product Design</v>
      </c>
      <c r="KY30" s="251" t="str">
        <f t="shared" si="103"/>
        <v>Product Design</v>
      </c>
      <c r="KZ30" s="251" t="str">
        <f t="shared" si="103"/>
        <v>Product Design</v>
      </c>
      <c r="LA30" s="251" t="str">
        <f t="shared" si="103"/>
        <v>Product Design</v>
      </c>
      <c r="LB30" s="251" t="str">
        <f t="shared" si="103"/>
        <v>Product Design</v>
      </c>
      <c r="LC30" s="251" t="str">
        <f t="shared" si="103"/>
        <v>Product Design</v>
      </c>
      <c r="LD30" s="251" t="str">
        <f t="shared" si="103"/>
        <v>Product Design</v>
      </c>
      <c r="LE30" s="251" t="str">
        <f t="shared" si="103"/>
        <v>Product Design</v>
      </c>
      <c r="LF30" s="251" t="str">
        <f t="shared" si="103"/>
        <v>Product Design</v>
      </c>
      <c r="LG30" s="251" t="str">
        <f t="shared" si="103"/>
        <v>Product Design</v>
      </c>
      <c r="LH30" s="251" t="str">
        <f t="shared" si="103"/>
        <v>Product Design</v>
      </c>
      <c r="LI30" s="251" t="str">
        <f t="shared" si="103"/>
        <v>Product Design</v>
      </c>
      <c r="LJ30" s="251" t="str">
        <f t="shared" si="103"/>
        <v>Product Design</v>
      </c>
      <c r="LK30" s="251" t="str">
        <f t="shared" si="103"/>
        <v>Product Design</v>
      </c>
      <c r="LL30" s="251" t="str">
        <f t="shared" si="103"/>
        <v>Product Design</v>
      </c>
      <c r="LM30" s="251" t="str">
        <f t="shared" si="103"/>
        <v>Product Design</v>
      </c>
      <c r="LN30" s="251" t="str">
        <f t="shared" si="103"/>
        <v>Product Design</v>
      </c>
      <c r="LO30" s="251" t="str">
        <f t="shared" si="103"/>
        <v>Product Design</v>
      </c>
      <c r="LP30" s="251" t="str">
        <f t="shared" si="103"/>
        <v>Product Design</v>
      </c>
      <c r="LQ30" s="251" t="str">
        <f t="shared" si="103"/>
        <v>Product Design</v>
      </c>
      <c r="LR30" s="251" t="str">
        <f t="shared" si="103"/>
        <v>Product Design</v>
      </c>
      <c r="LT30" s="191" t="str">
        <f>+$B30</f>
        <v>Product Design</v>
      </c>
      <c r="LU30" s="192"/>
      <c r="LV30" s="141" t="str">
        <f t="shared" ref="LV30:LV35" si="104">+$E30</f>
        <v>Completed to Week</v>
      </c>
      <c r="LW30" s="141">
        <f t="shared" ref="LW30:LW35" si="105">+$F30</f>
        <v>42</v>
      </c>
      <c r="LX30" s="141"/>
      <c r="LY30" s="210" t="str">
        <f t="shared" ref="LY30:ND30" si="106">+$B30</f>
        <v>Product Design</v>
      </c>
      <c r="LZ30" s="210" t="str">
        <f t="shared" si="106"/>
        <v>Product Design</v>
      </c>
      <c r="MA30" s="210" t="str">
        <f t="shared" si="106"/>
        <v>Product Design</v>
      </c>
      <c r="MB30" s="210" t="str">
        <f t="shared" si="106"/>
        <v>Product Design</v>
      </c>
      <c r="MC30" s="210" t="str">
        <f t="shared" si="106"/>
        <v>Product Design</v>
      </c>
      <c r="MD30" s="210" t="str">
        <f t="shared" si="106"/>
        <v>Product Design</v>
      </c>
      <c r="ME30" s="210" t="str">
        <f t="shared" si="106"/>
        <v>Product Design</v>
      </c>
      <c r="MF30" s="210" t="str">
        <f t="shared" si="106"/>
        <v>Product Design</v>
      </c>
      <c r="MG30" s="210" t="str">
        <f t="shared" si="106"/>
        <v>Product Design</v>
      </c>
      <c r="MH30" s="210" t="str">
        <f t="shared" si="106"/>
        <v>Product Design</v>
      </c>
      <c r="MI30" s="210" t="str">
        <f t="shared" si="106"/>
        <v>Product Design</v>
      </c>
      <c r="MJ30" s="210" t="str">
        <f t="shared" si="106"/>
        <v>Product Design</v>
      </c>
      <c r="MK30" s="210" t="str">
        <f t="shared" si="106"/>
        <v>Product Design</v>
      </c>
      <c r="ML30" s="210" t="str">
        <f t="shared" si="106"/>
        <v>Product Design</v>
      </c>
      <c r="MM30" s="210" t="str">
        <f t="shared" si="106"/>
        <v>Product Design</v>
      </c>
      <c r="MN30" s="210" t="str">
        <f t="shared" si="106"/>
        <v>Product Design</v>
      </c>
      <c r="MO30" s="210" t="str">
        <f t="shared" si="106"/>
        <v>Product Design</v>
      </c>
      <c r="MP30" s="210" t="str">
        <f t="shared" si="106"/>
        <v>Product Design</v>
      </c>
      <c r="MQ30" s="210" t="str">
        <f t="shared" si="106"/>
        <v>Product Design</v>
      </c>
      <c r="MR30" s="210" t="str">
        <f t="shared" si="106"/>
        <v>Product Design</v>
      </c>
      <c r="MS30" s="210" t="str">
        <f t="shared" si="106"/>
        <v>Product Design</v>
      </c>
      <c r="MT30" s="210" t="str">
        <f t="shared" si="106"/>
        <v>Product Design</v>
      </c>
      <c r="MU30" s="210" t="str">
        <f t="shared" si="106"/>
        <v>Product Design</v>
      </c>
      <c r="MV30" s="210" t="str">
        <f t="shared" si="106"/>
        <v>Product Design</v>
      </c>
      <c r="MW30" s="210" t="str">
        <f t="shared" si="106"/>
        <v>Product Design</v>
      </c>
      <c r="MX30" s="210" t="str">
        <f t="shared" si="106"/>
        <v>Product Design</v>
      </c>
      <c r="MY30" s="210" t="str">
        <f t="shared" si="106"/>
        <v>Product Design</v>
      </c>
      <c r="MZ30" s="210" t="str">
        <f t="shared" si="106"/>
        <v>Product Design</v>
      </c>
      <c r="NA30" s="210" t="str">
        <f t="shared" si="106"/>
        <v>Product Design</v>
      </c>
      <c r="NB30" s="210" t="str">
        <f t="shared" si="106"/>
        <v>Product Design</v>
      </c>
      <c r="NC30" s="210" t="str">
        <f t="shared" si="106"/>
        <v>Product Design</v>
      </c>
      <c r="ND30" s="210" t="str">
        <f t="shared" si="106"/>
        <v>Product Design</v>
      </c>
      <c r="NE30" s="210" t="str">
        <f t="shared" ref="NE30:NY30" si="107">+$B30</f>
        <v>Product Design</v>
      </c>
      <c r="NF30" s="210" t="str">
        <f t="shared" si="107"/>
        <v>Product Design</v>
      </c>
      <c r="NG30" s="210" t="str">
        <f t="shared" si="107"/>
        <v>Product Design</v>
      </c>
      <c r="NH30" s="210" t="str">
        <f t="shared" si="107"/>
        <v>Product Design</v>
      </c>
      <c r="NI30" s="210" t="str">
        <f t="shared" si="107"/>
        <v>Product Design</v>
      </c>
      <c r="NJ30" s="210" t="str">
        <f t="shared" si="107"/>
        <v>Product Design</v>
      </c>
      <c r="NK30" s="210" t="str">
        <f t="shared" si="107"/>
        <v>Product Design</v>
      </c>
      <c r="NL30" s="210" t="str">
        <f t="shared" si="107"/>
        <v>Product Design</v>
      </c>
      <c r="NM30" s="210" t="str">
        <f t="shared" si="107"/>
        <v>Product Design</v>
      </c>
      <c r="NN30" s="210" t="str">
        <f t="shared" si="107"/>
        <v>Product Design</v>
      </c>
      <c r="NO30" s="210" t="str">
        <f t="shared" si="107"/>
        <v>Product Design</v>
      </c>
      <c r="NP30" s="210" t="str">
        <f t="shared" si="107"/>
        <v>Product Design</v>
      </c>
      <c r="NQ30" s="210" t="str">
        <f t="shared" si="107"/>
        <v>Product Design</v>
      </c>
      <c r="NR30" s="210" t="str">
        <f t="shared" si="107"/>
        <v>Product Design</v>
      </c>
      <c r="NS30" s="210" t="str">
        <f t="shared" si="107"/>
        <v>Product Design</v>
      </c>
      <c r="NT30" s="210" t="str">
        <f t="shared" si="107"/>
        <v>Product Design</v>
      </c>
      <c r="NU30" s="210" t="str">
        <f t="shared" si="107"/>
        <v>Product Design</v>
      </c>
      <c r="NV30" s="210" t="str">
        <f t="shared" si="107"/>
        <v>Product Design</v>
      </c>
      <c r="NW30" s="210" t="str">
        <f t="shared" si="107"/>
        <v>Product Design</v>
      </c>
      <c r="NX30" s="210" t="str">
        <f t="shared" si="107"/>
        <v>Product Design</v>
      </c>
      <c r="NY30" s="210" t="str">
        <f t="shared" si="107"/>
        <v>Product Design</v>
      </c>
    </row>
    <row r="31" spans="1:389" x14ac:dyDescent="0.3">
      <c r="A31" t="str">
        <f>$B$30&amp;"-"&amp;C31</f>
        <v>Product Design-KPI P1</v>
      </c>
      <c r="B31" s="917" t="str">
        <f>+'KPI Stats'!B36</f>
        <v xml:space="preserve">Product Design </v>
      </c>
      <c r="C31" s="133" t="str">
        <f>+'KPI Stats'!C36</f>
        <v>KPI P1</v>
      </c>
      <c r="D31" s="142" t="str">
        <f>+'KPI Stats'!D36</f>
        <v>Productivity</v>
      </c>
      <c r="E31" s="142" t="str">
        <f>+'KPI Stats'!E36</f>
        <v>Drawings Completed - Order Lines</v>
      </c>
      <c r="F31" s="143" t="str">
        <f>+'KPI Stats'!F36</f>
        <v>Count</v>
      </c>
      <c r="G31" s="168" t="str">
        <f>+'KPI Stats'!G36</f>
        <v>Under</v>
      </c>
      <c r="J31" s="159" t="str">
        <f>_xlfn.XLOOKUP(J$7,$AM$7:$CM$7,$AM31:$CM31,,FALSE)</f>
        <v>OD</v>
      </c>
      <c r="K31" s="262">
        <f>_xlfn.XLOOKUP(K$7,$FC$7:$HC$7,$FC31:$HC31,,FALSE)</f>
        <v>0</v>
      </c>
      <c r="L31" s="277">
        <f>_xlfn.XLOOKUP(L$7,$HJ$7:$JJ$7,$HJ31:$JJ31,,FALSE)</f>
        <v>350</v>
      </c>
      <c r="M31" s="284" t="str">
        <f>_xlfn.XLOOKUP(M$7,$CU$7:$EU$7,$CU31:$EU31,,FALSE)</f>
        <v>OD</v>
      </c>
      <c r="P31" s="159" t="str">
        <f>_xlfn.XLOOKUP(P$7,$AM$7:$CM$7,$AM31:$CM31,,FALSE)</f>
        <v>OD</v>
      </c>
      <c r="Q31" s="262">
        <f t="shared" ref="Q31:R35" si="108">_xlfn.XLOOKUP(Q$7,$FC$7:$HC$7,$FC31:$HC31,FALSE)</f>
        <v>0</v>
      </c>
      <c r="R31" s="277">
        <f t="shared" si="108"/>
        <v>427</v>
      </c>
      <c r="S31" s="299" t="str">
        <f t="shared" ref="S31:T35" si="109">_xlfn.XLOOKUP(S$7,$CU$7:$EU$7,$CU31:$EU31,,FALSE)</f>
        <v>OD</v>
      </c>
      <c r="T31" s="300">
        <f t="shared" si="109"/>
        <v>1.22</v>
      </c>
      <c r="U31" s="294" t="str">
        <f>IF(F30&lt;$R$2,"Not Complete",IF(Q31=R31,"Same −",IF($G31="Over",IF(Q31&lt;R31,"Better ↑","Worse ↓"),IF($G31="Under",IF(Q31&gt;R31,"Better ↑","Worse ↓"),"err"))))</f>
        <v>Worse ↓</v>
      </c>
      <c r="X31" s="159" t="str">
        <f t="shared" ref="X31:X35" si="110">IF(Y31="","",IF(Y31="Blank","",IF(AND(G31="above zero",Y31&gt;0),"R",IF(AA31&gt;1,"G",IF(AA31&gt;0.95,"A","R")))))</f>
        <v>A</v>
      </c>
      <c r="Y31" s="161">
        <f>_xlfn.XLOOKUP(Y$7,$JR$7:$LR$7,$JR31:$LR31,FALSE)</f>
        <v>248.60975609756099</v>
      </c>
      <c r="Z31" s="161">
        <f>_xlfn.XLOOKUP(Z$7,$LY$7:$NY$7,$LY31:$NY31,FALSE)</f>
        <v>259.7560975609756</v>
      </c>
      <c r="AA31" s="253">
        <f>IF(G31="under",Y31/Z31,IF(G31="over",Z31/Y31,"err"))</f>
        <v>0.95708920187793434</v>
      </c>
      <c r="AB31" s="294" t="str">
        <f>IF(F30&lt;$R$2,"TBC",IF(Y31=Z31,"Same −",IF($G31="Over",IF(Z31&lt;Y31,"Better ↑ ","Worse ↓ "),IF($G31="Under",IF(Y31&gt;Z31,"Better ↑ ","Worse ↓ "),"err"))))</f>
        <v xml:space="preserve">Worse ↓ </v>
      </c>
      <c r="AC31" s="159" t="str">
        <f>IF(AND(G31="above adero",AD31&gt;0),"R",IF(AF31&gt;1,"G",IF(AF31&gt;0.95,"A","R")))</f>
        <v>A</v>
      </c>
      <c r="AD31" s="161">
        <f>_xlfn.XLOOKUP(AD$7,$JR$7:$LR$7,$JR31:$LR31,FALSE)</f>
        <v>254.82499999999999</v>
      </c>
      <c r="AE31" s="161">
        <f>_xlfn.XLOOKUP(AE$7,$LY$7:$NY$7,$LY31:$NY31,FALSE)</f>
        <v>257.5</v>
      </c>
      <c r="AF31" s="253">
        <f>IF(G31="under",AD31/AE31,IF(G31="over",AE31/AD31,"err"))</f>
        <v>0.98961165048543687</v>
      </c>
      <c r="AH31" s="465" t="str">
        <f>+$A31</f>
        <v>Product Design-KPI P1</v>
      </c>
      <c r="AI31" s="133" t="str">
        <f t="shared" ref="AI31:AJ35" si="111">+C31</f>
        <v>KPI P1</v>
      </c>
      <c r="AJ31" s="142" t="str">
        <f t="shared" si="111"/>
        <v>Productivity</v>
      </c>
      <c r="AK31" s="142" t="str">
        <f t="shared" si="87"/>
        <v>Drawings Completed - Order Lines</v>
      </c>
      <c r="AL31" s="143" t="str">
        <f t="shared" si="87"/>
        <v>Count</v>
      </c>
      <c r="AM31" s="159" t="str">
        <f>IF(AM$7&gt;$D$3,"",_xlfn.XLOOKUP(AM$7,'Product Design'!$M$6:$BM$6,'Product Design'!$M$10:$BM$10))</f>
        <v>Blank</v>
      </c>
      <c r="AN31" s="198" t="str">
        <f>IF(AN$7&gt;$D$3,"",_xlfn.XLOOKUP(AN$7,'Product Design'!$M$6:$BM$6,'Product Design'!$M$10:$BM$10))</f>
        <v>R</v>
      </c>
      <c r="AO31" s="159" t="str">
        <f>IF(AO$7&gt;$D$3,"",_xlfn.XLOOKUP(AO$7,'Product Design'!$M$6:$BM$6,'Product Design'!$M$10:$BM$10))</f>
        <v>R</v>
      </c>
      <c r="AP31" s="159" t="str">
        <f>IF(AP$7&gt;$D$3,"",_xlfn.XLOOKUP(AP$7,'Product Design'!$M$6:$BM$6,'Product Design'!$M$10:$BM$10))</f>
        <v>G</v>
      </c>
      <c r="AQ31" s="159" t="str">
        <f>IF(AQ$7&gt;$D$3,"",_xlfn.XLOOKUP(AQ$7,'Product Design'!$M$6:$BM$6,'Product Design'!$M$10:$BM$10))</f>
        <v>G</v>
      </c>
      <c r="AR31" s="159" t="str">
        <f>IF(AR$7&gt;$D$3,"",_xlfn.XLOOKUP(AR$7,'Product Design'!$M$6:$BM$6,'Product Design'!$M$10:$BM$10))</f>
        <v>R</v>
      </c>
      <c r="AS31" s="159" t="str">
        <f>IF(AS$7&gt;$D$3,"",_xlfn.XLOOKUP(AS$7,'Product Design'!$M$6:$BM$6,'Product Design'!$M$10:$BM$10))</f>
        <v>G</v>
      </c>
      <c r="AT31" s="159" t="str">
        <f>IF(AT$7&gt;$D$3,"",_xlfn.XLOOKUP(AT$7,'Product Design'!$M$6:$BM$6,'Product Design'!$M$10:$BM$10))</f>
        <v>G</v>
      </c>
      <c r="AU31" s="159" t="str">
        <f>IF(AU$7&gt;$D$3,"",_xlfn.XLOOKUP(AU$7,'Product Design'!$M$6:$BM$6,'Product Design'!$M$10:$BM$10))</f>
        <v>R</v>
      </c>
      <c r="AV31" s="159" t="str">
        <f>IF(AV$7&gt;$D$3,"",_xlfn.XLOOKUP(AV$7,'Product Design'!$M$6:$BM$6,'Product Design'!$M$10:$BM$10))</f>
        <v>G</v>
      </c>
      <c r="AW31" s="159" t="str">
        <f>IF(AW$7&gt;$D$3,"",_xlfn.XLOOKUP(AW$7,'Product Design'!$M$6:$BM$6,'Product Design'!$M$10:$BM$10))</f>
        <v>G</v>
      </c>
      <c r="AX31" s="159" t="str">
        <f>IF(AX$7&gt;$D$3,"",_xlfn.XLOOKUP(AX$7,'Product Design'!$M$6:$BM$6,'Product Design'!$M$10:$BM$10))</f>
        <v>G</v>
      </c>
      <c r="AY31" s="159" t="str">
        <f>IF(AY$7&gt;$D$3,"",_xlfn.XLOOKUP(AY$7,'Product Design'!$M$6:$BM$6,'Product Design'!$M$10:$BM$10))</f>
        <v>R</v>
      </c>
      <c r="AZ31" s="159" t="str">
        <f>IF(AZ$7&gt;$D$3,"",_xlfn.XLOOKUP(AZ$7,'Product Design'!$M$6:$BM$6,'Product Design'!$M$10:$BM$10))</f>
        <v>R</v>
      </c>
      <c r="BA31" s="159" t="str">
        <f>IF(BA$7&gt;$D$3,"",_xlfn.XLOOKUP(BA$7,'Product Design'!$M$6:$BM$6,'Product Design'!$M$10:$BM$10))</f>
        <v>R</v>
      </c>
      <c r="BB31" s="159" t="str">
        <f>IF(BB$7&gt;$D$3,"",_xlfn.XLOOKUP(BB$7,'Product Design'!$M$6:$BM$6,'Product Design'!$M$10:$BM$10))</f>
        <v>G</v>
      </c>
      <c r="BC31" s="159" t="str">
        <f>IF(BC$7&gt;$D$3,"",_xlfn.XLOOKUP(BC$7,'Product Design'!$M$6:$BM$6,'Product Design'!$M$10:$BM$10))</f>
        <v>G</v>
      </c>
      <c r="BD31" s="159" t="str">
        <f>IF(BD$7&gt;$D$3,"",_xlfn.XLOOKUP(BD$7,'Product Design'!$M$6:$BM$6,'Product Design'!$M$10:$BM$10))</f>
        <v>R</v>
      </c>
      <c r="BE31" s="159" t="str">
        <f>IF(BE$7&gt;$D$3,"",_xlfn.XLOOKUP(BE$7,'Product Design'!$M$6:$BM$6,'Product Design'!$M$10:$BM$10))</f>
        <v>R</v>
      </c>
      <c r="BF31" s="159" t="str">
        <f>IF(BF$7&gt;$D$3,"",_xlfn.XLOOKUP(BF$7,'Product Design'!$M$6:$BM$6,'Product Design'!$M$10:$BM$10))</f>
        <v>G</v>
      </c>
      <c r="BG31" s="159" t="str">
        <f>IF(BG$7&gt;$D$3,"",_xlfn.XLOOKUP(BG$7,'Product Design'!$M$6:$BM$6,'Product Design'!$M$10:$BM$10))</f>
        <v>R</v>
      </c>
      <c r="BH31" s="159" t="str">
        <f>IF(BH$7&gt;$D$3,"",_xlfn.XLOOKUP(BH$7,'Product Design'!$M$6:$BM$6,'Product Design'!$M$10:$BM$10))</f>
        <v>G</v>
      </c>
      <c r="BI31" s="159" t="str">
        <f>IF(BI$7&gt;$D$3,"",_xlfn.XLOOKUP(BI$7,'Product Design'!$M$6:$BM$6,'Product Design'!$M$10:$BM$10))</f>
        <v>G</v>
      </c>
      <c r="BJ31" s="159" t="str">
        <f>IF(BJ$7&gt;$D$3,"",_xlfn.XLOOKUP(BJ$7,'Product Design'!$M$6:$BM$6,'Product Design'!$M$10:$BM$10))</f>
        <v>G</v>
      </c>
      <c r="BK31" s="159" t="str">
        <f>IF(BK$7&gt;$D$3,"",_xlfn.XLOOKUP(BK$7,'Product Design'!$M$6:$BM$6,'Product Design'!$M$10:$BM$10))</f>
        <v>G</v>
      </c>
      <c r="BL31" s="159" t="str">
        <f>IF(BL$7&gt;$D$3,"",_xlfn.XLOOKUP(BL$7,'Product Design'!$M$6:$BM$6,'Product Design'!$M$10:$BM$10))</f>
        <v>G</v>
      </c>
      <c r="BM31" s="159" t="str">
        <f>IF(BM$7&gt;$D$3,"",_xlfn.XLOOKUP(BM$7,'Product Design'!$M$6:$BM$6,'Product Design'!$M$10:$BM$10))</f>
        <v>OD</v>
      </c>
      <c r="BN31" s="159" t="str">
        <f>IF(BN$7&gt;$D$3,"",_xlfn.XLOOKUP(BN$7,'Product Design'!$M$6:$BM$6,'Product Design'!$M$10:$BM$10))</f>
        <v>R</v>
      </c>
      <c r="BO31" s="159" t="str">
        <f>IF(BO$7&gt;$D$3,"",_xlfn.XLOOKUP(BO$7,'Product Design'!$M$6:$BM$6,'Product Design'!$M$10:$BM$10))</f>
        <v>G</v>
      </c>
      <c r="BP31" s="159" t="str">
        <f>IF(BP$7&gt;$D$3,"",_xlfn.XLOOKUP(BP$7,'Product Design'!$M$6:$BM$6,'Product Design'!$M$10:$BM$10))</f>
        <v>R</v>
      </c>
      <c r="BQ31" s="159" t="str">
        <f>IF(BQ$7&gt;$D$3,"",_xlfn.XLOOKUP(BQ$7,'Product Design'!$M$6:$BM$6,'Product Design'!$M$10:$BM$10))</f>
        <v>R</v>
      </c>
      <c r="BR31" s="159" t="str">
        <f>IF(BR$7&gt;$D$3,"",_xlfn.XLOOKUP(BR$7,'Product Design'!$M$6:$BM$6,'Product Design'!$M$10:$BM$10))</f>
        <v>R</v>
      </c>
      <c r="BS31" s="159" t="str">
        <f>IF(BS$7&gt;$D$3,"",_xlfn.XLOOKUP(BS$7,'Product Design'!$M$6:$BM$6,'Product Design'!$M$10:$BM$10))</f>
        <v>R</v>
      </c>
      <c r="BT31" s="159" t="str">
        <f>IF(BT$7&gt;$D$3,"",_xlfn.XLOOKUP(BT$7,'Product Design'!$M$6:$BM$6,'Product Design'!$M$10:$BM$10))</f>
        <v>A</v>
      </c>
      <c r="BU31" s="159" t="str">
        <f>IF(BU$7&gt;$D$3,"",_xlfn.XLOOKUP(BU$7,'Product Design'!$M$6:$BM$6,'Product Design'!$M$10:$BM$10))</f>
        <v>R</v>
      </c>
      <c r="BV31" s="159" t="str">
        <f>IF(BV$7&gt;$D$3,"",_xlfn.XLOOKUP(BV$7,'Product Design'!$M$6:$BM$6,'Product Design'!$M$10:$BM$10))</f>
        <v>G</v>
      </c>
      <c r="BW31" s="159" t="str">
        <f>IF(BW$7&gt;$D$3,"",_xlfn.XLOOKUP(BW$7,'Product Design'!$M$6:$BM$6,'Product Design'!$M$10:$BM$10))</f>
        <v>R</v>
      </c>
      <c r="BX31" s="159" t="str">
        <f>IF(BX$7&gt;$D$3,"",_xlfn.XLOOKUP(BX$7,'Product Design'!$M$6:$BM$6,'Product Design'!$M$10:$BM$10))</f>
        <v>R</v>
      </c>
      <c r="BY31" s="159" t="str">
        <f>IF(BY$7&gt;$D$3,"",_xlfn.XLOOKUP(BY$7,'Product Design'!$M$6:$BM$6,'Product Design'!$M$10:$BM$10))</f>
        <v>R</v>
      </c>
      <c r="BZ31" s="159" t="str">
        <f>IF(BZ$7&gt;$D$3,"",_xlfn.XLOOKUP(BZ$7,'Product Design'!$M$6:$BM$6,'Product Design'!$M$10:$BM$10))</f>
        <v>R</v>
      </c>
      <c r="CA31" s="159" t="str">
        <f>IF(CA$7&gt;$D$3,"",_xlfn.XLOOKUP(CA$7,'Product Design'!$M$6:$BM$6,'Product Design'!$M$10:$BM$10))</f>
        <v>G</v>
      </c>
      <c r="CB31" s="159" t="str">
        <f>IF(CB$7&gt;$D$3,"",_xlfn.XLOOKUP(CB$7,'Product Design'!$M$6:$BM$6,'Product Design'!$M$10:$BM$10))</f>
        <v>OD</v>
      </c>
      <c r="CC31" s="159" t="str">
        <f>IF(CC$7&gt;$D$3,"",_xlfn.XLOOKUP(CC$7,'Product Design'!$M$6:$BM$6,'Product Design'!$M$10:$BM$10))</f>
        <v/>
      </c>
      <c r="CD31" s="159" t="str">
        <f>IF(CD$7&gt;$D$3,"",_xlfn.XLOOKUP(CD$7,'Product Design'!$M$6:$BM$6,'Product Design'!$M$10:$BM$10))</f>
        <v/>
      </c>
      <c r="CE31" s="159" t="str">
        <f>IF(CE$7&gt;$D$3,"",_xlfn.XLOOKUP(CE$7,'Product Design'!$M$6:$BM$6,'Product Design'!$M$10:$BM$10))</f>
        <v/>
      </c>
      <c r="CF31" s="159" t="str">
        <f>IF(CF$7&gt;$D$3,"",_xlfn.XLOOKUP(CF$7,'Product Design'!$M$6:$BM$6,'Product Design'!$M$10:$BM$10))</f>
        <v/>
      </c>
      <c r="CG31" s="159" t="str">
        <f>IF(CG$7&gt;$D$3,"",_xlfn.XLOOKUP(CG$7,'Product Design'!$M$6:$BM$6,'Product Design'!$M$10:$BM$10))</f>
        <v/>
      </c>
      <c r="CH31" s="159" t="str">
        <f>IF(CH$7&gt;$D$3,"",_xlfn.XLOOKUP(CH$7,'Product Design'!$M$6:$BM$6,'Product Design'!$M$10:$BM$10))</f>
        <v/>
      </c>
      <c r="CI31" s="159" t="str">
        <f>IF(CI$7&gt;$D$3,"",_xlfn.XLOOKUP(CI$7,'Product Design'!$M$6:$BM$6,'Product Design'!$M$10:$BM$10))</f>
        <v/>
      </c>
      <c r="CJ31" s="159" t="str">
        <f>IF(CJ$7&gt;$D$3,"",_xlfn.XLOOKUP(CJ$7,'Product Design'!$M$6:$BM$6,'Product Design'!$M$10:$BM$10))</f>
        <v/>
      </c>
      <c r="CK31" s="159" t="str">
        <f>IF(CK$7&gt;$D$3,"",_xlfn.XLOOKUP(CK$7,'Product Design'!$M$6:$BM$6,'Product Design'!$M$10:$BM$10))</f>
        <v/>
      </c>
      <c r="CL31" s="159" t="str">
        <f>IF(CL$7&gt;$D$3,"",_xlfn.XLOOKUP(CL$7,'Product Design'!$M$6:$BM$6,'Product Design'!$M$10:$BM$10))</f>
        <v/>
      </c>
      <c r="CM31" s="159" t="str">
        <f>IF(CM$7&gt;$D$3,"",_xlfn.XLOOKUP(CM$7,'Product Design'!$M$6:$BM$6,'Product Design'!$M$10:$BM$10))</f>
        <v/>
      </c>
      <c r="CO31" s="465" t="str">
        <f>+$A31</f>
        <v>Product Design-KPI P1</v>
      </c>
      <c r="CP31" s="133" t="str">
        <f t="shared" ref="CP31:CS35" si="112">+C31</f>
        <v>KPI P1</v>
      </c>
      <c r="CQ31" s="142" t="str">
        <f t="shared" si="112"/>
        <v>Productivity</v>
      </c>
      <c r="CR31" s="142" t="str">
        <f t="shared" si="112"/>
        <v>Drawings Completed - Order Lines</v>
      </c>
      <c r="CS31" s="143" t="str">
        <f t="shared" si="112"/>
        <v>Count</v>
      </c>
      <c r="CT31" s="206" t="s">
        <v>246</v>
      </c>
      <c r="CU31" s="159" t="str">
        <f>IF(CU$7&gt;$D$3,"",_xlfn.XLOOKUP(CU$7,'Product Design'!$M$6:$BM$6,'Product Design'!$M$10:$BM$10))</f>
        <v>Blank</v>
      </c>
      <c r="CV31" s="323">
        <f>IFERROR(IF(CV$7&gt;$D$3,"",IF(AN31="OD","OD",IF(AN31="Missed","Missed",IF(AN31="TBC","TBC",IF(AN31="Undefined","Undefined",_xlfn.XLOOKUP(CV$7,'Product Design'!$M$6:$BM$6,'Product Design'!$M$9:$BM$9)/_xlfn.XLOOKUP(CV$7,'Product Design'!$M$6:$BM$6,'Product Design'!$M$8:$BM$8)))))),"")</f>
        <v>0.43333333333333335</v>
      </c>
      <c r="CW31" s="315">
        <f>IFERROR(IF(CW$7&gt;$D$3,"",IF(AO31="OD","OD",IF(AO31="Missed","Missed",IF(AO31="TBC","TBC",IF(AO31="Undefined","Undefined",_xlfn.XLOOKUP(CW$7,'Product Design'!$M$6:$BM$6,'Product Design'!$M$9:$BM$9)/_xlfn.XLOOKUP(CW$7,'Product Design'!$M$6:$BM$6,'Product Design'!$M$8:$BM$8)))))),"")</f>
        <v>0.48666666666666669</v>
      </c>
      <c r="CX31" s="315">
        <f>IFERROR(IF(CX$7&gt;$D$3,"",IF(AP31="OD","OD",IF(AP31="Missed","Missed",IF(AP31="TBC","TBC",IF(AP31="Undefined","Undefined",_xlfn.XLOOKUP(CX$7,'Product Design'!$M$6:$BM$6,'Product Design'!$M$9:$BM$9)/_xlfn.XLOOKUP(CX$7,'Product Design'!$M$6:$BM$6,'Product Design'!$M$8:$BM$8)))))),"")</f>
        <v>1.54</v>
      </c>
      <c r="CY31" s="315">
        <f>IFERROR(IF(CY$7&gt;$D$3,"",IF(AQ31="OD","OD",IF(AQ31="Missed","Missed",IF(AQ31="TBC","TBC",IF(AQ31="Undefined","Undefined",_xlfn.XLOOKUP(CY$7,'Product Design'!$M$6:$BM$6,'Product Design'!$M$9:$BM$9)/_xlfn.XLOOKUP(CY$7,'Product Design'!$M$6:$BM$6,'Product Design'!$M$8:$BM$8)))))),"")</f>
        <v>1.0466666666666666</v>
      </c>
      <c r="CZ31" s="315">
        <f>IFERROR(IF(CZ$7&gt;$D$3,"",IF(AR31="OD","OD",IF(AR31="Missed","Missed",IF(AR31="TBC","TBC",IF(AR31="Undefined","Undefined",_xlfn.XLOOKUP(CZ$7,'Product Design'!$M$6:$BM$6,'Product Design'!$M$9:$BM$9)/_xlfn.XLOOKUP(CZ$7,'Product Design'!$M$6:$BM$6,'Product Design'!$M$8:$BM$8)))))),"")</f>
        <v>0.78666666666666663</v>
      </c>
      <c r="DA31" s="315">
        <f>IFERROR(IF(DA$7&gt;$D$3,"",IF(AS31="OD","OD",IF(AS31="Missed","Missed",IF(AS31="TBC","TBC",IF(AS31="Undefined","Undefined",_xlfn.XLOOKUP(DA$7,'Product Design'!$M$6:$BM$6,'Product Design'!$M$9:$BM$9)/_xlfn.XLOOKUP(DA$7,'Product Design'!$M$6:$BM$6,'Product Design'!$M$8:$BM$8)))))),"")</f>
        <v>1.06</v>
      </c>
      <c r="DB31" s="315">
        <f>IFERROR(IF(DB$7&gt;$D$3,"",IF(AT31="OD","OD",IF(AT31="Missed","Missed",IF(AT31="TBC","TBC",IF(AT31="Undefined","Undefined",_xlfn.XLOOKUP(DB$7,'Product Design'!$M$6:$BM$6,'Product Design'!$M$9:$BM$9)/_xlfn.XLOOKUP(DB$7,'Product Design'!$M$6:$BM$6,'Product Design'!$M$8:$BM$8)))))),"")</f>
        <v>1.8066666666666666</v>
      </c>
      <c r="DC31" s="315">
        <f>IFERROR(IF(DC$7&gt;$D$3,"",IF(AU31="OD","OD",IF(AU31="Missed","Missed",IF(AU31="TBC","TBC",IF(AU31="Undefined","Undefined",_xlfn.XLOOKUP(DC$7,'Product Design'!$M$6:$BM$6,'Product Design'!$M$9:$BM$9)/_xlfn.XLOOKUP(DC$7,'Product Design'!$M$6:$BM$6,'Product Design'!$M$8:$BM$8)))))),"")</f>
        <v>0.53333333333333333</v>
      </c>
      <c r="DD31" s="315">
        <f>IFERROR(IF(DD$7&gt;$D$3,"",IF(AV31="OD","OD",IF(AV31="Missed","Missed",IF(AV31="TBC","TBC",IF(AV31="Undefined","Undefined",_xlfn.XLOOKUP(DD$7,'Product Design'!$M$6:$BM$6,'Product Design'!$M$9:$BM$9)/_xlfn.XLOOKUP(DD$7,'Product Design'!$M$6:$BM$6,'Product Design'!$M$8:$BM$8)))))),"")</f>
        <v>1.1399999999999999</v>
      </c>
      <c r="DE31" s="315">
        <f>IFERROR(IF(DE$7&gt;$D$3,"",IF(AW31="OD","OD",IF(AW31="Missed","Missed",IF(AW31="TBC","TBC",IF(AW31="Undefined","Undefined",_xlfn.XLOOKUP(DE$7,'Product Design'!$M$6:$BM$6,'Product Design'!$M$9:$BM$9)/_xlfn.XLOOKUP(DE$7,'Product Design'!$M$6:$BM$6,'Product Design'!$M$8:$BM$8)))))),"")</f>
        <v>1.04</v>
      </c>
      <c r="DF31" s="315">
        <f>IFERROR(IF(DF$7&gt;$D$3,"",IF(AX31="OD","OD",IF(AX31="Missed","Missed",IF(AX31="TBC","TBC",IF(AX31="Undefined","Undefined",_xlfn.XLOOKUP(DF$7,'Product Design'!$M$6:$BM$6,'Product Design'!$M$9:$BM$9)/_xlfn.XLOOKUP(DF$7,'Product Design'!$M$6:$BM$6,'Product Design'!$M$8:$BM$8)))))),"")</f>
        <v>1.3066666666666666</v>
      </c>
      <c r="DG31" s="315">
        <f>IFERROR(IF(DG$7&gt;$D$3,"",IF(AY31="OD","OD",IF(AY31="Missed","Missed",IF(AY31="TBC","TBC",IF(AY31="Undefined","Undefined",_xlfn.XLOOKUP(DG$7,'Product Design'!$M$6:$BM$6,'Product Design'!$M$9:$BM$9)/_xlfn.XLOOKUP(DG$7,'Product Design'!$M$6:$BM$6,'Product Design'!$M$8:$BM$8)))))),"")</f>
        <v>0.57999999999999996</v>
      </c>
      <c r="DH31" s="315">
        <f>IFERROR(IF(DH$7&gt;$D$3,"",IF(AZ31="OD","OD",IF(AZ31="Missed","Missed",IF(AZ31="TBC","TBC",IF(AZ31="Undefined","Undefined",_xlfn.XLOOKUP(DH$7,'Product Design'!$M$6:$BM$6,'Product Design'!$M$9:$BM$9)/_xlfn.XLOOKUP(DH$7,'Product Design'!$M$6:$BM$6,'Product Design'!$M$8:$BM$8)))))),"")</f>
        <v>0.58399999999999996</v>
      </c>
      <c r="DI31" s="315">
        <f>IFERROR(IF(DI$7&gt;$D$3,"",IF(BA31="OD","OD",IF(BA31="Missed","Missed",IF(BA31="TBC","TBC",IF(BA31="Undefined","Undefined",_xlfn.XLOOKUP(DI$7,'Product Design'!$M$6:$BM$6,'Product Design'!$M$9:$BM$9)/_xlfn.XLOOKUP(DI$7,'Product Design'!$M$6:$BM$6,'Product Design'!$M$8:$BM$8)))))),"")</f>
        <v>0.27600000000000002</v>
      </c>
      <c r="DJ31" s="315">
        <f>IFERROR(IF(DJ$7&gt;$D$3,"",IF(BB31="OD","OD",IF(BB31="Missed","Missed",IF(BB31="TBC","TBC",IF(BB31="Undefined","Undefined",_xlfn.XLOOKUP(DJ$7,'Product Design'!$M$6:$BM$6,'Product Design'!$M$9:$BM$9)/_xlfn.XLOOKUP(DJ$7,'Product Design'!$M$6:$BM$6,'Product Design'!$M$8:$BM$8)))))),"")</f>
        <v>1.32</v>
      </c>
      <c r="DK31" s="315">
        <f>IFERROR(IF(DK$7&gt;$D$3,"",IF(BC31="OD","OD",IF(BC31="Missed","Missed",IF(BC31="TBC","TBC",IF(BC31="Undefined","Undefined",_xlfn.XLOOKUP(DK$7,'Product Design'!$M$6:$BM$6,'Product Design'!$M$9:$BM$9)/_xlfn.XLOOKUP(DK$7,'Product Design'!$M$6:$BM$6,'Product Design'!$M$8:$BM$8)))))),"")</f>
        <v>1.1679999999999999</v>
      </c>
      <c r="DL31" s="315">
        <f>IFERROR(IF(DL$7&gt;$D$3,"",IF(BD31="OD","OD",IF(BD31="Missed","Missed",IF(BD31="TBC","TBC",IF(BD31="Undefined","Undefined",_xlfn.XLOOKUP(DL$7,'Product Design'!$M$6:$BM$6,'Product Design'!$M$9:$BM$9)/_xlfn.XLOOKUP(DL$7,'Product Design'!$M$6:$BM$6,'Product Design'!$M$8:$BM$8)))))),"")</f>
        <v>0.54400000000000004</v>
      </c>
      <c r="DM31" s="315">
        <f>IFERROR(IF(DM$7&gt;$D$3,"",IF(BE31="OD","OD",IF(BE31="Missed","Missed",IF(BE31="TBC","TBC",IF(BE31="Undefined","Undefined",_xlfn.XLOOKUP(DM$7,'Product Design'!$M$6:$BM$6,'Product Design'!$M$9:$BM$9)/_xlfn.XLOOKUP(DM$7,'Product Design'!$M$6:$BM$6,'Product Design'!$M$8:$BM$8)))))),"")</f>
        <v>0.88</v>
      </c>
      <c r="DN31" s="315">
        <f>IFERROR(IF(DN$7&gt;$D$3,"",IF(BF31="OD","OD",IF(BF31="Missed","Missed",IF(BF31="TBC","TBC",IF(BF31="Undefined","Undefined",_xlfn.XLOOKUP(DN$7,'Product Design'!$M$6:$BM$6,'Product Design'!$M$9:$BM$9)/_xlfn.XLOOKUP(DN$7,'Product Design'!$M$6:$BM$6,'Product Design'!$M$8:$BM$8)))))),"")</f>
        <v>1.4</v>
      </c>
      <c r="DO31" s="315">
        <f>IFERROR(IF(DO$7&gt;$D$3,"",IF(BG31="OD","OD",IF(BG31="Missed","Missed",IF(BG31="TBC","TBC",IF(BG31="Undefined","Undefined",_xlfn.XLOOKUP(DO$7,'Product Design'!$M$6:$BM$6,'Product Design'!$M$9:$BM$9)/_xlfn.XLOOKUP(DO$7,'Product Design'!$M$6:$BM$6,'Product Design'!$M$8:$BM$8)))))),"")</f>
        <v>0.56399999999999995</v>
      </c>
      <c r="DP31" s="315">
        <f>IFERROR(IF(DP$7&gt;$D$3,"",IF(BH31="OD","OD",IF(BH31="Missed","Missed",IF(BH31="TBC","TBC",IF(BH31="Undefined","Undefined",_xlfn.XLOOKUP(DP$7,'Product Design'!$M$6:$BM$6,'Product Design'!$M$9:$BM$9)/_xlfn.XLOOKUP(DP$7,'Product Design'!$M$6:$BM$6,'Product Design'!$M$8:$BM$8)))))),"")</f>
        <v>1.4159999999999999</v>
      </c>
      <c r="DQ31" s="315">
        <f>IFERROR(IF(DQ$7&gt;$D$3,"",IF(BI31="OD","OD",IF(BI31="Missed","Missed",IF(BI31="TBC","TBC",IF(BI31="Undefined","Undefined",_xlfn.XLOOKUP(DQ$7,'Product Design'!$M$6:$BM$6,'Product Design'!$M$9:$BM$9)/_xlfn.XLOOKUP(DQ$7,'Product Design'!$M$6:$BM$6,'Product Design'!$M$8:$BM$8)))))),"")</f>
        <v>1.3160000000000001</v>
      </c>
      <c r="DR31" s="315">
        <f>IFERROR(IF(DR$7&gt;$D$3,"",IF(BJ31="OD","OD",IF(BJ31="Missed","Missed",IF(BJ31="TBC","TBC",IF(BJ31="Undefined","Undefined",_xlfn.XLOOKUP(DR$7,'Product Design'!$M$6:$BM$6,'Product Design'!$M$9:$BM$9)/_xlfn.XLOOKUP(DR$7,'Product Design'!$M$6:$BM$6,'Product Design'!$M$8:$BM$8)))))),"")</f>
        <v>1.3080000000000001</v>
      </c>
      <c r="DS31" s="315">
        <f>IFERROR(IF(DS$7&gt;$D$3,"",IF(BK31="OD","OD",IF(BK31="Missed","Missed",IF(BK31="TBC","TBC",IF(BK31="Undefined","Undefined",_xlfn.XLOOKUP(DS$7,'Product Design'!$M$6:$BM$6,'Product Design'!$M$9:$BM$9)/_xlfn.XLOOKUP(DS$7,'Product Design'!$M$6:$BM$6,'Product Design'!$M$8:$BM$8)))))),"")</f>
        <v>3.2879999999999998</v>
      </c>
      <c r="DT31" s="315">
        <f>IFERROR(IF(DT$7&gt;$D$3,"",IF(BL31="OD","OD",IF(BL31="Missed","Missed",IF(BL31="TBC","TBC",IF(BL31="Undefined","Undefined",_xlfn.XLOOKUP(DT$7,'Product Design'!$M$6:$BM$6,'Product Design'!$M$9:$BM$9)/_xlfn.XLOOKUP(DT$7,'Product Design'!$M$6:$BM$6,'Product Design'!$M$8:$BM$8)))))),"")</f>
        <v>1.788</v>
      </c>
      <c r="DU31" s="315" t="str">
        <f>IFERROR(IF(DU$7&gt;$D$3,"",IF(BM31="OD","OD",IF(BM31="Missed","Missed",IF(BM31="TBC","TBC",IF(BM31="Undefined","Undefined",_xlfn.XLOOKUP(DU$7,'Product Design'!$M$6:$BM$6,'Product Design'!$M$9:$BM$9)/_xlfn.XLOOKUP(DU$7,'Product Design'!$M$6:$BM$6,'Product Design'!$M$8:$BM$8)))))),"")</f>
        <v>OD</v>
      </c>
      <c r="DV31" s="315">
        <f>IFERROR(IF(DV$7&gt;$D$3,"",IF(BN31="OD","OD",IF(BN31="Missed","Missed",IF(BN31="TBC","TBC",IF(BN31="Undefined","Undefined",_xlfn.XLOOKUP(DV$7,'Product Design'!$M$6:$BM$6,'Product Design'!$M$9:$BM$9)/_xlfn.XLOOKUP(DV$7,'Product Design'!$M$6:$BM$6,'Product Design'!$M$8:$BM$8)))))),"")</f>
        <v>0.88571428571428568</v>
      </c>
      <c r="DW31" s="315">
        <f>IFERROR(IF(DW$7&gt;$D$3,"",IF(BO31="OD","OD",IF(BO31="Missed","Missed",IF(BO31="TBC","TBC",IF(BO31="Undefined","Undefined",_xlfn.XLOOKUP(DW$7,'Product Design'!$M$6:$BM$6,'Product Design'!$M$9:$BM$9)/_xlfn.XLOOKUP(DW$7,'Product Design'!$M$6:$BM$6,'Product Design'!$M$8:$BM$8)))))),"")</f>
        <v>1.0114285714285713</v>
      </c>
      <c r="DX31" s="315">
        <f>IFERROR(IF(DX$7&gt;$D$3,"",IF(BP31="OD","OD",IF(BP31="Missed","Missed",IF(BP31="TBC","TBC",IF(BP31="Undefined","Undefined",_xlfn.XLOOKUP(DX$7,'Product Design'!$M$6:$BM$6,'Product Design'!$M$9:$BM$9)/_xlfn.XLOOKUP(DX$7,'Product Design'!$M$6:$BM$6,'Product Design'!$M$8:$BM$8)))))),"")</f>
        <v>0.89714285714285713</v>
      </c>
      <c r="DY31" s="315">
        <f>IFERROR(IF(DY$7&gt;$D$3,"",IF(BQ31="OD","OD",IF(BQ31="Missed","Missed",IF(BQ31="TBC","TBC",IF(BQ31="Undefined","Undefined",_xlfn.XLOOKUP(DY$7,'Product Design'!$M$6:$BM$6,'Product Design'!$M$9:$BM$9)/_xlfn.XLOOKUP(DY$7,'Product Design'!$M$6:$BM$6,'Product Design'!$M$8:$BM$8)))))),"")</f>
        <v>0.89714285714285713</v>
      </c>
      <c r="DZ31" s="315">
        <f>IFERROR(IF(DZ$7&gt;$D$3,"",IF(BR31="OD","OD",IF(BR31="Missed","Missed",IF(BR31="TBC","TBC",IF(BR31="Undefined","Undefined",_xlfn.XLOOKUP(DZ$7,'Product Design'!$M$6:$BM$6,'Product Design'!$M$9:$BM$9)/_xlfn.XLOOKUP(DZ$7,'Product Design'!$M$6:$BM$6,'Product Design'!$M$8:$BM$8)))))),"")</f>
        <v>0.79714285714285715</v>
      </c>
      <c r="EA31" s="315">
        <f>IFERROR(IF(EA$7&gt;$D$3,"",IF(BS31="OD","OD",IF(BS31="Missed","Missed",IF(BS31="TBC","TBC",IF(BS31="Undefined","Undefined",_xlfn.XLOOKUP(EA$7,'Product Design'!$M$6:$BM$6,'Product Design'!$M$9:$BM$9)/_xlfn.XLOOKUP(EA$7,'Product Design'!$M$6:$BM$6,'Product Design'!$M$8:$BM$8)))))),"")</f>
        <v>0.66</v>
      </c>
      <c r="EB31" s="315">
        <f>IFERROR(IF(EB$7&gt;$D$3,"",IF(BT31="OD","OD",IF(BT31="Missed","Missed",IF(BT31="TBC","TBC",IF(BT31="Undefined","Undefined",_xlfn.XLOOKUP(EB$7,'Product Design'!$M$6:$BM$6,'Product Design'!$M$9:$BM$9)/_xlfn.XLOOKUP(EB$7,'Product Design'!$M$6:$BM$6,'Product Design'!$M$8:$BM$8)))))),"")</f>
        <v>0.96285714285714286</v>
      </c>
      <c r="EC31" s="315">
        <f>IFERROR(IF(EC$7&gt;$D$3,"",IF(BU31="OD","OD",IF(BU31="Missed","Missed",IF(BU31="TBC","TBC",IF(BU31="Undefined","Undefined",_xlfn.XLOOKUP(EC$7,'Product Design'!$M$6:$BM$6,'Product Design'!$M$9:$BM$9)/_xlfn.XLOOKUP(EC$7,'Product Design'!$M$6:$BM$6,'Product Design'!$M$8:$BM$8)))))),"")</f>
        <v>0.84857142857142853</v>
      </c>
      <c r="ED31" s="315">
        <f>IFERROR(IF(ED$7&gt;$D$3,"",IF(BV31="OD","OD",IF(BV31="Missed","Missed",IF(BV31="TBC","TBC",IF(BV31="Undefined","Undefined",_xlfn.XLOOKUP(ED$7,'Product Design'!$M$6:$BM$6,'Product Design'!$M$9:$BM$9)/_xlfn.XLOOKUP(ED$7,'Product Design'!$M$6:$BM$6,'Product Design'!$M$8:$BM$8)))))),"")</f>
        <v>1.082857142857143</v>
      </c>
      <c r="EE31" s="315">
        <f>IFERROR(IF(EE$7&gt;$D$3,"",IF(BW31="OD","OD",IF(BW31="Missed","Missed",IF(BW31="TBC","TBC",IF(BW31="Undefined","Undefined",_xlfn.XLOOKUP(EE$7,'Product Design'!$M$6:$BM$6,'Product Design'!$M$9:$BM$9)/_xlfn.XLOOKUP(EE$7,'Product Design'!$M$6:$BM$6,'Product Design'!$M$8:$BM$8)))))),"")</f>
        <v>0.82857142857142863</v>
      </c>
      <c r="EF31" s="315">
        <f>IFERROR(IF(EF$7&gt;$D$3,"",IF(BX31="OD","OD",IF(BX31="Missed","Missed",IF(BX31="TBC","TBC",IF(BX31="Undefined","Undefined",_xlfn.XLOOKUP(EF$7,'Product Design'!$M$6:$BM$6,'Product Design'!$M$9:$BM$9)/_xlfn.XLOOKUP(EF$7,'Product Design'!$M$6:$BM$6,'Product Design'!$M$8:$BM$8)))))),"")</f>
        <v>0.79714285714285715</v>
      </c>
      <c r="EG31" s="315">
        <f>IFERROR(IF(EG$7&gt;$D$3,"",IF(BY31="OD","OD",IF(BY31="Missed","Missed",IF(BY31="TBC","TBC",IF(BY31="Undefined","Undefined",_xlfn.XLOOKUP(EG$7,'Product Design'!$M$6:$BM$6,'Product Design'!$M$9:$BM$9)/_xlfn.XLOOKUP(EG$7,'Product Design'!$M$6:$BM$6,'Product Design'!$M$8:$BM$8)))))),"")</f>
        <v>0.93142857142857138</v>
      </c>
      <c r="EH31" s="315">
        <f>IFERROR(IF(EH$7&gt;$D$3,"",IF(BZ31="OD","OD",IF(BZ31="Missed","Missed",IF(BZ31="TBC","TBC",IF(BZ31="Undefined","Undefined",_xlfn.XLOOKUP(EH$7,'Product Design'!$M$6:$BM$6,'Product Design'!$M$9:$BM$9)/_xlfn.XLOOKUP(EH$7,'Product Design'!$M$6:$BM$6,'Product Design'!$M$8:$BM$8)))))),"")</f>
        <v>0.77428571428571424</v>
      </c>
      <c r="EI31" s="315">
        <f>IFERROR(IF(EI$7&gt;$D$3,"",IF(CA31="OD","OD",IF(CA31="Missed","Missed",IF(CA31="TBC","TBC",IF(CA31="Undefined","Undefined",_xlfn.XLOOKUP(EI$7,'Product Design'!$M$6:$BM$6,'Product Design'!$M$9:$BM$9)/_xlfn.XLOOKUP(EI$7,'Product Design'!$M$6:$BM$6,'Product Design'!$M$8:$BM$8)))))),"")</f>
        <v>1.22</v>
      </c>
      <c r="EJ31" s="315" t="str">
        <f>IFERROR(IF(EJ$7&gt;$D$3,"",IF(CB31="OD","OD",IF(CB31="Missed","Missed",IF(CB31="TBC","TBC",IF(CB31="Undefined","Undefined",_xlfn.XLOOKUP(EJ$7,'Product Design'!$M$6:$BM$6,'Product Design'!$M$9:$BM$9)/_xlfn.XLOOKUP(EJ$7,'Product Design'!$M$6:$BM$6,'Product Design'!$M$8:$BM$8)))))),"")</f>
        <v>OD</v>
      </c>
      <c r="EK31" s="315" t="str">
        <f>IFERROR(IF(EK$7&gt;$D$3,"",IF(CC31="OD","OD",IF(CC31="Missed","Missed",IF(CC31="TBC","TBC",IF(CC31="Undefined","Undefined",_xlfn.XLOOKUP(EK$7,'Product Design'!$M$6:$BM$6,'Product Design'!$M$9:$BM$9)/_xlfn.XLOOKUP(EK$7,'Product Design'!$M$6:$BM$6,'Product Design'!$M$8:$BM$8)))))),"")</f>
        <v/>
      </c>
      <c r="EL31" s="315" t="str">
        <f>IFERROR(IF(EL$7&gt;$D$3,"",IF(CD31="OD","OD",IF(CD31="Missed","Missed",IF(CD31="TBC","TBC",IF(CD31="Undefined","Undefined",_xlfn.XLOOKUP(EL$7,'Product Design'!$M$6:$BM$6,'Product Design'!$M$9:$BM$9)/_xlfn.XLOOKUP(EL$7,'Product Design'!$M$6:$BM$6,'Product Design'!$M$8:$BM$8)))))),"")</f>
        <v/>
      </c>
      <c r="EM31" s="315" t="str">
        <f>IFERROR(IF(EM$7&gt;$D$3,"",IF(CE31="OD","OD",IF(CE31="Missed","Missed",IF(CE31="TBC","TBC",IF(CE31="Undefined","Undefined",_xlfn.XLOOKUP(EM$7,'Product Design'!$M$6:$BM$6,'Product Design'!$M$9:$BM$9)/_xlfn.XLOOKUP(EM$7,'Product Design'!$M$6:$BM$6,'Product Design'!$M$8:$BM$8)))))),"")</f>
        <v/>
      </c>
      <c r="EN31" s="315" t="str">
        <f>IFERROR(IF(EN$7&gt;$D$3,"",IF(CF31="OD","OD",IF(CF31="Missed","Missed",IF(CF31="TBC","TBC",IF(CF31="Undefined","Undefined",_xlfn.XLOOKUP(EN$7,'Product Design'!$M$6:$BM$6,'Product Design'!$M$9:$BM$9)/_xlfn.XLOOKUP(EN$7,'Product Design'!$M$6:$BM$6,'Product Design'!$M$8:$BM$8)))))),"")</f>
        <v/>
      </c>
      <c r="EO31" s="315" t="str">
        <f>IFERROR(IF(EO$7&gt;$D$3,"",IF(CG31="OD","OD",IF(CG31="Missed","Missed",IF(CG31="TBC","TBC",IF(CG31="Undefined","Undefined",_xlfn.XLOOKUP(EO$7,'Product Design'!$M$6:$BM$6,'Product Design'!$M$9:$BM$9)/_xlfn.XLOOKUP(EO$7,'Product Design'!$M$6:$BM$6,'Product Design'!$M$8:$BM$8)))))),"")</f>
        <v/>
      </c>
      <c r="EP31" s="315" t="str">
        <f>IFERROR(IF(EP$7&gt;$D$3,"",IF(CH31="OD","OD",IF(CH31="Missed","Missed",IF(CH31="TBC","TBC",IF(CH31="Undefined","Undefined",_xlfn.XLOOKUP(EP$7,'Product Design'!$M$6:$BM$6,'Product Design'!$M$9:$BM$9)/_xlfn.XLOOKUP(EP$7,'Product Design'!$M$6:$BM$6,'Product Design'!$M$8:$BM$8)))))),"")</f>
        <v/>
      </c>
      <c r="EQ31" s="315" t="str">
        <f>IFERROR(IF(EQ$7&gt;$D$3,"",IF(CI31="OD","OD",IF(CI31="Missed","Missed",IF(CI31="TBC","TBC",IF(CI31="Undefined","Undefined",_xlfn.XLOOKUP(EQ$7,'Product Design'!$M$6:$BM$6,'Product Design'!$M$9:$BM$9)/_xlfn.XLOOKUP(EQ$7,'Product Design'!$M$6:$BM$6,'Product Design'!$M$8:$BM$8)))))),"")</f>
        <v/>
      </c>
      <c r="ER31" s="315" t="str">
        <f>IFERROR(IF(ER$7&gt;$D$3,"",IF(CJ31="OD","OD",IF(CJ31="Missed","Missed",IF(CJ31="TBC","TBC",IF(CJ31="Undefined","Undefined",_xlfn.XLOOKUP(ER$7,'Product Design'!$M$6:$BM$6,'Product Design'!$M$9:$BM$9)/_xlfn.XLOOKUP(ER$7,'Product Design'!$M$6:$BM$6,'Product Design'!$M$8:$BM$8)))))),"")</f>
        <v/>
      </c>
      <c r="ES31" s="315" t="str">
        <f>IFERROR(IF(ES$7&gt;$D$3,"",IF(CK31="OD","OD",IF(CK31="Missed","Missed",IF(CK31="TBC","TBC",IF(CK31="Undefined","Undefined",_xlfn.XLOOKUP(ES$7,'Product Design'!$M$6:$BM$6,'Product Design'!$M$9:$BM$9)/_xlfn.XLOOKUP(ES$7,'Product Design'!$M$6:$BM$6,'Product Design'!$M$8:$BM$8)))))),"")</f>
        <v/>
      </c>
      <c r="ET31" s="315" t="str">
        <f>IFERROR(IF(ET$7&gt;$D$3,"",IF(CL31="OD","OD",IF(CL31="Missed","Missed",IF(CL31="TBC","TBC",IF(CL31="Undefined","Undefined",_xlfn.XLOOKUP(ET$7,'Product Design'!$M$6:$BM$6,'Product Design'!$M$9:$BM$9)/_xlfn.XLOOKUP(ET$7,'Product Design'!$M$6:$BM$6,'Product Design'!$M$8:$BM$8)))))),"")</f>
        <v/>
      </c>
      <c r="EU31" s="315" t="str">
        <f>IFERROR(IF(EU$7&gt;$D$3,"",IF(CM31="OD","OD",IF(CM31="Missed","Missed",IF(CM31="TBC","TBC",IF(CM31="Undefined","Undefined",_xlfn.XLOOKUP(EU$7,'Product Design'!$M$6:$BM$6,'Product Design'!$M$9:$BM$9)/_xlfn.XLOOKUP(EU$7,'Product Design'!$M$6:$BM$6,'Product Design'!$M$8:$BM$8)))))),"")</f>
        <v/>
      </c>
      <c r="EW31" s="465" t="str">
        <f>+$A31</f>
        <v>Product Design-KPI P1</v>
      </c>
      <c r="EX31" s="133" t="str">
        <f>+$C31</f>
        <v>KPI P1</v>
      </c>
      <c r="EY31" s="142" t="str">
        <f>+$D31</f>
        <v>Productivity</v>
      </c>
      <c r="EZ31" s="142" t="str">
        <f t="shared" si="91"/>
        <v>Drawings Completed - Order Lines</v>
      </c>
      <c r="FA31" s="143" t="str">
        <f t="shared" si="92"/>
        <v>Count</v>
      </c>
      <c r="FB31" s="143" t="s">
        <v>251</v>
      </c>
      <c r="FC31" s="222" t="str">
        <f>IF(FC$7&gt;$D$3,"",IF($FA30&lt;FC$7,"OD",_xlfn.XLOOKUP(FC$7,'Product Design'!$M$6:$BM$6,'Product Design'!$M$9:$BM$9)))</f>
        <v>Blank</v>
      </c>
      <c r="FD31" s="222">
        <f>IF(FD$7&gt;$D$3,"",IF($FA30&lt;FD$7,"OD",_xlfn.XLOOKUP(FD$7,'Product Design'!$M$6:$BM$6,'Product Design'!$M$9:$BM$9)))</f>
        <v>65</v>
      </c>
      <c r="FE31" s="222">
        <f>IF(FE$7&gt;$D$3,"",IF($FA30&lt;FE$7,"OD",_xlfn.XLOOKUP(FE$7,'Product Design'!$M$6:$BM$6,'Product Design'!$M$9:$BM$9)))</f>
        <v>73</v>
      </c>
      <c r="FF31" s="222">
        <f>IF(FF$7&gt;$D$3,"",IF($FA30&lt;FF$7,"OD",_xlfn.XLOOKUP(FF$7,'Product Design'!$M$6:$BM$6,'Product Design'!$M$9:$BM$9)))</f>
        <v>231</v>
      </c>
      <c r="FG31" s="222">
        <f>IF(FG$7&gt;$D$3,"",IF($FA30&lt;FG$7,"OD",_xlfn.XLOOKUP(FG$7,'Product Design'!$M$6:$BM$6,'Product Design'!$M$9:$BM$9)))</f>
        <v>157</v>
      </c>
      <c r="FH31" s="222">
        <f>IF(FH$7&gt;$D$3,"",IF($FA30&lt;FH$7,"OD",_xlfn.XLOOKUP(FH$7,'Product Design'!$M$6:$BM$6,'Product Design'!$M$9:$BM$9)))</f>
        <v>118</v>
      </c>
      <c r="FI31" s="222">
        <f>IF(FI$7&gt;$D$3,"",IF($FA30&lt;FI$7,"OD",_xlfn.XLOOKUP(FI$7,'Product Design'!$M$6:$BM$6,'Product Design'!$M$9:$BM$9)))</f>
        <v>159</v>
      </c>
      <c r="FJ31" s="222">
        <f>IF(FJ$7&gt;$D$3,"",IF($FA30&lt;FJ$7,"OD",_xlfn.XLOOKUP(FJ$7,'Product Design'!$M$6:$BM$6,'Product Design'!$M$9:$BM$9)))</f>
        <v>271</v>
      </c>
      <c r="FK31" s="222">
        <f>IF(FK$7&gt;$D$3,"",IF($FA30&lt;FK$7,"OD",_xlfn.XLOOKUP(FK$7,'Product Design'!$M$6:$BM$6,'Product Design'!$M$9:$BM$9)))</f>
        <v>80</v>
      </c>
      <c r="FL31" s="222">
        <f>IF(FL$7&gt;$D$3,"",IF($FA30&lt;FL$7,"OD",_xlfn.XLOOKUP(FL$7,'Product Design'!$M$6:$BM$6,'Product Design'!$M$9:$BM$9)))</f>
        <v>171</v>
      </c>
      <c r="FM31" s="222">
        <f>IF(FM$7&gt;$D$3,"",IF($FA30&lt;FM$7,"OD",_xlfn.XLOOKUP(FM$7,'Product Design'!$M$6:$BM$6,'Product Design'!$M$9:$BM$9)))</f>
        <v>156</v>
      </c>
      <c r="FN31" s="222">
        <f>IF(FN$7&gt;$D$3,"",IF($FA30&lt;FN$7,"OD",_xlfn.XLOOKUP(FN$7,'Product Design'!$M$6:$BM$6,'Product Design'!$M$9:$BM$9)))</f>
        <v>196</v>
      </c>
      <c r="FO31" s="222">
        <f>IF(FO$7&gt;$D$3,"",IF($FA30&lt;FO$7,"OD",_xlfn.XLOOKUP(FO$7,'Product Design'!$M$6:$BM$6,'Product Design'!$M$9:$BM$9)))</f>
        <v>145</v>
      </c>
      <c r="FP31" s="222">
        <f>IF(FP$7&gt;$D$3,"",IF($FA30&lt;FP$7,"OD",_xlfn.XLOOKUP(FP$7,'Product Design'!$M$6:$BM$6,'Product Design'!$M$9:$BM$9)))</f>
        <v>146</v>
      </c>
      <c r="FQ31" s="222">
        <f>IF(FQ$7&gt;$D$3,"",IF($FA30&lt;FQ$7,"OD",_xlfn.XLOOKUP(FQ$7,'Product Design'!$M$6:$BM$6,'Product Design'!$M$9:$BM$9)))</f>
        <v>69</v>
      </c>
      <c r="FR31" s="222">
        <f>IF(FR$7&gt;$D$3,"",IF($FA30&lt;FR$7,"OD",_xlfn.XLOOKUP(FR$7,'Product Design'!$M$6:$BM$6,'Product Design'!$M$9:$BM$9)))</f>
        <v>330</v>
      </c>
      <c r="FS31" s="222">
        <f>IF(FS$7&gt;$D$3,"",IF($FA30&lt;FS$7,"OD",_xlfn.XLOOKUP(FS$7,'Product Design'!$M$6:$BM$6,'Product Design'!$M$9:$BM$9)))</f>
        <v>292</v>
      </c>
      <c r="FT31" s="222">
        <f>IF(FT$7&gt;$D$3,"",IF($FA30&lt;FT$7,"OD",_xlfn.XLOOKUP(FT$7,'Product Design'!$M$6:$BM$6,'Product Design'!$M$9:$BM$9)))</f>
        <v>136</v>
      </c>
      <c r="FU31" s="222">
        <f>IF(FU$7&gt;$D$3,"",IF($FA30&lt;FU$7,"OD",_xlfn.XLOOKUP(FU$7,'Product Design'!$M$6:$BM$6,'Product Design'!$M$9:$BM$9)))</f>
        <v>220</v>
      </c>
      <c r="FV31" s="222">
        <f>IF(FV$7&gt;$D$3,"",IF($FA30&lt;FV$7,"OD",_xlfn.XLOOKUP(FV$7,'Product Design'!$M$6:$BM$6,'Product Design'!$M$9:$BM$9)))</f>
        <v>350</v>
      </c>
      <c r="FW31" s="222">
        <f>IF(FW$7&gt;$D$3,"",IF($FA30&lt;FW$7,"OD",_xlfn.XLOOKUP(FW$7,'Product Design'!$M$6:$BM$6,'Product Design'!$M$9:$BM$9)))</f>
        <v>141</v>
      </c>
      <c r="FX31" s="222">
        <f>IF(FX$7&gt;$D$3,"",IF($FA30&lt;FX$7,"OD",_xlfn.XLOOKUP(FX$7,'Product Design'!$M$6:$BM$6,'Product Design'!$M$9:$BM$9)))</f>
        <v>354</v>
      </c>
      <c r="FY31" s="222">
        <f>IF(FY$7&gt;$D$3,"",IF($FA30&lt;FY$7,"OD",_xlfn.XLOOKUP(FY$7,'Product Design'!$M$6:$BM$6,'Product Design'!$M$9:$BM$9)))</f>
        <v>329</v>
      </c>
      <c r="FZ31" s="222">
        <f>IF(FZ$7&gt;$D$3,"",IF($FA30&lt;FZ$7,"OD",_xlfn.XLOOKUP(FZ$7,'Product Design'!$M$6:$BM$6,'Product Design'!$M$9:$BM$9)))</f>
        <v>327</v>
      </c>
      <c r="GA31" s="222">
        <f>IF(GA$7&gt;$D$3,"",IF($FA30&lt;GA$7,"OD",_xlfn.XLOOKUP(GA$7,'Product Design'!$M$6:$BM$6,'Product Design'!$M$9:$BM$9)))</f>
        <v>822</v>
      </c>
      <c r="GB31" s="222">
        <f>IF(GB$7&gt;$D$3,"",IF($FA30&lt;GB$7,"OD",_xlfn.XLOOKUP(GB$7,'Product Design'!$M$6:$BM$6,'Product Design'!$M$9:$BM$9)))</f>
        <v>447</v>
      </c>
      <c r="GC31" s="222">
        <f>IF(GC$7&gt;$D$3,"",IF($FA30&lt;GC$7,"OD",_xlfn.XLOOKUP(GC$7,'Product Design'!$M$6:$BM$6,'Product Design'!$M$9:$BM$9)))</f>
        <v>0</v>
      </c>
      <c r="GD31" s="222">
        <f>IF(GD$7&gt;$D$3,"",IF($FA30&lt;GD$7,"OD",_xlfn.XLOOKUP(GD$7,'Product Design'!$M$6:$BM$6,'Product Design'!$M$9:$BM$9)))</f>
        <v>310</v>
      </c>
      <c r="GE31" s="222">
        <f>IF(GE$7&gt;$D$3,"",IF($FA30&lt;GE$7,"OD",_xlfn.XLOOKUP(GE$7,'Product Design'!$M$6:$BM$6,'Product Design'!$M$9:$BM$9)))</f>
        <v>354</v>
      </c>
      <c r="GF31" s="222">
        <f>IF(GF$7&gt;$D$3,"",IF($FA30&lt;GF$7,"OD",_xlfn.XLOOKUP(GF$7,'Product Design'!$M$6:$BM$6,'Product Design'!$M$9:$BM$9)))</f>
        <v>314</v>
      </c>
      <c r="GG31" s="222">
        <f>IF(GG$7&gt;$D$3,"",IF($FA30&lt;GG$7,"OD",_xlfn.XLOOKUP(GG$7,'Product Design'!$M$6:$BM$6,'Product Design'!$M$9:$BM$9)))</f>
        <v>314</v>
      </c>
      <c r="GH31" s="222">
        <f>IF(GH$7&gt;$D$3,"",IF($FA30&lt;GH$7,"OD",_xlfn.XLOOKUP(GH$7,'Product Design'!$M$6:$BM$6,'Product Design'!$M$9:$BM$9)))</f>
        <v>279</v>
      </c>
      <c r="GI31" s="222">
        <f>IF(GI$7&gt;$D$3,"",IF($FA30&lt;GI$7,"OD",_xlfn.XLOOKUP(GI$7,'Product Design'!$M$6:$BM$6,'Product Design'!$M$9:$BM$9)))</f>
        <v>231</v>
      </c>
      <c r="GJ31" s="222">
        <f>IF(GJ$7&gt;$D$3,"",IF($FA30&lt;GJ$7,"OD",_xlfn.XLOOKUP(GJ$7,'Product Design'!$M$6:$BM$6,'Product Design'!$M$9:$BM$9)))</f>
        <v>337</v>
      </c>
      <c r="GK31" s="222">
        <f>IF(GK$7&gt;$D$3,"",IF($FA30&lt;GK$7,"OD",_xlfn.XLOOKUP(GK$7,'Product Design'!$M$6:$BM$6,'Product Design'!$M$9:$BM$9)))</f>
        <v>297</v>
      </c>
      <c r="GL31" s="222">
        <f>IF(GL$7&gt;$D$3,"",IF($FA30&lt;GL$7,"OD",_xlfn.XLOOKUP(GL$7,'Product Design'!$M$6:$BM$6,'Product Design'!$M$9:$BM$9)))</f>
        <v>379</v>
      </c>
      <c r="GM31" s="222">
        <f>IF(GM$7&gt;$D$3,"",IF($FA30&lt;GM$7,"OD",_xlfn.XLOOKUP(GM$7,'Product Design'!$M$6:$BM$6,'Product Design'!$M$9:$BM$9)))</f>
        <v>290</v>
      </c>
      <c r="GN31" s="222">
        <f>IF(GN$7&gt;$D$3,"",IF($FA30&lt;GN$7,"OD",_xlfn.XLOOKUP(GN$7,'Product Design'!$M$6:$BM$6,'Product Design'!$M$9:$BM$9)))</f>
        <v>279</v>
      </c>
      <c r="GO31" s="222">
        <f>IF(GO$7&gt;$D$3,"",IF($FA30&lt;GO$7,"OD",_xlfn.XLOOKUP(GO$7,'Product Design'!$M$6:$BM$6,'Product Design'!$M$9:$BM$9)))</f>
        <v>326</v>
      </c>
      <c r="GP31" s="222">
        <f>IF(GP$7&gt;$D$3,"",IF($FA30&lt;GP$7,"OD",_xlfn.XLOOKUP(GP$7,'Product Design'!$M$6:$BM$6,'Product Design'!$M$9:$BM$9)))</f>
        <v>271</v>
      </c>
      <c r="GQ31" s="222">
        <f>IF(GQ$7&gt;$D$3,"",IF($FA30&lt;GQ$7,"OD",_xlfn.XLOOKUP(GQ$7,'Product Design'!$M$6:$BM$6,'Product Design'!$M$9:$BM$9)))</f>
        <v>427</v>
      </c>
      <c r="GR31" s="222">
        <f>IF(GR$7&gt;$D$3,"",IF($FA30&lt;GR$7,"OD",_xlfn.XLOOKUP(GR$7,'Product Design'!$M$6:$BM$6,'Product Design'!$M$9:$BM$9)))</f>
        <v>0</v>
      </c>
      <c r="GS31" s="222" t="str">
        <f>IF(GS$7&gt;$D$3,"",IF($FA30&lt;GS$7,"OD",_xlfn.XLOOKUP(GS$7,'Product Design'!$M$6:$BM$6,'Product Design'!$M$9:$BM$9)))</f>
        <v/>
      </c>
      <c r="GT31" s="222" t="str">
        <f>IF(GT$7&gt;$D$3,"",IF($FA30&lt;GT$7,"OD",_xlfn.XLOOKUP(GT$7,'Product Design'!$M$6:$BM$6,'Product Design'!$M$9:$BM$9)))</f>
        <v/>
      </c>
      <c r="GU31" s="222" t="str">
        <f>IF(GU$7&gt;$D$3,"",IF($FA30&lt;GU$7,"OD",_xlfn.XLOOKUP(GU$7,'Product Design'!$M$6:$BM$6,'Product Design'!$M$9:$BM$9)))</f>
        <v/>
      </c>
      <c r="GV31" s="222" t="str">
        <f>IF(GV$7&gt;$D$3,"",IF($FA30&lt;GV$7,"OD",_xlfn.XLOOKUP(GV$7,'Product Design'!$M$6:$BM$6,'Product Design'!$M$9:$BM$9)))</f>
        <v/>
      </c>
      <c r="GW31" s="222" t="str">
        <f>IF(GW$7&gt;$D$3,"",IF($FA30&lt;GW$7,"OD",_xlfn.XLOOKUP(GW$7,'Product Design'!$M$6:$BM$6,'Product Design'!$M$9:$BM$9)))</f>
        <v/>
      </c>
      <c r="GX31" s="222" t="str">
        <f>IF(GX$7&gt;$D$3,"",IF($FA30&lt;GX$7,"OD",_xlfn.XLOOKUP(GX$7,'Product Design'!$M$6:$BM$6,'Product Design'!$M$9:$BM$9)))</f>
        <v/>
      </c>
      <c r="GY31" s="222" t="str">
        <f>IF(GY$7&gt;$D$3,"",IF($FA30&lt;GY$7,"OD",_xlfn.XLOOKUP(GY$7,'Product Design'!$M$6:$BM$6,'Product Design'!$M$9:$BM$9)))</f>
        <v/>
      </c>
      <c r="GZ31" s="222" t="str">
        <f>IF(GZ$7&gt;$D$3,"",IF($FA30&lt;GZ$7,"OD",_xlfn.XLOOKUP(GZ$7,'Product Design'!$M$6:$BM$6,'Product Design'!$M$9:$BM$9)))</f>
        <v/>
      </c>
      <c r="HA31" s="222" t="str">
        <f>IF(HA$7&gt;$D$3,"",IF($FA30&lt;HA$7,"OD",_xlfn.XLOOKUP(HA$7,'Product Design'!$M$6:$BM$6,'Product Design'!$M$9:$BM$9)))</f>
        <v/>
      </c>
      <c r="HB31" s="222" t="str">
        <f>IF(HB$7&gt;$D$3,"",IF($FA30&lt;HB$7,"OD",_xlfn.XLOOKUP(HB$7,'Product Design'!$M$6:$BM$6,'Product Design'!$M$9:$BM$9)))</f>
        <v/>
      </c>
      <c r="HC31" s="222" t="str">
        <f>IF(HC$7&gt;$D$3,"",IF($FA30&lt;HC$7,"OD",_xlfn.XLOOKUP(HC$7,'Product Design'!$M$6:$BM$6,'Product Design'!$M$9:$BM$9)))</f>
        <v/>
      </c>
      <c r="HE31" s="133" t="str">
        <f>+$C31</f>
        <v>KPI P1</v>
      </c>
      <c r="HF31" s="142" t="str">
        <f>+$D31</f>
        <v>Productivity</v>
      </c>
      <c r="HG31" s="142" t="str">
        <f t="shared" si="95"/>
        <v>Drawings Completed - Order Lines</v>
      </c>
      <c r="HH31" s="143" t="str">
        <f t="shared" si="96"/>
        <v>Count</v>
      </c>
      <c r="HI31" s="143" t="s">
        <v>44</v>
      </c>
      <c r="HJ31" s="222" t="s">
        <v>122</v>
      </c>
      <c r="HK31" s="222">
        <f>IF(HK$7&gt;$D$3,"",IF($FA30&lt;HK$7,"OD",_xlfn.XLOOKUP(HK$7,'Product Design'!$M$6:$BM$6,'Product Design'!$M$8:$BM$8)))</f>
        <v>150</v>
      </c>
      <c r="HL31" s="222">
        <f>IF(HL$7&gt;$D$3,"",IF($FA30&lt;HL$7,"OD",_xlfn.XLOOKUP(HL$7,'Product Design'!$M$6:$BM$6,'Product Design'!$M$8:$BM$8)))</f>
        <v>150</v>
      </c>
      <c r="HM31" s="222">
        <f>IF(HM$7&gt;$D$3,"",IF($FA30&lt;HM$7,"OD",_xlfn.XLOOKUP(HM$7,'Product Design'!$M$6:$BM$6,'Product Design'!$M$8:$BM$8)))</f>
        <v>150</v>
      </c>
      <c r="HN31" s="222">
        <f>IF(HN$7&gt;$D$3,"",IF($FA30&lt;HN$7,"OD",_xlfn.XLOOKUP(HN$7,'Product Design'!$M$6:$BM$6,'Product Design'!$M$8:$BM$8)))</f>
        <v>150</v>
      </c>
      <c r="HO31" s="222">
        <f>IF(HO$7&gt;$D$3,"",IF($FA30&lt;HO$7,"OD",_xlfn.XLOOKUP(HO$7,'Product Design'!$M$6:$BM$6,'Product Design'!$M$8:$BM$8)))</f>
        <v>150</v>
      </c>
      <c r="HP31" s="222">
        <f>IF(HP$7&gt;$D$3,"",IF($FA30&lt;HP$7,"OD",_xlfn.XLOOKUP(HP$7,'Product Design'!$M$6:$BM$6,'Product Design'!$M$8:$BM$8)))</f>
        <v>150</v>
      </c>
      <c r="HQ31" s="222">
        <f>IF(HQ$7&gt;$D$3,"",IF($FA30&lt;HQ$7,"OD",_xlfn.XLOOKUP(HQ$7,'Product Design'!$M$6:$BM$6,'Product Design'!$M$8:$BM$8)))</f>
        <v>150</v>
      </c>
      <c r="HR31" s="222">
        <f>IF(HR$7&gt;$D$3,"",IF($FA30&lt;HR$7,"OD",_xlfn.XLOOKUP(HR$7,'Product Design'!$M$6:$BM$6,'Product Design'!$M$8:$BM$8)))</f>
        <v>150</v>
      </c>
      <c r="HS31" s="222">
        <f>IF(HS$7&gt;$D$3,"",IF($FA30&lt;HS$7,"OD",_xlfn.XLOOKUP(HS$7,'Product Design'!$M$6:$BM$6,'Product Design'!$M$8:$BM$8)))</f>
        <v>150</v>
      </c>
      <c r="HT31" s="222">
        <f>IF(HT$7&gt;$D$3,"",IF($FA30&lt;HT$7,"OD",_xlfn.XLOOKUP(HT$7,'Product Design'!$M$6:$BM$6,'Product Design'!$M$8:$BM$8)))</f>
        <v>150</v>
      </c>
      <c r="HU31" s="222">
        <f>IF(HU$7&gt;$D$3,"",IF($FA30&lt;HU$7,"OD",_xlfn.XLOOKUP(HU$7,'Product Design'!$M$6:$BM$6,'Product Design'!$M$8:$BM$8)))</f>
        <v>150</v>
      </c>
      <c r="HV31" s="222">
        <f>IF(HV$7&gt;$D$3,"",IF($FA30&lt;HV$7,"OD",_xlfn.XLOOKUP(HV$7,'Product Design'!$M$6:$BM$6,'Product Design'!$M$8:$BM$8)))</f>
        <v>250</v>
      </c>
      <c r="HW31" s="222">
        <f>IF(HW$7&gt;$D$3,"",IF($FA30&lt;HW$7,"OD",_xlfn.XLOOKUP(HW$7,'Product Design'!$M$6:$BM$6,'Product Design'!$M$8:$BM$8)))</f>
        <v>250</v>
      </c>
      <c r="HX31" s="222">
        <f>IF(HX$7&gt;$D$3,"",IF($FA30&lt;HX$7,"OD",_xlfn.XLOOKUP(HX$7,'Product Design'!$M$6:$BM$6,'Product Design'!$M$8:$BM$8)))</f>
        <v>250</v>
      </c>
      <c r="HY31" s="222">
        <f>IF(HY$7&gt;$D$3,"",IF($FA30&lt;HY$7,"OD",_xlfn.XLOOKUP(HY$7,'Product Design'!$M$6:$BM$6,'Product Design'!$M$8:$BM$8)))</f>
        <v>250</v>
      </c>
      <c r="HZ31" s="222">
        <f>IF(HZ$7&gt;$D$3,"",IF($FA30&lt;HZ$7,"OD",_xlfn.XLOOKUP(HZ$7,'Product Design'!$M$6:$BM$6,'Product Design'!$M$8:$BM$8)))</f>
        <v>250</v>
      </c>
      <c r="IA31" s="222">
        <f>IF(IA$7&gt;$D$3,"",IF($FA30&lt;IA$7,"OD",_xlfn.XLOOKUP(IA$7,'Product Design'!$M$6:$BM$6,'Product Design'!$M$8:$BM$8)))</f>
        <v>250</v>
      </c>
      <c r="IB31" s="222">
        <f>IF(IB$7&gt;$D$3,"",IF($FA30&lt;IB$7,"OD",_xlfn.XLOOKUP(IB$7,'Product Design'!$M$6:$BM$6,'Product Design'!$M$8:$BM$8)))</f>
        <v>250</v>
      </c>
      <c r="IC31" s="222">
        <f>IF(IC$7&gt;$D$3,"",IF($FA30&lt;IC$7,"OD",_xlfn.XLOOKUP(IC$7,'Product Design'!$M$6:$BM$6,'Product Design'!$M$8:$BM$8)))</f>
        <v>250</v>
      </c>
      <c r="ID31" s="222">
        <f>IF(ID$7&gt;$D$3,"",IF($FA30&lt;ID$7,"OD",_xlfn.XLOOKUP(ID$7,'Product Design'!$M$6:$BM$6,'Product Design'!$M$8:$BM$8)))</f>
        <v>250</v>
      </c>
      <c r="IE31" s="222">
        <f>IF(IE$7&gt;$D$3,"",IF($FA30&lt;IE$7,"OD",_xlfn.XLOOKUP(IE$7,'Product Design'!$M$6:$BM$6,'Product Design'!$M$8:$BM$8)))</f>
        <v>250</v>
      </c>
      <c r="IF31" s="222">
        <f>IF(IF$7&gt;$D$3,"",IF($FA30&lt;IF$7,"OD",_xlfn.XLOOKUP(IF$7,'Product Design'!$M$6:$BM$6,'Product Design'!$M$8:$BM$8)))</f>
        <v>250</v>
      </c>
      <c r="IG31" s="222">
        <f>IF(IG$7&gt;$D$3,"",IF($FA30&lt;IG$7,"OD",_xlfn.XLOOKUP(IG$7,'Product Design'!$M$6:$BM$6,'Product Design'!$M$8:$BM$8)))</f>
        <v>250</v>
      </c>
      <c r="IH31" s="222">
        <f>IF(IH$7&gt;$D$3,"",IF($FA30&lt;IH$7,"OD",_xlfn.XLOOKUP(IH$7,'Product Design'!$M$6:$BM$6,'Product Design'!$M$8:$BM$8)))</f>
        <v>250</v>
      </c>
      <c r="II31" s="222">
        <f>IF(II$7&gt;$D$3,"",IF($FA30&lt;II$7,"OD",_xlfn.XLOOKUP(II$7,'Product Design'!$M$6:$BM$6,'Product Design'!$M$8:$BM$8)))</f>
        <v>250</v>
      </c>
      <c r="IJ31" s="222">
        <f>IF(IJ$7&gt;$D$3,"",IF($FA30&lt;IJ$7,"OD",_xlfn.XLOOKUP(IJ$7,'Product Design'!$M$6:$BM$6,'Product Design'!$M$8:$BM$8)))</f>
        <v>250</v>
      </c>
      <c r="IK31" s="222">
        <f>IF(IK$7&gt;$D$3,"",IF($FA30&lt;IK$7,"OD",_xlfn.XLOOKUP(IK$7,'Product Design'!$M$6:$BM$6,'Product Design'!$M$8:$BM$8)))</f>
        <v>350</v>
      </c>
      <c r="IL31" s="222">
        <f>IF(IL$7&gt;$D$3,"",IF($FA30&lt;IL$7,"OD",_xlfn.XLOOKUP(IL$7,'Product Design'!$M$6:$BM$6,'Product Design'!$M$8:$BM$8)))</f>
        <v>350</v>
      </c>
      <c r="IM31" s="222">
        <f>IF(IM$7&gt;$D$3,"",IF($FA30&lt;IM$7,"OD",_xlfn.XLOOKUP(IM$7,'Product Design'!$M$6:$BM$6,'Product Design'!$M$8:$BM$8)))</f>
        <v>350</v>
      </c>
      <c r="IN31" s="222">
        <f>IF(IN$7&gt;$D$3,"",IF($FA30&lt;IN$7,"OD",_xlfn.XLOOKUP(IN$7,'Product Design'!$M$6:$BM$6,'Product Design'!$M$8:$BM$8)))</f>
        <v>350</v>
      </c>
      <c r="IO31" s="222">
        <f>IF(IO$7&gt;$D$3,"",IF($FA30&lt;IO$7,"OD",_xlfn.XLOOKUP(IO$7,'Product Design'!$M$6:$BM$6,'Product Design'!$M$8:$BM$8)))</f>
        <v>350</v>
      </c>
      <c r="IP31" s="222">
        <f>IF(IP$7&gt;$D$3,"",IF($FA30&lt;IP$7,"OD",_xlfn.XLOOKUP(IP$7,'Product Design'!$M$6:$BM$6,'Product Design'!$M$8:$BM$8)))</f>
        <v>350</v>
      </c>
      <c r="IQ31" s="222">
        <f>IF(IQ$7&gt;$D$3,"",IF($FA30&lt;IQ$7,"OD",_xlfn.XLOOKUP(IQ$7,'Product Design'!$M$6:$BM$6,'Product Design'!$M$8:$BM$8)))</f>
        <v>350</v>
      </c>
      <c r="IR31" s="222">
        <f>IF(IR$7&gt;$D$3,"",IF($FA30&lt;IR$7,"OD",_xlfn.XLOOKUP(IR$7,'Product Design'!$M$6:$BM$6,'Product Design'!$M$8:$BM$8)))</f>
        <v>350</v>
      </c>
      <c r="IS31" s="222">
        <f>IF(IS$7&gt;$D$3,"",IF($FA30&lt;IS$7,"OD",_xlfn.XLOOKUP(IS$7,'Product Design'!$M$6:$BM$6,'Product Design'!$M$8:$BM$8)))</f>
        <v>350</v>
      </c>
      <c r="IT31" s="222">
        <f>IF(IT$7&gt;$D$3,"",IF($FA30&lt;IT$7,"OD",_xlfn.XLOOKUP(IT$7,'Product Design'!$M$6:$BM$6,'Product Design'!$M$8:$BM$8)))</f>
        <v>350</v>
      </c>
      <c r="IU31" s="222">
        <f>IF(IU$7&gt;$D$3,"",IF($FA30&lt;IU$7,"OD",_xlfn.XLOOKUP(IU$7,'Product Design'!$M$6:$BM$6,'Product Design'!$M$8:$BM$8)))</f>
        <v>350</v>
      </c>
      <c r="IV31" s="222">
        <f>IF(IV$7&gt;$D$3,"",IF($FA30&lt;IV$7,"OD",_xlfn.XLOOKUP(IV$7,'Product Design'!$M$6:$BM$6,'Product Design'!$M$8:$BM$8)))</f>
        <v>350</v>
      </c>
      <c r="IW31" s="222">
        <f>IF(IW$7&gt;$D$3,"",IF($FA30&lt;IW$7,"OD",_xlfn.XLOOKUP(IW$7,'Product Design'!$M$6:$BM$6,'Product Design'!$M$8:$BM$8)))</f>
        <v>350</v>
      </c>
      <c r="IX31" s="222">
        <f>IF(IX$7&gt;$D$3,"",IF($FA30&lt;IX$7,"OD",_xlfn.XLOOKUP(IX$7,'Product Design'!$M$6:$BM$6,'Product Design'!$M$8:$BM$8)))</f>
        <v>350</v>
      </c>
      <c r="IY31" s="222">
        <f>IF(IY$7&gt;$D$3,"",IF($FA30&lt;IY$7,"OD",_xlfn.XLOOKUP(IY$7,'Product Design'!$M$6:$BM$6,'Product Design'!$M$8:$BM$8)))</f>
        <v>350</v>
      </c>
      <c r="IZ31" s="222" t="str">
        <f>IF(IZ$7&gt;$D$3,"",IF($FA30&lt;IZ$7,"OD",_xlfn.XLOOKUP(IZ$7,'Product Design'!$M$6:$BM$6,'Product Design'!$M$8:$BM$8)))</f>
        <v/>
      </c>
      <c r="JA31" s="222" t="str">
        <f>IF(JA$7&gt;$D$3,"",IF($FA30&lt;JA$7,"OD",_xlfn.XLOOKUP(JA$7,'Product Design'!$M$6:$BM$6,'Product Design'!$M$8:$BM$8)))</f>
        <v/>
      </c>
      <c r="JB31" s="222" t="str">
        <f>IF(JB$7&gt;$D$3,"",IF($FA30&lt;JB$7,"OD",_xlfn.XLOOKUP(JB$7,'Product Design'!$M$6:$BM$6,'Product Design'!$M$8:$BM$8)))</f>
        <v/>
      </c>
      <c r="JC31" s="222" t="str">
        <f>IF(JC$7&gt;$D$3,"",IF($FA30&lt;JC$7,"OD",_xlfn.XLOOKUP(JC$7,'Product Design'!$M$6:$BM$6,'Product Design'!$M$8:$BM$8)))</f>
        <v/>
      </c>
      <c r="JD31" s="222" t="str">
        <f>IF(JD$7&gt;$D$3,"",IF($FA30&lt;JD$7,"OD",_xlfn.XLOOKUP(JD$7,'Product Design'!$M$6:$BM$6,'Product Design'!$M$8:$BM$8)))</f>
        <v/>
      </c>
      <c r="JE31" s="222" t="str">
        <f>IF(JE$7&gt;$D$3,"",IF($FA30&lt;JE$7,"OD",_xlfn.XLOOKUP(JE$7,'Product Design'!$M$6:$BM$6,'Product Design'!$M$8:$BM$8)))</f>
        <v/>
      </c>
      <c r="JF31" s="222" t="str">
        <f>IF(JF$7&gt;$D$3,"",IF($FA30&lt;JF$7,"OD",_xlfn.XLOOKUP(JF$7,'Product Design'!$M$6:$BM$6,'Product Design'!$M$8:$BM$8)))</f>
        <v/>
      </c>
      <c r="JG31" s="222" t="str">
        <f>IF(JG$7&gt;$D$3,"",IF($FA30&lt;JG$7,"OD",_xlfn.XLOOKUP(JG$7,'Product Design'!$M$6:$BM$6,'Product Design'!$M$8:$BM$8)))</f>
        <v/>
      </c>
      <c r="JH31" s="222" t="str">
        <f>IF(JH$7&gt;$D$3,"",IF($FA30&lt;JH$7,"OD",_xlfn.XLOOKUP(JH$7,'Product Design'!$M$6:$BM$6,'Product Design'!$M$8:$BM$8)))</f>
        <v/>
      </c>
      <c r="JI31" s="222" t="str">
        <f>IF(JI$7&gt;$D$3,"",IF($FA30&lt;JI$7,"OD",_xlfn.XLOOKUP(JI$7,'Product Design'!$M$6:$BM$6,'Product Design'!$M$8:$BM$8)))</f>
        <v/>
      </c>
      <c r="JJ31" s="222" t="str">
        <f>IF(JJ$7&gt;$D$3,"",IF($FA30&lt;JJ$7,"OD",_xlfn.XLOOKUP(JJ$7,'Product Design'!$M$6:$BM$6,'Product Design'!$M$8:$BM$8)))</f>
        <v/>
      </c>
      <c r="JM31" s="133" t="str">
        <f>+$C31</f>
        <v>KPI P1</v>
      </c>
      <c r="JN31" s="142" t="str">
        <f>+$D31</f>
        <v>Productivity</v>
      </c>
      <c r="JO31" s="142" t="str">
        <f t="shared" si="100"/>
        <v>Drawings Completed - Order Lines</v>
      </c>
      <c r="JP31" s="143" t="str">
        <f t="shared" si="101"/>
        <v>Count</v>
      </c>
      <c r="JQ31" s="143" t="s">
        <v>284</v>
      </c>
      <c r="JR31" s="225" t="str">
        <f>IFERROR(AVERAGE(FC31:$FC31),"")</f>
        <v/>
      </c>
      <c r="JS31" s="225">
        <f>IFERROR(AVERAGE($FC31:FD31),"")</f>
        <v>65</v>
      </c>
      <c r="JT31" s="225">
        <f>IFERROR(AVERAGE($FC31:FE31),"")</f>
        <v>69</v>
      </c>
      <c r="JU31" s="225">
        <f>IFERROR(AVERAGE($FC31:FF31),"")</f>
        <v>123</v>
      </c>
      <c r="JV31" s="225">
        <f>IFERROR(AVERAGE($FC31:FG31),"")</f>
        <v>131.5</v>
      </c>
      <c r="JW31" s="225">
        <f>IFERROR(AVERAGE($FC31:FH31),"")</f>
        <v>128.80000000000001</v>
      </c>
      <c r="JX31" s="225">
        <f>IFERROR(AVERAGE($FC31:FI31),"")</f>
        <v>133.83333333333334</v>
      </c>
      <c r="JY31" s="225">
        <f>IFERROR(AVERAGE($FC31:FJ31),"")</f>
        <v>153.42857142857142</v>
      </c>
      <c r="JZ31" s="225">
        <f>IFERROR(AVERAGE($FC31:FK31),"")</f>
        <v>144.25</v>
      </c>
      <c r="KA31" s="225">
        <f>IFERROR(AVERAGE($FC31:FL31),"")</f>
        <v>147.22222222222223</v>
      </c>
      <c r="KB31" s="225">
        <f>IFERROR(AVERAGE($FC31:FM31),"")</f>
        <v>148.1</v>
      </c>
      <c r="KC31" s="225">
        <f>IFERROR(AVERAGE($FC31:FN31),"")</f>
        <v>152.45454545454547</v>
      </c>
      <c r="KD31" s="225">
        <f>IFERROR(AVERAGE($FC31:FO31),"")</f>
        <v>151.83333333333334</v>
      </c>
      <c r="KE31" s="225">
        <f>IFERROR(AVERAGE($FC31:FP31),"")</f>
        <v>151.38461538461539</v>
      </c>
      <c r="KF31" s="225">
        <f>IFERROR(AVERAGE($FC31:FQ31),"")</f>
        <v>145.5</v>
      </c>
      <c r="KG31" s="225">
        <f>IFERROR(AVERAGE($FC31:FR31),"")</f>
        <v>157.80000000000001</v>
      </c>
      <c r="KH31" s="225">
        <f>IFERROR(AVERAGE($FC31:FS31),"")</f>
        <v>166.1875</v>
      </c>
      <c r="KI31" s="225">
        <f>IFERROR(AVERAGE($FC31:FT31),"")</f>
        <v>164.41176470588235</v>
      </c>
      <c r="KJ31" s="225">
        <f>IFERROR(AVERAGE($FC31:FU31),"")</f>
        <v>167.5</v>
      </c>
      <c r="KK31" s="225">
        <f>IFERROR(AVERAGE($FC31:FV31),"")</f>
        <v>177.10526315789474</v>
      </c>
      <c r="KL31" s="225">
        <f>IFERROR(AVERAGE($FC31:FW31),"")</f>
        <v>175.3</v>
      </c>
      <c r="KM31" s="225">
        <f>IFERROR(AVERAGE($FC31:FX31),"")</f>
        <v>183.8095238095238</v>
      </c>
      <c r="KN31" s="225">
        <f>IFERROR(AVERAGE($FC31:FY31),"")</f>
        <v>190.40909090909091</v>
      </c>
      <c r="KO31" s="225">
        <f>IFERROR(AVERAGE($FC31:FZ31),"")</f>
        <v>196.34782608695653</v>
      </c>
      <c r="KP31" s="225">
        <f>IFERROR(AVERAGE($FC31:GA31),"")</f>
        <v>222.41666666666666</v>
      </c>
      <c r="KQ31" s="225">
        <f>IFERROR(AVERAGE($FC31:GB31),"")</f>
        <v>231.4</v>
      </c>
      <c r="KR31" s="225">
        <f>IFERROR(AVERAGE($FC31:GC31),"")</f>
        <v>222.5</v>
      </c>
      <c r="KS31" s="225">
        <f>IFERROR(AVERAGE($FC31:GD31),"")</f>
        <v>225.74074074074073</v>
      </c>
      <c r="KT31" s="225">
        <f>IFERROR(AVERAGE($FC31:GE31),"")</f>
        <v>230.32142857142858</v>
      </c>
      <c r="KU31" s="225">
        <f>IFERROR(AVERAGE($FC31:GF31),"")</f>
        <v>233.20689655172413</v>
      </c>
      <c r="KV31" s="225">
        <f>IFERROR(AVERAGE($FC31:GG31),"")</f>
        <v>235.9</v>
      </c>
      <c r="KW31" s="225">
        <f>IFERROR(AVERAGE($FC31:GH31),"")</f>
        <v>237.29032258064515</v>
      </c>
      <c r="KX31" s="225">
        <f>IFERROR(AVERAGE($FC31:GI31),"")</f>
        <v>237.09375</v>
      </c>
      <c r="KY31" s="225">
        <f>IFERROR(AVERAGE($FC31:GJ31),"")</f>
        <v>240.12121212121212</v>
      </c>
      <c r="KZ31" s="225">
        <f>IFERROR(AVERAGE($FC31:GK31),"")</f>
        <v>241.79411764705881</v>
      </c>
      <c r="LA31" s="225">
        <f>IFERROR(AVERAGE($FC31:GL31),"")</f>
        <v>245.71428571428572</v>
      </c>
      <c r="LB31" s="225">
        <f>IFERROR(AVERAGE($FC31:GM31),"")</f>
        <v>246.94444444444446</v>
      </c>
      <c r="LC31" s="225">
        <f>IFERROR(AVERAGE($FC31:GN31),"")</f>
        <v>247.81081081081081</v>
      </c>
      <c r="LD31" s="225">
        <f>IFERROR(AVERAGE($FC31:GO31),"")</f>
        <v>249.86842105263159</v>
      </c>
      <c r="LE31" s="225">
        <f>IFERROR(AVERAGE($FC31:GP31),"")</f>
        <v>250.41025641025641</v>
      </c>
      <c r="LF31" s="225">
        <f>IFERROR(AVERAGE($FC31:GQ31),"")</f>
        <v>254.82499999999999</v>
      </c>
      <c r="LG31" s="225">
        <f>IFERROR(AVERAGE($FC31:GR31),"")</f>
        <v>248.60975609756099</v>
      </c>
      <c r="LH31" s="225">
        <f>IFERROR(AVERAGE($FC31:GS31),"")</f>
        <v>248.60975609756099</v>
      </c>
      <c r="LI31" s="225">
        <f>IFERROR(AVERAGE($FC31:GT31),"")</f>
        <v>248.60975609756099</v>
      </c>
      <c r="LJ31" s="225">
        <f>IFERROR(AVERAGE($FC31:GU31),"")</f>
        <v>248.60975609756099</v>
      </c>
      <c r="LK31" s="225">
        <f>IFERROR(AVERAGE($FC31:GV31),"")</f>
        <v>248.60975609756099</v>
      </c>
      <c r="LL31" s="225">
        <f>IFERROR(AVERAGE($FC31:GW31),"")</f>
        <v>248.60975609756099</v>
      </c>
      <c r="LM31" s="225">
        <f>IFERROR(AVERAGE($FC31:GX31),"")</f>
        <v>248.60975609756099</v>
      </c>
      <c r="LN31" s="225">
        <f>IFERROR(AVERAGE($FC31:GY31),"")</f>
        <v>248.60975609756099</v>
      </c>
      <c r="LO31" s="225">
        <f>IFERROR(AVERAGE($FC31:GZ31),"")</f>
        <v>248.60975609756099</v>
      </c>
      <c r="LP31" s="225">
        <f>IFERROR(AVERAGE($FC31:HA31),"")</f>
        <v>248.60975609756099</v>
      </c>
      <c r="LQ31" s="225">
        <f>IFERROR(AVERAGE($FC31:HB31),"")</f>
        <v>248.60975609756099</v>
      </c>
      <c r="LR31" s="225">
        <f>IFERROR(AVERAGE($FC31:HC31),"")</f>
        <v>248.60975609756099</v>
      </c>
      <c r="LT31" s="133" t="str">
        <f>+$C31</f>
        <v>KPI P1</v>
      </c>
      <c r="LU31" s="142" t="str">
        <f>+$D31</f>
        <v>Productivity</v>
      </c>
      <c r="LV31" s="142" t="str">
        <f t="shared" si="104"/>
        <v>Drawings Completed - Order Lines</v>
      </c>
      <c r="LW31" s="143" t="str">
        <f t="shared" si="105"/>
        <v>Count</v>
      </c>
      <c r="LX31" s="143" t="s">
        <v>285</v>
      </c>
      <c r="LY31" s="222" t="str">
        <f>IFERROR(AVERAGE($HJ31:HJ31),"")</f>
        <v/>
      </c>
      <c r="LZ31" s="222">
        <f>IFERROR(IF(LAD$7&gt;$D$3,"",AVERAGE($HJ31:HK31)),"")</f>
        <v>150</v>
      </c>
      <c r="MA31" s="222">
        <f>IFERROR(IF(MA$7&gt;$D$3,"",AVERAGE($HJ31:HL31)),"")</f>
        <v>150</v>
      </c>
      <c r="MB31" s="222">
        <f>IFERROR(IF(MB$7&gt;$D$3,"",AVERAGE($HJ31:HM31)),"")</f>
        <v>150</v>
      </c>
      <c r="MC31" s="222">
        <f>IFERROR(IF(MC$7&gt;$D$3,"",AVERAGE($HJ31:HN31)),"")</f>
        <v>150</v>
      </c>
      <c r="MD31" s="222">
        <f>IFERROR(IF(MD$7&gt;$D$3,"",AVERAGE($HJ31:HO31)),"")</f>
        <v>150</v>
      </c>
      <c r="ME31" s="222">
        <f>IFERROR(IF(ME$7&gt;$D$3,"",AVERAGE($HJ31:HP31)),"")</f>
        <v>150</v>
      </c>
      <c r="MF31" s="222">
        <f>IFERROR(IF(MF$7&gt;$D$3,"",AVERAGE($HJ31:HQ31)),"")</f>
        <v>150</v>
      </c>
      <c r="MG31" s="222">
        <f>IFERROR(IF(MG$7&gt;$D$3,"",AVERAGE($HJ31:HR31)),"")</f>
        <v>150</v>
      </c>
      <c r="MH31" s="222">
        <f>IFERROR(IF(MH$7&gt;$D$3,"",AVERAGE($HJ31:HS31)),"")</f>
        <v>150</v>
      </c>
      <c r="MI31" s="222">
        <f>IFERROR(IF(MI$7&gt;$D$3,"",AVERAGE($HJ31:HT31)),"")</f>
        <v>150</v>
      </c>
      <c r="MJ31" s="222">
        <f>IFERROR(IF(MJ$7&gt;$D$3,"",AVERAGE($HJ31:HU31)),"")</f>
        <v>150</v>
      </c>
      <c r="MK31" s="222">
        <f>IFERROR(IF(MK$7&gt;$D$3,"",AVERAGE($HJ31:HV31)),"")</f>
        <v>158.33333333333334</v>
      </c>
      <c r="ML31" s="222">
        <f>IFERROR(IF(ML$7&gt;$D$3,"",AVERAGE($HJ31:HW31)),"")</f>
        <v>165.38461538461539</v>
      </c>
      <c r="MM31" s="222">
        <f>IFERROR(IF(MM$7&gt;$D$3,"",AVERAGE($HJ31:HX31)),"")</f>
        <v>171.42857142857142</v>
      </c>
      <c r="MN31" s="222">
        <f>IFERROR(IF(MN$7&gt;$D$3,"",AVERAGE($HJ31:HY31)),"")</f>
        <v>176.66666666666666</v>
      </c>
      <c r="MO31" s="222">
        <f>IFERROR(IF(MO$7&gt;$D$3,"",AVERAGE($HJ31:HZ31)),"")</f>
        <v>181.25</v>
      </c>
      <c r="MP31" s="222">
        <f>IFERROR(IF(MP$7&gt;$D$3,"",AVERAGE($HJ31:IA31)),"")</f>
        <v>185.29411764705881</v>
      </c>
      <c r="MQ31" s="222">
        <f>IFERROR(IF(MQ$7&gt;$D$3,"",AVERAGE($HJ31:IB31)),"")</f>
        <v>188.88888888888889</v>
      </c>
      <c r="MR31" s="222">
        <f>IFERROR(IF(MR$7&gt;$D$3,"",AVERAGE($HJ31:IC31)),"")</f>
        <v>192.10526315789474</v>
      </c>
      <c r="MS31" s="222">
        <f>IFERROR(IF(MS$7&gt;$D$3,"",AVERAGE($HJ31:ID31)),"")</f>
        <v>195</v>
      </c>
      <c r="MT31" s="222">
        <f>IFERROR(IF(MT$7&gt;$D$3,"",AVERAGE($HJ31:IE31)),"")</f>
        <v>197.61904761904762</v>
      </c>
      <c r="MU31" s="222">
        <f>IFERROR(IF(MU$7&gt;$D$3,"",AVERAGE($HJ31:IF31)),"")</f>
        <v>200</v>
      </c>
      <c r="MV31" s="222">
        <f>IFERROR(IF(MV$7&gt;$D$3,"",AVERAGE($HJ31:IG31)),"")</f>
        <v>202.17391304347825</v>
      </c>
      <c r="MW31" s="222">
        <f>IFERROR(IF(MW$7&gt;$D$3,"",AVERAGE($HJ31:IH31)),"")</f>
        <v>204.16666666666666</v>
      </c>
      <c r="MX31" s="222">
        <f>IFERROR(IF(MX$7&gt;$D$3,"",AVERAGE($HJ31:II31)),"")</f>
        <v>206</v>
      </c>
      <c r="MY31" s="222">
        <f>IFERROR(IF(MY$7&gt;$D$3,"",AVERAGE($HJ31:IJ31)),"")</f>
        <v>207.69230769230768</v>
      </c>
      <c r="MZ31" s="222">
        <f>IFERROR(IF(MZ$7&gt;$D$3,"",AVERAGE($HJ31:IK31)),"")</f>
        <v>212.96296296296296</v>
      </c>
      <c r="NA31" s="222">
        <f>IFERROR(IF(NA$7&gt;$D$3,"",AVERAGE($HJ31:IL31)),"")</f>
        <v>217.85714285714286</v>
      </c>
      <c r="NB31" s="222">
        <f>IFERROR(IF(NB$7&gt;$D$3,"",AVERAGE($HJ31:IM31)),"")</f>
        <v>222.41379310344828</v>
      </c>
      <c r="NC31" s="222">
        <f>IFERROR(IF(NC$7&gt;$D$3,"",AVERAGE($HJ31:IN31)),"")</f>
        <v>226.66666666666666</v>
      </c>
      <c r="ND31" s="222">
        <f>IFERROR(IF(ND$7&gt;$D$3,"",AVERAGE($HJ31:IO31)),"")</f>
        <v>230.64516129032259</v>
      </c>
      <c r="NE31" s="222">
        <f>IFERROR(IF(NE$7&gt;$D$3,"",AVERAGE($HJ31:IP31)),"")</f>
        <v>234.375</v>
      </c>
      <c r="NF31" s="222">
        <f>IFERROR(IF(NF$7&gt;$D$3,"",AVERAGE($HJ31:IQ31)),"")</f>
        <v>237.87878787878788</v>
      </c>
      <c r="NG31" s="222">
        <f>IFERROR(IF(NG$7&gt;$D$3,"",AVERAGE($HJ31:IR31)),"")</f>
        <v>241.1764705882353</v>
      </c>
      <c r="NH31" s="222">
        <f>IFERROR(IF(NH$7&gt;$D$3,"",AVERAGE($HJ31:IS31)),"")</f>
        <v>244.28571428571428</v>
      </c>
      <c r="NI31" s="222">
        <f>IFERROR(IF(NI$7&gt;$D$3,"",AVERAGE($HJ31:IT31)),"")</f>
        <v>247.22222222222223</v>
      </c>
      <c r="NJ31" s="222">
        <f>IFERROR(IF(NJ$7&gt;$D$3,"",AVERAGE($HJ31:IU31)),"")</f>
        <v>250</v>
      </c>
      <c r="NK31" s="222">
        <f>IFERROR(IF(NK$7&gt;$D$3,"",AVERAGE($HJ31:IV31)),"")</f>
        <v>252.63157894736841</v>
      </c>
      <c r="NL31" s="222">
        <f>IFERROR(IF(NL$7&gt;$D$3,"",AVERAGE($HJ31:IW31)),"")</f>
        <v>255.12820512820514</v>
      </c>
      <c r="NM31" s="222">
        <f>IFERROR(IF(NM$7&gt;$D$3,"",AVERAGE($HJ31:IX31)),"")</f>
        <v>257.5</v>
      </c>
      <c r="NN31" s="222">
        <f>IFERROR(IF(NN$7&gt;$D$3,"",AVERAGE($HJ31:IY31)),"")</f>
        <v>259.7560975609756</v>
      </c>
      <c r="NO31" s="222" t="str">
        <f>IFERROR(IF(NO$7&gt;$D$3,"",AVERAGE($HJ31:IZ31)),"")</f>
        <v/>
      </c>
      <c r="NP31" s="222" t="str">
        <f>IFERROR(IF(NP$7&gt;$D$3,"",AVERAGE($HJ31:JA31)),"")</f>
        <v/>
      </c>
      <c r="NQ31" s="222" t="str">
        <f>IFERROR(IF(NQ$7&gt;$D$3,"",AVERAGE($HJ31:JB31)),"")</f>
        <v/>
      </c>
      <c r="NR31" s="222" t="str">
        <f>IFERROR(IF(NR$7&gt;$D$3,"",AVERAGE($HJ31:JC31)),"")</f>
        <v/>
      </c>
      <c r="NS31" s="222" t="str">
        <f>IFERROR(IF(NS$7&gt;$D$3,"",AVERAGE($HJ31:JD31)),"")</f>
        <v/>
      </c>
      <c r="NT31" s="222" t="str">
        <f>IFERROR(IF(NT$7&gt;$D$3,"",AVERAGE($HJ31:JE31)),"")</f>
        <v/>
      </c>
      <c r="NU31" s="222" t="str">
        <f>IFERROR(IF(NU$7&gt;$D$3,"",AVERAGE($HJ31:JF31)),"")</f>
        <v/>
      </c>
      <c r="NV31" s="222" t="str">
        <f>IFERROR(IF(NV$7&gt;$D$3,"",AVERAGE($HJ31:JG31)),"")</f>
        <v/>
      </c>
      <c r="NW31" s="222" t="str">
        <f>IFERROR(IF(NW$7&gt;$D$3,"",AVERAGE($HJ31:JH31)),"")</f>
        <v/>
      </c>
      <c r="NX31" s="222" t="str">
        <f>IFERROR(IF(NX$7&gt;$D$3,"",AVERAGE($HJ31:JI31)),"")</f>
        <v/>
      </c>
      <c r="NY31" s="222" t="str">
        <f>IFERROR(IF(NY$7&gt;$D$3,"",AVERAGE($HJ31:JJ31)),"")</f>
        <v/>
      </c>
    </row>
    <row r="32" spans="1:389" x14ac:dyDescent="0.3">
      <c r="A32" t="str">
        <f>$B$30&amp;"-"&amp;C32</f>
        <v>Product Design-KPI D1</v>
      </c>
      <c r="B32" s="918" t="str">
        <f>+'KPI Stats'!B37</f>
        <v>Paul Dolan</v>
      </c>
      <c r="C32" s="136" t="str">
        <f>+'KPI Stats'!C37</f>
        <v>KPI D1</v>
      </c>
      <c r="D32" s="144" t="str">
        <f>+'KPI Stats'!D37</f>
        <v>Delivery</v>
      </c>
      <c r="E32" s="144" t="str">
        <f>+'KPI Stats'!E37</f>
        <v>Delivery against Target as a percentage</v>
      </c>
      <c r="F32" s="145" t="str">
        <f>+'KPI Stats'!F37</f>
        <v>Percentage</v>
      </c>
      <c r="G32" s="169" t="str">
        <f>+'KPI Stats'!G37</f>
        <v>Under</v>
      </c>
      <c r="J32" s="69" t="str">
        <f>_xlfn.XLOOKUP(J$7,$AM$7:$CM$7,$AM32:$CM32,,FALSE)</f>
        <v>OD</v>
      </c>
      <c r="K32" s="264">
        <f>_xlfn.XLOOKUP(K$7,$FC$7:$HC$7,$FC32:$HC32,,FALSE)</f>
        <v>0</v>
      </c>
      <c r="L32" s="278">
        <f>_xlfn.XLOOKUP(L$7,$HJ$7:$JJ$7,$HJ32:$JJ32,,FALSE)</f>
        <v>90</v>
      </c>
      <c r="M32" s="285" t="str">
        <f>_xlfn.XLOOKUP(M$7,$CU$7:$EU$7,$CU32:$EU32,,FALSE)</f>
        <v>OD</v>
      </c>
      <c r="P32" s="69" t="str">
        <f>_xlfn.XLOOKUP(P$7,$AM$7:$CM$7,$AM32:$CM32,,FALSE)</f>
        <v>OD</v>
      </c>
      <c r="Q32" s="264">
        <f t="shared" si="108"/>
        <v>0</v>
      </c>
      <c r="R32" s="278">
        <f t="shared" si="108"/>
        <v>85.2</v>
      </c>
      <c r="S32" s="301" t="str">
        <f t="shared" si="109"/>
        <v>OD</v>
      </c>
      <c r="T32" s="302">
        <f t="shared" si="109"/>
        <v>0.94666666666666666</v>
      </c>
      <c r="U32" s="295" t="str">
        <f>IF(F30&lt;$R$2,"Not Complete",IF(Q32=R32,"Same −",IF($G32="Over",IF(Q32&lt;R32,"Better ↑","Worse ↓"),IF($G32="Under",IF(Q32&gt;R32,"Better ↑","Worse ↓"),"err"))))</f>
        <v>Worse ↓</v>
      </c>
      <c r="X32" s="69" t="str">
        <f t="shared" si="110"/>
        <v>R</v>
      </c>
      <c r="Y32" s="114">
        <f>_xlfn.XLOOKUP(Y$7,$JR$7:$LR$7,$JR32:$LR32,FALSE)</f>
        <v>66.828292682926829</v>
      </c>
      <c r="Z32" s="114">
        <f>_xlfn.XLOOKUP(Z$7,$LY$7:$NY$7,$LY32:$NY32,FALSE)</f>
        <v>90</v>
      </c>
      <c r="AA32" s="254">
        <f>IF(G32="under",Y32/Z32,IF(G32="over",Z32/Y32,"err"))</f>
        <v>0.74253658536585365</v>
      </c>
      <c r="AB32" s="295" t="str">
        <f>IF(F30&lt;$R$2,"TBC",IF(Y32=Z32,"Same −",IF($G32="Over",IF(Z32&lt;Y32,"Better ↑ ","Worse ↓ "),IF($G32="Under",IF(Y32&gt;Z32,"Better ↑ ","Worse ↓ "),"err"))))</f>
        <v xml:space="preserve">Worse ↓ </v>
      </c>
      <c r="AC32" s="69" t="str">
        <f>IF(AND(G32="above adero",AD32&gt;0),"R",IF(AF32&gt;1,"G",IF(AF32&gt;0.95,"A","R")))</f>
        <v>R</v>
      </c>
      <c r="AD32" s="114">
        <f>_xlfn.XLOOKUP(AD$7,$JR$7:$LR$7,$JR32:$LR32,FALSE)</f>
        <v>68.498999999999995</v>
      </c>
      <c r="AE32" s="114">
        <f>_xlfn.XLOOKUP(AE$7,$LY$7:$NY$7,$LY32:$NY32,FALSE)</f>
        <v>90</v>
      </c>
      <c r="AF32" s="254">
        <f>IF(G32="under",AD32/AE32,IF(G32="over",AE32/AD32,"err"))</f>
        <v>0.7611</v>
      </c>
      <c r="AH32" s="465" t="str">
        <f>+$A32</f>
        <v>Product Design-KPI D1</v>
      </c>
      <c r="AI32" s="136" t="str">
        <f t="shared" si="111"/>
        <v>KPI D1</v>
      </c>
      <c r="AJ32" s="144" t="str">
        <f t="shared" si="111"/>
        <v>Delivery</v>
      </c>
      <c r="AK32" s="144" t="str">
        <f t="shared" si="87"/>
        <v>Delivery against Target as a percentage</v>
      </c>
      <c r="AL32" s="145" t="str">
        <f t="shared" si="87"/>
        <v>Percentage</v>
      </c>
      <c r="AM32" s="69" t="str">
        <f>IF(AM$7&gt;$D$3,"",_xlfn.XLOOKUP(AM$7,'Product Design'!$M$6:$BM$6,'Product Design'!$M$13:$BM$13))</f>
        <v>Blank</v>
      </c>
      <c r="AN32" s="199" t="str">
        <f>IF(AN$7&gt;$D$3,"",_xlfn.XLOOKUP(AN$7,'Product Design'!$M$6:$BM$6,'Product Design'!$M$13:$BM$13))</f>
        <v>G</v>
      </c>
      <c r="AO32" s="69" t="str">
        <f>IF(AO$7&gt;$D$3,"",_xlfn.XLOOKUP(AO$7,'Product Design'!$M$6:$BM$6,'Product Design'!$M$13:$BM$13))</f>
        <v>G</v>
      </c>
      <c r="AP32" s="69" t="str">
        <f>IF(AP$7&gt;$D$3,"",_xlfn.XLOOKUP(AP$7,'Product Design'!$M$6:$BM$6,'Product Design'!$M$13:$BM$13))</f>
        <v>R</v>
      </c>
      <c r="AQ32" s="69" t="str">
        <f>IF(AQ$7&gt;$D$3,"",_xlfn.XLOOKUP(AQ$7,'Product Design'!$M$6:$BM$6,'Product Design'!$M$13:$BM$13))</f>
        <v>G</v>
      </c>
      <c r="AR32" s="69" t="str">
        <f>IF(AR$7&gt;$D$3,"",_xlfn.XLOOKUP(AR$7,'Product Design'!$M$6:$BM$6,'Product Design'!$M$13:$BM$13))</f>
        <v>G</v>
      </c>
      <c r="AS32" s="69" t="str">
        <f>IF(AS$7&gt;$D$3,"",_xlfn.XLOOKUP(AS$7,'Product Design'!$M$6:$BM$6,'Product Design'!$M$13:$BM$13))</f>
        <v>A</v>
      </c>
      <c r="AT32" s="69" t="str">
        <f>IF(AT$7&gt;$D$3,"",_xlfn.XLOOKUP(AT$7,'Product Design'!$M$6:$BM$6,'Product Design'!$M$13:$BM$13))</f>
        <v>R</v>
      </c>
      <c r="AU32" s="69" t="str">
        <f>IF(AU$7&gt;$D$3,"",_xlfn.XLOOKUP(AU$7,'Product Design'!$M$6:$BM$6,'Product Design'!$M$13:$BM$13))</f>
        <v>G</v>
      </c>
      <c r="AV32" s="69" t="str">
        <f>IF(AV$7&gt;$D$3,"",_xlfn.XLOOKUP(AV$7,'Product Design'!$M$6:$BM$6,'Product Design'!$M$13:$BM$13))</f>
        <v>G</v>
      </c>
      <c r="AW32" s="69" t="str">
        <f>IF(AW$7&gt;$D$3,"",_xlfn.XLOOKUP(AW$7,'Product Design'!$M$6:$BM$6,'Product Design'!$M$13:$BM$13))</f>
        <v>G</v>
      </c>
      <c r="AX32" s="69" t="str">
        <f>IF(AX$7&gt;$D$3,"",_xlfn.XLOOKUP(AX$7,'Product Design'!$M$6:$BM$6,'Product Design'!$M$13:$BM$13))</f>
        <v>R</v>
      </c>
      <c r="AY32" s="69" t="str">
        <f>IF(AY$7&gt;$D$3,"",_xlfn.XLOOKUP(AY$7,'Product Design'!$M$6:$BM$6,'Product Design'!$M$13:$BM$13))</f>
        <v>G</v>
      </c>
      <c r="AZ32" s="69" t="str">
        <f>IF(AZ$7&gt;$D$3,"",_xlfn.XLOOKUP(AZ$7,'Product Design'!$M$6:$BM$6,'Product Design'!$M$13:$BM$13))</f>
        <v>R</v>
      </c>
      <c r="BA32" s="69" t="str">
        <f>IF(BA$7&gt;$D$3,"",_xlfn.XLOOKUP(BA$7,'Product Design'!$M$6:$BM$6,'Product Design'!$M$13:$BM$13))</f>
        <v>R</v>
      </c>
      <c r="BB32" s="69" t="str">
        <f>IF(BB$7&gt;$D$3,"",_xlfn.XLOOKUP(BB$7,'Product Design'!$M$6:$BM$6,'Product Design'!$M$13:$BM$13))</f>
        <v>R</v>
      </c>
      <c r="BC32" s="69" t="str">
        <f>IF(BC$7&gt;$D$3,"",_xlfn.XLOOKUP(BC$7,'Product Design'!$M$6:$BM$6,'Product Design'!$M$13:$BM$13))</f>
        <v>R</v>
      </c>
      <c r="BD32" s="69" t="str">
        <f>IF(BD$7&gt;$D$3,"",_xlfn.XLOOKUP(BD$7,'Product Design'!$M$6:$BM$6,'Product Design'!$M$13:$BM$13))</f>
        <v>R</v>
      </c>
      <c r="BE32" s="69" t="str">
        <f>IF(BE$7&gt;$D$3,"",_xlfn.XLOOKUP(BE$7,'Product Design'!$M$6:$BM$6,'Product Design'!$M$13:$BM$13))</f>
        <v>R</v>
      </c>
      <c r="BF32" s="69" t="str">
        <f>IF(BF$7&gt;$D$3,"",_xlfn.XLOOKUP(BF$7,'Product Design'!$M$6:$BM$6,'Product Design'!$M$13:$BM$13))</f>
        <v>R</v>
      </c>
      <c r="BG32" s="69" t="str">
        <f>IF(BG$7&gt;$D$3,"",_xlfn.XLOOKUP(BG$7,'Product Design'!$M$6:$BM$6,'Product Design'!$M$13:$BM$13))</f>
        <v>R</v>
      </c>
      <c r="BH32" s="69" t="str">
        <f>IF(BH$7&gt;$D$3,"",_xlfn.XLOOKUP(BH$7,'Product Design'!$M$6:$BM$6,'Product Design'!$M$13:$BM$13))</f>
        <v>R</v>
      </c>
      <c r="BI32" s="69" t="str">
        <f>IF(BI$7&gt;$D$3,"",_xlfn.XLOOKUP(BI$7,'Product Design'!$M$6:$BM$6,'Product Design'!$M$13:$BM$13))</f>
        <v>R</v>
      </c>
      <c r="BJ32" s="69" t="str">
        <f>IF(BJ$7&gt;$D$3,"",_xlfn.XLOOKUP(BJ$7,'Product Design'!$M$6:$BM$6,'Product Design'!$M$13:$BM$13))</f>
        <v>R</v>
      </c>
      <c r="BK32" s="69" t="str">
        <f>IF(BK$7&gt;$D$3,"",_xlfn.XLOOKUP(BK$7,'Product Design'!$M$6:$BM$6,'Product Design'!$M$13:$BM$13))</f>
        <v>R</v>
      </c>
      <c r="BL32" s="69" t="str">
        <f>IF(BL$7&gt;$D$3,"",_xlfn.XLOOKUP(BL$7,'Product Design'!$M$6:$BM$6,'Product Design'!$M$13:$BM$13))</f>
        <v>R</v>
      </c>
      <c r="BM32" s="69" t="str">
        <f>IF(BM$7&gt;$D$3,"",_xlfn.XLOOKUP(BM$7,'Product Design'!$M$6:$BM$6,'Product Design'!$M$13:$BM$13))</f>
        <v>OD</v>
      </c>
      <c r="BN32" s="69" t="str">
        <f>IF(BN$7&gt;$D$3,"",_xlfn.XLOOKUP(BN$7,'Product Design'!$M$6:$BM$6,'Product Design'!$M$13:$BM$13))</f>
        <v>R</v>
      </c>
      <c r="BO32" s="69" t="str">
        <f>IF(BO$7&gt;$D$3,"",_xlfn.XLOOKUP(BO$7,'Product Design'!$M$6:$BM$6,'Product Design'!$M$13:$BM$13))</f>
        <v>R</v>
      </c>
      <c r="BP32" s="69" t="str">
        <f>IF(BP$7&gt;$D$3,"",_xlfn.XLOOKUP(BP$7,'Product Design'!$M$6:$BM$6,'Product Design'!$M$13:$BM$13))</f>
        <v>G</v>
      </c>
      <c r="BQ32" s="69" t="str">
        <f>IF(BQ$7&gt;$D$3,"",_xlfn.XLOOKUP(BQ$7,'Product Design'!$M$6:$BM$6,'Product Design'!$M$13:$BM$13))</f>
        <v>R</v>
      </c>
      <c r="BR32" s="69" t="str">
        <f>IF(BR$7&gt;$D$3,"",_xlfn.XLOOKUP(BR$7,'Product Design'!$M$6:$BM$6,'Product Design'!$M$13:$BM$13))</f>
        <v>A</v>
      </c>
      <c r="BS32" s="69" t="str">
        <f>IF(BS$7&gt;$D$3,"",_xlfn.XLOOKUP(BS$7,'Product Design'!$M$6:$BM$6,'Product Design'!$M$13:$BM$13))</f>
        <v>A</v>
      </c>
      <c r="BT32" s="69" t="str">
        <f>IF(BT$7&gt;$D$3,"",_xlfn.XLOOKUP(BT$7,'Product Design'!$M$6:$BM$6,'Product Design'!$M$13:$BM$13))</f>
        <v>G</v>
      </c>
      <c r="BU32" s="69" t="str">
        <f>IF(BU$7&gt;$D$3,"",_xlfn.XLOOKUP(BU$7,'Product Design'!$M$6:$BM$6,'Product Design'!$M$13:$BM$13))</f>
        <v>G</v>
      </c>
      <c r="BV32" s="69" t="str">
        <f>IF(BV$7&gt;$D$3,"",_xlfn.XLOOKUP(BV$7,'Product Design'!$M$6:$BM$6,'Product Design'!$M$13:$BM$13))</f>
        <v>G</v>
      </c>
      <c r="BW32" s="69" t="str">
        <f>IF(BW$7&gt;$D$3,"",_xlfn.XLOOKUP(BW$7,'Product Design'!$M$6:$BM$6,'Product Design'!$M$13:$BM$13))</f>
        <v>R</v>
      </c>
      <c r="BX32" s="69" t="str">
        <f>IF(BX$7&gt;$D$3,"",_xlfn.XLOOKUP(BX$7,'Product Design'!$M$6:$BM$6,'Product Design'!$M$13:$BM$13))</f>
        <v>G</v>
      </c>
      <c r="BY32" s="69" t="str">
        <f>IF(BY$7&gt;$D$3,"",_xlfn.XLOOKUP(BY$7,'Product Design'!$M$6:$BM$6,'Product Design'!$M$13:$BM$13))</f>
        <v>G</v>
      </c>
      <c r="BZ32" s="69" t="str">
        <f>IF(BZ$7&gt;$D$3,"",_xlfn.XLOOKUP(BZ$7,'Product Design'!$M$6:$BM$6,'Product Design'!$M$13:$BM$13))</f>
        <v>G</v>
      </c>
      <c r="CA32" s="69" t="str">
        <f>IF(CA$7&gt;$D$3,"",_xlfn.XLOOKUP(CA$7,'Product Design'!$M$6:$BM$6,'Product Design'!$M$13:$BM$13))</f>
        <v>R</v>
      </c>
      <c r="CB32" s="69" t="str">
        <f>IF(CB$7&gt;$D$3,"",_xlfn.XLOOKUP(CB$7,'Product Design'!$M$6:$BM$6,'Product Design'!$M$13:$BM$13))</f>
        <v>OD</v>
      </c>
      <c r="CC32" s="69" t="str">
        <f>IF(CC$7&gt;$D$3,"",_xlfn.XLOOKUP(CC$7,'Product Design'!$M$6:$BM$6,'Product Design'!$M$13:$BM$13))</f>
        <v/>
      </c>
      <c r="CD32" s="69" t="str">
        <f>IF(CD$7&gt;$D$3,"",_xlfn.XLOOKUP(CD$7,'Product Design'!$M$6:$BM$6,'Product Design'!$M$13:$BM$13))</f>
        <v/>
      </c>
      <c r="CE32" s="69" t="str">
        <f>IF(CE$7&gt;$D$3,"",_xlfn.XLOOKUP(CE$7,'Product Design'!$M$6:$BM$6,'Product Design'!$M$13:$BM$13))</f>
        <v/>
      </c>
      <c r="CF32" s="69" t="str">
        <f>IF(CF$7&gt;$D$3,"",_xlfn.XLOOKUP(CF$7,'Product Design'!$M$6:$BM$6,'Product Design'!$M$13:$BM$13))</f>
        <v/>
      </c>
      <c r="CG32" s="69" t="str">
        <f>IF(CG$7&gt;$D$3,"",_xlfn.XLOOKUP(CG$7,'Product Design'!$M$6:$BM$6,'Product Design'!$M$13:$BM$13))</f>
        <v/>
      </c>
      <c r="CH32" s="69" t="str">
        <f>IF(CH$7&gt;$D$3,"",_xlfn.XLOOKUP(CH$7,'Product Design'!$M$6:$BM$6,'Product Design'!$M$13:$BM$13))</f>
        <v/>
      </c>
      <c r="CI32" s="69" t="str">
        <f>IF(CI$7&gt;$D$3,"",_xlfn.XLOOKUP(CI$7,'Product Design'!$M$6:$BM$6,'Product Design'!$M$13:$BM$13))</f>
        <v/>
      </c>
      <c r="CJ32" s="69" t="str">
        <f>IF(CJ$7&gt;$D$3,"",_xlfn.XLOOKUP(CJ$7,'Product Design'!$M$6:$BM$6,'Product Design'!$M$13:$BM$13))</f>
        <v/>
      </c>
      <c r="CK32" s="69" t="str">
        <f>IF(CK$7&gt;$D$3,"",_xlfn.XLOOKUP(CK$7,'Product Design'!$M$6:$BM$6,'Product Design'!$M$13:$BM$13))</f>
        <v/>
      </c>
      <c r="CL32" s="69" t="str">
        <f>IF(CL$7&gt;$D$3,"",_xlfn.XLOOKUP(CL$7,'Product Design'!$M$6:$BM$6,'Product Design'!$M$13:$BM$13))</f>
        <v/>
      </c>
      <c r="CM32" s="69" t="str">
        <f>IF(CM$7&gt;$D$3,"",_xlfn.XLOOKUP(CM$7,'Product Design'!$M$6:$BM$6,'Product Design'!$M$13:$BM$13))</f>
        <v/>
      </c>
      <c r="CO32" s="465" t="str">
        <f>+$A32</f>
        <v>Product Design-KPI D1</v>
      </c>
      <c r="CP32" s="136" t="str">
        <f t="shared" si="112"/>
        <v>KPI D1</v>
      </c>
      <c r="CQ32" s="144" t="str">
        <f t="shared" si="112"/>
        <v>Delivery</v>
      </c>
      <c r="CR32" s="144" t="str">
        <f t="shared" si="112"/>
        <v>Delivery against Target as a percentage</v>
      </c>
      <c r="CS32" s="145" t="str">
        <f t="shared" si="112"/>
        <v>Percentage</v>
      </c>
      <c r="CT32" s="207" t="s">
        <v>246</v>
      </c>
      <c r="CU32" s="69" t="str">
        <f>IF(CU$7&gt;$D$3,"",_xlfn.XLOOKUP(CU$7,'Product Design'!$M$6:$BM$6,'Product Design'!$M$13:$BM$13))</f>
        <v>Blank</v>
      </c>
      <c r="CV32" s="323">
        <f>IFERROR(IF(CV$7&gt;$D$3,"",IF(AN32="OD","OD",IF(AN32="Missed","Missed",IF(AN32="TBC","TBC",IF(AN32="Undefined","Undefined",_xlfn.XLOOKUP(CV$7,'Product Design'!$M$6:$BM$6,'Product Design'!$M$12:$BM$12)/_xlfn.XLOOKUP(CV$7,'Product Design'!$M$6:$BM$6,'Product Design'!$M$11:$BM$11)))))),"")</f>
        <v>1.1111111111111112</v>
      </c>
      <c r="CW32" s="315">
        <f>IFERROR(IF(CW$7&gt;$D$3,"",IF(AO32="OD","OD",IF(AO32="Missed","Missed",IF(AO32="TBC","TBC",IF(AO32="Undefined","Undefined",_xlfn.XLOOKUP(CW$7,'Product Design'!$M$6:$BM$6,'Product Design'!$M$12:$BM$12)/_xlfn.XLOOKUP(CW$7,'Product Design'!$M$6:$BM$6,'Product Design'!$M$11:$BM$11)))))),"")</f>
        <v>1.0666666666666667</v>
      </c>
      <c r="CX32" s="315">
        <f>IFERROR(IF(CX$7&gt;$D$3,"",IF(AP32="OD","OD",IF(AP32="Missed","Missed",IF(AP32="TBC","TBC",IF(AP32="Undefined","Undefined",_xlfn.XLOOKUP(CX$7,'Product Design'!$M$6:$BM$6,'Product Design'!$M$12:$BM$12)/_xlfn.XLOOKUP(CX$7,'Product Design'!$M$6:$BM$6,'Product Design'!$M$11:$BM$11)))))),"")</f>
        <v>0.8666666666666667</v>
      </c>
      <c r="CY32" s="315">
        <f>IFERROR(IF(CY$7&gt;$D$3,"",IF(AQ32="OD","OD",IF(AQ32="Missed","Missed",IF(AQ32="TBC","TBC",IF(AQ32="Undefined","Undefined",_xlfn.XLOOKUP(CY$7,'Product Design'!$M$6:$BM$6,'Product Design'!$M$12:$BM$12)/_xlfn.XLOOKUP(CY$7,'Product Design'!$M$6:$BM$6,'Product Design'!$M$11:$BM$11)))))),"")</f>
        <v>1.0555555555555556</v>
      </c>
      <c r="CZ32" s="315">
        <f>IFERROR(IF(CZ$7&gt;$D$3,"",IF(AR32="OD","OD",IF(AR32="Missed","Missed",IF(AR32="TBC","TBC",IF(AR32="Undefined","Undefined",_xlfn.XLOOKUP(CZ$7,'Product Design'!$M$6:$BM$6,'Product Design'!$M$12:$BM$12)/_xlfn.XLOOKUP(CZ$7,'Product Design'!$M$6:$BM$6,'Product Design'!$M$11:$BM$11)))))),"")</f>
        <v>1.0666666666666667</v>
      </c>
      <c r="DA32" s="315">
        <f>IFERROR(IF(DA$7&gt;$D$3,"",IF(AS32="OD","OD",IF(AS32="Missed","Missed",IF(AS32="TBC","TBC",IF(AS32="Undefined","Undefined",_xlfn.XLOOKUP(DA$7,'Product Design'!$M$6:$BM$6,'Product Design'!$M$12:$BM$12)/_xlfn.XLOOKUP(DA$7,'Product Design'!$M$6:$BM$6,'Product Design'!$M$11:$BM$11)))))),"")</f>
        <v>0.98888888888888893</v>
      </c>
      <c r="DB32" s="315">
        <f>IFERROR(IF(DB$7&gt;$D$3,"",IF(AT32="OD","OD",IF(AT32="Missed","Missed",IF(AT32="TBC","TBC",IF(AT32="Undefined","Undefined",_xlfn.XLOOKUP(DB$7,'Product Design'!$M$6:$BM$6,'Product Design'!$M$12:$BM$12)/_xlfn.XLOOKUP(DB$7,'Product Design'!$M$6:$BM$6,'Product Design'!$M$11:$BM$11)))))),"")</f>
        <v>0.94444444444444442</v>
      </c>
      <c r="DC32" s="315">
        <f>IFERROR(IF(DC$7&gt;$D$3,"",IF(AU32="OD","OD",IF(AU32="Missed","Missed",IF(AU32="TBC","TBC",IF(AU32="Undefined","Undefined",_xlfn.XLOOKUP(DC$7,'Product Design'!$M$6:$BM$6,'Product Design'!$M$12:$BM$12)/_xlfn.XLOOKUP(DC$7,'Product Design'!$M$6:$BM$6,'Product Design'!$M$11:$BM$11)))))),"")</f>
        <v>1.0666666666666667</v>
      </c>
      <c r="DD32" s="315">
        <f>IFERROR(IF(DD$7&gt;$D$3,"",IF(AV32="OD","OD",IF(AV32="Missed","Missed",IF(AV32="TBC","TBC",IF(AV32="Undefined","Undefined",_xlfn.XLOOKUP(DD$7,'Product Design'!$M$6:$BM$6,'Product Design'!$M$12:$BM$12)/_xlfn.XLOOKUP(DD$7,'Product Design'!$M$6:$BM$6,'Product Design'!$M$11:$BM$11)))))),"")</f>
        <v>1.0111111111111111</v>
      </c>
      <c r="DE32" s="315">
        <f>IFERROR(IF(DE$7&gt;$D$3,"",IF(AW32="OD","OD",IF(AW32="Missed","Missed",IF(AW32="TBC","TBC",IF(AW32="Undefined","Undefined",_xlfn.XLOOKUP(DE$7,'Product Design'!$M$6:$BM$6,'Product Design'!$M$12:$BM$12)/_xlfn.XLOOKUP(DE$7,'Product Design'!$M$6:$BM$6,'Product Design'!$M$11:$BM$11)))))),"")</f>
        <v>1</v>
      </c>
      <c r="DF32" s="315">
        <f>IFERROR(IF(DF$7&gt;$D$3,"",IF(AX32="OD","OD",IF(AX32="Missed","Missed",IF(AX32="TBC","TBC",IF(AX32="Undefined","Undefined",_xlfn.XLOOKUP(DF$7,'Product Design'!$M$6:$BM$6,'Product Design'!$M$12:$BM$12)/_xlfn.XLOOKUP(DF$7,'Product Design'!$M$6:$BM$6,'Product Design'!$M$11:$BM$11)))))),"")</f>
        <v>0.92066666666666663</v>
      </c>
      <c r="DG32" s="315">
        <f>IFERROR(IF(DG$7&gt;$D$3,"",IF(AY32="OD","OD",IF(AY32="Missed","Missed",IF(AY32="TBC","TBC",IF(AY32="Undefined","Undefined",_xlfn.XLOOKUP(DG$7,'Product Design'!$M$6:$BM$6,'Product Design'!$M$12:$BM$12)/_xlfn.XLOOKUP(DG$7,'Product Design'!$M$6:$BM$6,'Product Design'!$M$11:$BM$11)))))),"")</f>
        <v>1.0555555555555556</v>
      </c>
      <c r="DH32" s="315">
        <f>IFERROR(IF(DH$7&gt;$D$3,"",IF(AZ32="OD","OD",IF(AZ32="Missed","Missed",IF(AZ32="TBC","TBC",IF(AZ32="Undefined","Undefined",_xlfn.XLOOKUP(DH$7,'Product Design'!$M$6:$BM$6,'Product Design'!$M$12:$BM$12)/_xlfn.XLOOKUP(DH$7,'Product Design'!$M$6:$BM$6,'Product Design'!$M$11:$BM$11)))))),"")</f>
        <v>0.3888888888888889</v>
      </c>
      <c r="DI32" s="315">
        <f>IFERROR(IF(DI$7&gt;$D$3,"",IF(BA32="OD","OD",IF(BA32="Missed","Missed",IF(BA32="TBC","TBC",IF(BA32="Undefined","Undefined",_xlfn.XLOOKUP(DI$7,'Product Design'!$M$6:$BM$6,'Product Design'!$M$12:$BM$12)/_xlfn.XLOOKUP(DI$7,'Product Design'!$M$6:$BM$6,'Product Design'!$M$11:$BM$11)))))),"")</f>
        <v>0.52222222222222225</v>
      </c>
      <c r="DJ32" s="315">
        <f>IFERROR(IF(DJ$7&gt;$D$3,"",IF(BB32="OD","OD",IF(BB32="Missed","Missed",IF(BB32="TBC","TBC",IF(BB32="Undefined","Undefined",_xlfn.XLOOKUP(DJ$7,'Product Design'!$M$6:$BM$6,'Product Design'!$M$12:$BM$12)/_xlfn.XLOOKUP(DJ$7,'Product Design'!$M$6:$BM$6,'Product Design'!$M$11:$BM$11)))))),"")</f>
        <v>0.43333333333333335</v>
      </c>
      <c r="DK32" s="315">
        <f>IFERROR(IF(DK$7&gt;$D$3,"",IF(BC32="OD","OD",IF(BC32="Missed","Missed",IF(BC32="TBC","TBC",IF(BC32="Undefined","Undefined",_xlfn.XLOOKUP(DK$7,'Product Design'!$M$6:$BM$6,'Product Design'!$M$12:$BM$12)/_xlfn.XLOOKUP(DK$7,'Product Design'!$M$6:$BM$6,'Product Design'!$M$11:$BM$11)))))),"")</f>
        <v>0.57777777777777772</v>
      </c>
      <c r="DL32" s="315">
        <f>IFERROR(IF(DL$7&gt;$D$3,"",IF(BD32="OD","OD",IF(BD32="Missed","Missed",IF(BD32="TBC","TBC",IF(BD32="Undefined","Undefined",_xlfn.XLOOKUP(DL$7,'Product Design'!$M$6:$BM$6,'Product Design'!$M$12:$BM$12)/_xlfn.XLOOKUP(DL$7,'Product Design'!$M$6:$BM$6,'Product Design'!$M$11:$BM$11)))))),"")</f>
        <v>0.41111111111111109</v>
      </c>
      <c r="DM32" s="315">
        <f>IFERROR(IF(DM$7&gt;$D$3,"",IF(BE32="OD","OD",IF(BE32="Missed","Missed",IF(BE32="TBC","TBC",IF(BE32="Undefined","Undefined",_xlfn.XLOOKUP(DM$7,'Product Design'!$M$6:$BM$6,'Product Design'!$M$12:$BM$12)/_xlfn.XLOOKUP(DM$7,'Product Design'!$M$6:$BM$6,'Product Design'!$M$11:$BM$11)))))),"")</f>
        <v>0.3888888888888889</v>
      </c>
      <c r="DN32" s="315">
        <f>IFERROR(IF(DN$7&gt;$D$3,"",IF(BF32="OD","OD",IF(BF32="Missed","Missed",IF(BF32="TBC","TBC",IF(BF32="Undefined","Undefined",_xlfn.XLOOKUP(DN$7,'Product Design'!$M$6:$BM$6,'Product Design'!$M$12:$BM$12)/_xlfn.XLOOKUP(DN$7,'Product Design'!$M$6:$BM$6,'Product Design'!$M$11:$BM$11)))))),"")</f>
        <v>0.42222222222222222</v>
      </c>
      <c r="DO32" s="315">
        <f>IFERROR(IF(DO$7&gt;$D$3,"",IF(BG32="OD","OD",IF(BG32="Missed","Missed",IF(BG32="TBC","TBC",IF(BG32="Undefined","Undefined",_xlfn.XLOOKUP(DO$7,'Product Design'!$M$6:$BM$6,'Product Design'!$M$12:$BM$12)/_xlfn.XLOOKUP(DO$7,'Product Design'!$M$6:$BM$6,'Product Design'!$M$11:$BM$11)))))),"")</f>
        <v>0.24444444444444444</v>
      </c>
      <c r="DP32" s="315">
        <f>IFERROR(IF(DP$7&gt;$D$3,"",IF(BH32="OD","OD",IF(BH32="Missed","Missed",IF(BH32="TBC","TBC",IF(BH32="Undefined","Undefined",_xlfn.XLOOKUP(DP$7,'Product Design'!$M$6:$BM$6,'Product Design'!$M$12:$BM$12)/_xlfn.XLOOKUP(DP$7,'Product Design'!$M$6:$BM$6,'Product Design'!$M$11:$BM$11)))))),"")</f>
        <v>0.4777777777777778</v>
      </c>
      <c r="DQ32" s="315">
        <f>IFERROR(IF(DQ$7&gt;$D$3,"",IF(BI32="OD","OD",IF(BI32="Missed","Missed",IF(BI32="TBC","TBC",IF(BI32="Undefined","Undefined",_xlfn.XLOOKUP(DQ$7,'Product Design'!$M$6:$BM$6,'Product Design'!$M$12:$BM$12)/_xlfn.XLOOKUP(DQ$7,'Product Design'!$M$6:$BM$6,'Product Design'!$M$11:$BM$11)))))),"")</f>
        <v>0.41111111111111109</v>
      </c>
      <c r="DR32" s="315">
        <f>IFERROR(IF(DR$7&gt;$D$3,"",IF(BJ32="OD","OD",IF(BJ32="Missed","Missed",IF(BJ32="TBC","TBC",IF(BJ32="Undefined","Undefined",_xlfn.XLOOKUP(DR$7,'Product Design'!$M$6:$BM$6,'Product Design'!$M$12:$BM$12)/_xlfn.XLOOKUP(DR$7,'Product Design'!$M$6:$BM$6,'Product Design'!$M$11:$BM$11)))))),"")</f>
        <v>0.3888888888888889</v>
      </c>
      <c r="DS32" s="315">
        <f>IFERROR(IF(DS$7&gt;$D$3,"",IF(BK32="OD","OD",IF(BK32="Missed","Missed",IF(BK32="TBC","TBC",IF(BK32="Undefined","Undefined",_xlfn.XLOOKUP(DS$7,'Product Design'!$M$6:$BM$6,'Product Design'!$M$12:$BM$12)/_xlfn.XLOOKUP(DS$7,'Product Design'!$M$6:$BM$6,'Product Design'!$M$11:$BM$11)))))),"")</f>
        <v>0.3888888888888889</v>
      </c>
      <c r="DT32" s="315">
        <f>IFERROR(IF(DT$7&gt;$D$3,"",IF(BL32="OD","OD",IF(BL32="Missed","Missed",IF(BL32="TBC","TBC",IF(BL32="Undefined","Undefined",_xlfn.XLOOKUP(DT$7,'Product Design'!$M$6:$BM$6,'Product Design'!$M$12:$BM$12)/_xlfn.XLOOKUP(DT$7,'Product Design'!$M$6:$BM$6,'Product Design'!$M$11:$BM$11)))))),"")</f>
        <v>0.35555555555555557</v>
      </c>
      <c r="DU32" s="315" t="str">
        <f>IFERROR(IF(DU$7&gt;$D$3,"",IF(BM32="OD","OD",IF(BM32="Missed","Missed",IF(BM32="TBC","TBC",IF(BM32="Undefined","Undefined",_xlfn.XLOOKUP(DU$7,'Product Design'!$M$6:$BM$6,'Product Design'!$M$12:$BM$12)/_xlfn.XLOOKUP(DU$7,'Product Design'!$M$6:$BM$6,'Product Design'!$M$11:$BM$11)))))),"")</f>
        <v>OD</v>
      </c>
      <c r="DV32" s="315">
        <f>IFERROR(IF(DV$7&gt;$D$3,"",IF(BN32="OD","OD",IF(BN32="Missed","Missed",IF(BN32="TBC","TBC",IF(BN32="Undefined","Undefined",_xlfn.XLOOKUP(DV$7,'Product Design'!$M$6:$BM$6,'Product Design'!$M$12:$BM$12)/_xlfn.XLOOKUP(DV$7,'Product Design'!$M$6:$BM$6,'Product Design'!$M$11:$BM$11)))))),"")</f>
        <v>0.36666666666666664</v>
      </c>
      <c r="DW32" s="315">
        <f>IFERROR(IF(DW$7&gt;$D$3,"",IF(BO32="OD","OD",IF(BO32="Missed","Missed",IF(BO32="TBC","TBC",IF(BO32="Undefined","Undefined",_xlfn.XLOOKUP(DW$7,'Product Design'!$M$6:$BM$6,'Product Design'!$M$12:$BM$12)/_xlfn.XLOOKUP(DW$7,'Product Design'!$M$6:$BM$6,'Product Design'!$M$11:$BM$11)))))),"")</f>
        <v>0.36666666666666664</v>
      </c>
      <c r="DX32" s="315">
        <f>IFERROR(IF(DX$7&gt;$D$3,"",IF(BP32="OD","OD",IF(BP32="Missed","Missed",IF(BP32="TBC","TBC",IF(BP32="Undefined","Undefined",_xlfn.XLOOKUP(DX$7,'Product Design'!$M$6:$BM$6,'Product Design'!$M$12:$BM$12)/_xlfn.XLOOKUP(DX$7,'Product Design'!$M$6:$BM$6,'Product Design'!$M$11:$BM$11)))))),"")</f>
        <v>1.0666666666666667</v>
      </c>
      <c r="DY32" s="315">
        <f>IFERROR(IF(DY$7&gt;$D$3,"",IF(BQ32="OD","OD",IF(BQ32="Missed","Missed",IF(BQ32="TBC","TBC",IF(BQ32="Undefined","Undefined",_xlfn.XLOOKUP(DY$7,'Product Design'!$M$6:$BM$6,'Product Design'!$M$12:$BM$12)/_xlfn.XLOOKUP(DY$7,'Product Design'!$M$6:$BM$6,'Product Design'!$M$11:$BM$11)))))),"")</f>
        <v>0.91111111111111109</v>
      </c>
      <c r="DZ32" s="315">
        <f>IFERROR(IF(DZ$7&gt;$D$3,"",IF(BR32="OD","OD",IF(BR32="Missed","Missed",IF(BR32="TBC","TBC",IF(BR32="Undefined","Undefined",_xlfn.XLOOKUP(DZ$7,'Product Design'!$M$6:$BM$6,'Product Design'!$M$12:$BM$12)/_xlfn.XLOOKUP(DZ$7,'Product Design'!$M$6:$BM$6,'Product Design'!$M$11:$BM$11)))))),"")</f>
        <v>0.98888888888888893</v>
      </c>
      <c r="EA32" s="315">
        <f>IFERROR(IF(EA$7&gt;$D$3,"",IF(BS32="OD","OD",IF(BS32="Missed","Missed",IF(BS32="TBC","TBC",IF(BS32="Undefined","Undefined",_xlfn.XLOOKUP(EA$7,'Product Design'!$M$6:$BM$6,'Product Design'!$M$12:$BM$12)/_xlfn.XLOOKUP(EA$7,'Product Design'!$M$6:$BM$6,'Product Design'!$M$11:$BM$11)))))),"")</f>
        <v>0.97888888888888881</v>
      </c>
      <c r="EB32" s="315">
        <f>IFERROR(IF(EB$7&gt;$D$3,"",IF(BT32="OD","OD",IF(BT32="Missed","Missed",IF(BT32="TBC","TBC",IF(BT32="Undefined","Undefined",_xlfn.XLOOKUP(EB$7,'Product Design'!$M$6:$BM$6,'Product Design'!$M$12:$BM$12)/_xlfn.XLOOKUP(EB$7,'Product Design'!$M$6:$BM$6,'Product Design'!$M$11:$BM$11)))))),"")</f>
        <v>1.0277777777777777</v>
      </c>
      <c r="EC32" s="315">
        <f>IFERROR(IF(EC$7&gt;$D$3,"",IF(BU32="OD","OD",IF(BU32="Missed","Missed",IF(BU32="TBC","TBC",IF(BU32="Undefined","Undefined",_xlfn.XLOOKUP(EC$7,'Product Design'!$M$6:$BM$6,'Product Design'!$M$12:$BM$12)/_xlfn.XLOOKUP(EC$7,'Product Design'!$M$6:$BM$6,'Product Design'!$M$11:$BM$11)))))),"")</f>
        <v>1.0666666666666667</v>
      </c>
      <c r="ED32" s="315">
        <f>IFERROR(IF(ED$7&gt;$D$3,"",IF(BV32="OD","OD",IF(BV32="Missed","Missed",IF(BV32="TBC","TBC",IF(BV32="Undefined","Undefined",_xlfn.XLOOKUP(ED$7,'Product Design'!$M$6:$BM$6,'Product Design'!$M$12:$BM$12)/_xlfn.XLOOKUP(ED$7,'Product Design'!$M$6:$BM$6,'Product Design'!$M$11:$BM$11)))))),"")</f>
        <v>1.0666666666666667</v>
      </c>
      <c r="EE32" s="315">
        <f>IFERROR(IF(EE$7&gt;$D$3,"",IF(BW32="OD","OD",IF(BW32="Missed","Missed",IF(BW32="TBC","TBC",IF(BW32="Undefined","Undefined",_xlfn.XLOOKUP(EE$7,'Product Design'!$M$6:$BM$6,'Product Design'!$M$12:$BM$12)/_xlfn.XLOOKUP(EE$7,'Product Design'!$M$6:$BM$6,'Product Design'!$M$11:$BM$11)))))),"")</f>
        <v>0.92222222222222228</v>
      </c>
      <c r="EF32" s="315">
        <f>IFERROR(IF(EF$7&gt;$D$3,"",IF(BX32="OD","OD",IF(BX32="Missed","Missed",IF(BX32="TBC","TBC",IF(BX32="Undefined","Undefined",_xlfn.XLOOKUP(EF$7,'Product Design'!$M$6:$BM$6,'Product Design'!$M$12:$BM$12)/_xlfn.XLOOKUP(EF$7,'Product Design'!$M$6:$BM$6,'Product Design'!$M$11:$BM$11)))))),"")</f>
        <v>1.0444444444444445</v>
      </c>
      <c r="EG32" s="315">
        <f>IFERROR(IF(EG$7&gt;$D$3,"",IF(BY32="OD","OD",IF(BY32="Missed","Missed",IF(BY32="TBC","TBC",IF(BY32="Undefined","Undefined",_xlfn.XLOOKUP(EG$7,'Product Design'!$M$6:$BM$6,'Product Design'!$M$12:$BM$12)/_xlfn.XLOOKUP(EG$7,'Product Design'!$M$6:$BM$6,'Product Design'!$M$11:$BM$11)))))),"")</f>
        <v>1.1111111111111112</v>
      </c>
      <c r="EH32" s="315">
        <f>IFERROR(IF(EH$7&gt;$D$3,"",IF(BZ32="OD","OD",IF(BZ32="Missed","Missed",IF(BZ32="TBC","TBC",IF(BZ32="Undefined","Undefined",_xlfn.XLOOKUP(EH$7,'Product Design'!$M$6:$BM$6,'Product Design'!$M$12:$BM$12)/_xlfn.XLOOKUP(EH$7,'Product Design'!$M$6:$BM$6,'Product Design'!$M$11:$BM$11)))))),"")</f>
        <v>1.0144444444444445</v>
      </c>
      <c r="EI32" s="315">
        <f>IFERROR(IF(EI$7&gt;$D$3,"",IF(CA32="OD","OD",IF(CA32="Missed","Missed",IF(CA32="TBC","TBC",IF(CA32="Undefined","Undefined",_xlfn.XLOOKUP(EI$7,'Product Design'!$M$6:$BM$6,'Product Design'!$M$12:$BM$12)/_xlfn.XLOOKUP(EI$7,'Product Design'!$M$6:$BM$6,'Product Design'!$M$11:$BM$11)))))),"")</f>
        <v>0.94666666666666666</v>
      </c>
      <c r="EJ32" s="315" t="str">
        <f>IFERROR(IF(EJ$7&gt;$D$3,"",IF(CB32="OD","OD",IF(CB32="Missed","Missed",IF(CB32="TBC","TBC",IF(CB32="Undefined","Undefined",_xlfn.XLOOKUP(EJ$7,'Product Design'!$M$6:$BM$6,'Product Design'!$M$12:$BM$12)/_xlfn.XLOOKUP(EJ$7,'Product Design'!$M$6:$BM$6,'Product Design'!$M$11:$BM$11)))))),"")</f>
        <v>OD</v>
      </c>
      <c r="EK32" s="315" t="str">
        <f>IFERROR(IF(EK$7&gt;$D$3,"",IF(CC32="OD","OD",IF(CC32="Missed","Missed",IF(CC32="TBC","TBC",IF(CC32="Undefined","Undefined",_xlfn.XLOOKUP(EK$7,'Product Design'!$M$6:$BM$6,'Product Design'!$M$12:$BM$12)/_xlfn.XLOOKUP(EK$7,'Product Design'!$M$6:$BM$6,'Product Design'!$M$11:$BM$11)))))),"")</f>
        <v/>
      </c>
      <c r="EL32" s="315" t="str">
        <f>IFERROR(IF(EL$7&gt;$D$3,"",IF(CD32="OD","OD",IF(CD32="Missed","Missed",IF(CD32="TBC","TBC",IF(CD32="Undefined","Undefined",_xlfn.XLOOKUP(EL$7,'Product Design'!$M$6:$BM$6,'Product Design'!$M$12:$BM$12)/_xlfn.XLOOKUP(EL$7,'Product Design'!$M$6:$BM$6,'Product Design'!$M$11:$BM$11)))))),"")</f>
        <v/>
      </c>
      <c r="EM32" s="315" t="str">
        <f>IFERROR(IF(EM$7&gt;$D$3,"",IF(CE32="OD","OD",IF(CE32="Missed","Missed",IF(CE32="TBC","TBC",IF(CE32="Undefined","Undefined",_xlfn.XLOOKUP(EM$7,'Product Design'!$M$6:$BM$6,'Product Design'!$M$12:$BM$12)/_xlfn.XLOOKUP(EM$7,'Product Design'!$M$6:$BM$6,'Product Design'!$M$11:$BM$11)))))),"")</f>
        <v/>
      </c>
      <c r="EN32" s="315" t="str">
        <f>IFERROR(IF(EN$7&gt;$D$3,"",IF(CF32="OD","OD",IF(CF32="Missed","Missed",IF(CF32="TBC","TBC",IF(CF32="Undefined","Undefined",_xlfn.XLOOKUP(EN$7,'Product Design'!$M$6:$BM$6,'Product Design'!$M$12:$BM$12)/_xlfn.XLOOKUP(EN$7,'Product Design'!$M$6:$BM$6,'Product Design'!$M$11:$BM$11)))))),"")</f>
        <v/>
      </c>
      <c r="EO32" s="315" t="str">
        <f>IFERROR(IF(EO$7&gt;$D$3,"",IF(CG32="OD","OD",IF(CG32="Missed","Missed",IF(CG32="TBC","TBC",IF(CG32="Undefined","Undefined",_xlfn.XLOOKUP(EO$7,'Product Design'!$M$6:$BM$6,'Product Design'!$M$12:$BM$12)/_xlfn.XLOOKUP(EO$7,'Product Design'!$M$6:$BM$6,'Product Design'!$M$11:$BM$11)))))),"")</f>
        <v/>
      </c>
      <c r="EP32" s="315" t="str">
        <f>IFERROR(IF(EP$7&gt;$D$3,"",IF(CH32="OD","OD",IF(CH32="Missed","Missed",IF(CH32="TBC","TBC",IF(CH32="Undefined","Undefined",_xlfn.XLOOKUP(EP$7,'Product Design'!$M$6:$BM$6,'Product Design'!$M$12:$BM$12)/_xlfn.XLOOKUP(EP$7,'Product Design'!$M$6:$BM$6,'Product Design'!$M$11:$BM$11)))))),"")</f>
        <v/>
      </c>
      <c r="EQ32" s="315" t="str">
        <f>IFERROR(IF(EQ$7&gt;$D$3,"",IF(CI32="OD","OD",IF(CI32="Missed","Missed",IF(CI32="TBC","TBC",IF(CI32="Undefined","Undefined",_xlfn.XLOOKUP(EQ$7,'Product Design'!$M$6:$BM$6,'Product Design'!$M$12:$BM$12)/_xlfn.XLOOKUP(EQ$7,'Product Design'!$M$6:$BM$6,'Product Design'!$M$11:$BM$11)))))),"")</f>
        <v/>
      </c>
      <c r="ER32" s="315" t="str">
        <f>IFERROR(IF(ER$7&gt;$D$3,"",IF(CJ32="OD","OD",IF(CJ32="Missed","Missed",IF(CJ32="TBC","TBC",IF(CJ32="Undefined","Undefined",_xlfn.XLOOKUP(ER$7,'Product Design'!$M$6:$BM$6,'Product Design'!$M$12:$BM$12)/_xlfn.XLOOKUP(ER$7,'Product Design'!$M$6:$BM$6,'Product Design'!$M$11:$BM$11)))))),"")</f>
        <v/>
      </c>
      <c r="ES32" s="315" t="str">
        <f>IFERROR(IF(ES$7&gt;$D$3,"",IF(CK32="OD","OD",IF(CK32="Missed","Missed",IF(CK32="TBC","TBC",IF(CK32="Undefined","Undefined",_xlfn.XLOOKUP(ES$7,'Product Design'!$M$6:$BM$6,'Product Design'!$M$12:$BM$12)/_xlfn.XLOOKUP(ES$7,'Product Design'!$M$6:$BM$6,'Product Design'!$M$11:$BM$11)))))),"")</f>
        <v/>
      </c>
      <c r="ET32" s="315" t="str">
        <f>IFERROR(IF(ET$7&gt;$D$3,"",IF(CL32="OD","OD",IF(CL32="Missed","Missed",IF(CL32="TBC","TBC",IF(CL32="Undefined","Undefined",_xlfn.XLOOKUP(ET$7,'Product Design'!$M$6:$BM$6,'Product Design'!$M$12:$BM$12)/_xlfn.XLOOKUP(ET$7,'Product Design'!$M$6:$BM$6,'Product Design'!$M$11:$BM$11)))))),"")</f>
        <v/>
      </c>
      <c r="EU32" s="315" t="str">
        <f>IFERROR(IF(EU$7&gt;$D$3,"",IF(CM32="OD","OD",IF(CM32="Missed","Missed",IF(CM32="TBC","TBC",IF(CM32="Undefined","Undefined",_xlfn.XLOOKUP(EU$7,'Product Design'!$M$6:$BM$6,'Product Design'!$M$12:$BM$12)/_xlfn.XLOOKUP(EU$7,'Product Design'!$M$6:$BM$6,'Product Design'!$M$11:$BM$11)))))),"")</f>
        <v/>
      </c>
      <c r="EW32" s="465" t="str">
        <f>+$A32</f>
        <v>Product Design-KPI D1</v>
      </c>
      <c r="EX32" s="136" t="str">
        <f>+$C32</f>
        <v>KPI D1</v>
      </c>
      <c r="EY32" s="144" t="str">
        <f>+$D32</f>
        <v>Delivery</v>
      </c>
      <c r="EZ32" s="144" t="str">
        <f t="shared" si="91"/>
        <v>Delivery against Target as a percentage</v>
      </c>
      <c r="FA32" s="145" t="str">
        <f t="shared" si="92"/>
        <v>Percentage</v>
      </c>
      <c r="FB32" s="145" t="s">
        <v>251</v>
      </c>
      <c r="FC32" s="223" t="str">
        <f>IF(FC$7&gt;$D$3,"",IF($FA30&lt;FC$7,"OD",_xlfn.XLOOKUP(FC$7,'Product Design'!$M$6:$BM$6,'Product Design'!$M$12:$BM$12)))</f>
        <v>Blank</v>
      </c>
      <c r="FD32" s="223">
        <f>IF(FD$7&gt;$D$3,"",IF($FA30&lt;FD$7,"OD",_xlfn.XLOOKUP(FD$7,'Product Design'!$M$6:$BM$6,'Product Design'!$M$12:$BM$12)))</f>
        <v>100</v>
      </c>
      <c r="FE32" s="223">
        <f>IF(FE$7&gt;$D$3,"",IF($FA30&lt;FE$7,"OD",_xlfn.XLOOKUP(FE$7,'Product Design'!$M$6:$BM$6,'Product Design'!$M$12:$BM$12)))</f>
        <v>96</v>
      </c>
      <c r="FF32" s="223">
        <f>IF(FF$7&gt;$D$3,"",IF($FA30&lt;FF$7,"OD",_xlfn.XLOOKUP(FF$7,'Product Design'!$M$6:$BM$6,'Product Design'!$M$12:$BM$12)))</f>
        <v>78</v>
      </c>
      <c r="FG32" s="223">
        <f>IF(FG$7&gt;$D$3,"",IF($FA30&lt;FG$7,"OD",_xlfn.XLOOKUP(FG$7,'Product Design'!$M$6:$BM$6,'Product Design'!$M$12:$BM$12)))</f>
        <v>95</v>
      </c>
      <c r="FH32" s="223">
        <f>IF(FH$7&gt;$D$3,"",IF($FA30&lt;FH$7,"OD",_xlfn.XLOOKUP(FH$7,'Product Design'!$M$6:$BM$6,'Product Design'!$M$12:$BM$12)))</f>
        <v>96</v>
      </c>
      <c r="FI32" s="223">
        <f>IF(FI$7&gt;$D$3,"",IF($FA30&lt;FI$7,"OD",_xlfn.XLOOKUP(FI$7,'Product Design'!$M$6:$BM$6,'Product Design'!$M$12:$BM$12)))</f>
        <v>89</v>
      </c>
      <c r="FJ32" s="223">
        <f>IF(FJ$7&gt;$D$3,"",IF($FA30&lt;FJ$7,"OD",_xlfn.XLOOKUP(FJ$7,'Product Design'!$M$6:$BM$6,'Product Design'!$M$12:$BM$12)))</f>
        <v>85</v>
      </c>
      <c r="FK32" s="223">
        <f>IF(FK$7&gt;$D$3,"",IF($FA30&lt;FK$7,"OD",_xlfn.XLOOKUP(FK$7,'Product Design'!$M$6:$BM$6,'Product Design'!$M$12:$BM$12)))</f>
        <v>96</v>
      </c>
      <c r="FL32" s="223">
        <f>IF(FL$7&gt;$D$3,"",IF($FA30&lt;FL$7,"OD",_xlfn.XLOOKUP(FL$7,'Product Design'!$M$6:$BM$6,'Product Design'!$M$12:$BM$12)))</f>
        <v>91</v>
      </c>
      <c r="FM32" s="223">
        <f>IF(FM$7&gt;$D$3,"",IF($FA30&lt;FM$7,"OD",_xlfn.XLOOKUP(FM$7,'Product Design'!$M$6:$BM$6,'Product Design'!$M$12:$BM$12)))</f>
        <v>90</v>
      </c>
      <c r="FN32" s="223">
        <f>IF(FN$7&gt;$D$3,"",IF($FA30&lt;FN$7,"OD",_xlfn.XLOOKUP(FN$7,'Product Design'!$M$6:$BM$6,'Product Design'!$M$12:$BM$12)))</f>
        <v>82.86</v>
      </c>
      <c r="FO32" s="223">
        <f>IF(FO$7&gt;$D$3,"",IF($FA30&lt;FO$7,"OD",_xlfn.XLOOKUP(FO$7,'Product Design'!$M$6:$BM$6,'Product Design'!$M$12:$BM$12)))</f>
        <v>95</v>
      </c>
      <c r="FP32" s="223">
        <f>IF(FP$7&gt;$D$3,"",IF($FA30&lt;FP$7,"OD",_xlfn.XLOOKUP(FP$7,'Product Design'!$M$6:$BM$6,'Product Design'!$M$12:$BM$12)))</f>
        <v>35</v>
      </c>
      <c r="FQ32" s="223">
        <f>IF(FQ$7&gt;$D$3,"",IF($FA30&lt;FQ$7,"OD",_xlfn.XLOOKUP(FQ$7,'Product Design'!$M$6:$BM$6,'Product Design'!$M$12:$BM$12)))</f>
        <v>47</v>
      </c>
      <c r="FR32" s="223">
        <f>IF(FR$7&gt;$D$3,"",IF($FA30&lt;FR$7,"OD",_xlfn.XLOOKUP(FR$7,'Product Design'!$M$6:$BM$6,'Product Design'!$M$12:$BM$12)))</f>
        <v>39</v>
      </c>
      <c r="FS32" s="223">
        <f>IF(FS$7&gt;$D$3,"",IF($FA30&lt;FS$7,"OD",_xlfn.XLOOKUP(FS$7,'Product Design'!$M$6:$BM$6,'Product Design'!$M$12:$BM$12)))</f>
        <v>52</v>
      </c>
      <c r="FT32" s="223">
        <f>IF(FT$7&gt;$D$3,"",IF($FA30&lt;FT$7,"OD",_xlfn.XLOOKUP(FT$7,'Product Design'!$M$6:$BM$6,'Product Design'!$M$12:$BM$12)))</f>
        <v>37</v>
      </c>
      <c r="FU32" s="223">
        <f>IF(FU$7&gt;$D$3,"",IF($FA30&lt;FU$7,"OD",_xlfn.XLOOKUP(FU$7,'Product Design'!$M$6:$BM$6,'Product Design'!$M$12:$BM$12)))</f>
        <v>35</v>
      </c>
      <c r="FV32" s="223">
        <f>IF(FV$7&gt;$D$3,"",IF($FA30&lt;FV$7,"OD",_xlfn.XLOOKUP(FV$7,'Product Design'!$M$6:$BM$6,'Product Design'!$M$12:$BM$12)))</f>
        <v>38</v>
      </c>
      <c r="FW32" s="223">
        <f>IF(FW$7&gt;$D$3,"",IF($FA30&lt;FW$7,"OD",_xlfn.XLOOKUP(FW$7,'Product Design'!$M$6:$BM$6,'Product Design'!$M$12:$BM$12)))</f>
        <v>22</v>
      </c>
      <c r="FX32" s="223">
        <f>IF(FX$7&gt;$D$3,"",IF($FA30&lt;FX$7,"OD",_xlfn.XLOOKUP(FX$7,'Product Design'!$M$6:$BM$6,'Product Design'!$M$12:$BM$12)))</f>
        <v>43</v>
      </c>
      <c r="FY32" s="223">
        <f>IF(FY$7&gt;$D$3,"",IF($FA30&lt;FY$7,"OD",_xlfn.XLOOKUP(FY$7,'Product Design'!$M$6:$BM$6,'Product Design'!$M$12:$BM$12)))</f>
        <v>37</v>
      </c>
      <c r="FZ32" s="223">
        <f>IF(FZ$7&gt;$D$3,"",IF($FA30&lt;FZ$7,"OD",_xlfn.XLOOKUP(FZ$7,'Product Design'!$M$6:$BM$6,'Product Design'!$M$12:$BM$12)))</f>
        <v>35</v>
      </c>
      <c r="GA32" s="223">
        <f>IF(GA$7&gt;$D$3,"",IF($FA30&lt;GA$7,"OD",_xlfn.XLOOKUP(GA$7,'Product Design'!$M$6:$BM$6,'Product Design'!$M$12:$BM$12)))</f>
        <v>35</v>
      </c>
      <c r="GB32" s="223">
        <f>IF(GB$7&gt;$D$3,"",IF($FA30&lt;GB$7,"OD",_xlfn.XLOOKUP(GB$7,'Product Design'!$M$6:$BM$6,'Product Design'!$M$12:$BM$12)))</f>
        <v>32</v>
      </c>
      <c r="GC32" s="223">
        <f>IF(GC$7&gt;$D$3,"",IF($FA30&lt;GC$7,"OD",_xlfn.XLOOKUP(GC$7,'Product Design'!$M$6:$BM$6,'Product Design'!$M$12:$BM$12)))</f>
        <v>0</v>
      </c>
      <c r="GD32" s="223">
        <f>IF(GD$7&gt;$D$3,"",IF($FA30&lt;GD$7,"OD",_xlfn.XLOOKUP(GD$7,'Product Design'!$M$6:$BM$6,'Product Design'!$M$12:$BM$12)))</f>
        <v>33</v>
      </c>
      <c r="GE32" s="223">
        <f>IF(GE$7&gt;$D$3,"",IF($FA30&lt;GE$7,"OD",_xlfn.XLOOKUP(GE$7,'Product Design'!$M$6:$BM$6,'Product Design'!$M$12:$BM$12)))</f>
        <v>33</v>
      </c>
      <c r="GF32" s="223">
        <f>IF(GF$7&gt;$D$3,"",IF($FA30&lt;GF$7,"OD",_xlfn.XLOOKUP(GF$7,'Product Design'!$M$6:$BM$6,'Product Design'!$M$12:$BM$12)))</f>
        <v>96</v>
      </c>
      <c r="GG32" s="223">
        <f>IF(GG$7&gt;$D$3,"",IF($FA30&lt;GG$7,"OD",_xlfn.XLOOKUP(GG$7,'Product Design'!$M$6:$BM$6,'Product Design'!$M$12:$BM$12)))</f>
        <v>82</v>
      </c>
      <c r="GH32" s="223">
        <f>IF(GH$7&gt;$D$3,"",IF($FA30&lt;GH$7,"OD",_xlfn.XLOOKUP(GH$7,'Product Design'!$M$6:$BM$6,'Product Design'!$M$12:$BM$12)))</f>
        <v>89</v>
      </c>
      <c r="GI32" s="223">
        <f>IF(GI$7&gt;$D$3,"",IF($FA30&lt;GI$7,"OD",_xlfn.XLOOKUP(GI$7,'Product Design'!$M$6:$BM$6,'Product Design'!$M$12:$BM$12)))</f>
        <v>88.1</v>
      </c>
      <c r="GJ32" s="223">
        <f>IF(GJ$7&gt;$D$3,"",IF($FA30&lt;GJ$7,"OD",_xlfn.XLOOKUP(GJ$7,'Product Design'!$M$6:$BM$6,'Product Design'!$M$12:$BM$12)))</f>
        <v>92.5</v>
      </c>
      <c r="GK32" s="223">
        <f>IF(GK$7&gt;$D$3,"",IF($FA30&lt;GK$7,"OD",_xlfn.XLOOKUP(GK$7,'Product Design'!$M$6:$BM$6,'Product Design'!$M$12:$BM$12)))</f>
        <v>96</v>
      </c>
      <c r="GL32" s="223">
        <f>IF(GL$7&gt;$D$3,"",IF($FA30&lt;GL$7,"OD",_xlfn.XLOOKUP(GL$7,'Product Design'!$M$6:$BM$6,'Product Design'!$M$12:$BM$12)))</f>
        <v>96</v>
      </c>
      <c r="GM32" s="223">
        <f>IF(GM$7&gt;$D$3,"",IF($FA30&lt;GM$7,"OD",_xlfn.XLOOKUP(GM$7,'Product Design'!$M$6:$BM$6,'Product Design'!$M$12:$BM$12)))</f>
        <v>83</v>
      </c>
      <c r="GN32" s="223">
        <f>IF(GN$7&gt;$D$3,"",IF($FA30&lt;GN$7,"OD",_xlfn.XLOOKUP(GN$7,'Product Design'!$M$6:$BM$6,'Product Design'!$M$12:$BM$12)))</f>
        <v>94</v>
      </c>
      <c r="GO32" s="223">
        <f>IF(GO$7&gt;$D$3,"",IF($FA30&lt;GO$7,"OD",_xlfn.XLOOKUP(GO$7,'Product Design'!$M$6:$BM$6,'Product Design'!$M$12:$BM$12)))</f>
        <v>100</v>
      </c>
      <c r="GP32" s="223">
        <f>IF(GP$7&gt;$D$3,"",IF($FA30&lt;GP$7,"OD",_xlfn.XLOOKUP(GP$7,'Product Design'!$M$6:$BM$6,'Product Design'!$M$12:$BM$12)))</f>
        <v>91.3</v>
      </c>
      <c r="GQ32" s="223">
        <f>IF(GQ$7&gt;$D$3,"",IF($FA30&lt;GQ$7,"OD",_xlfn.XLOOKUP(GQ$7,'Product Design'!$M$6:$BM$6,'Product Design'!$M$12:$BM$12)))</f>
        <v>85.2</v>
      </c>
      <c r="GR32" s="223">
        <f>IF(GR$7&gt;$D$3,"",IF($FA30&lt;GR$7,"OD",_xlfn.XLOOKUP(GR$7,'Product Design'!$M$6:$BM$6,'Product Design'!$M$12:$BM$12)))</f>
        <v>0</v>
      </c>
      <c r="GS32" s="223" t="str">
        <f>IF(GS$7&gt;$D$3,"",IF($FA30&lt;GS$7,"OD",_xlfn.XLOOKUP(GS$7,'Product Design'!$M$6:$BM$6,'Product Design'!$M$12:$BM$12)))</f>
        <v/>
      </c>
      <c r="GT32" s="223" t="str">
        <f>IF(GT$7&gt;$D$3,"",IF($FA30&lt;GT$7,"OD",_xlfn.XLOOKUP(GT$7,'Product Design'!$M$6:$BM$6,'Product Design'!$M$12:$BM$12)))</f>
        <v/>
      </c>
      <c r="GU32" s="223" t="str">
        <f>IF(GU$7&gt;$D$3,"",IF($FA30&lt;GU$7,"OD",_xlfn.XLOOKUP(GU$7,'Product Design'!$M$6:$BM$6,'Product Design'!$M$12:$BM$12)))</f>
        <v/>
      </c>
      <c r="GV32" s="223" t="str">
        <f>IF(GV$7&gt;$D$3,"",IF($FA30&lt;GV$7,"OD",_xlfn.XLOOKUP(GV$7,'Product Design'!$M$6:$BM$6,'Product Design'!$M$12:$BM$12)))</f>
        <v/>
      </c>
      <c r="GW32" s="223" t="str">
        <f>IF(GW$7&gt;$D$3,"",IF($FA30&lt;GW$7,"OD",_xlfn.XLOOKUP(GW$7,'Product Design'!$M$6:$BM$6,'Product Design'!$M$12:$BM$12)))</f>
        <v/>
      </c>
      <c r="GX32" s="223" t="str">
        <f>IF(GX$7&gt;$D$3,"",IF($FA30&lt;GX$7,"OD",_xlfn.XLOOKUP(GX$7,'Product Design'!$M$6:$BM$6,'Product Design'!$M$12:$BM$12)))</f>
        <v/>
      </c>
      <c r="GY32" s="223" t="str">
        <f>IF(GY$7&gt;$D$3,"",IF($FA30&lt;GY$7,"OD",_xlfn.XLOOKUP(GY$7,'Product Design'!$M$6:$BM$6,'Product Design'!$M$12:$BM$12)))</f>
        <v/>
      </c>
      <c r="GZ32" s="223" t="str">
        <f>IF(GZ$7&gt;$D$3,"",IF($FA30&lt;GZ$7,"OD",_xlfn.XLOOKUP(GZ$7,'Product Design'!$M$6:$BM$6,'Product Design'!$M$12:$BM$12)))</f>
        <v/>
      </c>
      <c r="HA32" s="223" t="str">
        <f>IF(HA$7&gt;$D$3,"",IF($FA30&lt;HA$7,"OD",_xlfn.XLOOKUP(HA$7,'Product Design'!$M$6:$BM$6,'Product Design'!$M$12:$BM$12)))</f>
        <v/>
      </c>
      <c r="HB32" s="223" t="str">
        <f>IF(HB$7&gt;$D$3,"",IF($FA30&lt;HB$7,"OD",_xlfn.XLOOKUP(HB$7,'Product Design'!$M$6:$BM$6,'Product Design'!$M$12:$BM$12)))</f>
        <v/>
      </c>
      <c r="HC32" s="223" t="str">
        <f>IF(HC$7&gt;$D$3,"",IF($FA30&lt;HC$7,"OD",_xlfn.XLOOKUP(HC$7,'Product Design'!$M$6:$BM$6,'Product Design'!$M$12:$BM$12)))</f>
        <v/>
      </c>
      <c r="HE32" s="136" t="str">
        <f>+$C32</f>
        <v>KPI D1</v>
      </c>
      <c r="HF32" s="144" t="str">
        <f>+$D32</f>
        <v>Delivery</v>
      </c>
      <c r="HG32" s="144" t="str">
        <f t="shared" si="95"/>
        <v>Delivery against Target as a percentage</v>
      </c>
      <c r="HH32" s="145" t="str">
        <f t="shared" si="96"/>
        <v>Percentage</v>
      </c>
      <c r="HI32" s="145" t="s">
        <v>44</v>
      </c>
      <c r="HJ32" s="223" t="s">
        <v>122</v>
      </c>
      <c r="HK32" s="223">
        <f>IF(HK$7&gt;$D$3,"",IF($FA30&lt;HK$7,"OD",_xlfn.XLOOKUP(HK$7,'Product Design'!$M$6:$BM$6,'Product Design'!$M$11:$BM$11)))</f>
        <v>90</v>
      </c>
      <c r="HL32" s="223">
        <f>IF(HL$7&gt;$D$3,"",IF($FA30&lt;HL$7,"OD",_xlfn.XLOOKUP(HL$7,'Product Design'!$M$6:$BM$6,'Product Design'!$M$11:$BM$11)))</f>
        <v>90</v>
      </c>
      <c r="HM32" s="223">
        <f>IF(HM$7&gt;$D$3,"",IF($FA30&lt;HM$7,"OD",_xlfn.XLOOKUP(HM$7,'Product Design'!$M$6:$BM$6,'Product Design'!$M$11:$BM$11)))</f>
        <v>90</v>
      </c>
      <c r="HN32" s="223">
        <f>IF(HN$7&gt;$D$3,"",IF($FA30&lt;HN$7,"OD",_xlfn.XLOOKUP(HN$7,'Product Design'!$M$6:$BM$6,'Product Design'!$M$11:$BM$11)))</f>
        <v>90</v>
      </c>
      <c r="HO32" s="223">
        <f>IF(HO$7&gt;$D$3,"",IF($FA30&lt;HO$7,"OD",_xlfn.XLOOKUP(HO$7,'Product Design'!$M$6:$BM$6,'Product Design'!$M$11:$BM$11)))</f>
        <v>90</v>
      </c>
      <c r="HP32" s="223">
        <f>IF(HP$7&gt;$D$3,"",IF($FA30&lt;HP$7,"OD",_xlfn.XLOOKUP(HP$7,'Product Design'!$M$6:$BM$6,'Product Design'!$M$11:$BM$11)))</f>
        <v>90</v>
      </c>
      <c r="HQ32" s="223">
        <f>IF(HQ$7&gt;$D$3,"",IF($FA30&lt;HQ$7,"OD",_xlfn.XLOOKUP(HQ$7,'Product Design'!$M$6:$BM$6,'Product Design'!$M$11:$BM$11)))</f>
        <v>90</v>
      </c>
      <c r="HR32" s="223">
        <f>IF(HR$7&gt;$D$3,"",IF($FA30&lt;HR$7,"OD",_xlfn.XLOOKUP(HR$7,'Product Design'!$M$6:$BM$6,'Product Design'!$M$11:$BM$11)))</f>
        <v>90</v>
      </c>
      <c r="HS32" s="223">
        <f>IF(HS$7&gt;$D$3,"",IF($FA30&lt;HS$7,"OD",_xlfn.XLOOKUP(HS$7,'Product Design'!$M$6:$BM$6,'Product Design'!$M$11:$BM$11)))</f>
        <v>90</v>
      </c>
      <c r="HT32" s="223">
        <f>IF(HT$7&gt;$D$3,"",IF($FA30&lt;HT$7,"OD",_xlfn.XLOOKUP(HT$7,'Product Design'!$M$6:$BM$6,'Product Design'!$M$11:$BM$11)))</f>
        <v>90</v>
      </c>
      <c r="HU32" s="223">
        <f>IF(HU$7&gt;$D$3,"",IF($FA30&lt;HU$7,"OD",_xlfn.XLOOKUP(HU$7,'Product Design'!$M$6:$BM$6,'Product Design'!$M$11:$BM$11)))</f>
        <v>90</v>
      </c>
      <c r="HV32" s="223">
        <f>IF(HV$7&gt;$D$3,"",IF($FA30&lt;HV$7,"OD",_xlfn.XLOOKUP(HV$7,'Product Design'!$M$6:$BM$6,'Product Design'!$M$11:$BM$11)))</f>
        <v>90</v>
      </c>
      <c r="HW32" s="223">
        <f>IF(HW$7&gt;$D$3,"",IF($FA30&lt;HW$7,"OD",_xlfn.XLOOKUP(HW$7,'Product Design'!$M$6:$BM$6,'Product Design'!$M$11:$BM$11)))</f>
        <v>90</v>
      </c>
      <c r="HX32" s="223">
        <f>IF(HX$7&gt;$D$3,"",IF($FA30&lt;HX$7,"OD",_xlfn.XLOOKUP(HX$7,'Product Design'!$M$6:$BM$6,'Product Design'!$M$11:$BM$11)))</f>
        <v>90</v>
      </c>
      <c r="HY32" s="223">
        <f>IF(HY$7&gt;$D$3,"",IF($FA30&lt;HY$7,"OD",_xlfn.XLOOKUP(HY$7,'Product Design'!$M$6:$BM$6,'Product Design'!$M$11:$BM$11)))</f>
        <v>90</v>
      </c>
      <c r="HZ32" s="223">
        <f>IF(HZ$7&gt;$D$3,"",IF($FA30&lt;HZ$7,"OD",_xlfn.XLOOKUP(HZ$7,'Product Design'!$M$6:$BM$6,'Product Design'!$M$11:$BM$11)))</f>
        <v>90</v>
      </c>
      <c r="IA32" s="223">
        <f>IF(IA$7&gt;$D$3,"",IF($FA30&lt;IA$7,"OD",_xlfn.XLOOKUP(IA$7,'Product Design'!$M$6:$BM$6,'Product Design'!$M$11:$BM$11)))</f>
        <v>90</v>
      </c>
      <c r="IB32" s="223">
        <f>IF(IB$7&gt;$D$3,"",IF($FA30&lt;IB$7,"OD",_xlfn.XLOOKUP(IB$7,'Product Design'!$M$6:$BM$6,'Product Design'!$M$11:$BM$11)))</f>
        <v>90</v>
      </c>
      <c r="IC32" s="223">
        <f>IF(IC$7&gt;$D$3,"",IF($FA30&lt;IC$7,"OD",_xlfn.XLOOKUP(IC$7,'Product Design'!$M$6:$BM$6,'Product Design'!$M$11:$BM$11)))</f>
        <v>90</v>
      </c>
      <c r="ID32" s="223">
        <f>IF(ID$7&gt;$D$3,"",IF($FA30&lt;ID$7,"OD",_xlfn.XLOOKUP(ID$7,'Product Design'!$M$6:$BM$6,'Product Design'!$M$11:$BM$11)))</f>
        <v>90</v>
      </c>
      <c r="IE32" s="223">
        <f>IF(IE$7&gt;$D$3,"",IF($FA30&lt;IE$7,"OD",_xlfn.XLOOKUP(IE$7,'Product Design'!$M$6:$BM$6,'Product Design'!$M$11:$BM$11)))</f>
        <v>90</v>
      </c>
      <c r="IF32" s="223">
        <f>IF(IF$7&gt;$D$3,"",IF($FA30&lt;IF$7,"OD",_xlfn.XLOOKUP(IF$7,'Product Design'!$M$6:$BM$6,'Product Design'!$M$11:$BM$11)))</f>
        <v>90</v>
      </c>
      <c r="IG32" s="223">
        <f>IF(IG$7&gt;$D$3,"",IF($FA30&lt;IG$7,"OD",_xlfn.XLOOKUP(IG$7,'Product Design'!$M$6:$BM$6,'Product Design'!$M$11:$BM$11)))</f>
        <v>90</v>
      </c>
      <c r="IH32" s="223">
        <f>IF(IH$7&gt;$D$3,"",IF($FA30&lt;IH$7,"OD",_xlfn.XLOOKUP(IH$7,'Product Design'!$M$6:$BM$6,'Product Design'!$M$11:$BM$11)))</f>
        <v>90</v>
      </c>
      <c r="II32" s="223">
        <f>IF(II$7&gt;$D$3,"",IF($FA30&lt;II$7,"OD",_xlfn.XLOOKUP(II$7,'Product Design'!$M$6:$BM$6,'Product Design'!$M$11:$BM$11)))</f>
        <v>90</v>
      </c>
      <c r="IJ32" s="223">
        <f>IF(IJ$7&gt;$D$3,"",IF($FA30&lt;IJ$7,"OD",_xlfn.XLOOKUP(IJ$7,'Product Design'!$M$6:$BM$6,'Product Design'!$M$11:$BM$11)))</f>
        <v>90</v>
      </c>
      <c r="IK32" s="223">
        <f>IF(IK$7&gt;$D$3,"",IF($FA30&lt;IK$7,"OD",_xlfn.XLOOKUP(IK$7,'Product Design'!$M$6:$BM$6,'Product Design'!$M$11:$BM$11)))</f>
        <v>90</v>
      </c>
      <c r="IL32" s="223">
        <f>IF(IL$7&gt;$D$3,"",IF($FA30&lt;IL$7,"OD",_xlfn.XLOOKUP(IL$7,'Product Design'!$M$6:$BM$6,'Product Design'!$M$11:$BM$11)))</f>
        <v>90</v>
      </c>
      <c r="IM32" s="223">
        <f>IF(IM$7&gt;$D$3,"",IF($FA30&lt;IM$7,"OD",_xlfn.XLOOKUP(IM$7,'Product Design'!$M$6:$BM$6,'Product Design'!$M$11:$BM$11)))</f>
        <v>90</v>
      </c>
      <c r="IN32" s="223">
        <f>IF(IN$7&gt;$D$3,"",IF($FA30&lt;IN$7,"OD",_xlfn.XLOOKUP(IN$7,'Product Design'!$M$6:$BM$6,'Product Design'!$M$11:$BM$11)))</f>
        <v>90</v>
      </c>
      <c r="IO32" s="223">
        <f>IF(IO$7&gt;$D$3,"",IF($FA30&lt;IO$7,"OD",_xlfn.XLOOKUP(IO$7,'Product Design'!$M$6:$BM$6,'Product Design'!$M$11:$BM$11)))</f>
        <v>90</v>
      </c>
      <c r="IP32" s="223">
        <f>IF(IP$7&gt;$D$3,"",IF($FA30&lt;IP$7,"OD",_xlfn.XLOOKUP(IP$7,'Product Design'!$M$6:$BM$6,'Product Design'!$M$11:$BM$11)))</f>
        <v>90</v>
      </c>
      <c r="IQ32" s="223">
        <f>IF(IQ$7&gt;$D$3,"",IF($FA30&lt;IQ$7,"OD",_xlfn.XLOOKUP(IQ$7,'Product Design'!$M$6:$BM$6,'Product Design'!$M$11:$BM$11)))</f>
        <v>90</v>
      </c>
      <c r="IR32" s="223">
        <f>IF(IR$7&gt;$D$3,"",IF($FA30&lt;IR$7,"OD",_xlfn.XLOOKUP(IR$7,'Product Design'!$M$6:$BM$6,'Product Design'!$M$11:$BM$11)))</f>
        <v>90</v>
      </c>
      <c r="IS32" s="223">
        <f>IF(IS$7&gt;$D$3,"",IF($FA30&lt;IS$7,"OD",_xlfn.XLOOKUP(IS$7,'Product Design'!$M$6:$BM$6,'Product Design'!$M$11:$BM$11)))</f>
        <v>90</v>
      </c>
      <c r="IT32" s="223">
        <f>IF(IT$7&gt;$D$3,"",IF($FA30&lt;IT$7,"OD",_xlfn.XLOOKUP(IT$7,'Product Design'!$M$6:$BM$6,'Product Design'!$M$11:$BM$11)))</f>
        <v>90</v>
      </c>
      <c r="IU32" s="223">
        <f>IF(IU$7&gt;$D$3,"",IF($FA30&lt;IU$7,"OD",_xlfn.XLOOKUP(IU$7,'Product Design'!$M$6:$BM$6,'Product Design'!$M$11:$BM$11)))</f>
        <v>90</v>
      </c>
      <c r="IV32" s="223">
        <f>IF(IV$7&gt;$D$3,"",IF($FA30&lt;IV$7,"OD",_xlfn.XLOOKUP(IV$7,'Product Design'!$M$6:$BM$6,'Product Design'!$M$11:$BM$11)))</f>
        <v>90</v>
      </c>
      <c r="IW32" s="223">
        <f>IF(IW$7&gt;$D$3,"",IF($FA30&lt;IW$7,"OD",_xlfn.XLOOKUP(IW$7,'Product Design'!$M$6:$BM$6,'Product Design'!$M$11:$BM$11)))</f>
        <v>90</v>
      </c>
      <c r="IX32" s="223">
        <f>IF(IX$7&gt;$D$3,"",IF($FA30&lt;IX$7,"OD",_xlfn.XLOOKUP(IX$7,'Product Design'!$M$6:$BM$6,'Product Design'!$M$11:$BM$11)))</f>
        <v>90</v>
      </c>
      <c r="IY32" s="223">
        <f>IF(IY$7&gt;$D$3,"",IF($FA30&lt;IY$7,"OD",_xlfn.XLOOKUP(IY$7,'Product Design'!$M$6:$BM$6,'Product Design'!$M$11:$BM$11)))</f>
        <v>90</v>
      </c>
      <c r="IZ32" s="223" t="str">
        <f>IF(IZ$7&gt;$D$3,"",IF($FA30&lt;IZ$7,"OD",_xlfn.XLOOKUP(IZ$7,'Product Design'!$M$6:$BM$6,'Product Design'!$M$11:$BM$11)))</f>
        <v/>
      </c>
      <c r="JA32" s="223" t="str">
        <f>IF(JA$7&gt;$D$3,"",IF($FA30&lt;JA$7,"OD",_xlfn.XLOOKUP(JA$7,'Product Design'!$M$6:$BM$6,'Product Design'!$M$11:$BM$11)))</f>
        <v/>
      </c>
      <c r="JB32" s="223" t="str">
        <f>IF(JB$7&gt;$D$3,"",IF($FA30&lt;JB$7,"OD",_xlfn.XLOOKUP(JB$7,'Product Design'!$M$6:$BM$6,'Product Design'!$M$11:$BM$11)))</f>
        <v/>
      </c>
      <c r="JC32" s="223" t="str">
        <f>IF(JC$7&gt;$D$3,"",IF($FA30&lt;JC$7,"OD",_xlfn.XLOOKUP(JC$7,'Product Design'!$M$6:$BM$6,'Product Design'!$M$11:$BM$11)))</f>
        <v/>
      </c>
      <c r="JD32" s="223" t="str">
        <f>IF(JD$7&gt;$D$3,"",IF($FA30&lt;JD$7,"OD",_xlfn.XLOOKUP(JD$7,'Product Design'!$M$6:$BM$6,'Product Design'!$M$11:$BM$11)))</f>
        <v/>
      </c>
      <c r="JE32" s="223" t="str">
        <f>IF(JE$7&gt;$D$3,"",IF($FA30&lt;JE$7,"OD",_xlfn.XLOOKUP(JE$7,'Product Design'!$M$6:$BM$6,'Product Design'!$M$11:$BM$11)))</f>
        <v/>
      </c>
      <c r="JF32" s="223" t="str">
        <f>IF(JF$7&gt;$D$3,"",IF($FA30&lt;JF$7,"OD",_xlfn.XLOOKUP(JF$7,'Product Design'!$M$6:$BM$6,'Product Design'!$M$11:$BM$11)))</f>
        <v/>
      </c>
      <c r="JG32" s="223" t="str">
        <f>IF(JG$7&gt;$D$3,"",IF($FA30&lt;JG$7,"OD",_xlfn.XLOOKUP(JG$7,'Product Design'!$M$6:$BM$6,'Product Design'!$M$11:$BM$11)))</f>
        <v/>
      </c>
      <c r="JH32" s="223" t="str">
        <f>IF(JH$7&gt;$D$3,"",IF($FA30&lt;JH$7,"OD",_xlfn.XLOOKUP(JH$7,'Product Design'!$M$6:$BM$6,'Product Design'!$M$11:$BM$11)))</f>
        <v/>
      </c>
      <c r="JI32" s="223" t="str">
        <f>IF(JI$7&gt;$D$3,"",IF($FA30&lt;JI$7,"OD",_xlfn.XLOOKUP(JI$7,'Product Design'!$M$6:$BM$6,'Product Design'!$M$11:$BM$11)))</f>
        <v/>
      </c>
      <c r="JJ32" s="223" t="str">
        <f>IF(JJ$7&gt;$D$3,"",IF($FA30&lt;JJ$7,"OD",_xlfn.XLOOKUP(JJ$7,'Product Design'!$M$6:$BM$6,'Product Design'!$M$11:$BM$11)))</f>
        <v/>
      </c>
      <c r="JM32" s="136" t="str">
        <f>+$C32</f>
        <v>KPI D1</v>
      </c>
      <c r="JN32" s="144" t="str">
        <f>+$D32</f>
        <v>Delivery</v>
      </c>
      <c r="JO32" s="144" t="str">
        <f t="shared" si="100"/>
        <v>Delivery against Target as a percentage</v>
      </c>
      <c r="JP32" s="145" t="str">
        <f t="shared" si="101"/>
        <v>Percentage</v>
      </c>
      <c r="JQ32" s="145" t="s">
        <v>284</v>
      </c>
      <c r="JR32" s="226" t="str">
        <f>IFERROR(AVERAGE(FC32:$FC32),"")</f>
        <v/>
      </c>
      <c r="JS32" s="226">
        <f>IFERROR(AVERAGE($FC32:FD32),"")</f>
        <v>100</v>
      </c>
      <c r="JT32" s="226">
        <f>IFERROR(AVERAGE($FC32:FE32),"")</f>
        <v>98</v>
      </c>
      <c r="JU32" s="226">
        <f>IFERROR(AVERAGE($FC32:FF32),"")</f>
        <v>91.333333333333329</v>
      </c>
      <c r="JV32" s="226">
        <f>IFERROR(AVERAGE($FC32:FG32),"")</f>
        <v>92.25</v>
      </c>
      <c r="JW32" s="226">
        <f>IFERROR(AVERAGE($FC32:FH32),"")</f>
        <v>93</v>
      </c>
      <c r="JX32" s="226">
        <f>IFERROR(AVERAGE($FC32:FI32),"")</f>
        <v>92.333333333333329</v>
      </c>
      <c r="JY32" s="226">
        <f>IFERROR(AVERAGE($FC32:FJ32),"")</f>
        <v>91.285714285714292</v>
      </c>
      <c r="JZ32" s="226">
        <f>IFERROR(AVERAGE($FC32:FK32),"")</f>
        <v>91.875</v>
      </c>
      <c r="KA32" s="226">
        <f>IFERROR(AVERAGE($FC32:FL32),"")</f>
        <v>91.777777777777771</v>
      </c>
      <c r="KB32" s="226">
        <f>IFERROR(AVERAGE($FC32:FM32),"")</f>
        <v>91.6</v>
      </c>
      <c r="KC32" s="226">
        <f>IFERROR(AVERAGE($FC32:FN32),"")</f>
        <v>90.805454545454552</v>
      </c>
      <c r="KD32" s="226">
        <f>IFERROR(AVERAGE($FC32:FO32),"")</f>
        <v>91.155000000000015</v>
      </c>
      <c r="KE32" s="226">
        <f>IFERROR(AVERAGE($FC32:FP32),"")</f>
        <v>86.835384615384626</v>
      </c>
      <c r="KF32" s="226">
        <f>IFERROR(AVERAGE($FC32:FQ32),"")</f>
        <v>83.990000000000009</v>
      </c>
      <c r="KG32" s="226">
        <f>IFERROR(AVERAGE($FC32:FR32),"")</f>
        <v>80.990666666666669</v>
      </c>
      <c r="KH32" s="226">
        <f>IFERROR(AVERAGE($FC32:FS32),"")</f>
        <v>79.178750000000008</v>
      </c>
      <c r="KI32" s="226">
        <f>IFERROR(AVERAGE($FC32:FT32),"")</f>
        <v>76.697647058823534</v>
      </c>
      <c r="KJ32" s="226">
        <f>IFERROR(AVERAGE($FC32:FU32),"")</f>
        <v>74.381111111111125</v>
      </c>
      <c r="KK32" s="226">
        <f>IFERROR(AVERAGE($FC32:FV32),"")</f>
        <v>72.466315789473697</v>
      </c>
      <c r="KL32" s="226">
        <f>IFERROR(AVERAGE($FC32:FW32),"")</f>
        <v>69.943000000000012</v>
      </c>
      <c r="KM32" s="226">
        <f>IFERROR(AVERAGE($FC32:FX32),"")</f>
        <v>68.660000000000011</v>
      </c>
      <c r="KN32" s="226">
        <f>IFERROR(AVERAGE($FC32:FY32),"")</f>
        <v>67.220909090909103</v>
      </c>
      <c r="KO32" s="226">
        <f>IFERROR(AVERAGE($FC32:FZ32),"")</f>
        <v>65.820000000000007</v>
      </c>
      <c r="KP32" s="226">
        <f>IFERROR(AVERAGE($FC32:GA32),"")</f>
        <v>64.535833333333343</v>
      </c>
      <c r="KQ32" s="226">
        <f>IFERROR(AVERAGE($FC32:GB32),"")</f>
        <v>63.234400000000008</v>
      </c>
      <c r="KR32" s="226">
        <f>IFERROR(AVERAGE($FC32:GC32),"")</f>
        <v>60.8023076923077</v>
      </c>
      <c r="KS32" s="226">
        <f>IFERROR(AVERAGE($FC32:GD32),"")</f>
        <v>59.772592592592595</v>
      </c>
      <c r="KT32" s="226">
        <f>IFERROR(AVERAGE($FC32:GE32),"")</f>
        <v>58.816428571428574</v>
      </c>
      <c r="KU32" s="226">
        <f>IFERROR(AVERAGE($FC32:GF32),"")</f>
        <v>60.098620689655178</v>
      </c>
      <c r="KV32" s="226">
        <f>IFERROR(AVERAGE($FC32:GG32),"")</f>
        <v>60.82866666666667</v>
      </c>
      <c r="KW32" s="226">
        <f>IFERROR(AVERAGE($FC32:GH32),"")</f>
        <v>61.737419354838714</v>
      </c>
      <c r="KX32" s="226">
        <f>IFERROR(AVERAGE($FC32:GI32),"")</f>
        <v>62.561250000000001</v>
      </c>
      <c r="KY32" s="226">
        <f>IFERROR(AVERAGE($FC32:GJ32),"")</f>
        <v>63.468484848484849</v>
      </c>
      <c r="KZ32" s="226">
        <f>IFERROR(AVERAGE($FC32:GK32),"")</f>
        <v>64.425294117647056</v>
      </c>
      <c r="LA32" s="226">
        <f>IFERROR(AVERAGE($FC32:GL32),"")</f>
        <v>65.32742857142857</v>
      </c>
      <c r="LB32" s="226">
        <f>IFERROR(AVERAGE($FC32:GM32),"")</f>
        <v>65.818333333333328</v>
      </c>
      <c r="LC32" s="226">
        <f>IFERROR(AVERAGE($FC32:GN32),"")</f>
        <v>66.58</v>
      </c>
      <c r="LD32" s="226">
        <f>IFERROR(AVERAGE($FC32:GO32),"")</f>
        <v>67.459473684210522</v>
      </c>
      <c r="LE32" s="226">
        <f>IFERROR(AVERAGE($FC32:GP32),"")</f>
        <v>68.07076923076923</v>
      </c>
      <c r="LF32" s="226">
        <f>IFERROR(AVERAGE($FC32:GQ32),"")</f>
        <v>68.498999999999995</v>
      </c>
      <c r="LG32" s="226">
        <f>IFERROR(AVERAGE($FC32:GR32),"")</f>
        <v>66.828292682926829</v>
      </c>
      <c r="LH32" s="226">
        <f>IFERROR(AVERAGE($FC32:GS32),"")</f>
        <v>66.828292682926829</v>
      </c>
      <c r="LI32" s="226">
        <f>IFERROR(AVERAGE($FC32:GT32),"")</f>
        <v>66.828292682926829</v>
      </c>
      <c r="LJ32" s="226">
        <f>IFERROR(AVERAGE($FC32:GU32),"")</f>
        <v>66.828292682926829</v>
      </c>
      <c r="LK32" s="226">
        <f>IFERROR(AVERAGE($FC32:GV32),"")</f>
        <v>66.828292682926829</v>
      </c>
      <c r="LL32" s="226">
        <f>IFERROR(AVERAGE($FC32:GW32),"")</f>
        <v>66.828292682926829</v>
      </c>
      <c r="LM32" s="226">
        <f>IFERROR(AVERAGE($FC32:GX32),"")</f>
        <v>66.828292682926829</v>
      </c>
      <c r="LN32" s="226">
        <f>IFERROR(AVERAGE($FC32:GY32),"")</f>
        <v>66.828292682926829</v>
      </c>
      <c r="LO32" s="226">
        <f>IFERROR(AVERAGE($FC32:GZ32),"")</f>
        <v>66.828292682926829</v>
      </c>
      <c r="LP32" s="226">
        <f>IFERROR(AVERAGE($FC32:HA32),"")</f>
        <v>66.828292682926829</v>
      </c>
      <c r="LQ32" s="226">
        <f>IFERROR(AVERAGE($FC32:HB32),"")</f>
        <v>66.828292682926829</v>
      </c>
      <c r="LR32" s="226">
        <f>IFERROR(AVERAGE($FC32:HC32),"")</f>
        <v>66.828292682926829</v>
      </c>
      <c r="LT32" s="136" t="str">
        <f>+$C32</f>
        <v>KPI D1</v>
      </c>
      <c r="LU32" s="144" t="str">
        <f>+$D32</f>
        <v>Delivery</v>
      </c>
      <c r="LV32" s="144" t="str">
        <f t="shared" si="104"/>
        <v>Delivery against Target as a percentage</v>
      </c>
      <c r="LW32" s="145" t="str">
        <f t="shared" si="105"/>
        <v>Percentage</v>
      </c>
      <c r="LX32" s="145" t="s">
        <v>285</v>
      </c>
      <c r="LY32" s="223" t="str">
        <f>IFERROR(AVERAGE($HJ32:HJ32),"")</f>
        <v/>
      </c>
      <c r="LZ32" s="223">
        <f>IFERROR(IF(LAD$7&gt;$D$3,"",AVERAGE($HJ32:HK32)),"")</f>
        <v>90</v>
      </c>
      <c r="MA32" s="223">
        <f>IFERROR(IF(MA$7&gt;$D$3,"",AVERAGE($HJ32:HL32)),"")</f>
        <v>90</v>
      </c>
      <c r="MB32" s="223">
        <f>IFERROR(IF(MB$7&gt;$D$3,"",AVERAGE($HJ32:HM32)),"")</f>
        <v>90</v>
      </c>
      <c r="MC32" s="223">
        <f>IFERROR(IF(MC$7&gt;$D$3,"",AVERAGE($HJ32:HN32)),"")</f>
        <v>90</v>
      </c>
      <c r="MD32" s="223">
        <f>IFERROR(IF(MD$7&gt;$D$3,"",AVERAGE($HJ32:HO32)),"")</f>
        <v>90</v>
      </c>
      <c r="ME32" s="223">
        <f>IFERROR(IF(ME$7&gt;$D$3,"",AVERAGE($HJ32:HP32)),"")</f>
        <v>90</v>
      </c>
      <c r="MF32" s="223">
        <f>IFERROR(IF(MF$7&gt;$D$3,"",AVERAGE($HJ32:HQ32)),"")</f>
        <v>90</v>
      </c>
      <c r="MG32" s="223">
        <f>IFERROR(IF(MG$7&gt;$D$3,"",AVERAGE($HJ32:HR32)),"")</f>
        <v>90</v>
      </c>
      <c r="MH32" s="223">
        <f>IFERROR(IF(MH$7&gt;$D$3,"",AVERAGE($HJ32:HS32)),"")</f>
        <v>90</v>
      </c>
      <c r="MI32" s="223">
        <f>IFERROR(IF(MI$7&gt;$D$3,"",AVERAGE($HJ32:HT32)),"")</f>
        <v>90</v>
      </c>
      <c r="MJ32" s="223">
        <f>IFERROR(IF(MJ$7&gt;$D$3,"",AVERAGE($HJ32:HU32)),"")</f>
        <v>90</v>
      </c>
      <c r="MK32" s="223">
        <f>IFERROR(IF(MK$7&gt;$D$3,"",AVERAGE($HJ32:HV32)),"")</f>
        <v>90</v>
      </c>
      <c r="ML32" s="223">
        <f>IFERROR(IF(ML$7&gt;$D$3,"",AVERAGE($HJ32:HW32)),"")</f>
        <v>90</v>
      </c>
      <c r="MM32" s="223">
        <f>IFERROR(IF(MM$7&gt;$D$3,"",AVERAGE($HJ32:HX32)),"")</f>
        <v>90</v>
      </c>
      <c r="MN32" s="223">
        <f>IFERROR(IF(MN$7&gt;$D$3,"",AVERAGE($HJ32:HY32)),"")</f>
        <v>90</v>
      </c>
      <c r="MO32" s="223">
        <f>IFERROR(IF(MO$7&gt;$D$3,"",AVERAGE($HJ32:HZ32)),"")</f>
        <v>90</v>
      </c>
      <c r="MP32" s="223">
        <f>IFERROR(IF(MP$7&gt;$D$3,"",AVERAGE($HJ32:IA32)),"")</f>
        <v>90</v>
      </c>
      <c r="MQ32" s="223">
        <f>IFERROR(IF(MQ$7&gt;$D$3,"",AVERAGE($HJ32:IB32)),"")</f>
        <v>90</v>
      </c>
      <c r="MR32" s="223">
        <f>IFERROR(IF(MR$7&gt;$D$3,"",AVERAGE($HJ32:IC32)),"")</f>
        <v>90</v>
      </c>
      <c r="MS32" s="223">
        <f>IFERROR(IF(MS$7&gt;$D$3,"",AVERAGE($HJ32:ID32)),"")</f>
        <v>90</v>
      </c>
      <c r="MT32" s="223">
        <f>IFERROR(IF(MT$7&gt;$D$3,"",AVERAGE($HJ32:IE32)),"")</f>
        <v>90</v>
      </c>
      <c r="MU32" s="223">
        <f>IFERROR(IF(MU$7&gt;$D$3,"",AVERAGE($HJ32:IF32)),"")</f>
        <v>90</v>
      </c>
      <c r="MV32" s="223">
        <f>IFERROR(IF(MV$7&gt;$D$3,"",AVERAGE($HJ32:IG32)),"")</f>
        <v>90</v>
      </c>
      <c r="MW32" s="223">
        <f>IFERROR(IF(MW$7&gt;$D$3,"",AVERAGE($HJ32:IH32)),"")</f>
        <v>90</v>
      </c>
      <c r="MX32" s="223">
        <f>IFERROR(IF(MX$7&gt;$D$3,"",AVERAGE($HJ32:II32)),"")</f>
        <v>90</v>
      </c>
      <c r="MY32" s="223">
        <f>IFERROR(IF(MY$7&gt;$D$3,"",AVERAGE($HJ32:IJ32)),"")</f>
        <v>90</v>
      </c>
      <c r="MZ32" s="223">
        <f>IFERROR(IF(MZ$7&gt;$D$3,"",AVERAGE($HJ32:IK32)),"")</f>
        <v>90</v>
      </c>
      <c r="NA32" s="223">
        <f>IFERROR(IF(NA$7&gt;$D$3,"",AVERAGE($HJ32:IL32)),"")</f>
        <v>90</v>
      </c>
      <c r="NB32" s="223">
        <f>IFERROR(IF(NB$7&gt;$D$3,"",AVERAGE($HJ32:IM32)),"")</f>
        <v>90</v>
      </c>
      <c r="NC32" s="223">
        <f>IFERROR(IF(NC$7&gt;$D$3,"",AVERAGE($HJ32:IN32)),"")</f>
        <v>90</v>
      </c>
      <c r="ND32" s="223">
        <f>IFERROR(IF(ND$7&gt;$D$3,"",AVERAGE($HJ32:IO32)),"")</f>
        <v>90</v>
      </c>
      <c r="NE32" s="223">
        <f>IFERROR(IF(NE$7&gt;$D$3,"",AVERAGE($HJ32:IP32)),"")</f>
        <v>90</v>
      </c>
      <c r="NF32" s="223">
        <f>IFERROR(IF(NF$7&gt;$D$3,"",AVERAGE($HJ32:IQ32)),"")</f>
        <v>90</v>
      </c>
      <c r="NG32" s="223">
        <f>IFERROR(IF(NG$7&gt;$D$3,"",AVERAGE($HJ32:IR32)),"")</f>
        <v>90</v>
      </c>
      <c r="NH32" s="223">
        <f>IFERROR(IF(NH$7&gt;$D$3,"",AVERAGE($HJ32:IS32)),"")</f>
        <v>90</v>
      </c>
      <c r="NI32" s="223">
        <f>IFERROR(IF(NI$7&gt;$D$3,"",AVERAGE($HJ32:IT32)),"")</f>
        <v>90</v>
      </c>
      <c r="NJ32" s="223">
        <f>IFERROR(IF(NJ$7&gt;$D$3,"",AVERAGE($HJ32:IU32)),"")</f>
        <v>90</v>
      </c>
      <c r="NK32" s="223">
        <f>IFERROR(IF(NK$7&gt;$D$3,"",AVERAGE($HJ32:IV32)),"")</f>
        <v>90</v>
      </c>
      <c r="NL32" s="223">
        <f>IFERROR(IF(NL$7&gt;$D$3,"",AVERAGE($HJ32:IW32)),"")</f>
        <v>90</v>
      </c>
      <c r="NM32" s="223">
        <f>IFERROR(IF(NM$7&gt;$D$3,"",AVERAGE($HJ32:IX32)),"")</f>
        <v>90</v>
      </c>
      <c r="NN32" s="223">
        <f>IFERROR(IF(NN$7&gt;$D$3,"",AVERAGE($HJ32:IY32)),"")</f>
        <v>90</v>
      </c>
      <c r="NO32" s="223" t="str">
        <f>IFERROR(IF(NO$7&gt;$D$3,"",AVERAGE($HJ32:IZ32)),"")</f>
        <v/>
      </c>
      <c r="NP32" s="223" t="str">
        <f>IFERROR(IF(NP$7&gt;$D$3,"",AVERAGE($HJ32:JA32)),"")</f>
        <v/>
      </c>
      <c r="NQ32" s="223" t="str">
        <f>IFERROR(IF(NQ$7&gt;$D$3,"",AVERAGE($HJ32:JB32)),"")</f>
        <v/>
      </c>
      <c r="NR32" s="223" t="str">
        <f>IFERROR(IF(NR$7&gt;$D$3,"",AVERAGE($HJ32:JC32)),"")</f>
        <v/>
      </c>
      <c r="NS32" s="223" t="str">
        <f>IFERROR(IF(NS$7&gt;$D$3,"",AVERAGE($HJ32:JD32)),"")</f>
        <v/>
      </c>
      <c r="NT32" s="223" t="str">
        <f>IFERROR(IF(NT$7&gt;$D$3,"",AVERAGE($HJ32:JE32)),"")</f>
        <v/>
      </c>
      <c r="NU32" s="223" t="str">
        <f>IFERROR(IF(NU$7&gt;$D$3,"",AVERAGE($HJ32:JF32)),"")</f>
        <v/>
      </c>
      <c r="NV32" s="223" t="str">
        <f>IFERROR(IF(NV$7&gt;$D$3,"",AVERAGE($HJ32:JG32)),"")</f>
        <v/>
      </c>
      <c r="NW32" s="223" t="str">
        <f>IFERROR(IF(NW$7&gt;$D$3,"",AVERAGE($HJ32:JH32)),"")</f>
        <v/>
      </c>
      <c r="NX32" s="223" t="str">
        <f>IFERROR(IF(NX$7&gt;$D$3,"",AVERAGE($HJ32:JI32)),"")</f>
        <v/>
      </c>
      <c r="NY32" s="223" t="str">
        <f>IFERROR(IF(NY$7&gt;$D$3,"",AVERAGE($HJ32:JJ32)),"")</f>
        <v/>
      </c>
    </row>
    <row r="33" spans="1:389" x14ac:dyDescent="0.3">
      <c r="A33" t="str">
        <f>$B$30&amp;"-"&amp;C33</f>
        <v>Product Design-KPI D2</v>
      </c>
      <c r="B33" s="918">
        <f>+'KPI Stats'!B38</f>
        <v>0</v>
      </c>
      <c r="C33" s="136" t="str">
        <f>+'KPI Stats'!C38</f>
        <v>KPI D2</v>
      </c>
      <c r="D33" s="144" t="str">
        <f>+'KPI Stats'!D38</f>
        <v>Delivery</v>
      </c>
      <c r="E33" s="144" t="str">
        <f>+'KPI Stats'!E38</f>
        <v>Lead Time Days to Full Task Completion</v>
      </c>
      <c r="F33" s="145" t="str">
        <f>+'KPI Stats'!F38</f>
        <v>Days</v>
      </c>
      <c r="G33" s="169" t="str">
        <f>+'KPI Stats'!G38</f>
        <v>Over</v>
      </c>
      <c r="J33" s="69" t="str">
        <f>_xlfn.XLOOKUP(J$7,$AM$7:$CM$7,$AM33:$CM33,,FALSE)</f>
        <v>OD</v>
      </c>
      <c r="K33" s="264">
        <f>_xlfn.XLOOKUP(K$7,$FC$7:$HC$7,$FC33:$HC33,,FALSE)</f>
        <v>0</v>
      </c>
      <c r="L33" s="278">
        <f>_xlfn.XLOOKUP(L$7,$HJ$7:$JJ$7,$HJ33:$JJ33,,FALSE)</f>
        <v>7</v>
      </c>
      <c r="M33" s="285" t="str">
        <f>_xlfn.XLOOKUP(M$7,$CU$7:$EU$7,$CU33:$EU33,,FALSE)</f>
        <v>OD</v>
      </c>
      <c r="P33" s="69" t="str">
        <f>_xlfn.XLOOKUP(P$7,$AM$7:$CM$7,$AM33:$CM33,,FALSE)</f>
        <v>OD</v>
      </c>
      <c r="Q33" s="264">
        <f t="shared" si="108"/>
        <v>0</v>
      </c>
      <c r="R33" s="278">
        <f t="shared" si="108"/>
        <v>9.8000000000000007</v>
      </c>
      <c r="S33" s="301" t="str">
        <f t="shared" si="109"/>
        <v>OD</v>
      </c>
      <c r="T33" s="302">
        <f t="shared" si="109"/>
        <v>0.71428571428571419</v>
      </c>
      <c r="U33" s="295" t="str">
        <f>IF(F30&lt;$R$2,"Not Complete",IF(Q33=R33,"Same −",IF($G33="Over",IF(Q33&lt;R33,"Better ↑","Worse ↓"),IF($G33="Under",IF(Q33&gt;R33,"Better ↑","Worse ↓"),"err"))))</f>
        <v>Better ↑</v>
      </c>
      <c r="X33" s="69" t="str">
        <f t="shared" si="110"/>
        <v>A</v>
      </c>
      <c r="Y33" s="114">
        <f>_xlfn.XLOOKUP(Y$7,$JR$7:$LR$7,$JR33:$LR33,FALSE)</f>
        <v>7.0097560975609765</v>
      </c>
      <c r="Z33" s="114">
        <f>_xlfn.XLOOKUP(Z$7,$LY$7:$NY$7,$LY33:$NY33,FALSE)</f>
        <v>7</v>
      </c>
      <c r="AA33" s="254">
        <f>IF(G33="under",Y33/Z33,IF(G33="over",Z33/Y33,"err"))</f>
        <v>0.99860821155184398</v>
      </c>
      <c r="AB33" s="295" t="str">
        <f>IF(F30&lt;$R$2,"TBC",IF(Y33=Z33,"Same −",IF($G33="Over",IF(Z33&lt;Y33,"Better ↑ ","Worse ↓ "),IF($G33="Under",IF(Y33&gt;Z33,"Better ↑ ","Worse ↓ "),"err"))))</f>
        <v xml:space="preserve">Better ↑ </v>
      </c>
      <c r="AC33" s="69" t="str">
        <f>IF(AND(G33="above adero",AD33&gt;0),"R",IF(AF33&gt;1,"G",IF(AF33&gt;0.95,"A","R")))</f>
        <v>A</v>
      </c>
      <c r="AD33" s="114">
        <f>_xlfn.XLOOKUP(AD$7,$JR$7:$LR$7,$JR33:$LR33,FALSE)</f>
        <v>7.1850000000000005</v>
      </c>
      <c r="AE33" s="114">
        <f>_xlfn.XLOOKUP(AE$7,$LY$7:$NY$7,$LY33:$NY33,FALSE)</f>
        <v>7</v>
      </c>
      <c r="AF33" s="254">
        <f>IF(G33="under",AD33/AE33,IF(G33="over",AE33/AD33,"err"))</f>
        <v>0.97425191370911612</v>
      </c>
      <c r="AH33" s="465" t="str">
        <f>+$A33</f>
        <v>Product Design-KPI D2</v>
      </c>
      <c r="AI33" s="136" t="str">
        <f t="shared" si="111"/>
        <v>KPI D2</v>
      </c>
      <c r="AJ33" s="144" t="str">
        <f t="shared" si="111"/>
        <v>Delivery</v>
      </c>
      <c r="AK33" s="144" t="str">
        <f t="shared" si="87"/>
        <v>Lead Time Days to Full Task Completion</v>
      </c>
      <c r="AL33" s="145" t="str">
        <f t="shared" si="87"/>
        <v>Days</v>
      </c>
      <c r="AM33" s="69" t="str">
        <f>IF(AM$7&gt;$D$3,"",_xlfn.XLOOKUP(AM$7,'Product Design'!$M$6:$BM$6,'Product Design'!$M$16:$BM$16))</f>
        <v>Blank</v>
      </c>
      <c r="AN33" s="199" t="str">
        <f>IF(AN$7&gt;$D$3,"",_xlfn.XLOOKUP(AN$7,'Product Design'!$M$6:$BM$6,'Product Design'!$M$16:$BM$16))</f>
        <v>R</v>
      </c>
      <c r="AO33" s="69" t="str">
        <f>IF(AO$7&gt;$D$3,"",_xlfn.XLOOKUP(AO$7,'Product Design'!$M$6:$BM$6,'Product Design'!$M$16:$BM$16))</f>
        <v>G</v>
      </c>
      <c r="AP33" s="69" t="str">
        <f>IF(AP$7&gt;$D$3,"",_xlfn.XLOOKUP(AP$7,'Product Design'!$M$6:$BM$6,'Product Design'!$M$16:$BM$16))</f>
        <v>R</v>
      </c>
      <c r="AQ33" s="69" t="str">
        <f>IF(AQ$7&gt;$D$3,"",_xlfn.XLOOKUP(AQ$7,'Product Design'!$M$6:$BM$6,'Product Design'!$M$16:$BM$16))</f>
        <v>R</v>
      </c>
      <c r="AR33" s="69" t="str">
        <f>IF(AR$7&gt;$D$3,"",_xlfn.XLOOKUP(AR$7,'Product Design'!$M$6:$BM$6,'Product Design'!$M$16:$BM$16))</f>
        <v>G</v>
      </c>
      <c r="AS33" s="69" t="str">
        <f>IF(AS$7&gt;$D$3,"",_xlfn.XLOOKUP(AS$7,'Product Design'!$M$6:$BM$6,'Product Design'!$M$16:$BM$16))</f>
        <v>G</v>
      </c>
      <c r="AT33" s="69" t="str">
        <f>IF(AT$7&gt;$D$3,"",_xlfn.XLOOKUP(AT$7,'Product Design'!$M$6:$BM$6,'Product Design'!$M$16:$BM$16))</f>
        <v>R</v>
      </c>
      <c r="AU33" s="69" t="str">
        <f>IF(AU$7&gt;$D$3,"",_xlfn.XLOOKUP(AU$7,'Product Design'!$M$6:$BM$6,'Product Design'!$M$16:$BM$16))</f>
        <v>G</v>
      </c>
      <c r="AV33" s="69" t="str">
        <f>IF(AV$7&gt;$D$3,"",_xlfn.XLOOKUP(AV$7,'Product Design'!$M$6:$BM$6,'Product Design'!$M$16:$BM$16))</f>
        <v>G</v>
      </c>
      <c r="AW33" s="69" t="str">
        <f>IF(AW$7&gt;$D$3,"",_xlfn.XLOOKUP(AW$7,'Product Design'!$M$6:$BM$6,'Product Design'!$M$16:$BM$16))</f>
        <v>R</v>
      </c>
      <c r="AX33" s="69" t="str">
        <f>IF(AX$7&gt;$D$3,"",_xlfn.XLOOKUP(AX$7,'Product Design'!$M$6:$BM$6,'Product Design'!$M$16:$BM$16))</f>
        <v>R</v>
      </c>
      <c r="AY33" s="69" t="str">
        <f>IF(AY$7&gt;$D$3,"",_xlfn.XLOOKUP(AY$7,'Product Design'!$M$6:$BM$6,'Product Design'!$M$16:$BM$16))</f>
        <v>R</v>
      </c>
      <c r="AZ33" s="69" t="str">
        <f>IF(AZ$7&gt;$D$3,"",_xlfn.XLOOKUP(AZ$7,'Product Design'!$M$6:$BM$6,'Product Design'!$M$16:$BM$16))</f>
        <v>G</v>
      </c>
      <c r="BA33" s="69" t="str">
        <f>IF(BA$7&gt;$D$3,"",_xlfn.XLOOKUP(BA$7,'Product Design'!$M$6:$BM$6,'Product Design'!$M$16:$BM$16))</f>
        <v>R</v>
      </c>
      <c r="BB33" s="69" t="str">
        <f>IF(BB$7&gt;$D$3,"",_xlfn.XLOOKUP(BB$7,'Product Design'!$M$6:$BM$6,'Product Design'!$M$16:$BM$16))</f>
        <v>R</v>
      </c>
      <c r="BC33" s="69" t="str">
        <f>IF(BC$7&gt;$D$3,"",_xlfn.XLOOKUP(BC$7,'Product Design'!$M$6:$BM$6,'Product Design'!$M$16:$BM$16))</f>
        <v>G</v>
      </c>
      <c r="BD33" s="69" t="str">
        <f>IF(BD$7&gt;$D$3,"",_xlfn.XLOOKUP(BD$7,'Product Design'!$M$6:$BM$6,'Product Design'!$M$16:$BM$16))</f>
        <v>G</v>
      </c>
      <c r="BE33" s="69" t="str">
        <f>IF(BE$7&gt;$D$3,"",_xlfn.XLOOKUP(BE$7,'Product Design'!$M$6:$BM$6,'Product Design'!$M$16:$BM$16))</f>
        <v>R</v>
      </c>
      <c r="BF33" s="69" t="str">
        <f>IF(BF$7&gt;$D$3,"",_xlfn.XLOOKUP(BF$7,'Product Design'!$M$6:$BM$6,'Product Design'!$M$16:$BM$16))</f>
        <v>G</v>
      </c>
      <c r="BG33" s="69" t="str">
        <f>IF(BG$7&gt;$D$3,"",_xlfn.XLOOKUP(BG$7,'Product Design'!$M$6:$BM$6,'Product Design'!$M$16:$BM$16))</f>
        <v>R</v>
      </c>
      <c r="BH33" s="69" t="str">
        <f>IF(BH$7&gt;$D$3,"",_xlfn.XLOOKUP(BH$7,'Product Design'!$M$6:$BM$6,'Product Design'!$M$16:$BM$16))</f>
        <v>R</v>
      </c>
      <c r="BI33" s="69" t="str">
        <f>IF(BI$7&gt;$D$3,"",_xlfn.XLOOKUP(BI$7,'Product Design'!$M$6:$BM$6,'Product Design'!$M$16:$BM$16))</f>
        <v>A</v>
      </c>
      <c r="BJ33" s="69" t="str">
        <f>IF(BJ$7&gt;$D$3,"",_xlfn.XLOOKUP(BJ$7,'Product Design'!$M$6:$BM$6,'Product Design'!$M$16:$BM$16))</f>
        <v>A</v>
      </c>
      <c r="BK33" s="69" t="str">
        <f>IF(BK$7&gt;$D$3,"",_xlfn.XLOOKUP(BK$7,'Product Design'!$M$6:$BM$6,'Product Design'!$M$16:$BM$16))</f>
        <v>A</v>
      </c>
      <c r="BL33" s="69" t="str">
        <f>IF(BL$7&gt;$D$3,"",_xlfn.XLOOKUP(BL$7,'Product Design'!$M$6:$BM$6,'Product Design'!$M$16:$BM$16))</f>
        <v>G</v>
      </c>
      <c r="BM33" s="69" t="str">
        <f>IF(BM$7&gt;$D$3,"",_xlfn.XLOOKUP(BM$7,'Product Design'!$M$6:$BM$6,'Product Design'!$M$16:$BM$16))</f>
        <v>OD</v>
      </c>
      <c r="BN33" s="69" t="str">
        <f>IF(BN$7&gt;$D$3,"",_xlfn.XLOOKUP(BN$7,'Product Design'!$M$6:$BM$6,'Product Design'!$M$16:$BM$16))</f>
        <v>R</v>
      </c>
      <c r="BO33" s="69" t="str">
        <f>IF(BO$7&gt;$D$3,"",_xlfn.XLOOKUP(BO$7,'Product Design'!$M$6:$BM$6,'Product Design'!$M$16:$BM$16))</f>
        <v>G</v>
      </c>
      <c r="BP33" s="69" t="str">
        <f>IF(BP$7&gt;$D$3,"",_xlfn.XLOOKUP(BP$7,'Product Design'!$M$6:$BM$6,'Product Design'!$M$16:$BM$16))</f>
        <v>R</v>
      </c>
      <c r="BQ33" s="69" t="str">
        <f>IF(BQ$7&gt;$D$3,"",_xlfn.XLOOKUP(BQ$7,'Product Design'!$M$6:$BM$6,'Product Design'!$M$16:$BM$16))</f>
        <v>G</v>
      </c>
      <c r="BR33" s="69" t="str">
        <f>IF(BR$7&gt;$D$3,"",_xlfn.XLOOKUP(BR$7,'Product Design'!$M$6:$BM$6,'Product Design'!$M$16:$BM$16))</f>
        <v>R</v>
      </c>
      <c r="BS33" s="69" t="str">
        <f>IF(BS$7&gt;$D$3,"",_xlfn.XLOOKUP(BS$7,'Product Design'!$M$6:$BM$6,'Product Design'!$M$16:$BM$16))</f>
        <v>G</v>
      </c>
      <c r="BT33" s="69" t="str">
        <f>IF(BT$7&gt;$D$3,"",_xlfn.XLOOKUP(BT$7,'Product Design'!$M$6:$BM$6,'Product Design'!$M$16:$BM$16))</f>
        <v>G</v>
      </c>
      <c r="BU33" s="69" t="str">
        <f>IF(BU$7&gt;$D$3,"",_xlfn.XLOOKUP(BU$7,'Product Design'!$M$6:$BM$6,'Product Design'!$M$16:$BM$16))</f>
        <v>R</v>
      </c>
      <c r="BV33" s="69" t="str">
        <f>IF(BV$7&gt;$D$3,"",_xlfn.XLOOKUP(BV$7,'Product Design'!$M$6:$BM$6,'Product Design'!$M$16:$BM$16))</f>
        <v>G</v>
      </c>
      <c r="BW33" s="69" t="str">
        <f>IF(BW$7&gt;$D$3,"",_xlfn.XLOOKUP(BW$7,'Product Design'!$M$6:$BM$6,'Product Design'!$M$16:$BM$16))</f>
        <v>G</v>
      </c>
      <c r="BX33" s="69" t="str">
        <f>IF(BX$7&gt;$D$3,"",_xlfn.XLOOKUP(BX$7,'Product Design'!$M$6:$BM$6,'Product Design'!$M$16:$BM$16))</f>
        <v>G</v>
      </c>
      <c r="BY33" s="69" t="str">
        <f>IF(BY$7&gt;$D$3,"",_xlfn.XLOOKUP(BY$7,'Product Design'!$M$6:$BM$6,'Product Design'!$M$16:$BM$16))</f>
        <v>G</v>
      </c>
      <c r="BZ33" s="69" t="str">
        <f>IF(BZ$7&gt;$D$3,"",_xlfn.XLOOKUP(BZ$7,'Product Design'!$M$6:$BM$6,'Product Design'!$M$16:$BM$16))</f>
        <v>G</v>
      </c>
      <c r="CA33" s="69" t="str">
        <f>IF(CA$7&gt;$D$3,"",_xlfn.XLOOKUP(CA$7,'Product Design'!$M$6:$BM$6,'Product Design'!$M$16:$BM$16))</f>
        <v>R</v>
      </c>
      <c r="CB33" s="69" t="str">
        <f>IF(CB$7&gt;$D$3,"",_xlfn.XLOOKUP(CB$7,'Product Design'!$M$6:$BM$6,'Product Design'!$M$16:$BM$16))</f>
        <v>OD</v>
      </c>
      <c r="CC33" s="69" t="str">
        <f>IF(CC$7&gt;$D$3,"",_xlfn.XLOOKUP(CC$7,'Product Design'!$M$6:$BM$6,'Product Design'!$M$16:$BM$16))</f>
        <v/>
      </c>
      <c r="CD33" s="69" t="str">
        <f>IF(CD$7&gt;$D$3,"",_xlfn.XLOOKUP(CD$7,'Product Design'!$M$6:$BM$6,'Product Design'!$M$16:$BM$16))</f>
        <v/>
      </c>
      <c r="CE33" s="69" t="str">
        <f>IF(CE$7&gt;$D$3,"",_xlfn.XLOOKUP(CE$7,'Product Design'!$M$6:$BM$6,'Product Design'!$M$16:$BM$16))</f>
        <v/>
      </c>
      <c r="CF33" s="69" t="str">
        <f>IF(CF$7&gt;$D$3,"",_xlfn.XLOOKUP(CF$7,'Product Design'!$M$6:$BM$6,'Product Design'!$M$16:$BM$16))</f>
        <v/>
      </c>
      <c r="CG33" s="69" t="str">
        <f>IF(CG$7&gt;$D$3,"",_xlfn.XLOOKUP(CG$7,'Product Design'!$M$6:$BM$6,'Product Design'!$M$16:$BM$16))</f>
        <v/>
      </c>
      <c r="CH33" s="69" t="str">
        <f>IF(CH$7&gt;$D$3,"",_xlfn.XLOOKUP(CH$7,'Product Design'!$M$6:$BM$6,'Product Design'!$M$16:$BM$16))</f>
        <v/>
      </c>
      <c r="CI33" s="69" t="str">
        <f>IF(CI$7&gt;$D$3,"",_xlfn.XLOOKUP(CI$7,'Product Design'!$M$6:$BM$6,'Product Design'!$M$16:$BM$16))</f>
        <v/>
      </c>
      <c r="CJ33" s="69" t="str">
        <f>IF(CJ$7&gt;$D$3,"",_xlfn.XLOOKUP(CJ$7,'Product Design'!$M$6:$BM$6,'Product Design'!$M$16:$BM$16))</f>
        <v/>
      </c>
      <c r="CK33" s="69" t="str">
        <f>IF(CK$7&gt;$D$3,"",_xlfn.XLOOKUP(CK$7,'Product Design'!$M$6:$BM$6,'Product Design'!$M$16:$BM$16))</f>
        <v/>
      </c>
      <c r="CL33" s="69" t="str">
        <f>IF(CL$7&gt;$D$3,"",_xlfn.XLOOKUP(CL$7,'Product Design'!$M$6:$BM$6,'Product Design'!$M$16:$BM$16))</f>
        <v/>
      </c>
      <c r="CM33" s="69" t="str">
        <f>IF(CM$7&gt;$D$3,"",_xlfn.XLOOKUP(CM$7,'Product Design'!$M$6:$BM$6,'Product Design'!$M$16:$BM$16))</f>
        <v/>
      </c>
      <c r="CO33" s="465" t="str">
        <f>+$A33</f>
        <v>Product Design-KPI D2</v>
      </c>
      <c r="CP33" s="136" t="str">
        <f t="shared" si="112"/>
        <v>KPI D2</v>
      </c>
      <c r="CQ33" s="144" t="str">
        <f t="shared" si="112"/>
        <v>Delivery</v>
      </c>
      <c r="CR33" s="144" t="str">
        <f t="shared" si="112"/>
        <v>Lead Time Days to Full Task Completion</v>
      </c>
      <c r="CS33" s="145" t="str">
        <f t="shared" si="112"/>
        <v>Days</v>
      </c>
      <c r="CT33" s="207" t="s">
        <v>246</v>
      </c>
      <c r="CU33" s="69" t="str">
        <f>IF(CU$7&gt;$D$3,"",_xlfn.XLOOKUP(CU$7,'Product Design'!$M$6:$BM$6,'Product Design'!$M$16:$BM$16))</f>
        <v>Blank</v>
      </c>
      <c r="CV33" s="323">
        <f>IFERROR(IF(CV$7&gt;$D$3,"",IF(AN33="OD","OD",IF(AN33="Missed","Missed",IF(AN33="TBC","TBC",IF(AN33="Undefined","Undefined",_xlfn.XLOOKUP(CV$7,'Product Design'!$M$6:$BM$6,'Product Design'!$M$14:$BM$14)/_xlfn.XLOOKUP(CV$7,'Product Design'!$M$6:$BM$6,'Product Design'!$M$15:$BM$15)))))),"")</f>
        <v>0.63636363636363635</v>
      </c>
      <c r="CW33" s="315">
        <f>IFERROR(IF(CW$7&gt;$D$3,"",IF(AO33="OD","OD",IF(AO33="Missed","Missed",IF(AO33="TBC","TBC",IF(AO33="Undefined","Undefined",_xlfn.XLOOKUP(CW$7,'Product Design'!$M$6:$BM$6,'Product Design'!$M$14:$BM$14)/_xlfn.XLOOKUP(CW$7,'Product Design'!$M$6:$BM$6,'Product Design'!$M$15:$BM$15)))))),"")</f>
        <v>1.7948717948717949</v>
      </c>
      <c r="CX33" s="315">
        <f>IFERROR(IF(CX$7&gt;$D$3,"",IF(AP33="OD","OD",IF(AP33="Missed","Missed",IF(AP33="TBC","TBC",IF(AP33="Undefined","Undefined",_xlfn.XLOOKUP(CX$7,'Product Design'!$M$6:$BM$6,'Product Design'!$M$14:$BM$14)/_xlfn.XLOOKUP(CX$7,'Product Design'!$M$6:$BM$6,'Product Design'!$M$15:$BM$15)))))),"")</f>
        <v>0.88607594936708856</v>
      </c>
      <c r="CY33" s="315">
        <f>IFERROR(IF(CY$7&gt;$D$3,"",IF(AQ33="OD","OD",IF(AQ33="Missed","Missed",IF(AQ33="TBC","TBC",IF(AQ33="Undefined","Undefined",_xlfn.XLOOKUP(CY$7,'Product Design'!$M$6:$BM$6,'Product Design'!$M$14:$BM$14)/_xlfn.XLOOKUP(CY$7,'Product Design'!$M$6:$BM$6,'Product Design'!$M$15:$BM$15)))))),"")</f>
        <v>0.7</v>
      </c>
      <c r="CZ33" s="315">
        <f>IFERROR(IF(CZ$7&gt;$D$3,"",IF(AR33="OD","OD",IF(AR33="Missed","Missed",IF(AR33="TBC","TBC",IF(AR33="Undefined","Undefined",_xlfn.XLOOKUP(CZ$7,'Product Design'!$M$6:$BM$6,'Product Design'!$M$14:$BM$14)/_xlfn.XLOOKUP(CZ$7,'Product Design'!$M$6:$BM$6,'Product Design'!$M$15:$BM$15)))))),"")</f>
        <v>1.0144927536231882</v>
      </c>
      <c r="DA33" s="315">
        <f>IFERROR(IF(DA$7&gt;$D$3,"",IF(AS33="OD","OD",IF(AS33="Missed","Missed",IF(AS33="TBC","TBC",IF(AS33="Undefined","Undefined",_xlfn.XLOOKUP(DA$7,'Product Design'!$M$6:$BM$6,'Product Design'!$M$14:$BM$14)/_xlfn.XLOOKUP(DA$7,'Product Design'!$M$6:$BM$6,'Product Design'!$M$15:$BM$15)))))),"")</f>
        <v>1.0144927536231882</v>
      </c>
      <c r="DB33" s="315">
        <f>IFERROR(IF(DB$7&gt;$D$3,"",IF(AT33="OD","OD",IF(AT33="Missed","Missed",IF(AT33="TBC","TBC",IF(AT33="Undefined","Undefined",_xlfn.XLOOKUP(DB$7,'Product Design'!$M$6:$BM$6,'Product Design'!$M$14:$BM$14)/_xlfn.XLOOKUP(DB$7,'Product Design'!$M$6:$BM$6,'Product Design'!$M$15:$BM$15)))))),"")</f>
        <v>0.79545454545454541</v>
      </c>
      <c r="DC33" s="315">
        <f>IFERROR(IF(DC$7&gt;$D$3,"",IF(AU33="OD","OD",IF(AU33="Missed","Missed",IF(AU33="TBC","TBC",IF(AU33="Undefined","Undefined",_xlfn.XLOOKUP(DC$7,'Product Design'!$M$6:$BM$6,'Product Design'!$M$14:$BM$14)/_xlfn.XLOOKUP(DC$7,'Product Design'!$M$6:$BM$6,'Product Design'!$M$15:$BM$15)))))),"")</f>
        <v>1.25</v>
      </c>
      <c r="DD33" s="315">
        <f>IFERROR(IF(DD$7&gt;$D$3,"",IF(AV33="OD","OD",IF(AV33="Missed","Missed",IF(AV33="TBC","TBC",IF(AV33="Undefined","Undefined",_xlfn.XLOOKUP(DD$7,'Product Design'!$M$6:$BM$6,'Product Design'!$M$14:$BM$14)/_xlfn.XLOOKUP(DD$7,'Product Design'!$M$6:$BM$6,'Product Design'!$M$15:$BM$15)))))),"")</f>
        <v>1.09375</v>
      </c>
      <c r="DE33" s="315">
        <f>IFERROR(IF(DE$7&gt;$D$3,"",IF(AW33="OD","OD",IF(AW33="Missed","Missed",IF(AW33="TBC","TBC",IF(AW33="Undefined","Undefined",_xlfn.XLOOKUP(DE$7,'Product Design'!$M$6:$BM$6,'Product Design'!$M$14:$BM$14)/_xlfn.XLOOKUP(DE$7,'Product Design'!$M$6:$BM$6,'Product Design'!$M$15:$BM$15)))))),"")</f>
        <v>0.81395348837209303</v>
      </c>
      <c r="DF33" s="315">
        <f>IFERROR(IF(DF$7&gt;$D$3,"",IF(AX33="OD","OD",IF(AX33="Missed","Missed",IF(AX33="TBC","TBC",IF(AX33="Undefined","Undefined",_xlfn.XLOOKUP(DF$7,'Product Design'!$M$6:$BM$6,'Product Design'!$M$14:$BM$14)/_xlfn.XLOOKUP(DF$7,'Product Design'!$M$6:$BM$6,'Product Design'!$M$15:$BM$15)))))),"")</f>
        <v>0.89743589743589747</v>
      </c>
      <c r="DG33" s="315">
        <f>IFERROR(IF(DG$7&gt;$D$3,"",IF(AY33="OD","OD",IF(AY33="Missed","Missed",IF(AY33="TBC","TBC",IF(AY33="Undefined","Undefined",_xlfn.XLOOKUP(DG$7,'Product Design'!$M$6:$BM$6,'Product Design'!$M$14:$BM$14)/_xlfn.XLOOKUP(DG$7,'Product Design'!$M$6:$BM$6,'Product Design'!$M$15:$BM$15)))))),"")</f>
        <v>0.94594594594594594</v>
      </c>
      <c r="DH33" s="315">
        <f>IFERROR(IF(DH$7&gt;$D$3,"",IF(AZ33="OD","OD",IF(AZ33="Missed","Missed",IF(AZ33="TBC","TBC",IF(AZ33="Undefined","Undefined",_xlfn.XLOOKUP(DH$7,'Product Design'!$M$6:$BM$6,'Product Design'!$M$14:$BM$14)/_xlfn.XLOOKUP(DH$7,'Product Design'!$M$6:$BM$6,'Product Design'!$M$15:$BM$15)))))),"")</f>
        <v>1.044776119402985</v>
      </c>
      <c r="DI33" s="315">
        <f>IFERROR(IF(DI$7&gt;$D$3,"",IF(BA33="OD","OD",IF(BA33="Missed","Missed",IF(BA33="TBC","TBC",IF(BA33="Undefined","Undefined",_xlfn.XLOOKUP(DI$7,'Product Design'!$M$6:$BM$6,'Product Design'!$M$14:$BM$14)/_xlfn.XLOOKUP(DI$7,'Product Design'!$M$6:$BM$6,'Product Design'!$M$15:$BM$15)))))),"")</f>
        <v>0.85365853658536595</v>
      </c>
      <c r="DJ33" s="315">
        <f>IFERROR(IF(DJ$7&gt;$D$3,"",IF(BB33="OD","OD",IF(BB33="Missed","Missed",IF(BB33="TBC","TBC",IF(BB33="Undefined","Undefined",_xlfn.XLOOKUP(DJ$7,'Product Design'!$M$6:$BM$6,'Product Design'!$M$14:$BM$14)/_xlfn.XLOOKUP(DJ$7,'Product Design'!$M$6:$BM$6,'Product Design'!$M$15:$BM$15)))))),"")</f>
        <v>0.875</v>
      </c>
      <c r="DK33" s="315">
        <f>IFERROR(IF(DK$7&gt;$D$3,"",IF(BC33="OD","OD",IF(BC33="Missed","Missed",IF(BC33="TBC","TBC",IF(BC33="Undefined","Undefined",_xlfn.XLOOKUP(DK$7,'Product Design'!$M$6:$BM$6,'Product Design'!$M$14:$BM$14)/_xlfn.XLOOKUP(DK$7,'Product Design'!$M$6:$BM$6,'Product Design'!$M$15:$BM$15)))))),"")</f>
        <v>1.0606060606060606</v>
      </c>
      <c r="DL33" s="315">
        <f>IFERROR(IF(DL$7&gt;$D$3,"",IF(BD33="OD","OD",IF(BD33="Missed","Missed",IF(BD33="TBC","TBC",IF(BD33="Undefined","Undefined",_xlfn.XLOOKUP(DL$7,'Product Design'!$M$6:$BM$6,'Product Design'!$M$14:$BM$14)/_xlfn.XLOOKUP(DL$7,'Product Design'!$M$6:$BM$6,'Product Design'!$M$15:$BM$15)))))),"")</f>
        <v>1.25</v>
      </c>
      <c r="DM33" s="315">
        <f>IFERROR(IF(DM$7&gt;$D$3,"",IF(BE33="OD","OD",IF(BE33="Missed","Missed",IF(BE33="TBC","TBC",IF(BE33="Undefined","Undefined",_xlfn.XLOOKUP(DM$7,'Product Design'!$M$6:$BM$6,'Product Design'!$M$14:$BM$14)/_xlfn.XLOOKUP(DM$7,'Product Design'!$M$6:$BM$6,'Product Design'!$M$15:$BM$15)))))),"")</f>
        <v>0.89743589743589747</v>
      </c>
      <c r="DN33" s="315">
        <f>IFERROR(IF(DN$7&gt;$D$3,"",IF(BF33="OD","OD",IF(BF33="Missed","Missed",IF(BF33="TBC","TBC",IF(BF33="Undefined","Undefined",_xlfn.XLOOKUP(DN$7,'Product Design'!$M$6:$BM$6,'Product Design'!$M$14:$BM$14)/_xlfn.XLOOKUP(DN$7,'Product Design'!$M$6:$BM$6,'Product Design'!$M$15:$BM$15)))))),"")</f>
        <v>1.0144927536231882</v>
      </c>
      <c r="DO33" s="315">
        <f>IFERROR(IF(DO$7&gt;$D$3,"",IF(BG33="OD","OD",IF(BG33="Missed","Missed",IF(BG33="TBC","TBC",IF(BG33="Undefined","Undefined",_xlfn.XLOOKUP(DO$7,'Product Design'!$M$6:$BM$6,'Product Design'!$M$14:$BM$14)/_xlfn.XLOOKUP(DO$7,'Product Design'!$M$6:$BM$6,'Product Design'!$M$15:$BM$15)))))),"")</f>
        <v>0.55118110236220474</v>
      </c>
      <c r="DP33" s="315">
        <f>IFERROR(IF(DP$7&gt;$D$3,"",IF(BH33="OD","OD",IF(BH33="Missed","Missed",IF(BH33="TBC","TBC",IF(BH33="Undefined","Undefined",_xlfn.XLOOKUP(DP$7,'Product Design'!$M$6:$BM$6,'Product Design'!$M$14:$BM$14)/_xlfn.XLOOKUP(DP$7,'Product Design'!$M$6:$BM$6,'Product Design'!$M$15:$BM$15)))))),"")</f>
        <v>0.60869565217391308</v>
      </c>
      <c r="DQ33" s="315">
        <f>IFERROR(IF(DQ$7&gt;$D$3,"",IF(BI33="OD","OD",IF(BI33="Missed","Missed",IF(BI33="TBC","TBC",IF(BI33="Undefined","Undefined",_xlfn.XLOOKUP(DQ$7,'Product Design'!$M$6:$BM$6,'Product Design'!$M$14:$BM$14)/_xlfn.XLOOKUP(DQ$7,'Product Design'!$M$6:$BM$6,'Product Design'!$M$15:$BM$15)))))),"")</f>
        <v>0.9859154929577465</v>
      </c>
      <c r="DR33" s="315">
        <f>IFERROR(IF(DR$7&gt;$D$3,"",IF(BJ33="OD","OD",IF(BJ33="Missed","Missed",IF(BJ33="TBC","TBC",IF(BJ33="Undefined","Undefined",_xlfn.XLOOKUP(DR$7,'Product Design'!$M$6:$BM$6,'Product Design'!$M$14:$BM$14)/_xlfn.XLOOKUP(DR$7,'Product Design'!$M$6:$BM$6,'Product Design'!$M$15:$BM$15)))))),"")</f>
        <v>0.9859154929577465</v>
      </c>
      <c r="DS33" s="315">
        <f>IFERROR(IF(DS$7&gt;$D$3,"",IF(BK33="OD","OD",IF(BK33="Missed","Missed",IF(BK33="TBC","TBC",IF(BK33="Undefined","Undefined",_xlfn.XLOOKUP(DS$7,'Product Design'!$M$6:$BM$6,'Product Design'!$M$14:$BM$14)/_xlfn.XLOOKUP(DS$7,'Product Design'!$M$6:$BM$6,'Product Design'!$M$15:$BM$15)))))),"")</f>
        <v>0.97222222222222221</v>
      </c>
      <c r="DT33" s="315">
        <f>IFERROR(IF(DT$7&gt;$D$3,"",IF(BL33="OD","OD",IF(BL33="Missed","Missed",IF(BL33="TBC","TBC",IF(BL33="Undefined","Undefined",_xlfn.XLOOKUP(DT$7,'Product Design'!$M$6:$BM$6,'Product Design'!$M$14:$BM$14)/_xlfn.XLOOKUP(DT$7,'Product Design'!$M$6:$BM$6,'Product Design'!$M$15:$BM$15)))))),"")</f>
        <v>1.75</v>
      </c>
      <c r="DU33" s="315" t="str">
        <f>IFERROR(IF(DU$7&gt;$D$3,"",IF(BM33="OD","OD",IF(BM33="Missed","Missed",IF(BM33="TBC","TBC",IF(BM33="Undefined","Undefined",_xlfn.XLOOKUP(DU$7,'Product Design'!$M$6:$BM$6,'Product Design'!$M$14:$BM$14)/_xlfn.XLOOKUP(DU$7,'Product Design'!$M$6:$BM$6,'Product Design'!$M$15:$BM$15)))))),"")</f>
        <v>OD</v>
      </c>
      <c r="DV33" s="315">
        <f>IFERROR(IF(DV$7&gt;$D$3,"",IF(BN33="OD","OD",IF(BN33="Missed","Missed",IF(BN33="TBC","TBC",IF(BN33="Undefined","Undefined",_xlfn.XLOOKUP(DV$7,'Product Design'!$M$6:$BM$6,'Product Design'!$M$14:$BM$14)/_xlfn.XLOOKUP(DV$7,'Product Design'!$M$6:$BM$6,'Product Design'!$M$15:$BM$15)))))),"")</f>
        <v>0.86419753086419759</v>
      </c>
      <c r="DW33" s="315">
        <f>IFERROR(IF(DW$7&gt;$D$3,"",IF(BO33="OD","OD",IF(BO33="Missed","Missed",IF(BO33="TBC","TBC",IF(BO33="Undefined","Undefined",_xlfn.XLOOKUP(DW$7,'Product Design'!$M$6:$BM$6,'Product Design'!$M$14:$BM$14)/_xlfn.XLOOKUP(DW$7,'Product Design'!$M$6:$BM$6,'Product Design'!$M$15:$BM$15)))))),"")</f>
        <v>1.2068965517241379</v>
      </c>
      <c r="DX33" s="315">
        <f>IFERROR(IF(DX$7&gt;$D$3,"",IF(BP33="OD","OD",IF(BP33="Missed","Missed",IF(BP33="TBC","TBC",IF(BP33="Undefined","Undefined",_xlfn.XLOOKUP(DX$7,'Product Design'!$M$6:$BM$6,'Product Design'!$M$14:$BM$14)/_xlfn.XLOOKUP(DX$7,'Product Design'!$M$6:$BM$6,'Product Design'!$M$15:$BM$15)))))),"")</f>
        <v>0.63636363636363635</v>
      </c>
      <c r="DY33" s="315">
        <f>IFERROR(IF(DY$7&gt;$D$3,"",IF(BQ33="OD","OD",IF(BQ33="Missed","Missed",IF(BQ33="TBC","TBC",IF(BQ33="Undefined","Undefined",_xlfn.XLOOKUP(DY$7,'Product Design'!$M$6:$BM$6,'Product Design'!$M$14:$BM$14)/_xlfn.XLOOKUP(DY$7,'Product Design'!$M$6:$BM$6,'Product Design'!$M$15:$BM$15)))))),"")</f>
        <v>1.0606060606060606</v>
      </c>
      <c r="DZ33" s="315">
        <f>IFERROR(IF(DZ$7&gt;$D$3,"",IF(BR33="OD","OD",IF(BR33="Missed","Missed",IF(BR33="TBC","TBC",IF(BR33="Undefined","Undefined",_xlfn.XLOOKUP(DZ$7,'Product Design'!$M$6:$BM$6,'Product Design'!$M$14:$BM$14)/_xlfn.XLOOKUP(DZ$7,'Product Design'!$M$6:$BM$6,'Product Design'!$M$15:$BM$15)))))),"")</f>
        <v>0.63636363636363635</v>
      </c>
      <c r="EA33" s="315">
        <f>IFERROR(IF(EA$7&gt;$D$3,"",IF(BS33="OD","OD",IF(BS33="Missed","Missed",IF(BS33="TBC","TBC",IF(BS33="Undefined","Undefined",_xlfn.XLOOKUP(EA$7,'Product Design'!$M$6:$BM$6,'Product Design'!$M$14:$BM$14)/_xlfn.XLOOKUP(EA$7,'Product Design'!$M$6:$BM$6,'Product Design'!$M$15:$BM$15)))))),"")</f>
        <v>1.2962962962962963</v>
      </c>
      <c r="EB33" s="315">
        <f>IFERROR(IF(EB$7&gt;$D$3,"",IF(BT33="OD","OD",IF(BT33="Missed","Missed",IF(BT33="TBC","TBC",IF(BT33="Undefined","Undefined",_xlfn.XLOOKUP(EB$7,'Product Design'!$M$6:$BM$6,'Product Design'!$M$14:$BM$14)/_xlfn.XLOOKUP(EB$7,'Product Design'!$M$6:$BM$6,'Product Design'!$M$15:$BM$15)))))),"")</f>
        <v>1.4285714285714284</v>
      </c>
      <c r="EC33" s="315">
        <f>IFERROR(IF(EC$7&gt;$D$3,"",IF(BU33="OD","OD",IF(BU33="Missed","Missed",IF(BU33="TBC","TBC",IF(BU33="Undefined","Undefined",_xlfn.XLOOKUP(EC$7,'Product Design'!$M$6:$BM$6,'Product Design'!$M$14:$BM$14)/_xlfn.XLOOKUP(EC$7,'Product Design'!$M$6:$BM$6,'Product Design'!$M$15:$BM$15)))))),"")</f>
        <v>0.88607594936708856</v>
      </c>
      <c r="ED33" s="315">
        <f>IFERROR(IF(ED$7&gt;$D$3,"",IF(BV33="OD","OD",IF(BV33="Missed","Missed",IF(BV33="TBC","TBC",IF(BV33="Undefined","Undefined",_xlfn.XLOOKUP(ED$7,'Product Design'!$M$6:$BM$6,'Product Design'!$M$14:$BM$14)/_xlfn.XLOOKUP(ED$7,'Product Design'!$M$6:$BM$6,'Product Design'!$M$15:$BM$15)))))),"")</f>
        <v>1.25</v>
      </c>
      <c r="EE33" s="315">
        <f>IFERROR(IF(EE$7&gt;$D$3,"",IF(BW33="OD","OD",IF(BW33="Missed","Missed",IF(BW33="TBC","TBC",IF(BW33="Undefined","Undefined",_xlfn.XLOOKUP(EE$7,'Product Design'!$M$6:$BM$6,'Product Design'!$M$14:$BM$14)/_xlfn.XLOOKUP(EE$7,'Product Design'!$M$6:$BM$6,'Product Design'!$M$15:$BM$15)))))),"")</f>
        <v>1.5217391304347827</v>
      </c>
      <c r="EF33" s="315">
        <f>IFERROR(IF(EF$7&gt;$D$3,"",IF(BX33="OD","OD",IF(BX33="Missed","Missed",IF(BX33="TBC","TBC",IF(BX33="Undefined","Undefined",_xlfn.XLOOKUP(EF$7,'Product Design'!$M$6:$BM$6,'Product Design'!$M$14:$BM$14)/_xlfn.XLOOKUP(EF$7,'Product Design'!$M$6:$BM$6,'Product Design'!$M$15:$BM$15)))))),"")</f>
        <v>1.0769230769230769</v>
      </c>
      <c r="EG33" s="315">
        <f>IFERROR(IF(EG$7&gt;$D$3,"",IF(BY33="OD","OD",IF(BY33="Missed","Missed",IF(BY33="TBC","TBC",IF(BY33="Undefined","Undefined",_xlfn.XLOOKUP(EG$7,'Product Design'!$M$6:$BM$6,'Product Design'!$M$14:$BM$14)/_xlfn.XLOOKUP(EG$7,'Product Design'!$M$6:$BM$6,'Product Design'!$M$15:$BM$15)))))),"")</f>
        <v>2.6923076923076921</v>
      </c>
      <c r="EH33" s="315">
        <f>IFERROR(IF(EH$7&gt;$D$3,"",IF(BZ33="OD","OD",IF(BZ33="Missed","Missed",IF(BZ33="TBC","TBC",IF(BZ33="Undefined","Undefined",_xlfn.XLOOKUP(EH$7,'Product Design'!$M$6:$BM$6,'Product Design'!$M$14:$BM$14)/_xlfn.XLOOKUP(EH$7,'Product Design'!$M$6:$BM$6,'Product Design'!$M$15:$BM$15)))))),"")</f>
        <v>1</v>
      </c>
      <c r="EI33" s="315">
        <f>IFERROR(IF(EI$7&gt;$D$3,"",IF(CA33="OD","OD",IF(CA33="Missed","Missed",IF(CA33="TBC","TBC",IF(CA33="Undefined","Undefined",_xlfn.XLOOKUP(EI$7,'Product Design'!$M$6:$BM$6,'Product Design'!$M$14:$BM$14)/_xlfn.XLOOKUP(EI$7,'Product Design'!$M$6:$BM$6,'Product Design'!$M$15:$BM$15)))))),"")</f>
        <v>0.71428571428571419</v>
      </c>
      <c r="EJ33" s="315" t="str">
        <f>IFERROR(IF(EJ$7&gt;$D$3,"",IF(CB33="OD","OD",IF(CB33="Missed","Missed",IF(CB33="TBC","TBC",IF(CB33="Undefined","Undefined",_xlfn.XLOOKUP(EJ$7,'Product Design'!$M$6:$BM$6,'Product Design'!$M$14:$BM$14)/_xlfn.XLOOKUP(EJ$7,'Product Design'!$M$6:$BM$6,'Product Design'!$M$15:$BM$15)))))),"")</f>
        <v>OD</v>
      </c>
      <c r="EK33" s="315" t="str">
        <f>IFERROR(IF(EK$7&gt;$D$3,"",IF(CC33="OD","OD",IF(CC33="Missed","Missed",IF(CC33="TBC","TBC",IF(CC33="Undefined","Undefined",_xlfn.XLOOKUP(EK$7,'Product Design'!$M$6:$BM$6,'Product Design'!$M$14:$BM$14)/_xlfn.XLOOKUP(EK$7,'Product Design'!$M$6:$BM$6,'Product Design'!$M$15:$BM$15)))))),"")</f>
        <v/>
      </c>
      <c r="EL33" s="315" t="str">
        <f>IFERROR(IF(EL$7&gt;$D$3,"",IF(CD33="OD","OD",IF(CD33="Missed","Missed",IF(CD33="TBC","TBC",IF(CD33="Undefined","Undefined",_xlfn.XLOOKUP(EL$7,'Product Design'!$M$6:$BM$6,'Product Design'!$M$14:$BM$14)/_xlfn.XLOOKUP(EL$7,'Product Design'!$M$6:$BM$6,'Product Design'!$M$15:$BM$15)))))),"")</f>
        <v/>
      </c>
      <c r="EM33" s="315" t="str">
        <f>IFERROR(IF(EM$7&gt;$D$3,"",IF(CE33="OD","OD",IF(CE33="Missed","Missed",IF(CE33="TBC","TBC",IF(CE33="Undefined","Undefined",_xlfn.XLOOKUP(EM$7,'Product Design'!$M$6:$BM$6,'Product Design'!$M$14:$BM$14)/_xlfn.XLOOKUP(EM$7,'Product Design'!$M$6:$BM$6,'Product Design'!$M$15:$BM$15)))))),"")</f>
        <v/>
      </c>
      <c r="EN33" s="315" t="str">
        <f>IFERROR(IF(EN$7&gt;$D$3,"",IF(CF33="OD","OD",IF(CF33="Missed","Missed",IF(CF33="TBC","TBC",IF(CF33="Undefined","Undefined",_xlfn.XLOOKUP(EN$7,'Product Design'!$M$6:$BM$6,'Product Design'!$M$14:$BM$14)/_xlfn.XLOOKUP(EN$7,'Product Design'!$M$6:$BM$6,'Product Design'!$M$15:$BM$15)))))),"")</f>
        <v/>
      </c>
      <c r="EO33" s="315" t="str">
        <f>IFERROR(IF(EO$7&gt;$D$3,"",IF(CG33="OD","OD",IF(CG33="Missed","Missed",IF(CG33="TBC","TBC",IF(CG33="Undefined","Undefined",_xlfn.XLOOKUP(EO$7,'Product Design'!$M$6:$BM$6,'Product Design'!$M$14:$BM$14)/_xlfn.XLOOKUP(EO$7,'Product Design'!$M$6:$BM$6,'Product Design'!$M$15:$BM$15)))))),"")</f>
        <v/>
      </c>
      <c r="EP33" s="315" t="str">
        <f>IFERROR(IF(EP$7&gt;$D$3,"",IF(CH33="OD","OD",IF(CH33="Missed","Missed",IF(CH33="TBC","TBC",IF(CH33="Undefined","Undefined",_xlfn.XLOOKUP(EP$7,'Product Design'!$M$6:$BM$6,'Product Design'!$M$14:$BM$14)/_xlfn.XLOOKUP(EP$7,'Product Design'!$M$6:$BM$6,'Product Design'!$M$15:$BM$15)))))),"")</f>
        <v/>
      </c>
      <c r="EQ33" s="315" t="str">
        <f>IFERROR(IF(EQ$7&gt;$D$3,"",IF(CI33="OD","OD",IF(CI33="Missed","Missed",IF(CI33="TBC","TBC",IF(CI33="Undefined","Undefined",_xlfn.XLOOKUP(EQ$7,'Product Design'!$M$6:$BM$6,'Product Design'!$M$14:$BM$14)/_xlfn.XLOOKUP(EQ$7,'Product Design'!$M$6:$BM$6,'Product Design'!$M$15:$BM$15)))))),"")</f>
        <v/>
      </c>
      <c r="ER33" s="315" t="str">
        <f>IFERROR(IF(ER$7&gt;$D$3,"",IF(CJ33="OD","OD",IF(CJ33="Missed","Missed",IF(CJ33="TBC","TBC",IF(CJ33="Undefined","Undefined",_xlfn.XLOOKUP(ER$7,'Product Design'!$M$6:$BM$6,'Product Design'!$M$14:$BM$14)/_xlfn.XLOOKUP(ER$7,'Product Design'!$M$6:$BM$6,'Product Design'!$M$15:$BM$15)))))),"")</f>
        <v/>
      </c>
      <c r="ES33" s="315" t="str">
        <f>IFERROR(IF(ES$7&gt;$D$3,"",IF(CK33="OD","OD",IF(CK33="Missed","Missed",IF(CK33="TBC","TBC",IF(CK33="Undefined","Undefined",_xlfn.XLOOKUP(ES$7,'Product Design'!$M$6:$BM$6,'Product Design'!$M$14:$BM$14)/_xlfn.XLOOKUP(ES$7,'Product Design'!$M$6:$BM$6,'Product Design'!$M$15:$BM$15)))))),"")</f>
        <v/>
      </c>
      <c r="ET33" s="315" t="str">
        <f>IFERROR(IF(ET$7&gt;$D$3,"",IF(CL33="OD","OD",IF(CL33="Missed","Missed",IF(CL33="TBC","TBC",IF(CL33="Undefined","Undefined",_xlfn.XLOOKUP(ET$7,'Product Design'!$M$6:$BM$6,'Product Design'!$M$14:$BM$14)/_xlfn.XLOOKUP(ET$7,'Product Design'!$M$6:$BM$6,'Product Design'!$M$15:$BM$15)))))),"")</f>
        <v/>
      </c>
      <c r="EU33" s="315" t="str">
        <f>IFERROR(IF(EU$7&gt;$D$3,"",IF(CM33="OD","OD",IF(CM33="Missed","Missed",IF(CM33="TBC","TBC",IF(CM33="Undefined","Undefined",_xlfn.XLOOKUP(EU$7,'Product Design'!$M$6:$BM$6,'Product Design'!$M$14:$BM$14)/_xlfn.XLOOKUP(EU$7,'Product Design'!$M$6:$BM$6,'Product Design'!$M$15:$BM$15)))))),"")</f>
        <v/>
      </c>
      <c r="EW33" s="465" t="str">
        <f>+$A33</f>
        <v>Product Design-KPI D2</v>
      </c>
      <c r="EX33" s="136" t="str">
        <f>+$C33</f>
        <v>KPI D2</v>
      </c>
      <c r="EY33" s="144" t="str">
        <f>+$D33</f>
        <v>Delivery</v>
      </c>
      <c r="EZ33" s="144" t="str">
        <f t="shared" si="91"/>
        <v>Lead Time Days to Full Task Completion</v>
      </c>
      <c r="FA33" s="145" t="str">
        <f t="shared" si="92"/>
        <v>Days</v>
      </c>
      <c r="FB33" s="145" t="s">
        <v>251</v>
      </c>
      <c r="FC33" s="223" t="str">
        <f>IF(FC$7&gt;$D$3,"",IF($FA30&lt;FC$7,"OD",_xlfn.XLOOKUP(FC$7,'Product Design'!$M$6:$BM$6,'Product Design'!$M$15:$BM$15)))</f>
        <v>Blank</v>
      </c>
      <c r="FD33" s="223">
        <f>IF(FD$7&gt;$D$3,"",IF($FA30&lt;FD$7,"OD",_xlfn.XLOOKUP(FD$7,'Product Design'!$M$6:$BM$6,'Product Design'!$M$15:$BM$15)))</f>
        <v>11</v>
      </c>
      <c r="FE33" s="223">
        <f>IF(FE$7&gt;$D$3,"",IF($FA30&lt;FE$7,"OD",_xlfn.XLOOKUP(FE$7,'Product Design'!$M$6:$BM$6,'Product Design'!$M$15:$BM$15)))</f>
        <v>3.9</v>
      </c>
      <c r="FF33" s="223">
        <f>IF(FF$7&gt;$D$3,"",IF($FA30&lt;FF$7,"OD",_xlfn.XLOOKUP(FF$7,'Product Design'!$M$6:$BM$6,'Product Design'!$M$15:$BM$15)))</f>
        <v>7.9</v>
      </c>
      <c r="FG33" s="223">
        <f>IF(FG$7&gt;$D$3,"",IF($FA30&lt;FG$7,"OD",_xlfn.XLOOKUP(FG$7,'Product Design'!$M$6:$BM$6,'Product Design'!$M$15:$BM$15)))</f>
        <v>10</v>
      </c>
      <c r="FH33" s="223">
        <f>IF(FH$7&gt;$D$3,"",IF($FA30&lt;FH$7,"OD",_xlfn.XLOOKUP(FH$7,'Product Design'!$M$6:$BM$6,'Product Design'!$M$15:$BM$15)))</f>
        <v>6.9</v>
      </c>
      <c r="FI33" s="223">
        <f>IF(FI$7&gt;$D$3,"",IF($FA30&lt;FI$7,"OD",_xlfn.XLOOKUP(FI$7,'Product Design'!$M$6:$BM$6,'Product Design'!$M$15:$BM$15)))</f>
        <v>6.9</v>
      </c>
      <c r="FJ33" s="223">
        <f>IF(FJ$7&gt;$D$3,"",IF($FA30&lt;FJ$7,"OD",_xlfn.XLOOKUP(FJ$7,'Product Design'!$M$6:$BM$6,'Product Design'!$M$15:$BM$15)))</f>
        <v>8.8000000000000007</v>
      </c>
      <c r="FK33" s="223">
        <f>IF(FK$7&gt;$D$3,"",IF($FA30&lt;FK$7,"OD",_xlfn.XLOOKUP(FK$7,'Product Design'!$M$6:$BM$6,'Product Design'!$M$15:$BM$15)))</f>
        <v>5.6</v>
      </c>
      <c r="FL33" s="223">
        <f>IF(FL$7&gt;$D$3,"",IF($FA30&lt;FL$7,"OD",_xlfn.XLOOKUP(FL$7,'Product Design'!$M$6:$BM$6,'Product Design'!$M$15:$BM$15)))</f>
        <v>6.4</v>
      </c>
      <c r="FM33" s="223">
        <f>IF(FM$7&gt;$D$3,"",IF($FA30&lt;FM$7,"OD",_xlfn.XLOOKUP(FM$7,'Product Design'!$M$6:$BM$6,'Product Design'!$M$15:$BM$15)))</f>
        <v>8.6</v>
      </c>
      <c r="FN33" s="223">
        <f>IF(FN$7&gt;$D$3,"",IF($FA30&lt;FN$7,"OD",_xlfn.XLOOKUP(FN$7,'Product Design'!$M$6:$BM$6,'Product Design'!$M$15:$BM$15)))</f>
        <v>7.8</v>
      </c>
      <c r="FO33" s="223">
        <f>IF(FO$7&gt;$D$3,"",IF($FA30&lt;FO$7,"OD",_xlfn.XLOOKUP(FO$7,'Product Design'!$M$6:$BM$6,'Product Design'!$M$15:$BM$15)))</f>
        <v>7.4</v>
      </c>
      <c r="FP33" s="223">
        <f>IF(FP$7&gt;$D$3,"",IF($FA30&lt;FP$7,"OD",_xlfn.XLOOKUP(FP$7,'Product Design'!$M$6:$BM$6,'Product Design'!$M$15:$BM$15)))</f>
        <v>6.7</v>
      </c>
      <c r="FQ33" s="223">
        <f>IF(FQ$7&gt;$D$3,"",IF($FA30&lt;FQ$7,"OD",_xlfn.XLOOKUP(FQ$7,'Product Design'!$M$6:$BM$6,'Product Design'!$M$15:$BM$15)))</f>
        <v>8.1999999999999993</v>
      </c>
      <c r="FR33" s="223">
        <f>IF(FR$7&gt;$D$3,"",IF($FA30&lt;FR$7,"OD",_xlfn.XLOOKUP(FR$7,'Product Design'!$M$6:$BM$6,'Product Design'!$M$15:$BM$15)))</f>
        <v>8</v>
      </c>
      <c r="FS33" s="223">
        <f>IF(FS$7&gt;$D$3,"",IF($FA30&lt;FS$7,"OD",_xlfn.XLOOKUP(FS$7,'Product Design'!$M$6:$BM$6,'Product Design'!$M$15:$BM$15)))</f>
        <v>6.6</v>
      </c>
      <c r="FT33" s="223">
        <f>IF(FT$7&gt;$D$3,"",IF($FA30&lt;FT$7,"OD",_xlfn.XLOOKUP(FT$7,'Product Design'!$M$6:$BM$6,'Product Design'!$M$15:$BM$15)))</f>
        <v>5.6</v>
      </c>
      <c r="FU33" s="223">
        <f>IF(FU$7&gt;$D$3,"",IF($FA30&lt;FU$7,"OD",_xlfn.XLOOKUP(FU$7,'Product Design'!$M$6:$BM$6,'Product Design'!$M$15:$BM$15)))</f>
        <v>7.8</v>
      </c>
      <c r="FV33" s="223">
        <f>IF(FV$7&gt;$D$3,"",IF($FA30&lt;FV$7,"OD",_xlfn.XLOOKUP(FV$7,'Product Design'!$M$6:$BM$6,'Product Design'!$M$15:$BM$15)))</f>
        <v>6.9</v>
      </c>
      <c r="FW33" s="223">
        <f>IF(FW$7&gt;$D$3,"",IF($FA30&lt;FW$7,"OD",_xlfn.XLOOKUP(FW$7,'Product Design'!$M$6:$BM$6,'Product Design'!$M$15:$BM$15)))</f>
        <v>12.7</v>
      </c>
      <c r="FX33" s="223">
        <f>IF(FX$7&gt;$D$3,"",IF($FA30&lt;FX$7,"OD",_xlfn.XLOOKUP(FX$7,'Product Design'!$M$6:$BM$6,'Product Design'!$M$15:$BM$15)))</f>
        <v>11.5</v>
      </c>
      <c r="FY33" s="223">
        <f>IF(FY$7&gt;$D$3,"",IF($FA30&lt;FY$7,"OD",_xlfn.XLOOKUP(FY$7,'Product Design'!$M$6:$BM$6,'Product Design'!$M$15:$BM$15)))</f>
        <v>7.1</v>
      </c>
      <c r="FZ33" s="223">
        <f>IF(FZ$7&gt;$D$3,"",IF($FA30&lt;FZ$7,"OD",_xlfn.XLOOKUP(FZ$7,'Product Design'!$M$6:$BM$6,'Product Design'!$M$15:$BM$15)))</f>
        <v>7.1</v>
      </c>
      <c r="GA33" s="223">
        <f>IF(GA$7&gt;$D$3,"",IF($FA30&lt;GA$7,"OD",_xlfn.XLOOKUP(GA$7,'Product Design'!$M$6:$BM$6,'Product Design'!$M$15:$BM$15)))</f>
        <v>7.2</v>
      </c>
      <c r="GB33" s="223">
        <f>IF(GB$7&gt;$D$3,"",IF($FA30&lt;GB$7,"OD",_xlfn.XLOOKUP(GB$7,'Product Design'!$M$6:$BM$6,'Product Design'!$M$15:$BM$15)))</f>
        <v>4</v>
      </c>
      <c r="GC33" s="223">
        <f>IF(GC$7&gt;$D$3,"",IF($FA30&lt;GC$7,"OD",_xlfn.XLOOKUP(GC$7,'Product Design'!$M$6:$BM$6,'Product Design'!$M$15:$BM$15)))</f>
        <v>0</v>
      </c>
      <c r="GD33" s="223">
        <f>IF(GD$7&gt;$D$3,"",IF($FA30&lt;GD$7,"OD",_xlfn.XLOOKUP(GD$7,'Product Design'!$M$6:$BM$6,'Product Design'!$M$15:$BM$15)))</f>
        <v>8.1</v>
      </c>
      <c r="GE33" s="223">
        <f>IF(GE$7&gt;$D$3,"",IF($FA30&lt;GE$7,"OD",_xlfn.XLOOKUP(GE$7,'Product Design'!$M$6:$BM$6,'Product Design'!$M$15:$BM$15)))</f>
        <v>5.8</v>
      </c>
      <c r="GF33" s="223">
        <f>IF(GF$7&gt;$D$3,"",IF($FA30&lt;GF$7,"OD",_xlfn.XLOOKUP(GF$7,'Product Design'!$M$6:$BM$6,'Product Design'!$M$15:$BM$15)))</f>
        <v>11</v>
      </c>
      <c r="GG33" s="223">
        <f>IF(GG$7&gt;$D$3,"",IF($FA30&lt;GG$7,"OD",_xlfn.XLOOKUP(GG$7,'Product Design'!$M$6:$BM$6,'Product Design'!$M$15:$BM$15)))</f>
        <v>6.6</v>
      </c>
      <c r="GH33" s="223">
        <f>IF(GH$7&gt;$D$3,"",IF($FA30&lt;GH$7,"OD",_xlfn.XLOOKUP(GH$7,'Product Design'!$M$6:$BM$6,'Product Design'!$M$15:$BM$15)))</f>
        <v>11</v>
      </c>
      <c r="GI33" s="223">
        <f>IF(GI$7&gt;$D$3,"",IF($FA30&lt;GI$7,"OD",_xlfn.XLOOKUP(GI$7,'Product Design'!$M$6:$BM$6,'Product Design'!$M$15:$BM$15)))</f>
        <v>5.4</v>
      </c>
      <c r="GJ33" s="223">
        <f>IF(GJ$7&gt;$D$3,"",IF($FA30&lt;GJ$7,"OD",_xlfn.XLOOKUP(GJ$7,'Product Design'!$M$6:$BM$6,'Product Design'!$M$15:$BM$15)))</f>
        <v>4.9000000000000004</v>
      </c>
      <c r="GK33" s="223">
        <f>IF(GK$7&gt;$D$3,"",IF($FA30&lt;GK$7,"OD",_xlfn.XLOOKUP(GK$7,'Product Design'!$M$6:$BM$6,'Product Design'!$M$15:$BM$15)))</f>
        <v>7.9</v>
      </c>
      <c r="GL33" s="223">
        <f>IF(GL$7&gt;$D$3,"",IF($FA30&lt;GL$7,"OD",_xlfn.XLOOKUP(GL$7,'Product Design'!$M$6:$BM$6,'Product Design'!$M$15:$BM$15)))</f>
        <v>5.6</v>
      </c>
      <c r="GM33" s="223">
        <f>IF(GM$7&gt;$D$3,"",IF($FA30&lt;GM$7,"OD",_xlfn.XLOOKUP(GM$7,'Product Design'!$M$6:$BM$6,'Product Design'!$M$15:$BM$15)))</f>
        <v>4.5999999999999996</v>
      </c>
      <c r="GN33" s="223">
        <f>IF(GN$7&gt;$D$3,"",IF($FA30&lt;GN$7,"OD",_xlfn.XLOOKUP(GN$7,'Product Design'!$M$6:$BM$6,'Product Design'!$M$15:$BM$15)))</f>
        <v>6.5</v>
      </c>
      <c r="GO33" s="223">
        <f>IF(GO$7&gt;$D$3,"",IF($FA30&lt;GO$7,"OD",_xlfn.XLOOKUP(GO$7,'Product Design'!$M$6:$BM$6,'Product Design'!$M$15:$BM$15)))</f>
        <v>2.6</v>
      </c>
      <c r="GP33" s="223">
        <f>IF(GP$7&gt;$D$3,"",IF($FA30&lt;GP$7,"OD",_xlfn.XLOOKUP(GP$7,'Product Design'!$M$6:$BM$6,'Product Design'!$M$15:$BM$15)))</f>
        <v>7</v>
      </c>
      <c r="GQ33" s="223">
        <f>IF(GQ$7&gt;$D$3,"",IF($FA30&lt;GQ$7,"OD",_xlfn.XLOOKUP(GQ$7,'Product Design'!$M$6:$BM$6,'Product Design'!$M$15:$BM$15)))</f>
        <v>9.8000000000000007</v>
      </c>
      <c r="GR33" s="223">
        <f>IF(GR$7&gt;$D$3,"",IF($FA30&lt;GR$7,"OD",_xlfn.XLOOKUP(GR$7,'Product Design'!$M$6:$BM$6,'Product Design'!$M$15:$BM$15)))</f>
        <v>0</v>
      </c>
      <c r="GS33" s="223" t="str">
        <f>IF(GS$7&gt;$D$3,"",IF($FA30&lt;GS$7,"OD",_xlfn.XLOOKUP(GS$7,'Product Design'!$M$6:$BM$6,'Product Design'!$M$15:$BM$15)))</f>
        <v/>
      </c>
      <c r="GT33" s="223" t="str">
        <f>IF(GT$7&gt;$D$3,"",IF($FA30&lt;GT$7,"OD",_xlfn.XLOOKUP(GT$7,'Product Design'!$M$6:$BM$6,'Product Design'!$M$15:$BM$15)))</f>
        <v/>
      </c>
      <c r="GU33" s="223" t="str">
        <f>IF(GU$7&gt;$D$3,"",IF($FA30&lt;GU$7,"OD",_xlfn.XLOOKUP(GU$7,'Product Design'!$M$6:$BM$6,'Product Design'!$M$15:$BM$15)))</f>
        <v/>
      </c>
      <c r="GV33" s="223" t="str">
        <f>IF(GV$7&gt;$D$3,"",IF($FA30&lt;GV$7,"OD",_xlfn.XLOOKUP(GV$7,'Product Design'!$M$6:$BM$6,'Product Design'!$M$15:$BM$15)))</f>
        <v/>
      </c>
      <c r="GW33" s="223" t="str">
        <f>IF(GW$7&gt;$D$3,"",IF($FA30&lt;GW$7,"OD",_xlfn.XLOOKUP(GW$7,'Product Design'!$M$6:$BM$6,'Product Design'!$M$15:$BM$15)))</f>
        <v/>
      </c>
      <c r="GX33" s="223" t="str">
        <f>IF(GX$7&gt;$D$3,"",IF($FA30&lt;GX$7,"OD",_xlfn.XLOOKUP(GX$7,'Product Design'!$M$6:$BM$6,'Product Design'!$M$15:$BM$15)))</f>
        <v/>
      </c>
      <c r="GY33" s="223" t="str">
        <f>IF(GY$7&gt;$D$3,"",IF($FA30&lt;GY$7,"OD",_xlfn.XLOOKUP(GY$7,'Product Design'!$M$6:$BM$6,'Product Design'!$M$15:$BM$15)))</f>
        <v/>
      </c>
      <c r="GZ33" s="223" t="str">
        <f>IF(GZ$7&gt;$D$3,"",IF($FA30&lt;GZ$7,"OD",_xlfn.XLOOKUP(GZ$7,'Product Design'!$M$6:$BM$6,'Product Design'!$M$15:$BM$15)))</f>
        <v/>
      </c>
      <c r="HA33" s="223" t="str">
        <f>IF(HA$7&gt;$D$3,"",IF($FA30&lt;HA$7,"OD",_xlfn.XLOOKUP(HA$7,'Product Design'!$M$6:$BM$6,'Product Design'!$M$15:$BM$15)))</f>
        <v/>
      </c>
      <c r="HB33" s="223" t="str">
        <f>IF(HB$7&gt;$D$3,"",IF($FA30&lt;HB$7,"OD",_xlfn.XLOOKUP(HB$7,'Product Design'!$M$6:$BM$6,'Product Design'!$M$15:$BM$15)))</f>
        <v/>
      </c>
      <c r="HC33" s="223" t="str">
        <f>IF(HC$7&gt;$D$3,"",IF($FA30&lt;HC$7,"OD",_xlfn.XLOOKUP(HC$7,'Product Design'!$M$6:$BM$6,'Product Design'!$M$15:$BM$15)))</f>
        <v/>
      </c>
      <c r="HE33" s="136" t="str">
        <f>+$C33</f>
        <v>KPI D2</v>
      </c>
      <c r="HF33" s="144" t="str">
        <f>+$D33</f>
        <v>Delivery</v>
      </c>
      <c r="HG33" s="144" t="str">
        <f t="shared" si="95"/>
        <v>Lead Time Days to Full Task Completion</v>
      </c>
      <c r="HH33" s="145" t="str">
        <f t="shared" si="96"/>
        <v>Days</v>
      </c>
      <c r="HI33" s="145" t="s">
        <v>44</v>
      </c>
      <c r="HJ33" s="223" t="s">
        <v>122</v>
      </c>
      <c r="HK33" s="223">
        <f>IF(HK$7&gt;$D$3,"",IF($FA30&lt;HK$7,"OD",_xlfn.XLOOKUP(HK$7,'Product Design'!$M$6:$BM$6,'Product Design'!$M$14:$BM$14)))</f>
        <v>7</v>
      </c>
      <c r="HL33" s="223">
        <f>IF(HL$7&gt;$D$3,"",IF($FA30&lt;HL$7,"OD",_xlfn.XLOOKUP(HL$7,'Product Design'!$M$6:$BM$6,'Product Design'!$M$14:$BM$14)))</f>
        <v>7</v>
      </c>
      <c r="HM33" s="223">
        <f>IF(HM$7&gt;$D$3,"",IF($FA30&lt;HM$7,"OD",_xlfn.XLOOKUP(HM$7,'Product Design'!$M$6:$BM$6,'Product Design'!$M$14:$BM$14)))</f>
        <v>7</v>
      </c>
      <c r="HN33" s="223">
        <f>IF(HN$7&gt;$D$3,"",IF($FA30&lt;HN$7,"OD",_xlfn.XLOOKUP(HN$7,'Product Design'!$M$6:$BM$6,'Product Design'!$M$14:$BM$14)))</f>
        <v>7</v>
      </c>
      <c r="HO33" s="223">
        <f>IF(HO$7&gt;$D$3,"",IF($FA30&lt;HO$7,"OD",_xlfn.XLOOKUP(HO$7,'Product Design'!$M$6:$BM$6,'Product Design'!$M$14:$BM$14)))</f>
        <v>7</v>
      </c>
      <c r="HP33" s="223">
        <f>IF(HP$7&gt;$D$3,"",IF($FA30&lt;HP$7,"OD",_xlfn.XLOOKUP(HP$7,'Product Design'!$M$6:$BM$6,'Product Design'!$M$14:$BM$14)))</f>
        <v>7</v>
      </c>
      <c r="HQ33" s="223">
        <f>IF(HQ$7&gt;$D$3,"",IF($FA30&lt;HQ$7,"OD",_xlfn.XLOOKUP(HQ$7,'Product Design'!$M$6:$BM$6,'Product Design'!$M$14:$BM$14)))</f>
        <v>7</v>
      </c>
      <c r="HR33" s="223">
        <f>IF(HR$7&gt;$D$3,"",IF($FA30&lt;HR$7,"OD",_xlfn.XLOOKUP(HR$7,'Product Design'!$M$6:$BM$6,'Product Design'!$M$14:$BM$14)))</f>
        <v>7</v>
      </c>
      <c r="HS33" s="223">
        <f>IF(HS$7&gt;$D$3,"",IF($FA30&lt;HS$7,"OD",_xlfn.XLOOKUP(HS$7,'Product Design'!$M$6:$BM$6,'Product Design'!$M$14:$BM$14)))</f>
        <v>7</v>
      </c>
      <c r="HT33" s="223">
        <f>IF(HT$7&gt;$D$3,"",IF($FA30&lt;HT$7,"OD",_xlfn.XLOOKUP(HT$7,'Product Design'!$M$6:$BM$6,'Product Design'!$M$14:$BM$14)))</f>
        <v>7</v>
      </c>
      <c r="HU33" s="223">
        <f>IF(HU$7&gt;$D$3,"",IF($FA30&lt;HU$7,"OD",_xlfn.XLOOKUP(HU$7,'Product Design'!$M$6:$BM$6,'Product Design'!$M$14:$BM$14)))</f>
        <v>7</v>
      </c>
      <c r="HV33" s="223">
        <f>IF(HV$7&gt;$D$3,"",IF($FA30&lt;HV$7,"OD",_xlfn.XLOOKUP(HV$7,'Product Design'!$M$6:$BM$6,'Product Design'!$M$14:$BM$14)))</f>
        <v>7</v>
      </c>
      <c r="HW33" s="223">
        <f>IF(HW$7&gt;$D$3,"",IF($FA30&lt;HW$7,"OD",_xlfn.XLOOKUP(HW$7,'Product Design'!$M$6:$BM$6,'Product Design'!$M$14:$BM$14)))</f>
        <v>7</v>
      </c>
      <c r="HX33" s="223">
        <f>IF(HX$7&gt;$D$3,"",IF($FA30&lt;HX$7,"OD",_xlfn.XLOOKUP(HX$7,'Product Design'!$M$6:$BM$6,'Product Design'!$M$14:$BM$14)))</f>
        <v>7</v>
      </c>
      <c r="HY33" s="223">
        <f>IF(HY$7&gt;$D$3,"",IF($FA30&lt;HY$7,"OD",_xlfn.XLOOKUP(HY$7,'Product Design'!$M$6:$BM$6,'Product Design'!$M$14:$BM$14)))</f>
        <v>7</v>
      </c>
      <c r="HZ33" s="223">
        <f>IF(HZ$7&gt;$D$3,"",IF($FA30&lt;HZ$7,"OD",_xlfn.XLOOKUP(HZ$7,'Product Design'!$M$6:$BM$6,'Product Design'!$M$14:$BM$14)))</f>
        <v>7</v>
      </c>
      <c r="IA33" s="223">
        <f>IF(IA$7&gt;$D$3,"",IF($FA30&lt;IA$7,"OD",_xlfn.XLOOKUP(IA$7,'Product Design'!$M$6:$BM$6,'Product Design'!$M$14:$BM$14)))</f>
        <v>7</v>
      </c>
      <c r="IB33" s="223">
        <f>IF(IB$7&gt;$D$3,"",IF($FA30&lt;IB$7,"OD",_xlfn.XLOOKUP(IB$7,'Product Design'!$M$6:$BM$6,'Product Design'!$M$14:$BM$14)))</f>
        <v>7</v>
      </c>
      <c r="IC33" s="223">
        <f>IF(IC$7&gt;$D$3,"",IF($FA30&lt;IC$7,"OD",_xlfn.XLOOKUP(IC$7,'Product Design'!$M$6:$BM$6,'Product Design'!$M$14:$BM$14)))</f>
        <v>7</v>
      </c>
      <c r="ID33" s="223">
        <f>IF(ID$7&gt;$D$3,"",IF($FA30&lt;ID$7,"OD",_xlfn.XLOOKUP(ID$7,'Product Design'!$M$6:$BM$6,'Product Design'!$M$14:$BM$14)))</f>
        <v>7</v>
      </c>
      <c r="IE33" s="223">
        <f>IF(IE$7&gt;$D$3,"",IF($FA30&lt;IE$7,"OD",_xlfn.XLOOKUP(IE$7,'Product Design'!$M$6:$BM$6,'Product Design'!$M$14:$BM$14)))</f>
        <v>7</v>
      </c>
      <c r="IF33" s="223">
        <f>IF(IF$7&gt;$D$3,"",IF($FA30&lt;IF$7,"OD",_xlfn.XLOOKUP(IF$7,'Product Design'!$M$6:$BM$6,'Product Design'!$M$14:$BM$14)))</f>
        <v>7</v>
      </c>
      <c r="IG33" s="223">
        <f>IF(IG$7&gt;$D$3,"",IF($FA30&lt;IG$7,"OD",_xlfn.XLOOKUP(IG$7,'Product Design'!$M$6:$BM$6,'Product Design'!$M$14:$BM$14)))</f>
        <v>7</v>
      </c>
      <c r="IH33" s="223">
        <f>IF(IH$7&gt;$D$3,"",IF($FA30&lt;IH$7,"OD",_xlfn.XLOOKUP(IH$7,'Product Design'!$M$6:$BM$6,'Product Design'!$M$14:$BM$14)))</f>
        <v>7</v>
      </c>
      <c r="II33" s="223">
        <f>IF(II$7&gt;$D$3,"",IF($FA30&lt;II$7,"OD",_xlfn.XLOOKUP(II$7,'Product Design'!$M$6:$BM$6,'Product Design'!$M$14:$BM$14)))</f>
        <v>7</v>
      </c>
      <c r="IJ33" s="223">
        <f>IF(IJ$7&gt;$D$3,"",IF($FA30&lt;IJ$7,"OD",_xlfn.XLOOKUP(IJ$7,'Product Design'!$M$6:$BM$6,'Product Design'!$M$14:$BM$14)))</f>
        <v>7</v>
      </c>
      <c r="IK33" s="223">
        <f>IF(IK$7&gt;$D$3,"",IF($FA30&lt;IK$7,"OD",_xlfn.XLOOKUP(IK$7,'Product Design'!$M$6:$BM$6,'Product Design'!$M$14:$BM$14)))</f>
        <v>7</v>
      </c>
      <c r="IL33" s="223">
        <f>IF(IL$7&gt;$D$3,"",IF($FA30&lt;IL$7,"OD",_xlfn.XLOOKUP(IL$7,'Product Design'!$M$6:$BM$6,'Product Design'!$M$14:$BM$14)))</f>
        <v>7</v>
      </c>
      <c r="IM33" s="223">
        <f>IF(IM$7&gt;$D$3,"",IF($FA30&lt;IM$7,"OD",_xlfn.XLOOKUP(IM$7,'Product Design'!$M$6:$BM$6,'Product Design'!$M$14:$BM$14)))</f>
        <v>7</v>
      </c>
      <c r="IN33" s="223">
        <f>IF(IN$7&gt;$D$3,"",IF($FA30&lt;IN$7,"OD",_xlfn.XLOOKUP(IN$7,'Product Design'!$M$6:$BM$6,'Product Design'!$M$14:$BM$14)))</f>
        <v>7</v>
      </c>
      <c r="IO33" s="223">
        <f>IF(IO$7&gt;$D$3,"",IF($FA30&lt;IO$7,"OD",_xlfn.XLOOKUP(IO$7,'Product Design'!$M$6:$BM$6,'Product Design'!$M$14:$BM$14)))</f>
        <v>7</v>
      </c>
      <c r="IP33" s="223">
        <f>IF(IP$7&gt;$D$3,"",IF($FA30&lt;IP$7,"OD",_xlfn.XLOOKUP(IP$7,'Product Design'!$M$6:$BM$6,'Product Design'!$M$14:$BM$14)))</f>
        <v>7</v>
      </c>
      <c r="IQ33" s="223">
        <f>IF(IQ$7&gt;$D$3,"",IF($FA30&lt;IQ$7,"OD",_xlfn.XLOOKUP(IQ$7,'Product Design'!$M$6:$BM$6,'Product Design'!$M$14:$BM$14)))</f>
        <v>7</v>
      </c>
      <c r="IR33" s="223">
        <f>IF(IR$7&gt;$D$3,"",IF($FA30&lt;IR$7,"OD",_xlfn.XLOOKUP(IR$7,'Product Design'!$M$6:$BM$6,'Product Design'!$M$14:$BM$14)))</f>
        <v>7</v>
      </c>
      <c r="IS33" s="223">
        <f>IF(IS$7&gt;$D$3,"",IF($FA30&lt;IS$7,"OD",_xlfn.XLOOKUP(IS$7,'Product Design'!$M$6:$BM$6,'Product Design'!$M$14:$BM$14)))</f>
        <v>7</v>
      </c>
      <c r="IT33" s="223">
        <f>IF(IT$7&gt;$D$3,"",IF($FA30&lt;IT$7,"OD",_xlfn.XLOOKUP(IT$7,'Product Design'!$M$6:$BM$6,'Product Design'!$M$14:$BM$14)))</f>
        <v>7</v>
      </c>
      <c r="IU33" s="223">
        <f>IF(IU$7&gt;$D$3,"",IF($FA30&lt;IU$7,"OD",_xlfn.XLOOKUP(IU$7,'Product Design'!$M$6:$BM$6,'Product Design'!$M$14:$BM$14)))</f>
        <v>7</v>
      </c>
      <c r="IV33" s="223">
        <f>IF(IV$7&gt;$D$3,"",IF($FA30&lt;IV$7,"OD",_xlfn.XLOOKUP(IV$7,'Product Design'!$M$6:$BM$6,'Product Design'!$M$14:$BM$14)))</f>
        <v>7</v>
      </c>
      <c r="IW33" s="223">
        <f>IF(IW$7&gt;$D$3,"",IF($FA30&lt;IW$7,"OD",_xlfn.XLOOKUP(IW$7,'Product Design'!$M$6:$BM$6,'Product Design'!$M$14:$BM$14)))</f>
        <v>7</v>
      </c>
      <c r="IX33" s="223">
        <f>IF(IX$7&gt;$D$3,"",IF($FA30&lt;IX$7,"OD",_xlfn.XLOOKUP(IX$7,'Product Design'!$M$6:$BM$6,'Product Design'!$M$14:$BM$14)))</f>
        <v>7</v>
      </c>
      <c r="IY33" s="223">
        <f>IF(IY$7&gt;$D$3,"",IF($FA30&lt;IY$7,"OD",_xlfn.XLOOKUP(IY$7,'Product Design'!$M$6:$BM$6,'Product Design'!$M$14:$BM$14)))</f>
        <v>7</v>
      </c>
      <c r="IZ33" s="223" t="str">
        <f>IF(IZ$7&gt;$D$3,"",IF($FA30&lt;IZ$7,"OD",_xlfn.XLOOKUP(IZ$7,'Product Design'!$M$6:$BM$6,'Product Design'!$M$14:$BM$14)))</f>
        <v/>
      </c>
      <c r="JA33" s="223" t="str">
        <f>IF(JA$7&gt;$D$3,"",IF($FA30&lt;JA$7,"OD",_xlfn.XLOOKUP(JA$7,'Product Design'!$M$6:$BM$6,'Product Design'!$M$14:$BM$14)))</f>
        <v/>
      </c>
      <c r="JB33" s="223" t="str">
        <f>IF(JB$7&gt;$D$3,"",IF($FA30&lt;JB$7,"OD",_xlfn.XLOOKUP(JB$7,'Product Design'!$M$6:$BM$6,'Product Design'!$M$14:$BM$14)))</f>
        <v/>
      </c>
      <c r="JC33" s="223" t="str">
        <f>IF(JC$7&gt;$D$3,"",IF($FA30&lt;JC$7,"OD",_xlfn.XLOOKUP(JC$7,'Product Design'!$M$6:$BM$6,'Product Design'!$M$14:$BM$14)))</f>
        <v/>
      </c>
      <c r="JD33" s="223" t="str">
        <f>IF(JD$7&gt;$D$3,"",IF($FA30&lt;JD$7,"OD",_xlfn.XLOOKUP(JD$7,'Product Design'!$M$6:$BM$6,'Product Design'!$M$14:$BM$14)))</f>
        <v/>
      </c>
      <c r="JE33" s="223" t="str">
        <f>IF(JE$7&gt;$D$3,"",IF($FA30&lt;JE$7,"OD",_xlfn.XLOOKUP(JE$7,'Product Design'!$M$6:$BM$6,'Product Design'!$M$14:$BM$14)))</f>
        <v/>
      </c>
      <c r="JF33" s="223" t="str">
        <f>IF(JF$7&gt;$D$3,"",IF($FA30&lt;JF$7,"OD",_xlfn.XLOOKUP(JF$7,'Product Design'!$M$6:$BM$6,'Product Design'!$M$14:$BM$14)))</f>
        <v/>
      </c>
      <c r="JG33" s="223" t="str">
        <f>IF(JG$7&gt;$D$3,"",IF($FA30&lt;JG$7,"OD",_xlfn.XLOOKUP(JG$7,'Product Design'!$M$6:$BM$6,'Product Design'!$M$14:$BM$14)))</f>
        <v/>
      </c>
      <c r="JH33" s="223" t="str">
        <f>IF(JH$7&gt;$D$3,"",IF($FA30&lt;JH$7,"OD",_xlfn.XLOOKUP(JH$7,'Product Design'!$M$6:$BM$6,'Product Design'!$M$14:$BM$14)))</f>
        <v/>
      </c>
      <c r="JI33" s="223" t="str">
        <f>IF(JI$7&gt;$D$3,"",IF($FA30&lt;JI$7,"OD",_xlfn.XLOOKUP(JI$7,'Product Design'!$M$6:$BM$6,'Product Design'!$M$14:$BM$14)))</f>
        <v/>
      </c>
      <c r="JJ33" s="223" t="str">
        <f>IF(JJ$7&gt;$D$3,"",IF($FA30&lt;JJ$7,"OD",_xlfn.XLOOKUP(JJ$7,'Product Design'!$M$6:$BM$6,'Product Design'!$M$14:$BM$14)))</f>
        <v/>
      </c>
      <c r="JM33" s="136" t="str">
        <f>+$C33</f>
        <v>KPI D2</v>
      </c>
      <c r="JN33" s="144" t="str">
        <f>+$D33</f>
        <v>Delivery</v>
      </c>
      <c r="JO33" s="144" t="str">
        <f t="shared" si="100"/>
        <v>Lead Time Days to Full Task Completion</v>
      </c>
      <c r="JP33" s="145" t="str">
        <f t="shared" si="101"/>
        <v>Days</v>
      </c>
      <c r="JQ33" s="145" t="s">
        <v>284</v>
      </c>
      <c r="JR33" s="226" t="str">
        <f>IFERROR(AVERAGE(FC33:$FC33),"")</f>
        <v/>
      </c>
      <c r="JS33" s="226">
        <f>IFERROR(AVERAGE($FC33:FD33),"")</f>
        <v>11</v>
      </c>
      <c r="JT33" s="226">
        <f>IFERROR(AVERAGE($FC33:FE33),"")</f>
        <v>7.45</v>
      </c>
      <c r="JU33" s="226">
        <f>IFERROR(AVERAGE($FC33:FF33),"")</f>
        <v>7.6000000000000005</v>
      </c>
      <c r="JV33" s="226">
        <f>IFERROR(AVERAGE($FC33:FG33),"")</f>
        <v>8.1999999999999993</v>
      </c>
      <c r="JW33" s="226">
        <f>IFERROR(AVERAGE($FC33:FH33),"")</f>
        <v>7.9399999999999995</v>
      </c>
      <c r="JX33" s="226">
        <f>IFERROR(AVERAGE($FC33:FI33),"")</f>
        <v>7.7666666666666657</v>
      </c>
      <c r="JY33" s="226">
        <f>IFERROR(AVERAGE($FC33:FJ33),"")</f>
        <v>7.9142857142857128</v>
      </c>
      <c r="JZ33" s="226">
        <f>IFERROR(AVERAGE($FC33:FK33),"")</f>
        <v>7.6249999999999991</v>
      </c>
      <c r="KA33" s="226">
        <f>IFERROR(AVERAGE($FC33:FL33),"")</f>
        <v>7.488888888888888</v>
      </c>
      <c r="KB33" s="226">
        <f>IFERROR(AVERAGE($FC33:FM33),"")</f>
        <v>7.5999999999999988</v>
      </c>
      <c r="KC33" s="226">
        <f>IFERROR(AVERAGE($FC33:FN33),"")</f>
        <v>7.6181818181818164</v>
      </c>
      <c r="KD33" s="226">
        <f>IFERROR(AVERAGE($FC33:FO33),"")</f>
        <v>7.5999999999999988</v>
      </c>
      <c r="KE33" s="226">
        <f>IFERROR(AVERAGE($FC33:FP33),"")</f>
        <v>7.5307692307692298</v>
      </c>
      <c r="KF33" s="226">
        <f>IFERROR(AVERAGE($FC33:FQ33),"")</f>
        <v>7.5785714285714283</v>
      </c>
      <c r="KG33" s="226">
        <f>IFERROR(AVERAGE($FC33:FR33),"")</f>
        <v>7.6066666666666665</v>
      </c>
      <c r="KH33" s="226">
        <f>IFERROR(AVERAGE($FC33:FS33),"")</f>
        <v>7.5437499999999993</v>
      </c>
      <c r="KI33" s="226">
        <f>IFERROR(AVERAGE($FC33:FT33),"")</f>
        <v>7.4294117647058817</v>
      </c>
      <c r="KJ33" s="226">
        <f>IFERROR(AVERAGE($FC33:FU33),"")</f>
        <v>7.4499999999999993</v>
      </c>
      <c r="KK33" s="226">
        <f>IFERROR(AVERAGE($FC33:FV33),"")</f>
        <v>7.4210526315789478</v>
      </c>
      <c r="KL33" s="226">
        <f>IFERROR(AVERAGE($FC33:FW33),"")</f>
        <v>7.6849999999999996</v>
      </c>
      <c r="KM33" s="226">
        <f>IFERROR(AVERAGE($FC33:FX33),"")</f>
        <v>7.8666666666666663</v>
      </c>
      <c r="KN33" s="226">
        <f>IFERROR(AVERAGE($FC33:FY33),"")</f>
        <v>7.8318181818181811</v>
      </c>
      <c r="KO33" s="226">
        <f>IFERROR(AVERAGE($FC33:FZ33),"")</f>
        <v>7.7999999999999989</v>
      </c>
      <c r="KP33" s="226">
        <f>IFERROR(AVERAGE($FC33:GA33),"")</f>
        <v>7.7749999999999986</v>
      </c>
      <c r="KQ33" s="226">
        <f>IFERROR(AVERAGE($FC33:GB33),"")</f>
        <v>7.6239999999999988</v>
      </c>
      <c r="KR33" s="226">
        <f>IFERROR(AVERAGE($FC33:GC33),"")</f>
        <v>7.3307692307692296</v>
      </c>
      <c r="KS33" s="226">
        <f>IFERROR(AVERAGE($FC33:GD33),"")</f>
        <v>7.3592592592592574</v>
      </c>
      <c r="KT33" s="226">
        <f>IFERROR(AVERAGE($FC33:GE33),"")</f>
        <v>7.3035714285714279</v>
      </c>
      <c r="KU33" s="226">
        <f>IFERROR(AVERAGE($FC33:GF33),"")</f>
        <v>7.4310344827586201</v>
      </c>
      <c r="KV33" s="226">
        <f>IFERROR(AVERAGE($FC33:GG33),"")</f>
        <v>7.4033333333333324</v>
      </c>
      <c r="KW33" s="226">
        <f>IFERROR(AVERAGE($FC33:GH33),"")</f>
        <v>7.5193548387096767</v>
      </c>
      <c r="KX33" s="226">
        <f>IFERROR(AVERAGE($FC33:GI33),"")</f>
        <v>7.4531249999999991</v>
      </c>
      <c r="KY33" s="226">
        <f>IFERROR(AVERAGE($FC33:GJ33),"")</f>
        <v>7.3757575757575751</v>
      </c>
      <c r="KZ33" s="226">
        <f>IFERROR(AVERAGE($FC33:GK33),"")</f>
        <v>7.3911764705882348</v>
      </c>
      <c r="LA33" s="226">
        <f>IFERROR(AVERAGE($FC33:GL33),"")</f>
        <v>7.339999999999999</v>
      </c>
      <c r="LB33" s="226">
        <f>IFERROR(AVERAGE($FC33:GM33),"")</f>
        <v>7.2638888888888893</v>
      </c>
      <c r="LC33" s="226">
        <f>IFERROR(AVERAGE($FC33:GN33),"")</f>
        <v>7.243243243243243</v>
      </c>
      <c r="LD33" s="226">
        <f>IFERROR(AVERAGE($FC33:GO33),"")</f>
        <v>7.121052631578948</v>
      </c>
      <c r="LE33" s="226">
        <f>IFERROR(AVERAGE($FC33:GP33),"")</f>
        <v>7.1179487179487184</v>
      </c>
      <c r="LF33" s="226">
        <f>IFERROR(AVERAGE($FC33:GQ33),"")</f>
        <v>7.1850000000000005</v>
      </c>
      <c r="LG33" s="226">
        <f>IFERROR(AVERAGE($FC33:GR33),"")</f>
        <v>7.0097560975609765</v>
      </c>
      <c r="LH33" s="226">
        <f>IFERROR(AVERAGE($FC33:GS33),"")</f>
        <v>7.0097560975609765</v>
      </c>
      <c r="LI33" s="226">
        <f>IFERROR(AVERAGE($FC33:GT33),"")</f>
        <v>7.0097560975609765</v>
      </c>
      <c r="LJ33" s="226">
        <f>IFERROR(AVERAGE($FC33:GU33),"")</f>
        <v>7.0097560975609765</v>
      </c>
      <c r="LK33" s="226">
        <f>IFERROR(AVERAGE($FC33:GV33),"")</f>
        <v>7.0097560975609765</v>
      </c>
      <c r="LL33" s="226">
        <f>IFERROR(AVERAGE($FC33:GW33),"")</f>
        <v>7.0097560975609765</v>
      </c>
      <c r="LM33" s="226">
        <f>IFERROR(AVERAGE($FC33:GX33),"")</f>
        <v>7.0097560975609765</v>
      </c>
      <c r="LN33" s="226">
        <f>IFERROR(AVERAGE($FC33:GY33),"")</f>
        <v>7.0097560975609765</v>
      </c>
      <c r="LO33" s="226">
        <f>IFERROR(AVERAGE($FC33:GZ33),"")</f>
        <v>7.0097560975609765</v>
      </c>
      <c r="LP33" s="226">
        <f>IFERROR(AVERAGE($FC33:HA33),"")</f>
        <v>7.0097560975609765</v>
      </c>
      <c r="LQ33" s="226">
        <f>IFERROR(AVERAGE($FC33:HB33),"")</f>
        <v>7.0097560975609765</v>
      </c>
      <c r="LR33" s="226">
        <f>IFERROR(AVERAGE($FC33:HC33),"")</f>
        <v>7.0097560975609765</v>
      </c>
      <c r="LT33" s="136" t="str">
        <f>+$C33</f>
        <v>KPI D2</v>
      </c>
      <c r="LU33" s="144" t="str">
        <f>+$D33</f>
        <v>Delivery</v>
      </c>
      <c r="LV33" s="144" t="str">
        <f t="shared" si="104"/>
        <v>Lead Time Days to Full Task Completion</v>
      </c>
      <c r="LW33" s="145" t="str">
        <f t="shared" si="105"/>
        <v>Days</v>
      </c>
      <c r="LX33" s="145" t="s">
        <v>285</v>
      </c>
      <c r="LY33" s="223" t="str">
        <f>IFERROR(AVERAGE($HJ33:HJ33),"")</f>
        <v/>
      </c>
      <c r="LZ33" s="223">
        <f>IFERROR(IF(LAD$7&gt;$D$3,"",AVERAGE($HJ33:HK33)),"")</f>
        <v>7</v>
      </c>
      <c r="MA33" s="223">
        <f>IFERROR(IF(MA$7&gt;$D$3,"",AVERAGE($HJ33:HL33)),"")</f>
        <v>7</v>
      </c>
      <c r="MB33" s="223">
        <f>IFERROR(IF(MB$7&gt;$D$3,"",AVERAGE($HJ33:HM33)),"")</f>
        <v>7</v>
      </c>
      <c r="MC33" s="223">
        <f>IFERROR(IF(MC$7&gt;$D$3,"",AVERAGE($HJ33:HN33)),"")</f>
        <v>7</v>
      </c>
      <c r="MD33" s="223">
        <f>IFERROR(IF(MD$7&gt;$D$3,"",AVERAGE($HJ33:HO33)),"")</f>
        <v>7</v>
      </c>
      <c r="ME33" s="223">
        <f>IFERROR(IF(ME$7&gt;$D$3,"",AVERAGE($HJ33:HP33)),"")</f>
        <v>7</v>
      </c>
      <c r="MF33" s="223">
        <f>IFERROR(IF(MF$7&gt;$D$3,"",AVERAGE($HJ33:HQ33)),"")</f>
        <v>7</v>
      </c>
      <c r="MG33" s="223">
        <f>IFERROR(IF(MG$7&gt;$D$3,"",AVERAGE($HJ33:HR33)),"")</f>
        <v>7</v>
      </c>
      <c r="MH33" s="223">
        <f>IFERROR(IF(MH$7&gt;$D$3,"",AVERAGE($HJ33:HS33)),"")</f>
        <v>7</v>
      </c>
      <c r="MI33" s="223">
        <f>IFERROR(IF(MI$7&gt;$D$3,"",AVERAGE($HJ33:HT33)),"")</f>
        <v>7</v>
      </c>
      <c r="MJ33" s="223">
        <f>IFERROR(IF(MJ$7&gt;$D$3,"",AVERAGE($HJ33:HU33)),"")</f>
        <v>7</v>
      </c>
      <c r="MK33" s="223">
        <f>IFERROR(IF(MK$7&gt;$D$3,"",AVERAGE($HJ33:HV33)),"")</f>
        <v>7</v>
      </c>
      <c r="ML33" s="223">
        <f>IFERROR(IF(ML$7&gt;$D$3,"",AVERAGE($HJ33:HW33)),"")</f>
        <v>7</v>
      </c>
      <c r="MM33" s="223">
        <f>IFERROR(IF(MM$7&gt;$D$3,"",AVERAGE($HJ33:HX33)),"")</f>
        <v>7</v>
      </c>
      <c r="MN33" s="223">
        <f>IFERROR(IF(MN$7&gt;$D$3,"",AVERAGE($HJ33:HY33)),"")</f>
        <v>7</v>
      </c>
      <c r="MO33" s="223">
        <f>IFERROR(IF(MO$7&gt;$D$3,"",AVERAGE($HJ33:HZ33)),"")</f>
        <v>7</v>
      </c>
      <c r="MP33" s="223">
        <f>IFERROR(IF(MP$7&gt;$D$3,"",AVERAGE($HJ33:IA33)),"")</f>
        <v>7</v>
      </c>
      <c r="MQ33" s="223">
        <f>IFERROR(IF(MQ$7&gt;$D$3,"",AVERAGE($HJ33:IB33)),"")</f>
        <v>7</v>
      </c>
      <c r="MR33" s="223">
        <f>IFERROR(IF(MR$7&gt;$D$3,"",AVERAGE($HJ33:IC33)),"")</f>
        <v>7</v>
      </c>
      <c r="MS33" s="223">
        <f>IFERROR(IF(MS$7&gt;$D$3,"",AVERAGE($HJ33:ID33)),"")</f>
        <v>7</v>
      </c>
      <c r="MT33" s="223">
        <f>IFERROR(IF(MT$7&gt;$D$3,"",AVERAGE($HJ33:IE33)),"")</f>
        <v>7</v>
      </c>
      <c r="MU33" s="223">
        <f>IFERROR(IF(MU$7&gt;$D$3,"",AVERAGE($HJ33:IF33)),"")</f>
        <v>7</v>
      </c>
      <c r="MV33" s="223">
        <f>IFERROR(IF(MV$7&gt;$D$3,"",AVERAGE($HJ33:IG33)),"")</f>
        <v>7</v>
      </c>
      <c r="MW33" s="223">
        <f>IFERROR(IF(MW$7&gt;$D$3,"",AVERAGE($HJ33:IH33)),"")</f>
        <v>7</v>
      </c>
      <c r="MX33" s="223">
        <f>IFERROR(IF(MX$7&gt;$D$3,"",AVERAGE($HJ33:II33)),"")</f>
        <v>7</v>
      </c>
      <c r="MY33" s="223">
        <f>IFERROR(IF(MY$7&gt;$D$3,"",AVERAGE($HJ33:IJ33)),"")</f>
        <v>7</v>
      </c>
      <c r="MZ33" s="223">
        <f>IFERROR(IF(MZ$7&gt;$D$3,"",AVERAGE($HJ33:IK33)),"")</f>
        <v>7</v>
      </c>
      <c r="NA33" s="223">
        <f>IFERROR(IF(NA$7&gt;$D$3,"",AVERAGE($HJ33:IL33)),"")</f>
        <v>7</v>
      </c>
      <c r="NB33" s="223">
        <f>IFERROR(IF(NB$7&gt;$D$3,"",AVERAGE($HJ33:IM33)),"")</f>
        <v>7</v>
      </c>
      <c r="NC33" s="223">
        <f>IFERROR(IF(NC$7&gt;$D$3,"",AVERAGE($HJ33:IN33)),"")</f>
        <v>7</v>
      </c>
      <c r="ND33" s="223">
        <f>IFERROR(IF(ND$7&gt;$D$3,"",AVERAGE($HJ33:IO33)),"")</f>
        <v>7</v>
      </c>
      <c r="NE33" s="223">
        <f>IFERROR(IF(NE$7&gt;$D$3,"",AVERAGE($HJ33:IP33)),"")</f>
        <v>7</v>
      </c>
      <c r="NF33" s="223">
        <f>IFERROR(IF(NF$7&gt;$D$3,"",AVERAGE($HJ33:IQ33)),"")</f>
        <v>7</v>
      </c>
      <c r="NG33" s="223">
        <f>IFERROR(IF(NG$7&gt;$D$3,"",AVERAGE($HJ33:IR33)),"")</f>
        <v>7</v>
      </c>
      <c r="NH33" s="223">
        <f>IFERROR(IF(NH$7&gt;$D$3,"",AVERAGE($HJ33:IS33)),"")</f>
        <v>7</v>
      </c>
      <c r="NI33" s="223">
        <f>IFERROR(IF(NI$7&gt;$D$3,"",AVERAGE($HJ33:IT33)),"")</f>
        <v>7</v>
      </c>
      <c r="NJ33" s="223">
        <f>IFERROR(IF(NJ$7&gt;$D$3,"",AVERAGE($HJ33:IU33)),"")</f>
        <v>7</v>
      </c>
      <c r="NK33" s="223">
        <f>IFERROR(IF(NK$7&gt;$D$3,"",AVERAGE($HJ33:IV33)),"")</f>
        <v>7</v>
      </c>
      <c r="NL33" s="223">
        <f>IFERROR(IF(NL$7&gt;$D$3,"",AVERAGE($HJ33:IW33)),"")</f>
        <v>7</v>
      </c>
      <c r="NM33" s="223">
        <f>IFERROR(IF(NM$7&gt;$D$3,"",AVERAGE($HJ33:IX33)),"")</f>
        <v>7</v>
      </c>
      <c r="NN33" s="223">
        <f>IFERROR(IF(NN$7&gt;$D$3,"",AVERAGE($HJ33:IY33)),"")</f>
        <v>7</v>
      </c>
      <c r="NO33" s="223" t="str">
        <f>IFERROR(IF(NO$7&gt;$D$3,"",AVERAGE($HJ33:IZ33)),"")</f>
        <v/>
      </c>
      <c r="NP33" s="223" t="str">
        <f>IFERROR(IF(NP$7&gt;$D$3,"",AVERAGE($HJ33:JA33)),"")</f>
        <v/>
      </c>
      <c r="NQ33" s="223" t="str">
        <f>IFERROR(IF(NQ$7&gt;$D$3,"",AVERAGE($HJ33:JB33)),"")</f>
        <v/>
      </c>
      <c r="NR33" s="223" t="str">
        <f>IFERROR(IF(NR$7&gt;$D$3,"",AVERAGE($HJ33:JC33)),"")</f>
        <v/>
      </c>
      <c r="NS33" s="223" t="str">
        <f>IFERROR(IF(NS$7&gt;$D$3,"",AVERAGE($HJ33:JD33)),"")</f>
        <v/>
      </c>
      <c r="NT33" s="223" t="str">
        <f>IFERROR(IF(NT$7&gt;$D$3,"",AVERAGE($HJ33:JE33)),"")</f>
        <v/>
      </c>
      <c r="NU33" s="223" t="str">
        <f>IFERROR(IF(NU$7&gt;$D$3,"",AVERAGE($HJ33:JF33)),"")</f>
        <v/>
      </c>
      <c r="NV33" s="223" t="str">
        <f>IFERROR(IF(NV$7&gt;$D$3,"",AVERAGE($HJ33:JG33)),"")</f>
        <v/>
      </c>
      <c r="NW33" s="223" t="str">
        <f>IFERROR(IF(NW$7&gt;$D$3,"",AVERAGE($HJ33:JH33)),"")</f>
        <v/>
      </c>
      <c r="NX33" s="223" t="str">
        <f>IFERROR(IF(NX$7&gt;$D$3,"",AVERAGE($HJ33:JI33)),"")</f>
        <v/>
      </c>
      <c r="NY33" s="223" t="str">
        <f>IFERROR(IF(NY$7&gt;$D$3,"",AVERAGE($HJ33:JJ33)),"")</f>
        <v/>
      </c>
    </row>
    <row r="34" spans="1:389" x14ac:dyDescent="0.3">
      <c r="A34" t="str">
        <f>$B$30&amp;"-"&amp;C34</f>
        <v>Product Design-KPI Q1</v>
      </c>
      <c r="B34" s="918">
        <f>+'KPI Stats'!B39</f>
        <v>0</v>
      </c>
      <c r="C34" s="136" t="str">
        <f>+'KPI Stats'!C39</f>
        <v>KPI Q1</v>
      </c>
      <c r="D34" s="144" t="str">
        <f>+'KPI Stats'!D39</f>
        <v>Quality</v>
      </c>
      <c r="E34" s="144" t="str">
        <f>+'KPI Stats'!E39</f>
        <v>No of complaints</v>
      </c>
      <c r="F34" s="145" t="str">
        <f>+'KPI Stats'!F39</f>
        <v>Count</v>
      </c>
      <c r="G34" s="169" t="str">
        <f>+'KPI Stats'!G39</f>
        <v>Over</v>
      </c>
      <c r="J34" s="69" t="str">
        <f>_xlfn.XLOOKUP(J$7,$AM$7:$CM$7,$AM34:$CM34,,FALSE)</f>
        <v>OD</v>
      </c>
      <c r="K34" s="264">
        <f>_xlfn.XLOOKUP(K$7,$FC$7:$HC$7,$FC34:$HC34,,FALSE)</f>
        <v>0</v>
      </c>
      <c r="L34" s="278">
        <f>_xlfn.XLOOKUP(L$7,$HJ$7:$JJ$7,$HJ34:$JJ34,,FALSE)</f>
        <v>1</v>
      </c>
      <c r="M34" s="115" t="str">
        <f>_xlfn.XLOOKUP(M$7,$CU$7:$EU$7,$CU34:$EU34,,FALSE)</f>
        <v>OD</v>
      </c>
      <c r="P34" s="69" t="str">
        <f>_xlfn.XLOOKUP(P$7,$AM$7:$CM$7,$AM34:$CM34,,FALSE)</f>
        <v>OD</v>
      </c>
      <c r="Q34" s="264">
        <f t="shared" si="108"/>
        <v>0</v>
      </c>
      <c r="R34" s="278">
        <f t="shared" si="108"/>
        <v>0</v>
      </c>
      <c r="S34" s="264" t="str">
        <f t="shared" si="109"/>
        <v>OD</v>
      </c>
      <c r="T34" s="278" t="str">
        <f t="shared" si="109"/>
        <v>100%</v>
      </c>
      <c r="U34" s="295" t="str">
        <f>IF(F30&lt;$R$2,"Not Complete",IF(Q34=R34,"Same −",IF($G34="Over",IF(Q34&lt;R34,"Better ↑","Worse ↓"),IF($G34="Under",IF(Q34&gt;R34,"Better ↑","Worse ↓"),"err"))))</f>
        <v>Same −</v>
      </c>
      <c r="X34" s="69" t="str">
        <f t="shared" si="110"/>
        <v>G</v>
      </c>
      <c r="Y34" s="114">
        <f>_xlfn.XLOOKUP(Y$7,$JR$7:$LR$7,$JR34:$LR34,FALSE)</f>
        <v>0.46195121951219509</v>
      </c>
      <c r="Z34" s="114">
        <f>_xlfn.XLOOKUP(Z$7,$LY$7:$NY$7,$LY34:$NY34,FALSE)</f>
        <v>1</v>
      </c>
      <c r="AA34" s="163">
        <f>IF(G34="Undefined","",IF(G34="under",Y34/Z34,IF(G34="over",Z34/Y34,"err")))</f>
        <v>2.1647307286166844</v>
      </c>
      <c r="AB34" s="295" t="str">
        <f>IF(F30&lt;$R$2,"TBC",IF(Y34=Z34,"Same −",IF($G34="Over",IF(Z34&lt;Y34,"Better ↑ ","Worse ↓ "),IF($G34="Under",IF(Y34&gt;Z34,"Better ↑ ","Worse ↓ "),"err"))))</f>
        <v xml:space="preserve">Worse ↓ </v>
      </c>
      <c r="AC34" s="69" t="str">
        <f>IF(AND(G34="above adero",AD34&gt;0),"R",IF(AF34&gt;1,"G",IF(AF34&gt;0.95,"A","R")))</f>
        <v>G</v>
      </c>
      <c r="AD34" s="114">
        <f>_xlfn.XLOOKUP(AD$7,$JR$7:$LR$7,$JR34:$LR34,FALSE)</f>
        <v>0.47349999999999992</v>
      </c>
      <c r="AE34" s="114">
        <f>_xlfn.XLOOKUP(AE$7,$LY$7:$NY$7,$LY34:$NY34,FALSE)</f>
        <v>1</v>
      </c>
      <c r="AF34" s="163">
        <f t="shared" ref="AF34:AF35" si="113">IF(G34="Undefined","",IF(G34="under",AD34/AE34,IF(G34="over",AE34/AD34,"err")))</f>
        <v>2.1119324181626191</v>
      </c>
      <c r="AH34" s="465" t="str">
        <f>+$A34</f>
        <v>Product Design-KPI Q1</v>
      </c>
      <c r="AI34" s="136" t="str">
        <f t="shared" si="111"/>
        <v>KPI Q1</v>
      </c>
      <c r="AJ34" s="144" t="str">
        <f t="shared" si="111"/>
        <v>Quality</v>
      </c>
      <c r="AK34" s="144" t="str">
        <f t="shared" si="87"/>
        <v>No of complaints</v>
      </c>
      <c r="AL34" s="145" t="str">
        <f t="shared" si="87"/>
        <v>Count</v>
      </c>
      <c r="AM34" s="69" t="str">
        <f>IF(AM$7&gt;$D$3,"",_xlfn.XLOOKUP(AM$7,'Product Design'!$M$6:$BM$6,'Product Design'!$M$19:$BM$19))</f>
        <v>Blank</v>
      </c>
      <c r="AN34" s="199" t="str">
        <f>IF(AN$7&gt;$D$3,"",_xlfn.XLOOKUP(AN$7,'Product Design'!$M$6:$BM$6,'Product Design'!$M$19:$BM$19))</f>
        <v>G</v>
      </c>
      <c r="AO34" s="69" t="str">
        <f>IF(AO$7&gt;$D$3,"",_xlfn.XLOOKUP(AO$7,'Product Design'!$M$6:$BM$6,'Product Design'!$M$19:$BM$19))</f>
        <v>G</v>
      </c>
      <c r="AP34" s="69" t="str">
        <f>IF(AP$7&gt;$D$3,"",_xlfn.XLOOKUP(AP$7,'Product Design'!$M$6:$BM$6,'Product Design'!$M$19:$BM$19))</f>
        <v>G</v>
      </c>
      <c r="AQ34" s="69" t="str">
        <f>IF(AQ$7&gt;$D$3,"",_xlfn.XLOOKUP(AQ$7,'Product Design'!$M$6:$BM$6,'Product Design'!$M$19:$BM$19))</f>
        <v>G</v>
      </c>
      <c r="AR34" s="69" t="str">
        <f>IF(AR$7&gt;$D$3,"",_xlfn.XLOOKUP(AR$7,'Product Design'!$M$6:$BM$6,'Product Design'!$M$19:$BM$19))</f>
        <v>R</v>
      </c>
      <c r="AS34" s="69" t="str">
        <f>IF(AS$7&gt;$D$3,"",_xlfn.XLOOKUP(AS$7,'Product Design'!$M$6:$BM$6,'Product Design'!$M$19:$BM$19))</f>
        <v>G</v>
      </c>
      <c r="AT34" s="69" t="str">
        <f>IF(AT$7&gt;$D$3,"",_xlfn.XLOOKUP(AT$7,'Product Design'!$M$6:$BM$6,'Product Design'!$M$19:$BM$19))</f>
        <v>G</v>
      </c>
      <c r="AU34" s="69" t="str">
        <f>IF(AU$7&gt;$D$3,"",_xlfn.XLOOKUP(AU$7,'Product Design'!$M$6:$BM$6,'Product Design'!$M$19:$BM$19))</f>
        <v>G</v>
      </c>
      <c r="AV34" s="69" t="str">
        <f>IF(AV$7&gt;$D$3,"",_xlfn.XLOOKUP(AV$7,'Product Design'!$M$6:$BM$6,'Product Design'!$M$19:$BM$19))</f>
        <v>G</v>
      </c>
      <c r="AW34" s="69" t="str">
        <f>IF(AW$7&gt;$D$3,"",_xlfn.XLOOKUP(AW$7,'Product Design'!$M$6:$BM$6,'Product Design'!$M$19:$BM$19))</f>
        <v>G</v>
      </c>
      <c r="AX34" s="69" t="str">
        <f>IF(AX$7&gt;$D$3,"",_xlfn.XLOOKUP(AX$7,'Product Design'!$M$6:$BM$6,'Product Design'!$M$19:$BM$19))</f>
        <v>R</v>
      </c>
      <c r="AY34" s="69" t="str">
        <f>IF(AY$7&gt;$D$3,"",_xlfn.XLOOKUP(AY$7,'Product Design'!$M$6:$BM$6,'Product Design'!$M$19:$BM$19))</f>
        <v>G</v>
      </c>
      <c r="AZ34" s="69" t="str">
        <f>IF(AZ$7&gt;$D$3,"",_xlfn.XLOOKUP(AZ$7,'Product Design'!$M$6:$BM$6,'Product Design'!$M$19:$BM$19))</f>
        <v>G</v>
      </c>
      <c r="BA34" s="69" t="str">
        <f>IF(BA$7&gt;$D$3,"",_xlfn.XLOOKUP(BA$7,'Product Design'!$M$6:$BM$6,'Product Design'!$M$19:$BM$19))</f>
        <v>R</v>
      </c>
      <c r="BB34" s="69" t="str">
        <f>IF(BB$7&gt;$D$3,"",_xlfn.XLOOKUP(BB$7,'Product Design'!$M$6:$BM$6,'Product Design'!$M$19:$BM$19))</f>
        <v>G</v>
      </c>
      <c r="BC34" s="69" t="str">
        <f>IF(BC$7&gt;$D$3,"",_xlfn.XLOOKUP(BC$7,'Product Design'!$M$6:$BM$6,'Product Design'!$M$19:$BM$19))</f>
        <v>G</v>
      </c>
      <c r="BD34" s="69" t="str">
        <f>IF(BD$7&gt;$D$3,"",_xlfn.XLOOKUP(BD$7,'Product Design'!$M$6:$BM$6,'Product Design'!$M$19:$BM$19))</f>
        <v>R</v>
      </c>
      <c r="BE34" s="69" t="str">
        <f>IF(BE$7&gt;$D$3,"",_xlfn.XLOOKUP(BE$7,'Product Design'!$M$6:$BM$6,'Product Design'!$M$19:$BM$19))</f>
        <v>G</v>
      </c>
      <c r="BF34" s="69" t="str">
        <f>IF(BF$7&gt;$D$3,"",_xlfn.XLOOKUP(BF$7,'Product Design'!$M$6:$BM$6,'Product Design'!$M$19:$BM$19))</f>
        <v>R</v>
      </c>
      <c r="BG34" s="69" t="str">
        <f>IF(BG$7&gt;$D$3,"",_xlfn.XLOOKUP(BG$7,'Product Design'!$M$6:$BM$6,'Product Design'!$M$19:$BM$19))</f>
        <v>G</v>
      </c>
      <c r="BH34" s="69" t="str">
        <f>IF(BH$7&gt;$D$3,"",_xlfn.XLOOKUP(BH$7,'Product Design'!$M$6:$BM$6,'Product Design'!$M$19:$BM$19))</f>
        <v>G</v>
      </c>
      <c r="BI34" s="69" t="str">
        <f>IF(BI$7&gt;$D$3,"",_xlfn.XLOOKUP(BI$7,'Product Design'!$M$6:$BM$6,'Product Design'!$M$19:$BM$19))</f>
        <v>G</v>
      </c>
      <c r="BJ34" s="69" t="str">
        <f>IF(BJ$7&gt;$D$3,"",_xlfn.XLOOKUP(BJ$7,'Product Design'!$M$6:$BM$6,'Product Design'!$M$19:$BM$19))</f>
        <v>G</v>
      </c>
      <c r="BK34" s="69" t="str">
        <f>IF(BK$7&gt;$D$3,"",_xlfn.XLOOKUP(BK$7,'Product Design'!$M$6:$BM$6,'Product Design'!$M$19:$BM$19))</f>
        <v>G</v>
      </c>
      <c r="BL34" s="69" t="str">
        <f>IF(BL$7&gt;$D$3,"",_xlfn.XLOOKUP(BL$7,'Product Design'!$M$6:$BM$6,'Product Design'!$M$19:$BM$19))</f>
        <v>G</v>
      </c>
      <c r="BM34" s="69" t="str">
        <f>IF(BM$7&gt;$D$3,"",_xlfn.XLOOKUP(BM$7,'Product Design'!$M$6:$BM$6,'Product Design'!$M$19:$BM$19))</f>
        <v>OD</v>
      </c>
      <c r="BN34" s="69" t="str">
        <f>IF(BN$7&gt;$D$3,"",_xlfn.XLOOKUP(BN$7,'Product Design'!$M$6:$BM$6,'Product Design'!$M$19:$BM$19))</f>
        <v>G</v>
      </c>
      <c r="BO34" s="69" t="str">
        <f>IF(BO$7&gt;$D$3,"",_xlfn.XLOOKUP(BO$7,'Product Design'!$M$6:$BM$6,'Product Design'!$M$19:$BM$19))</f>
        <v>G</v>
      </c>
      <c r="BP34" s="69" t="str">
        <f>IF(BP$7&gt;$D$3,"",_xlfn.XLOOKUP(BP$7,'Product Design'!$M$6:$BM$6,'Product Design'!$M$19:$BM$19))</f>
        <v>G</v>
      </c>
      <c r="BQ34" s="69" t="str">
        <f>IF(BQ$7&gt;$D$3,"",_xlfn.XLOOKUP(BQ$7,'Product Design'!$M$6:$BM$6,'Product Design'!$M$19:$BM$19))</f>
        <v>G</v>
      </c>
      <c r="BR34" s="69" t="str">
        <f>IF(BR$7&gt;$D$3,"",_xlfn.XLOOKUP(BR$7,'Product Design'!$M$6:$BM$6,'Product Design'!$M$19:$BM$19))</f>
        <v>G</v>
      </c>
      <c r="BS34" s="69" t="str">
        <f>IF(BS$7&gt;$D$3,"",_xlfn.XLOOKUP(BS$7,'Product Design'!$M$6:$BM$6,'Product Design'!$M$19:$BM$19))</f>
        <v>G</v>
      </c>
      <c r="BT34" s="69" t="str">
        <f>IF(BT$7&gt;$D$3,"",_xlfn.XLOOKUP(BT$7,'Product Design'!$M$6:$BM$6,'Product Design'!$M$19:$BM$19))</f>
        <v>G</v>
      </c>
      <c r="BU34" s="69" t="str">
        <f>IF(BU$7&gt;$D$3,"",_xlfn.XLOOKUP(BU$7,'Product Design'!$M$6:$BM$6,'Product Design'!$M$19:$BM$19))</f>
        <v>G</v>
      </c>
      <c r="BV34" s="69" t="str">
        <f>IF(BV$7&gt;$D$3,"",_xlfn.XLOOKUP(BV$7,'Product Design'!$M$6:$BM$6,'Product Design'!$M$19:$BM$19))</f>
        <v>G</v>
      </c>
      <c r="BW34" s="69" t="str">
        <f>IF(BW$7&gt;$D$3,"",_xlfn.XLOOKUP(BW$7,'Product Design'!$M$6:$BM$6,'Product Design'!$M$19:$BM$19))</f>
        <v>G</v>
      </c>
      <c r="BX34" s="69" t="str">
        <f>IF(BX$7&gt;$D$3,"",_xlfn.XLOOKUP(BX$7,'Product Design'!$M$6:$BM$6,'Product Design'!$M$19:$BM$19))</f>
        <v>G</v>
      </c>
      <c r="BY34" s="69" t="str">
        <f>IF(BY$7&gt;$D$3,"",_xlfn.XLOOKUP(BY$7,'Product Design'!$M$6:$BM$6,'Product Design'!$M$19:$BM$19))</f>
        <v>G</v>
      </c>
      <c r="BZ34" s="69" t="str">
        <f>IF(BZ$7&gt;$D$3,"",_xlfn.XLOOKUP(BZ$7,'Product Design'!$M$6:$BM$6,'Product Design'!$M$19:$BM$19))</f>
        <v>R</v>
      </c>
      <c r="CA34" s="69" t="str">
        <f>IF(CA$7&gt;$D$3,"",_xlfn.XLOOKUP(CA$7,'Product Design'!$M$6:$BM$6,'Product Design'!$M$19:$BM$19))</f>
        <v>G</v>
      </c>
      <c r="CB34" s="69" t="str">
        <f>IF(CB$7&gt;$D$3,"",_xlfn.XLOOKUP(CB$7,'Product Design'!$M$6:$BM$6,'Product Design'!$M$19:$BM$19))</f>
        <v>OD</v>
      </c>
      <c r="CC34" s="69" t="str">
        <f>IF(CC$7&gt;$D$3,"",_xlfn.XLOOKUP(CC$7,'Product Design'!$M$6:$BM$6,'Product Design'!$M$19:$BM$19))</f>
        <v/>
      </c>
      <c r="CD34" s="69" t="str">
        <f>IF(CD$7&gt;$D$3,"",_xlfn.XLOOKUP(CD$7,'Product Design'!$M$6:$BM$6,'Product Design'!$M$19:$BM$19))</f>
        <v/>
      </c>
      <c r="CE34" s="69" t="str">
        <f>IF(CE$7&gt;$D$3,"",_xlfn.XLOOKUP(CE$7,'Product Design'!$M$6:$BM$6,'Product Design'!$M$19:$BM$19))</f>
        <v/>
      </c>
      <c r="CF34" s="69" t="str">
        <f>IF(CF$7&gt;$D$3,"",_xlfn.XLOOKUP(CF$7,'Product Design'!$M$6:$BM$6,'Product Design'!$M$19:$BM$19))</f>
        <v/>
      </c>
      <c r="CG34" s="69" t="str">
        <f>IF(CG$7&gt;$D$3,"",_xlfn.XLOOKUP(CG$7,'Product Design'!$M$6:$BM$6,'Product Design'!$M$19:$BM$19))</f>
        <v/>
      </c>
      <c r="CH34" s="69" t="str">
        <f>IF(CH$7&gt;$D$3,"",_xlfn.XLOOKUP(CH$7,'Product Design'!$M$6:$BM$6,'Product Design'!$M$19:$BM$19))</f>
        <v/>
      </c>
      <c r="CI34" s="69" t="str">
        <f>IF(CI$7&gt;$D$3,"",_xlfn.XLOOKUP(CI$7,'Product Design'!$M$6:$BM$6,'Product Design'!$M$19:$BM$19))</f>
        <v/>
      </c>
      <c r="CJ34" s="69" t="str">
        <f>IF(CJ$7&gt;$D$3,"",_xlfn.XLOOKUP(CJ$7,'Product Design'!$M$6:$BM$6,'Product Design'!$M$19:$BM$19))</f>
        <v/>
      </c>
      <c r="CK34" s="69" t="str">
        <f>IF(CK$7&gt;$D$3,"",_xlfn.XLOOKUP(CK$7,'Product Design'!$M$6:$BM$6,'Product Design'!$M$19:$BM$19))</f>
        <v/>
      </c>
      <c r="CL34" s="69" t="str">
        <f>IF(CL$7&gt;$D$3,"",_xlfn.XLOOKUP(CL$7,'Product Design'!$M$6:$BM$6,'Product Design'!$M$19:$BM$19))</f>
        <v/>
      </c>
      <c r="CM34" s="69" t="str">
        <f>IF(CM$7&gt;$D$3,"",_xlfn.XLOOKUP(CM$7,'Product Design'!$M$6:$BM$6,'Product Design'!$M$19:$BM$19))</f>
        <v/>
      </c>
      <c r="CO34" s="465" t="str">
        <f>+$A34</f>
        <v>Product Design-KPI Q1</v>
      </c>
      <c r="CP34" s="136" t="str">
        <f t="shared" si="112"/>
        <v>KPI Q1</v>
      </c>
      <c r="CQ34" s="144" t="str">
        <f t="shared" si="112"/>
        <v>Quality</v>
      </c>
      <c r="CR34" s="144" t="str">
        <f t="shared" si="112"/>
        <v>No of complaints</v>
      </c>
      <c r="CS34" s="145" t="str">
        <f t="shared" si="112"/>
        <v>Count</v>
      </c>
      <c r="CT34" s="207" t="s">
        <v>246</v>
      </c>
      <c r="CU34" s="69" t="str">
        <f>IF(CU$7&gt;$D$3,"",_xlfn.XLOOKUP(CU$7,'Product Design'!$M$6:$BM$6,'Product Design'!$M$19:$BM$19))</f>
        <v>Blank</v>
      </c>
      <c r="CV34" s="323" t="str">
        <f>IFERROR(IF(CV$7&gt;$D$3,"",IF(AN34="OD","OD",IF(AN34="Missed","Missed",IF(AN34="TBC","TBC",IF(AN34="Undefined","Undefined",_xlfn.XLOOKUP(CV$7,'Product Design'!$M$6:$BM$6,'Product Design'!$M$17:$BM$17)/_xlfn.XLOOKUP(CV$7,'Product Design'!$M$6:$BM$6,'Product Design'!$M$18:$BM$18)))))),"100%")</f>
        <v>100%</v>
      </c>
      <c r="CW34" s="315" t="str">
        <f>IFERROR(IF(CW$7&gt;$D$3,"",IF(AO34="OD","OD",IF(AO34="Missed","Missed",IF(AO34="TBC","TBC",IF(AO34="Undefined","Undefined",_xlfn.XLOOKUP(CW$7,'Product Design'!$M$6:$BM$6,'Product Design'!$M$17:$BM$17)/_xlfn.XLOOKUP(CW$7,'Product Design'!$M$6:$BM$6,'Product Design'!$M$18:$BM$18)))))),"100%")</f>
        <v>100%</v>
      </c>
      <c r="CX34" s="315" t="str">
        <f>IFERROR(IF(CX$7&gt;$D$3,"",IF(AP34="OD","OD",IF(AP34="Missed","Missed",IF(AP34="TBC","TBC",IF(AP34="Undefined","Undefined",_xlfn.XLOOKUP(CX$7,'Product Design'!$M$6:$BM$6,'Product Design'!$M$17:$BM$17)/_xlfn.XLOOKUP(CX$7,'Product Design'!$M$6:$BM$6,'Product Design'!$M$18:$BM$18)))))),"100%")</f>
        <v>100%</v>
      </c>
      <c r="CY34" s="315">
        <f>IFERROR(IF(CY$7&gt;$D$3,"",IF(AQ34="OD","OD",IF(AQ34="Missed","Missed",IF(AQ34="TBC","TBC",IF(AQ34="Undefined","Undefined",_xlfn.XLOOKUP(CY$7,'Product Design'!$M$6:$BM$6,'Product Design'!$M$17:$BM$17)/_xlfn.XLOOKUP(CY$7,'Product Design'!$M$6:$BM$6,'Product Design'!$M$18:$BM$18)))))),"100%")</f>
        <v>1</v>
      </c>
      <c r="CZ34" s="315">
        <f>IFERROR(IF(CZ$7&gt;$D$3,"",IF(AR34="OD","OD",IF(AR34="Missed","Missed",IF(AR34="TBC","TBC",IF(AR34="Undefined","Undefined",_xlfn.XLOOKUP(CZ$7,'Product Design'!$M$6:$BM$6,'Product Design'!$M$17:$BM$17)/_xlfn.XLOOKUP(CZ$7,'Product Design'!$M$6:$BM$6,'Product Design'!$M$18:$BM$18)))))),"100%")</f>
        <v>0.5</v>
      </c>
      <c r="DA34" s="315">
        <f>IFERROR(IF(DA$7&gt;$D$3,"",IF(AS34="OD","OD",IF(AS34="Missed","Missed",IF(AS34="TBC","TBC",IF(AS34="Undefined","Undefined",_xlfn.XLOOKUP(DA$7,'Product Design'!$M$6:$BM$6,'Product Design'!$M$17:$BM$17)/_xlfn.XLOOKUP(DA$7,'Product Design'!$M$6:$BM$6,'Product Design'!$M$18:$BM$18)))))),"100%")</f>
        <v>1.0638297872340425</v>
      </c>
      <c r="DB34" s="315" t="str">
        <f>IFERROR(IF(DB$7&gt;$D$3,"",IF(AT34="OD","OD",IF(AT34="Missed","Missed",IF(AT34="TBC","TBC",IF(AT34="Undefined","Undefined",_xlfn.XLOOKUP(DB$7,'Product Design'!$M$6:$BM$6,'Product Design'!$M$17:$BM$17)/_xlfn.XLOOKUP(DB$7,'Product Design'!$M$6:$BM$6,'Product Design'!$M$18:$BM$18)))))),"100%")</f>
        <v>100%</v>
      </c>
      <c r="DC34" s="315" t="str">
        <f>IFERROR(IF(DC$7&gt;$D$3,"",IF(AU34="OD","OD",IF(AU34="Missed","Missed",IF(AU34="TBC","TBC",IF(AU34="Undefined","Undefined",_xlfn.XLOOKUP(DC$7,'Product Design'!$M$6:$BM$6,'Product Design'!$M$17:$BM$17)/_xlfn.XLOOKUP(DC$7,'Product Design'!$M$6:$BM$6,'Product Design'!$M$18:$BM$18)))))),"100%")</f>
        <v>100%</v>
      </c>
      <c r="DD34" s="315" t="str">
        <f>IFERROR(IF(DD$7&gt;$D$3,"",IF(AV34="OD","OD",IF(AV34="Missed","Missed",IF(AV34="TBC","TBC",IF(AV34="Undefined","Undefined",_xlfn.XLOOKUP(DD$7,'Product Design'!$M$6:$BM$6,'Product Design'!$M$17:$BM$17)/_xlfn.XLOOKUP(DD$7,'Product Design'!$M$6:$BM$6,'Product Design'!$M$18:$BM$18)))))),"100%")</f>
        <v>100%</v>
      </c>
      <c r="DE34" s="315" t="str">
        <f>IFERROR(IF(DE$7&gt;$D$3,"",IF(AW34="OD","OD",IF(AW34="Missed","Missed",IF(AW34="TBC","TBC",IF(AW34="Undefined","Undefined",_xlfn.XLOOKUP(DE$7,'Product Design'!$M$6:$BM$6,'Product Design'!$M$17:$BM$17)/_xlfn.XLOOKUP(DE$7,'Product Design'!$M$6:$BM$6,'Product Design'!$M$18:$BM$18)))))),"100%")</f>
        <v>100%</v>
      </c>
      <c r="DF34" s="315">
        <f>IFERROR(IF(DF$7&gt;$D$3,"",IF(AX34="OD","OD",IF(AX34="Missed","Missed",IF(AX34="TBC","TBC",IF(AX34="Undefined","Undefined",_xlfn.XLOOKUP(DF$7,'Product Design'!$M$6:$BM$6,'Product Design'!$M$17:$BM$17)/_xlfn.XLOOKUP(DF$7,'Product Design'!$M$6:$BM$6,'Product Design'!$M$18:$BM$18)))))),"100%")</f>
        <v>0.33333333333333331</v>
      </c>
      <c r="DG34" s="315" t="str">
        <f>IFERROR(IF(DG$7&gt;$D$3,"",IF(AY34="OD","OD",IF(AY34="Missed","Missed",IF(AY34="TBC","TBC",IF(AY34="Undefined","Undefined",_xlfn.XLOOKUP(DG$7,'Product Design'!$M$6:$BM$6,'Product Design'!$M$17:$BM$17)/_xlfn.XLOOKUP(DG$7,'Product Design'!$M$6:$BM$6,'Product Design'!$M$18:$BM$18)))))),"100%")</f>
        <v>100%</v>
      </c>
      <c r="DH34" s="315" t="str">
        <f>IFERROR(IF(DH$7&gt;$D$3,"",IF(AZ34="OD","OD",IF(AZ34="Missed","Missed",IF(AZ34="TBC","TBC",IF(AZ34="Undefined","Undefined",_xlfn.XLOOKUP(DH$7,'Product Design'!$M$6:$BM$6,'Product Design'!$M$17:$BM$17)/_xlfn.XLOOKUP(DH$7,'Product Design'!$M$6:$BM$6,'Product Design'!$M$18:$BM$18)))))),"100%")</f>
        <v>100%</v>
      </c>
      <c r="DI34" s="315">
        <f>IFERROR(IF(DI$7&gt;$D$3,"",IF(BA34="OD","OD",IF(BA34="Missed","Missed",IF(BA34="TBC","TBC",IF(BA34="Undefined","Undefined",_xlfn.XLOOKUP(DI$7,'Product Design'!$M$6:$BM$6,'Product Design'!$M$17:$BM$17)/_xlfn.XLOOKUP(DI$7,'Product Design'!$M$6:$BM$6,'Product Design'!$M$18:$BM$18)))))),"100%")</f>
        <v>0.33333333333333331</v>
      </c>
      <c r="DJ34" s="315" t="str">
        <f>IFERROR(IF(DJ$7&gt;$D$3,"",IF(BB34="OD","OD",IF(BB34="Missed","Missed",IF(BB34="TBC","TBC",IF(BB34="Undefined","Undefined",_xlfn.XLOOKUP(DJ$7,'Product Design'!$M$6:$BM$6,'Product Design'!$M$17:$BM$17)/_xlfn.XLOOKUP(DJ$7,'Product Design'!$M$6:$BM$6,'Product Design'!$M$18:$BM$18)))))),"100%")</f>
        <v>100%</v>
      </c>
      <c r="DK34" s="315" t="str">
        <f>IFERROR(IF(DK$7&gt;$D$3,"",IF(BC34="OD","OD",IF(BC34="Missed","Missed",IF(BC34="TBC","TBC",IF(BC34="Undefined","Undefined",_xlfn.XLOOKUP(DK$7,'Product Design'!$M$6:$BM$6,'Product Design'!$M$17:$BM$17)/_xlfn.XLOOKUP(DK$7,'Product Design'!$M$6:$BM$6,'Product Design'!$M$18:$BM$18)))))),"100%")</f>
        <v>100%</v>
      </c>
      <c r="DL34" s="315">
        <f>IFERROR(IF(DL$7&gt;$D$3,"",IF(BD34="OD","OD",IF(BD34="Missed","Missed",IF(BD34="TBC","TBC",IF(BD34="Undefined","Undefined",_xlfn.XLOOKUP(DL$7,'Product Design'!$M$6:$BM$6,'Product Design'!$M$17:$BM$17)/_xlfn.XLOOKUP(DL$7,'Product Design'!$M$6:$BM$6,'Product Design'!$M$18:$BM$18)))))),"100%")</f>
        <v>0.5</v>
      </c>
      <c r="DM34" s="315" t="str">
        <f>IFERROR(IF(DM$7&gt;$D$3,"",IF(BE34="OD","OD",IF(BE34="Missed","Missed",IF(BE34="TBC","TBC",IF(BE34="Undefined","Undefined",_xlfn.XLOOKUP(DM$7,'Product Design'!$M$6:$BM$6,'Product Design'!$M$17:$BM$17)/_xlfn.XLOOKUP(DM$7,'Product Design'!$M$6:$BM$6,'Product Design'!$M$18:$BM$18)))))),"100%")</f>
        <v>100%</v>
      </c>
      <c r="DN34" s="315">
        <f>IFERROR(IF(DN$7&gt;$D$3,"",IF(BF34="OD","OD",IF(BF34="Missed","Missed",IF(BF34="TBC","TBC",IF(BF34="Undefined","Undefined",_xlfn.XLOOKUP(DN$7,'Product Design'!$M$6:$BM$6,'Product Design'!$M$17:$BM$17)/_xlfn.XLOOKUP(DN$7,'Product Design'!$M$6:$BM$6,'Product Design'!$M$18:$BM$18)))))),"100%")</f>
        <v>0.5</v>
      </c>
      <c r="DO34" s="315" t="str">
        <f>IFERROR(IF(DO$7&gt;$D$3,"",IF(BG34="OD","OD",IF(BG34="Missed","Missed",IF(BG34="TBC","TBC",IF(BG34="Undefined","Undefined",_xlfn.XLOOKUP(DO$7,'Product Design'!$M$6:$BM$6,'Product Design'!$M$17:$BM$17)/_xlfn.XLOOKUP(DO$7,'Product Design'!$M$6:$BM$6,'Product Design'!$M$18:$BM$18)))))),"100%")</f>
        <v>100%</v>
      </c>
      <c r="DP34" s="315" t="str">
        <f>IFERROR(IF(DP$7&gt;$D$3,"",IF(BH34="OD","OD",IF(BH34="Missed","Missed",IF(BH34="TBC","TBC",IF(BH34="Undefined","Undefined",_xlfn.XLOOKUP(DP$7,'Product Design'!$M$6:$BM$6,'Product Design'!$M$17:$BM$17)/_xlfn.XLOOKUP(DP$7,'Product Design'!$M$6:$BM$6,'Product Design'!$M$18:$BM$18)))))),"100%")</f>
        <v>100%</v>
      </c>
      <c r="DQ34" s="315" t="str">
        <f>IFERROR(IF(DQ$7&gt;$D$3,"",IF(BI34="OD","OD",IF(BI34="Missed","Missed",IF(BI34="TBC","TBC",IF(BI34="Undefined","Undefined",_xlfn.XLOOKUP(DQ$7,'Product Design'!$M$6:$BM$6,'Product Design'!$M$17:$BM$17)/_xlfn.XLOOKUP(DQ$7,'Product Design'!$M$6:$BM$6,'Product Design'!$M$18:$BM$18)))))),"100%")</f>
        <v>100%</v>
      </c>
      <c r="DR34" s="315">
        <f>IFERROR(IF(DR$7&gt;$D$3,"",IF(BJ34="OD","OD",IF(BJ34="Missed","Missed",IF(BJ34="TBC","TBC",IF(BJ34="Undefined","Undefined",_xlfn.XLOOKUP(DR$7,'Product Design'!$M$6:$BM$6,'Product Design'!$M$17:$BM$17)/_xlfn.XLOOKUP(DR$7,'Product Design'!$M$6:$BM$6,'Product Design'!$M$18:$BM$18)))))),"100%")</f>
        <v>1</v>
      </c>
      <c r="DS34" s="315" t="str">
        <f>IFERROR(IF(DS$7&gt;$D$3,"",IF(BK34="OD","OD",IF(BK34="Missed","Missed",IF(BK34="TBC","TBC",IF(BK34="Undefined","Undefined",_xlfn.XLOOKUP(DS$7,'Product Design'!$M$6:$BM$6,'Product Design'!$M$17:$BM$17)/_xlfn.XLOOKUP(DS$7,'Product Design'!$M$6:$BM$6,'Product Design'!$M$18:$BM$18)))))),"100%")</f>
        <v>100%</v>
      </c>
      <c r="DT34" s="315" t="str">
        <f>IFERROR(IF(DT$7&gt;$D$3,"",IF(BL34="OD","OD",IF(BL34="Missed","Missed",IF(BL34="TBC","TBC",IF(BL34="Undefined","Undefined",_xlfn.XLOOKUP(DT$7,'Product Design'!$M$6:$BM$6,'Product Design'!$M$17:$BM$17)/_xlfn.XLOOKUP(DT$7,'Product Design'!$M$6:$BM$6,'Product Design'!$M$18:$BM$18)))))),"100%")</f>
        <v>100%</v>
      </c>
      <c r="DU34" s="315" t="str">
        <f>IFERROR(IF(DU$7&gt;$D$3,"",IF(BM34="OD","OD",IF(BM34="Missed","Missed",IF(BM34="TBC","TBC",IF(BM34="Undefined","Undefined",_xlfn.XLOOKUP(DU$7,'Product Design'!$M$6:$BM$6,'Product Design'!$M$17:$BM$17)/_xlfn.XLOOKUP(DU$7,'Product Design'!$M$6:$BM$6,'Product Design'!$M$18:$BM$18)))))),"100%")</f>
        <v>OD</v>
      </c>
      <c r="DV34" s="315" t="str">
        <f>IFERROR(IF(DV$7&gt;$D$3,"",IF(BN34="OD","OD",IF(BN34="Missed","Missed",IF(BN34="TBC","TBC",IF(BN34="Undefined","Undefined",_xlfn.XLOOKUP(DV$7,'Product Design'!$M$6:$BM$6,'Product Design'!$M$17:$BM$17)/_xlfn.XLOOKUP(DV$7,'Product Design'!$M$6:$BM$6,'Product Design'!$M$18:$BM$18)))))),"100%")</f>
        <v>100%</v>
      </c>
      <c r="DW34" s="315" t="str">
        <f>IFERROR(IF(DW$7&gt;$D$3,"",IF(BO34="OD","OD",IF(BO34="Missed","Missed",IF(BO34="TBC","TBC",IF(BO34="Undefined","Undefined",_xlfn.XLOOKUP(DW$7,'Product Design'!$M$6:$BM$6,'Product Design'!$M$17:$BM$17)/_xlfn.XLOOKUP(DW$7,'Product Design'!$M$6:$BM$6,'Product Design'!$M$18:$BM$18)))))),"100%")</f>
        <v>100%</v>
      </c>
      <c r="DX34" s="315" t="str">
        <f>IFERROR(IF(DX$7&gt;$D$3,"",IF(BP34="OD","OD",IF(BP34="Missed","Missed",IF(BP34="TBC","TBC",IF(BP34="Undefined","Undefined",_xlfn.XLOOKUP(DX$7,'Product Design'!$M$6:$BM$6,'Product Design'!$M$17:$BM$17)/_xlfn.XLOOKUP(DX$7,'Product Design'!$M$6:$BM$6,'Product Design'!$M$18:$BM$18)))))),"100%")</f>
        <v>100%</v>
      </c>
      <c r="DY34" s="315">
        <f>IFERROR(IF(DY$7&gt;$D$3,"",IF(BQ34="OD","OD",IF(BQ34="Missed","Missed",IF(BQ34="TBC","TBC",IF(BQ34="Undefined","Undefined",_xlfn.XLOOKUP(DY$7,'Product Design'!$M$6:$BM$6,'Product Design'!$M$17:$BM$17)/_xlfn.XLOOKUP(DY$7,'Product Design'!$M$6:$BM$6,'Product Design'!$M$18:$BM$18)))))),"100%")</f>
        <v>1</v>
      </c>
      <c r="DZ34" s="315" t="str">
        <f>IFERROR(IF(DZ$7&gt;$D$3,"",IF(BR34="OD","OD",IF(BR34="Missed","Missed",IF(BR34="TBC","TBC",IF(BR34="Undefined","Undefined",_xlfn.XLOOKUP(DZ$7,'Product Design'!$M$6:$BM$6,'Product Design'!$M$17:$BM$17)/_xlfn.XLOOKUP(DZ$7,'Product Design'!$M$6:$BM$6,'Product Design'!$M$18:$BM$18)))))),"100%")</f>
        <v>100%</v>
      </c>
      <c r="EA34" s="315" t="str">
        <f>IFERROR(IF(EA$7&gt;$D$3,"",IF(BS34="OD","OD",IF(BS34="Missed","Missed",IF(BS34="TBC","TBC",IF(BS34="Undefined","Undefined",_xlfn.XLOOKUP(EA$7,'Product Design'!$M$6:$BM$6,'Product Design'!$M$17:$BM$17)/_xlfn.XLOOKUP(EA$7,'Product Design'!$M$6:$BM$6,'Product Design'!$M$18:$BM$18)))))),"100%")</f>
        <v>100%</v>
      </c>
      <c r="EB34" s="315">
        <f>IFERROR(IF(EB$7&gt;$D$3,"",IF(BT34="OD","OD",IF(BT34="Missed","Missed",IF(BT34="TBC","TBC",IF(BT34="Undefined","Undefined",_xlfn.XLOOKUP(EB$7,'Product Design'!$M$6:$BM$6,'Product Design'!$M$17:$BM$17)/_xlfn.XLOOKUP(EB$7,'Product Design'!$M$6:$BM$6,'Product Design'!$M$18:$BM$18)))))),"100%")</f>
        <v>1</v>
      </c>
      <c r="EC34" s="315" t="str">
        <f>IFERROR(IF(EC$7&gt;$D$3,"",IF(BU34="OD","OD",IF(BU34="Missed","Missed",IF(BU34="TBC","TBC",IF(BU34="Undefined","Undefined",_xlfn.XLOOKUP(EC$7,'Product Design'!$M$6:$BM$6,'Product Design'!$M$17:$BM$17)/_xlfn.XLOOKUP(EC$7,'Product Design'!$M$6:$BM$6,'Product Design'!$M$18:$BM$18)))))),"100%")</f>
        <v>100%</v>
      </c>
      <c r="ED34" s="315" t="str">
        <f>IFERROR(IF(ED$7&gt;$D$3,"",IF(BV34="OD","OD",IF(BV34="Missed","Missed",IF(BV34="TBC","TBC",IF(BV34="Undefined","Undefined",_xlfn.XLOOKUP(ED$7,'Product Design'!$M$6:$BM$6,'Product Design'!$M$17:$BM$17)/_xlfn.XLOOKUP(ED$7,'Product Design'!$M$6:$BM$6,'Product Design'!$M$18:$BM$18)))))),"100%")</f>
        <v>100%</v>
      </c>
      <c r="EE34" s="315" t="str">
        <f>IFERROR(IF(EE$7&gt;$D$3,"",IF(BW34="OD","OD",IF(BW34="Missed","Missed",IF(BW34="TBC","TBC",IF(BW34="Undefined","Undefined",_xlfn.XLOOKUP(EE$7,'Product Design'!$M$6:$BM$6,'Product Design'!$M$17:$BM$17)/_xlfn.XLOOKUP(EE$7,'Product Design'!$M$6:$BM$6,'Product Design'!$M$18:$BM$18)))))),"100%")</f>
        <v>100%</v>
      </c>
      <c r="EF34" s="315" t="str">
        <f>IFERROR(IF(EF$7&gt;$D$3,"",IF(BX34="OD","OD",IF(BX34="Missed","Missed",IF(BX34="TBC","TBC",IF(BX34="Undefined","Undefined",_xlfn.XLOOKUP(EF$7,'Product Design'!$M$6:$BM$6,'Product Design'!$M$17:$BM$17)/_xlfn.XLOOKUP(EF$7,'Product Design'!$M$6:$BM$6,'Product Design'!$M$18:$BM$18)))))),"100%")</f>
        <v>100%</v>
      </c>
      <c r="EG34" s="315" t="str">
        <f>IFERROR(IF(EG$7&gt;$D$3,"",IF(BY34="OD","OD",IF(BY34="Missed","Missed",IF(BY34="TBC","TBC",IF(BY34="Undefined","Undefined",_xlfn.XLOOKUP(EG$7,'Product Design'!$M$6:$BM$6,'Product Design'!$M$17:$BM$17)/_xlfn.XLOOKUP(EG$7,'Product Design'!$M$6:$BM$6,'Product Design'!$M$18:$BM$18)))))),"100%")</f>
        <v>100%</v>
      </c>
      <c r="EH34" s="315">
        <f>IFERROR(IF(EH$7&gt;$D$3,"",IF(BZ34="OD","OD",IF(BZ34="Missed","Missed",IF(BZ34="TBC","TBC",IF(BZ34="Undefined","Undefined",_xlfn.XLOOKUP(EH$7,'Product Design'!$M$6:$BM$6,'Product Design'!$M$17:$BM$17)/_xlfn.XLOOKUP(EH$7,'Product Design'!$M$6:$BM$6,'Product Design'!$M$18:$BM$18)))))),"100%")</f>
        <v>0.5</v>
      </c>
      <c r="EI34" s="315" t="str">
        <f>IFERROR(IF(EI$7&gt;$D$3,"",IF(CA34="OD","OD",IF(CA34="Missed","Missed",IF(CA34="TBC","TBC",IF(CA34="Undefined","Undefined",_xlfn.XLOOKUP(EI$7,'Product Design'!$M$6:$BM$6,'Product Design'!$M$17:$BM$17)/_xlfn.XLOOKUP(EI$7,'Product Design'!$M$6:$BM$6,'Product Design'!$M$18:$BM$18)))))),"100%")</f>
        <v>100%</v>
      </c>
      <c r="EJ34" s="315" t="str">
        <f>IFERROR(IF(EJ$7&gt;$D$3,"",IF(CB34="OD","OD",IF(CB34="Missed","Missed",IF(CB34="TBC","TBC",IF(CB34="Undefined","Undefined",_xlfn.XLOOKUP(EJ$7,'Product Design'!$M$6:$BM$6,'Product Design'!$M$17:$BM$17)/_xlfn.XLOOKUP(EJ$7,'Product Design'!$M$6:$BM$6,'Product Design'!$M$18:$BM$18)))))),"100%")</f>
        <v>OD</v>
      </c>
      <c r="EK34" s="315" t="str">
        <f>IFERROR(IF(EK$7&gt;$D$3,"",IF(CC34="OD","OD",IF(CC34="Missed","Missed",IF(CC34="TBC","TBC",IF(CC34="Undefined","Undefined",_xlfn.XLOOKUP(EK$7,'Product Design'!$M$6:$BM$6,'Product Design'!$M$17:$BM$17)/_xlfn.XLOOKUP(EK$7,'Product Design'!$M$6:$BM$6,'Product Design'!$M$18:$BM$18)))))),"100%")</f>
        <v/>
      </c>
      <c r="EL34" s="315" t="str">
        <f>IFERROR(IF(EL$7&gt;$D$3,"",IF(CD34="OD","OD",IF(CD34="Missed","Missed",IF(CD34="TBC","TBC",IF(CD34="Undefined","Undefined",_xlfn.XLOOKUP(EL$7,'Product Design'!$M$6:$BM$6,'Product Design'!$M$17:$BM$17)/_xlfn.XLOOKUP(EL$7,'Product Design'!$M$6:$BM$6,'Product Design'!$M$18:$BM$18)))))),"100%")</f>
        <v/>
      </c>
      <c r="EM34" s="315" t="str">
        <f>IFERROR(IF(EM$7&gt;$D$3,"",IF(CE34="OD","OD",IF(CE34="Missed","Missed",IF(CE34="TBC","TBC",IF(CE34="Undefined","Undefined",_xlfn.XLOOKUP(EM$7,'Product Design'!$M$6:$BM$6,'Product Design'!$M$17:$BM$17)/_xlfn.XLOOKUP(EM$7,'Product Design'!$M$6:$BM$6,'Product Design'!$M$18:$BM$18)))))),"100%")</f>
        <v/>
      </c>
      <c r="EN34" s="315" t="str">
        <f>IFERROR(IF(EN$7&gt;$D$3,"",IF(CF34="OD","OD",IF(CF34="Missed","Missed",IF(CF34="TBC","TBC",IF(CF34="Undefined","Undefined",_xlfn.XLOOKUP(EN$7,'Product Design'!$M$6:$BM$6,'Product Design'!$M$17:$BM$17)/_xlfn.XLOOKUP(EN$7,'Product Design'!$M$6:$BM$6,'Product Design'!$M$18:$BM$18)))))),"100%")</f>
        <v/>
      </c>
      <c r="EO34" s="315" t="str">
        <f>IFERROR(IF(EO$7&gt;$D$3,"",IF(CG34="OD","OD",IF(CG34="Missed","Missed",IF(CG34="TBC","TBC",IF(CG34="Undefined","Undefined",_xlfn.XLOOKUP(EO$7,'Product Design'!$M$6:$BM$6,'Product Design'!$M$17:$BM$17)/_xlfn.XLOOKUP(EO$7,'Product Design'!$M$6:$BM$6,'Product Design'!$M$18:$BM$18)))))),"100%")</f>
        <v/>
      </c>
      <c r="EP34" s="315" t="str">
        <f>IFERROR(IF(EP$7&gt;$D$3,"",IF(CH34="OD","OD",IF(CH34="Missed","Missed",IF(CH34="TBC","TBC",IF(CH34="Undefined","Undefined",_xlfn.XLOOKUP(EP$7,'Product Design'!$M$6:$BM$6,'Product Design'!$M$17:$BM$17)/_xlfn.XLOOKUP(EP$7,'Product Design'!$M$6:$BM$6,'Product Design'!$M$18:$BM$18)))))),"100%")</f>
        <v/>
      </c>
      <c r="EQ34" s="315" t="str">
        <f>IFERROR(IF(EQ$7&gt;$D$3,"",IF(CI34="OD","OD",IF(CI34="Missed","Missed",IF(CI34="TBC","TBC",IF(CI34="Undefined","Undefined",_xlfn.XLOOKUP(EQ$7,'Product Design'!$M$6:$BM$6,'Product Design'!$M$17:$BM$17)/_xlfn.XLOOKUP(EQ$7,'Product Design'!$M$6:$BM$6,'Product Design'!$M$18:$BM$18)))))),"100%")</f>
        <v/>
      </c>
      <c r="ER34" s="315" t="str">
        <f>IFERROR(IF(ER$7&gt;$D$3,"",IF(CJ34="OD","OD",IF(CJ34="Missed","Missed",IF(CJ34="TBC","TBC",IF(CJ34="Undefined","Undefined",_xlfn.XLOOKUP(ER$7,'Product Design'!$M$6:$BM$6,'Product Design'!$M$17:$BM$17)/_xlfn.XLOOKUP(ER$7,'Product Design'!$M$6:$BM$6,'Product Design'!$M$18:$BM$18)))))),"100%")</f>
        <v/>
      </c>
      <c r="ES34" s="315" t="str">
        <f>IFERROR(IF(ES$7&gt;$D$3,"",IF(CK34="OD","OD",IF(CK34="Missed","Missed",IF(CK34="TBC","TBC",IF(CK34="Undefined","Undefined",_xlfn.XLOOKUP(ES$7,'Product Design'!$M$6:$BM$6,'Product Design'!$M$17:$BM$17)/_xlfn.XLOOKUP(ES$7,'Product Design'!$M$6:$BM$6,'Product Design'!$M$18:$BM$18)))))),"100%")</f>
        <v/>
      </c>
      <c r="ET34" s="315" t="str">
        <f>IFERROR(IF(ET$7&gt;$D$3,"",IF(CL34="OD","OD",IF(CL34="Missed","Missed",IF(CL34="TBC","TBC",IF(CL34="Undefined","Undefined",_xlfn.XLOOKUP(ET$7,'Product Design'!$M$6:$BM$6,'Product Design'!$M$17:$BM$17)/_xlfn.XLOOKUP(ET$7,'Product Design'!$M$6:$BM$6,'Product Design'!$M$18:$BM$18)))))),"100%")</f>
        <v/>
      </c>
      <c r="EU34" s="315" t="str">
        <f>IFERROR(IF(EU$7&gt;$D$3,"",IF(CM34="OD","OD",IF(CM34="Missed","Missed",IF(CM34="TBC","TBC",IF(CM34="Undefined","Undefined",_xlfn.XLOOKUP(EU$7,'Product Design'!$M$6:$BM$6,'Product Design'!$M$17:$BM$17)/_xlfn.XLOOKUP(EU$7,'Product Design'!$M$6:$BM$6,'Product Design'!$M$18:$BM$18)))))),"100%")</f>
        <v/>
      </c>
      <c r="EW34" s="465" t="str">
        <f>+$A34</f>
        <v>Product Design-KPI Q1</v>
      </c>
      <c r="EX34" s="136" t="str">
        <f>+$C34</f>
        <v>KPI Q1</v>
      </c>
      <c r="EY34" s="144" t="str">
        <f>+$D34</f>
        <v>Quality</v>
      </c>
      <c r="EZ34" s="144" t="str">
        <f t="shared" si="91"/>
        <v>No of complaints</v>
      </c>
      <c r="FA34" s="145" t="str">
        <f t="shared" si="92"/>
        <v>Count</v>
      </c>
      <c r="FB34" s="145" t="s">
        <v>251</v>
      </c>
      <c r="FC34" s="223" t="str">
        <f>IF(FC$7&gt;$D$3,"",IF($FA30&lt;FC$7,"OD",_xlfn.XLOOKUP(FC$7,'Product Design'!$M$6:$BM$6,'Product Design'!$M$18:$BM$18)))</f>
        <v>Blank</v>
      </c>
      <c r="FD34" s="223">
        <f>IF(FD$7&gt;$D$3,"",IF($FA30&lt;FD$7,"OD",_xlfn.XLOOKUP(FD$7,'Product Design'!$M$6:$BM$6,'Product Design'!$M$18:$BM$18)))</f>
        <v>0</v>
      </c>
      <c r="FE34" s="223">
        <f>IF(FE$7&gt;$D$3,"",IF($FA30&lt;FE$7,"OD",_xlfn.XLOOKUP(FE$7,'Product Design'!$M$6:$BM$6,'Product Design'!$M$18:$BM$18)))</f>
        <v>0</v>
      </c>
      <c r="FF34" s="223">
        <f>IF(FF$7&gt;$D$3,"",IF($FA30&lt;FF$7,"OD",_xlfn.XLOOKUP(FF$7,'Product Design'!$M$6:$BM$6,'Product Design'!$M$18:$BM$18)))</f>
        <v>0</v>
      </c>
      <c r="FG34" s="223">
        <f>IF(FG$7&gt;$D$3,"",IF($FA30&lt;FG$7,"OD",_xlfn.XLOOKUP(FG$7,'Product Design'!$M$6:$BM$6,'Product Design'!$M$18:$BM$18)))</f>
        <v>1</v>
      </c>
      <c r="FH34" s="223">
        <f>IF(FH$7&gt;$D$3,"",IF($FA30&lt;FH$7,"OD",_xlfn.XLOOKUP(FH$7,'Product Design'!$M$6:$BM$6,'Product Design'!$M$18:$BM$18)))</f>
        <v>2</v>
      </c>
      <c r="FI34" s="223">
        <f>IF(FI$7&gt;$D$3,"",IF($FA30&lt;FI$7,"OD",_xlfn.XLOOKUP(FI$7,'Product Design'!$M$6:$BM$6,'Product Design'!$M$18:$BM$18)))</f>
        <v>0.94</v>
      </c>
      <c r="FJ34" s="223">
        <f>IF(FJ$7&gt;$D$3,"",IF($FA30&lt;FJ$7,"OD",_xlfn.XLOOKUP(FJ$7,'Product Design'!$M$6:$BM$6,'Product Design'!$M$18:$BM$18)))</f>
        <v>0</v>
      </c>
      <c r="FK34" s="223">
        <f>IF(FK$7&gt;$D$3,"",IF($FA30&lt;FK$7,"OD",_xlfn.XLOOKUP(FK$7,'Product Design'!$M$6:$BM$6,'Product Design'!$M$18:$BM$18)))</f>
        <v>0</v>
      </c>
      <c r="FL34" s="223">
        <f>IF(FL$7&gt;$D$3,"",IF($FA30&lt;FL$7,"OD",_xlfn.XLOOKUP(FL$7,'Product Design'!$M$6:$BM$6,'Product Design'!$M$18:$BM$18)))</f>
        <v>0</v>
      </c>
      <c r="FM34" s="223">
        <f>IF(FM$7&gt;$D$3,"",IF($FA30&lt;FM$7,"OD",_xlfn.XLOOKUP(FM$7,'Product Design'!$M$6:$BM$6,'Product Design'!$M$18:$BM$18)))</f>
        <v>0</v>
      </c>
      <c r="FN34" s="223">
        <f>IF(FN$7&gt;$D$3,"",IF($FA30&lt;FN$7,"OD",_xlfn.XLOOKUP(FN$7,'Product Design'!$M$6:$BM$6,'Product Design'!$M$18:$BM$18)))</f>
        <v>3</v>
      </c>
      <c r="FO34" s="223">
        <f>IF(FO$7&gt;$D$3,"",IF($FA30&lt;FO$7,"OD",_xlfn.XLOOKUP(FO$7,'Product Design'!$M$6:$BM$6,'Product Design'!$M$18:$BM$18)))</f>
        <v>0</v>
      </c>
      <c r="FP34" s="223">
        <f>IF(FP$7&gt;$D$3,"",IF($FA30&lt;FP$7,"OD",_xlfn.XLOOKUP(FP$7,'Product Design'!$M$6:$BM$6,'Product Design'!$M$18:$BM$18)))</f>
        <v>0</v>
      </c>
      <c r="FQ34" s="223">
        <f>IF(FQ$7&gt;$D$3,"",IF($FA30&lt;FQ$7,"OD",_xlfn.XLOOKUP(FQ$7,'Product Design'!$M$6:$BM$6,'Product Design'!$M$18:$BM$18)))</f>
        <v>3</v>
      </c>
      <c r="FR34" s="223">
        <f>IF(FR$7&gt;$D$3,"",IF($FA30&lt;FR$7,"OD",_xlfn.XLOOKUP(FR$7,'Product Design'!$M$6:$BM$6,'Product Design'!$M$18:$BM$18)))</f>
        <v>0</v>
      </c>
      <c r="FS34" s="223">
        <f>IF(FS$7&gt;$D$3,"",IF($FA30&lt;FS$7,"OD",_xlfn.XLOOKUP(FS$7,'Product Design'!$M$6:$BM$6,'Product Design'!$M$18:$BM$18)))</f>
        <v>0</v>
      </c>
      <c r="FT34" s="223">
        <f>IF(FT$7&gt;$D$3,"",IF($FA30&lt;FT$7,"OD",_xlfn.XLOOKUP(FT$7,'Product Design'!$M$6:$BM$6,'Product Design'!$M$18:$BM$18)))</f>
        <v>2</v>
      </c>
      <c r="FU34" s="223">
        <f>IF(FU$7&gt;$D$3,"",IF($FA30&lt;FU$7,"OD",_xlfn.XLOOKUP(FU$7,'Product Design'!$M$6:$BM$6,'Product Design'!$M$18:$BM$18)))</f>
        <v>0</v>
      </c>
      <c r="FV34" s="223">
        <f>IF(FV$7&gt;$D$3,"",IF($FA30&lt;FV$7,"OD",_xlfn.XLOOKUP(FV$7,'Product Design'!$M$6:$BM$6,'Product Design'!$M$18:$BM$18)))</f>
        <v>2</v>
      </c>
      <c r="FW34" s="223">
        <f>IF(FW$7&gt;$D$3,"",IF($FA30&lt;FW$7,"OD",_xlfn.XLOOKUP(FW$7,'Product Design'!$M$6:$BM$6,'Product Design'!$M$18:$BM$18)))</f>
        <v>0</v>
      </c>
      <c r="FX34" s="223">
        <f>IF(FX$7&gt;$D$3,"",IF($FA30&lt;FX$7,"OD",_xlfn.XLOOKUP(FX$7,'Product Design'!$M$6:$BM$6,'Product Design'!$M$18:$BM$18)))</f>
        <v>0</v>
      </c>
      <c r="FY34" s="223">
        <f>IF(FY$7&gt;$D$3,"",IF($FA30&lt;FY$7,"OD",_xlfn.XLOOKUP(FY$7,'Product Design'!$M$6:$BM$6,'Product Design'!$M$18:$BM$18)))</f>
        <v>0</v>
      </c>
      <c r="FZ34" s="223">
        <f>IF(FZ$7&gt;$D$3,"",IF($FA30&lt;FZ$7,"OD",_xlfn.XLOOKUP(FZ$7,'Product Design'!$M$6:$BM$6,'Product Design'!$M$18:$BM$18)))</f>
        <v>1</v>
      </c>
      <c r="GA34" s="223">
        <f>IF(GA$7&gt;$D$3,"",IF($FA30&lt;GA$7,"OD",_xlfn.XLOOKUP(GA$7,'Product Design'!$M$6:$BM$6,'Product Design'!$M$18:$BM$18)))</f>
        <v>0</v>
      </c>
      <c r="GB34" s="223">
        <f>IF(GB$7&gt;$D$3,"",IF($FA30&lt;GB$7,"OD",_xlfn.XLOOKUP(GB$7,'Product Design'!$M$6:$BM$6,'Product Design'!$M$18:$BM$18)))</f>
        <v>0</v>
      </c>
      <c r="GC34" s="223">
        <f>IF(GC$7&gt;$D$3,"",IF($FA30&lt;GC$7,"OD",_xlfn.XLOOKUP(GC$7,'Product Design'!$M$6:$BM$6,'Product Design'!$M$18:$BM$18)))</f>
        <v>0</v>
      </c>
      <c r="GD34" s="223">
        <f>IF(GD$7&gt;$D$3,"",IF($FA30&lt;GD$7,"OD",_xlfn.XLOOKUP(GD$7,'Product Design'!$M$6:$BM$6,'Product Design'!$M$18:$BM$18)))</f>
        <v>0</v>
      </c>
      <c r="GE34" s="223">
        <f>IF(GE$7&gt;$D$3,"",IF($FA30&lt;GE$7,"OD",_xlfn.XLOOKUP(GE$7,'Product Design'!$M$6:$BM$6,'Product Design'!$M$18:$BM$18)))</f>
        <v>0</v>
      </c>
      <c r="GF34" s="223">
        <f>IF(GF$7&gt;$D$3,"",IF($FA30&lt;GF$7,"OD",_xlfn.XLOOKUP(GF$7,'Product Design'!$M$6:$BM$6,'Product Design'!$M$18:$BM$18)))</f>
        <v>0</v>
      </c>
      <c r="GG34" s="223">
        <f>IF(GG$7&gt;$D$3,"",IF($FA30&lt;GG$7,"OD",_xlfn.XLOOKUP(GG$7,'Product Design'!$M$6:$BM$6,'Product Design'!$M$18:$BM$18)))</f>
        <v>1</v>
      </c>
      <c r="GH34" s="223">
        <f>IF(GH$7&gt;$D$3,"",IF($FA30&lt;GH$7,"OD",_xlfn.XLOOKUP(GH$7,'Product Design'!$M$6:$BM$6,'Product Design'!$M$18:$BM$18)))</f>
        <v>0</v>
      </c>
      <c r="GI34" s="223">
        <f>IF(GI$7&gt;$D$3,"",IF($FA30&lt;GI$7,"OD",_xlfn.XLOOKUP(GI$7,'Product Design'!$M$6:$BM$6,'Product Design'!$M$18:$BM$18)))</f>
        <v>0</v>
      </c>
      <c r="GJ34" s="223">
        <f>IF(GJ$7&gt;$D$3,"",IF($FA30&lt;GJ$7,"OD",_xlfn.XLOOKUP(GJ$7,'Product Design'!$M$6:$BM$6,'Product Design'!$M$18:$BM$18)))</f>
        <v>1</v>
      </c>
      <c r="GK34" s="223">
        <f>IF(GK$7&gt;$D$3,"",IF($FA30&lt;GK$7,"OD",_xlfn.XLOOKUP(GK$7,'Product Design'!$M$6:$BM$6,'Product Design'!$M$18:$BM$18)))</f>
        <v>0</v>
      </c>
      <c r="GL34" s="223">
        <f>IF(GL$7&gt;$D$3,"",IF($FA30&lt;GL$7,"OD",_xlfn.XLOOKUP(GL$7,'Product Design'!$M$6:$BM$6,'Product Design'!$M$18:$BM$18)))</f>
        <v>0</v>
      </c>
      <c r="GM34" s="223">
        <f>IF(GM$7&gt;$D$3,"",IF($FA30&lt;GM$7,"OD",_xlfn.XLOOKUP(GM$7,'Product Design'!$M$6:$BM$6,'Product Design'!$M$18:$BM$18)))</f>
        <v>0</v>
      </c>
      <c r="GN34" s="223">
        <f>IF(GN$7&gt;$D$3,"",IF($FA30&lt;GN$7,"OD",_xlfn.XLOOKUP(GN$7,'Product Design'!$M$6:$BM$6,'Product Design'!$M$18:$BM$18)))</f>
        <v>0</v>
      </c>
      <c r="GO34" s="223">
        <f>IF(GO$7&gt;$D$3,"",IF($FA30&lt;GO$7,"OD",_xlfn.XLOOKUP(GO$7,'Product Design'!$M$6:$BM$6,'Product Design'!$M$18:$BM$18)))</f>
        <v>0</v>
      </c>
      <c r="GP34" s="223">
        <f>IF(GP$7&gt;$D$3,"",IF($FA30&lt;GP$7,"OD",_xlfn.XLOOKUP(GP$7,'Product Design'!$M$6:$BM$6,'Product Design'!$M$18:$BM$18)))</f>
        <v>2</v>
      </c>
      <c r="GQ34" s="223">
        <f>IF(GQ$7&gt;$D$3,"",IF($FA30&lt;GQ$7,"OD",_xlfn.XLOOKUP(GQ$7,'Product Design'!$M$6:$BM$6,'Product Design'!$M$18:$BM$18)))</f>
        <v>0</v>
      </c>
      <c r="GR34" s="223">
        <f>IF(GR$7&gt;$D$3,"",IF($FA30&lt;GR$7,"OD",_xlfn.XLOOKUP(GR$7,'Product Design'!$M$6:$BM$6,'Product Design'!$M$18:$BM$18)))</f>
        <v>0</v>
      </c>
      <c r="GS34" s="223" t="str">
        <f>IF(GS$7&gt;$D$3,"",IF($FA30&lt;GS$7,"OD",_xlfn.XLOOKUP(GS$7,'Product Design'!$M$6:$BM$6,'Product Design'!$M$18:$BM$18)))</f>
        <v/>
      </c>
      <c r="GT34" s="223" t="str">
        <f>IF(GT$7&gt;$D$3,"",IF($FA30&lt;GT$7,"OD",_xlfn.XLOOKUP(GT$7,'Product Design'!$M$6:$BM$6,'Product Design'!$M$18:$BM$18)))</f>
        <v/>
      </c>
      <c r="GU34" s="223" t="str">
        <f>IF(GU$7&gt;$D$3,"",IF($FA30&lt;GU$7,"OD",_xlfn.XLOOKUP(GU$7,'Product Design'!$M$6:$BM$6,'Product Design'!$M$18:$BM$18)))</f>
        <v/>
      </c>
      <c r="GV34" s="223" t="str">
        <f>IF(GV$7&gt;$D$3,"",IF($FA30&lt;GV$7,"OD",_xlfn.XLOOKUP(GV$7,'Product Design'!$M$6:$BM$6,'Product Design'!$M$18:$BM$18)))</f>
        <v/>
      </c>
      <c r="GW34" s="223" t="str">
        <f>IF(GW$7&gt;$D$3,"",IF($FA30&lt;GW$7,"OD",_xlfn.XLOOKUP(GW$7,'Product Design'!$M$6:$BM$6,'Product Design'!$M$18:$BM$18)))</f>
        <v/>
      </c>
      <c r="GX34" s="223" t="str">
        <f>IF(GX$7&gt;$D$3,"",IF($FA30&lt;GX$7,"OD",_xlfn.XLOOKUP(GX$7,'Product Design'!$M$6:$BM$6,'Product Design'!$M$18:$BM$18)))</f>
        <v/>
      </c>
      <c r="GY34" s="223" t="str">
        <f>IF(GY$7&gt;$D$3,"",IF($FA30&lt;GY$7,"OD",_xlfn.XLOOKUP(GY$7,'Product Design'!$M$6:$BM$6,'Product Design'!$M$18:$BM$18)))</f>
        <v/>
      </c>
      <c r="GZ34" s="223" t="str">
        <f>IF(GZ$7&gt;$D$3,"",IF($FA30&lt;GZ$7,"OD",_xlfn.XLOOKUP(GZ$7,'Product Design'!$M$6:$BM$6,'Product Design'!$M$18:$BM$18)))</f>
        <v/>
      </c>
      <c r="HA34" s="223" t="str">
        <f>IF(HA$7&gt;$D$3,"",IF($FA30&lt;HA$7,"OD",_xlfn.XLOOKUP(HA$7,'Product Design'!$M$6:$BM$6,'Product Design'!$M$18:$BM$18)))</f>
        <v/>
      </c>
      <c r="HB34" s="223" t="str">
        <f>IF(HB$7&gt;$D$3,"",IF($FA30&lt;HB$7,"OD",_xlfn.XLOOKUP(HB$7,'Product Design'!$M$6:$BM$6,'Product Design'!$M$18:$BM$18)))</f>
        <v/>
      </c>
      <c r="HC34" s="223" t="str">
        <f>IF(HC$7&gt;$D$3,"",IF($FA30&lt;HC$7,"OD",_xlfn.XLOOKUP(HC$7,'Product Design'!$M$6:$BM$6,'Product Design'!$M$18:$BM$18)))</f>
        <v/>
      </c>
      <c r="HE34" s="136" t="str">
        <f>+$C34</f>
        <v>KPI Q1</v>
      </c>
      <c r="HF34" s="144" t="str">
        <f>+$D34</f>
        <v>Quality</v>
      </c>
      <c r="HG34" s="144" t="str">
        <f t="shared" si="95"/>
        <v>No of complaints</v>
      </c>
      <c r="HH34" s="145" t="str">
        <f t="shared" si="96"/>
        <v>Count</v>
      </c>
      <c r="HI34" s="145" t="s">
        <v>44</v>
      </c>
      <c r="HJ34" s="223" t="s">
        <v>122</v>
      </c>
      <c r="HK34" s="223">
        <f>IF(HK$7&gt;$D$3,"",IF($FA30&lt;HK$7,"OD",_xlfn.XLOOKUP(HK$7,'Product Design'!$M$6:$BM$6,'Product Design'!$M$17:$BM$17)))</f>
        <v>1</v>
      </c>
      <c r="HL34" s="223">
        <f>IF(HL$7&gt;$D$3,"",IF($FA30&lt;HL$7,"OD",_xlfn.XLOOKUP(HL$7,'Product Design'!$M$6:$BM$6,'Product Design'!$M$17:$BM$17)))</f>
        <v>1</v>
      </c>
      <c r="HM34" s="223">
        <f>IF(HM$7&gt;$D$3,"",IF($FA30&lt;HM$7,"OD",_xlfn.XLOOKUP(HM$7,'Product Design'!$M$6:$BM$6,'Product Design'!$M$17:$BM$17)))</f>
        <v>1</v>
      </c>
      <c r="HN34" s="223">
        <f>IF(HN$7&gt;$D$3,"",IF($FA30&lt;HN$7,"OD",_xlfn.XLOOKUP(HN$7,'Product Design'!$M$6:$BM$6,'Product Design'!$M$17:$BM$17)))</f>
        <v>1</v>
      </c>
      <c r="HO34" s="223">
        <f>IF(HO$7&gt;$D$3,"",IF($FA30&lt;HO$7,"OD",_xlfn.XLOOKUP(HO$7,'Product Design'!$M$6:$BM$6,'Product Design'!$M$17:$BM$17)))</f>
        <v>1</v>
      </c>
      <c r="HP34" s="223">
        <f>IF(HP$7&gt;$D$3,"",IF($FA30&lt;HP$7,"OD",_xlfn.XLOOKUP(HP$7,'Product Design'!$M$6:$BM$6,'Product Design'!$M$17:$BM$17)))</f>
        <v>1</v>
      </c>
      <c r="HQ34" s="223">
        <f>IF(HQ$7&gt;$D$3,"",IF($FA30&lt;HQ$7,"OD",_xlfn.XLOOKUP(HQ$7,'Product Design'!$M$6:$BM$6,'Product Design'!$M$17:$BM$17)))</f>
        <v>1</v>
      </c>
      <c r="HR34" s="223">
        <f>IF(HR$7&gt;$D$3,"",IF($FA30&lt;HR$7,"OD",_xlfn.XLOOKUP(HR$7,'Product Design'!$M$6:$BM$6,'Product Design'!$M$17:$BM$17)))</f>
        <v>1</v>
      </c>
      <c r="HS34" s="223">
        <f>IF(HS$7&gt;$D$3,"",IF($FA30&lt;HS$7,"OD",_xlfn.XLOOKUP(HS$7,'Product Design'!$M$6:$BM$6,'Product Design'!$M$17:$BM$17)))</f>
        <v>1</v>
      </c>
      <c r="HT34" s="223">
        <f>IF(HT$7&gt;$D$3,"",IF($FA30&lt;HT$7,"OD",_xlfn.XLOOKUP(HT$7,'Product Design'!$M$6:$BM$6,'Product Design'!$M$17:$BM$17)))</f>
        <v>1</v>
      </c>
      <c r="HU34" s="223">
        <f>IF(HU$7&gt;$D$3,"",IF($FA30&lt;HU$7,"OD",_xlfn.XLOOKUP(HU$7,'Product Design'!$M$6:$BM$6,'Product Design'!$M$17:$BM$17)))</f>
        <v>1</v>
      </c>
      <c r="HV34" s="223">
        <f>IF(HV$7&gt;$D$3,"",IF($FA30&lt;HV$7,"OD",_xlfn.XLOOKUP(HV$7,'Product Design'!$M$6:$BM$6,'Product Design'!$M$17:$BM$17)))</f>
        <v>1</v>
      </c>
      <c r="HW34" s="223">
        <f>IF(HW$7&gt;$D$3,"",IF($FA30&lt;HW$7,"OD",_xlfn.XLOOKUP(HW$7,'Product Design'!$M$6:$BM$6,'Product Design'!$M$17:$BM$17)))</f>
        <v>1</v>
      </c>
      <c r="HX34" s="223">
        <f>IF(HX$7&gt;$D$3,"",IF($FA30&lt;HX$7,"OD",_xlfn.XLOOKUP(HX$7,'Product Design'!$M$6:$BM$6,'Product Design'!$M$17:$BM$17)))</f>
        <v>1</v>
      </c>
      <c r="HY34" s="223">
        <f>IF(HY$7&gt;$D$3,"",IF($FA30&lt;HY$7,"OD",_xlfn.XLOOKUP(HY$7,'Product Design'!$M$6:$BM$6,'Product Design'!$M$17:$BM$17)))</f>
        <v>1</v>
      </c>
      <c r="HZ34" s="223">
        <f>IF(HZ$7&gt;$D$3,"",IF($FA30&lt;HZ$7,"OD",_xlfn.XLOOKUP(HZ$7,'Product Design'!$M$6:$BM$6,'Product Design'!$M$17:$BM$17)))</f>
        <v>1</v>
      </c>
      <c r="IA34" s="223">
        <f>IF(IA$7&gt;$D$3,"",IF($FA30&lt;IA$7,"OD",_xlfn.XLOOKUP(IA$7,'Product Design'!$M$6:$BM$6,'Product Design'!$M$17:$BM$17)))</f>
        <v>1</v>
      </c>
      <c r="IB34" s="223">
        <f>IF(IB$7&gt;$D$3,"",IF($FA30&lt;IB$7,"OD",_xlfn.XLOOKUP(IB$7,'Product Design'!$M$6:$BM$6,'Product Design'!$M$17:$BM$17)))</f>
        <v>1</v>
      </c>
      <c r="IC34" s="223">
        <f>IF(IC$7&gt;$D$3,"",IF($FA30&lt;IC$7,"OD",_xlfn.XLOOKUP(IC$7,'Product Design'!$M$6:$BM$6,'Product Design'!$M$17:$BM$17)))</f>
        <v>1</v>
      </c>
      <c r="ID34" s="223">
        <f>IF(ID$7&gt;$D$3,"",IF($FA30&lt;ID$7,"OD",_xlfn.XLOOKUP(ID$7,'Product Design'!$M$6:$BM$6,'Product Design'!$M$17:$BM$17)))</f>
        <v>1</v>
      </c>
      <c r="IE34" s="223">
        <f>IF(IE$7&gt;$D$3,"",IF($FA30&lt;IE$7,"OD",_xlfn.XLOOKUP(IE$7,'Product Design'!$M$6:$BM$6,'Product Design'!$M$17:$BM$17)))</f>
        <v>1</v>
      </c>
      <c r="IF34" s="223">
        <f>IF(IF$7&gt;$D$3,"",IF($FA30&lt;IF$7,"OD",_xlfn.XLOOKUP(IF$7,'Product Design'!$M$6:$BM$6,'Product Design'!$M$17:$BM$17)))</f>
        <v>1</v>
      </c>
      <c r="IG34" s="223">
        <f>IF(IG$7&gt;$D$3,"",IF($FA30&lt;IG$7,"OD",_xlfn.XLOOKUP(IG$7,'Product Design'!$M$6:$BM$6,'Product Design'!$M$17:$BM$17)))</f>
        <v>1</v>
      </c>
      <c r="IH34" s="223">
        <f>IF(IH$7&gt;$D$3,"",IF($FA30&lt;IH$7,"OD",_xlfn.XLOOKUP(IH$7,'Product Design'!$M$6:$BM$6,'Product Design'!$M$17:$BM$17)))</f>
        <v>1</v>
      </c>
      <c r="II34" s="223">
        <f>IF(II$7&gt;$D$3,"",IF($FA30&lt;II$7,"OD",_xlfn.XLOOKUP(II$7,'Product Design'!$M$6:$BM$6,'Product Design'!$M$17:$BM$17)))</f>
        <v>1</v>
      </c>
      <c r="IJ34" s="223">
        <f>IF(IJ$7&gt;$D$3,"",IF($FA30&lt;IJ$7,"OD",_xlfn.XLOOKUP(IJ$7,'Product Design'!$M$6:$BM$6,'Product Design'!$M$17:$BM$17)))</f>
        <v>1</v>
      </c>
      <c r="IK34" s="223">
        <f>IF(IK$7&gt;$D$3,"",IF($FA30&lt;IK$7,"OD",_xlfn.XLOOKUP(IK$7,'Product Design'!$M$6:$BM$6,'Product Design'!$M$17:$BM$17)))</f>
        <v>1</v>
      </c>
      <c r="IL34" s="223">
        <f>IF(IL$7&gt;$D$3,"",IF($FA30&lt;IL$7,"OD",_xlfn.XLOOKUP(IL$7,'Product Design'!$M$6:$BM$6,'Product Design'!$M$17:$BM$17)))</f>
        <v>1</v>
      </c>
      <c r="IM34" s="223">
        <f>IF(IM$7&gt;$D$3,"",IF($FA30&lt;IM$7,"OD",_xlfn.XLOOKUP(IM$7,'Product Design'!$M$6:$BM$6,'Product Design'!$M$17:$BM$17)))</f>
        <v>1</v>
      </c>
      <c r="IN34" s="223">
        <f>IF(IN$7&gt;$D$3,"",IF($FA30&lt;IN$7,"OD",_xlfn.XLOOKUP(IN$7,'Product Design'!$M$6:$BM$6,'Product Design'!$M$17:$BM$17)))</f>
        <v>1</v>
      </c>
      <c r="IO34" s="223">
        <f>IF(IO$7&gt;$D$3,"",IF($FA30&lt;IO$7,"OD",_xlfn.XLOOKUP(IO$7,'Product Design'!$M$6:$BM$6,'Product Design'!$M$17:$BM$17)))</f>
        <v>1</v>
      </c>
      <c r="IP34" s="223">
        <f>IF(IP$7&gt;$D$3,"",IF($FA30&lt;IP$7,"OD",_xlfn.XLOOKUP(IP$7,'Product Design'!$M$6:$BM$6,'Product Design'!$M$17:$BM$17)))</f>
        <v>1</v>
      </c>
      <c r="IQ34" s="223">
        <f>IF(IQ$7&gt;$D$3,"",IF($FA30&lt;IQ$7,"OD",_xlfn.XLOOKUP(IQ$7,'Product Design'!$M$6:$BM$6,'Product Design'!$M$17:$BM$17)))</f>
        <v>1</v>
      </c>
      <c r="IR34" s="223">
        <f>IF(IR$7&gt;$D$3,"",IF($FA30&lt;IR$7,"OD",_xlfn.XLOOKUP(IR$7,'Product Design'!$M$6:$BM$6,'Product Design'!$M$17:$BM$17)))</f>
        <v>1</v>
      </c>
      <c r="IS34" s="223">
        <f>IF(IS$7&gt;$D$3,"",IF($FA30&lt;IS$7,"OD",_xlfn.XLOOKUP(IS$7,'Product Design'!$M$6:$BM$6,'Product Design'!$M$17:$BM$17)))</f>
        <v>1</v>
      </c>
      <c r="IT34" s="223">
        <f>IF(IT$7&gt;$D$3,"",IF($FA30&lt;IT$7,"OD",_xlfn.XLOOKUP(IT$7,'Product Design'!$M$6:$BM$6,'Product Design'!$M$17:$BM$17)))</f>
        <v>1</v>
      </c>
      <c r="IU34" s="223">
        <f>IF(IU$7&gt;$D$3,"",IF($FA30&lt;IU$7,"OD",_xlfn.XLOOKUP(IU$7,'Product Design'!$M$6:$BM$6,'Product Design'!$M$17:$BM$17)))</f>
        <v>1</v>
      </c>
      <c r="IV34" s="223">
        <f>IF(IV$7&gt;$D$3,"",IF($FA30&lt;IV$7,"OD",_xlfn.XLOOKUP(IV$7,'Product Design'!$M$6:$BM$6,'Product Design'!$M$17:$BM$17)))</f>
        <v>1</v>
      </c>
      <c r="IW34" s="223">
        <f>IF(IW$7&gt;$D$3,"",IF($FA30&lt;IW$7,"OD",_xlfn.XLOOKUP(IW$7,'Product Design'!$M$6:$BM$6,'Product Design'!$M$17:$BM$17)))</f>
        <v>1</v>
      </c>
      <c r="IX34" s="223">
        <f>IF(IX$7&gt;$D$3,"",IF($FA30&lt;IX$7,"OD",_xlfn.XLOOKUP(IX$7,'Product Design'!$M$6:$BM$6,'Product Design'!$M$17:$BM$17)))</f>
        <v>1</v>
      </c>
      <c r="IY34" s="223">
        <f>IF(IY$7&gt;$D$3,"",IF($FA30&lt;IY$7,"OD",_xlfn.XLOOKUP(IY$7,'Product Design'!$M$6:$BM$6,'Product Design'!$M$17:$BM$17)))</f>
        <v>1</v>
      </c>
      <c r="IZ34" s="223" t="str">
        <f>IF(IZ$7&gt;$D$3,"",IF($FA30&lt;IZ$7,"OD",_xlfn.XLOOKUP(IZ$7,'Product Design'!$M$6:$BM$6,'Product Design'!$M$17:$BM$17)))</f>
        <v/>
      </c>
      <c r="JA34" s="223" t="str">
        <f>IF(JA$7&gt;$D$3,"",IF($FA30&lt;JA$7,"OD",_xlfn.XLOOKUP(JA$7,'Product Design'!$M$6:$BM$6,'Product Design'!$M$17:$BM$17)))</f>
        <v/>
      </c>
      <c r="JB34" s="223" t="str">
        <f>IF(JB$7&gt;$D$3,"",IF($FA30&lt;JB$7,"OD",_xlfn.XLOOKUP(JB$7,'Product Design'!$M$6:$BM$6,'Product Design'!$M$17:$BM$17)))</f>
        <v/>
      </c>
      <c r="JC34" s="223" t="str">
        <f>IF(JC$7&gt;$D$3,"",IF($FA30&lt;JC$7,"OD",_xlfn.XLOOKUP(JC$7,'Product Design'!$M$6:$BM$6,'Product Design'!$M$17:$BM$17)))</f>
        <v/>
      </c>
      <c r="JD34" s="223" t="str">
        <f>IF(JD$7&gt;$D$3,"",IF($FA30&lt;JD$7,"OD",_xlfn.XLOOKUP(JD$7,'Product Design'!$M$6:$BM$6,'Product Design'!$M$17:$BM$17)))</f>
        <v/>
      </c>
      <c r="JE34" s="223" t="str">
        <f>IF(JE$7&gt;$D$3,"",IF($FA30&lt;JE$7,"OD",_xlfn.XLOOKUP(JE$7,'Product Design'!$M$6:$BM$6,'Product Design'!$M$17:$BM$17)))</f>
        <v/>
      </c>
      <c r="JF34" s="223" t="str">
        <f>IF(JF$7&gt;$D$3,"",IF($FA30&lt;JF$7,"OD",_xlfn.XLOOKUP(JF$7,'Product Design'!$M$6:$BM$6,'Product Design'!$M$17:$BM$17)))</f>
        <v/>
      </c>
      <c r="JG34" s="223" t="str">
        <f>IF(JG$7&gt;$D$3,"",IF($FA30&lt;JG$7,"OD",_xlfn.XLOOKUP(JG$7,'Product Design'!$M$6:$BM$6,'Product Design'!$M$17:$BM$17)))</f>
        <v/>
      </c>
      <c r="JH34" s="223" t="str">
        <f>IF(JH$7&gt;$D$3,"",IF($FA30&lt;JH$7,"OD",_xlfn.XLOOKUP(JH$7,'Product Design'!$M$6:$BM$6,'Product Design'!$M$17:$BM$17)))</f>
        <v/>
      </c>
      <c r="JI34" s="223" t="str">
        <f>IF(JI$7&gt;$D$3,"",IF($FA30&lt;JI$7,"OD",_xlfn.XLOOKUP(JI$7,'Product Design'!$M$6:$BM$6,'Product Design'!$M$17:$BM$17)))</f>
        <v/>
      </c>
      <c r="JJ34" s="223" t="str">
        <f>IF(JJ$7&gt;$D$3,"",IF($FA30&lt;JJ$7,"OD",_xlfn.XLOOKUP(JJ$7,'Product Design'!$M$6:$BM$6,'Product Design'!$M$17:$BM$17)))</f>
        <v/>
      </c>
      <c r="JM34" s="136" t="str">
        <f>+$C34</f>
        <v>KPI Q1</v>
      </c>
      <c r="JN34" s="144" t="str">
        <f>+$D34</f>
        <v>Quality</v>
      </c>
      <c r="JO34" s="144" t="str">
        <f t="shared" si="100"/>
        <v>No of complaints</v>
      </c>
      <c r="JP34" s="145" t="str">
        <f t="shared" si="101"/>
        <v>Count</v>
      </c>
      <c r="JQ34" s="145" t="s">
        <v>284</v>
      </c>
      <c r="JR34" s="226" t="str">
        <f>IFERROR(AVERAGE(FC34:$FC34),"")</f>
        <v/>
      </c>
      <c r="JS34" s="226">
        <f>IFERROR(AVERAGE($FC34:FD34),"")</f>
        <v>0</v>
      </c>
      <c r="JT34" s="226">
        <f>IFERROR(AVERAGE($FC34:FE34),"")</f>
        <v>0</v>
      </c>
      <c r="JU34" s="226">
        <f>IFERROR(AVERAGE($FC34:FF34),"")</f>
        <v>0</v>
      </c>
      <c r="JV34" s="226">
        <f>IFERROR(AVERAGE($FC34:FG34),"")</f>
        <v>0.25</v>
      </c>
      <c r="JW34" s="226">
        <f>IFERROR(AVERAGE($FC34:FH34),"")</f>
        <v>0.6</v>
      </c>
      <c r="JX34" s="226">
        <f>IFERROR(AVERAGE($FC34:FI34),"")</f>
        <v>0.65666666666666662</v>
      </c>
      <c r="JY34" s="226">
        <f>IFERROR(AVERAGE($FC34:FJ34),"")</f>
        <v>0.56285714285714283</v>
      </c>
      <c r="JZ34" s="226">
        <f>IFERROR(AVERAGE($FC34:FK34),"")</f>
        <v>0.49249999999999999</v>
      </c>
      <c r="KA34" s="226">
        <f>IFERROR(AVERAGE($FC34:FL34),"")</f>
        <v>0.43777777777777777</v>
      </c>
      <c r="KB34" s="226">
        <f>IFERROR(AVERAGE($FC34:FM34),"")</f>
        <v>0.39400000000000002</v>
      </c>
      <c r="KC34" s="226">
        <f>IFERROR(AVERAGE($FC34:FN34),"")</f>
        <v>0.63090909090909086</v>
      </c>
      <c r="KD34" s="226">
        <f>IFERROR(AVERAGE($FC34:FO34),"")</f>
        <v>0.57833333333333325</v>
      </c>
      <c r="KE34" s="226">
        <f>IFERROR(AVERAGE($FC34:FP34),"")</f>
        <v>0.53384615384615386</v>
      </c>
      <c r="KF34" s="226">
        <f>IFERROR(AVERAGE($FC34:FQ34),"")</f>
        <v>0.71</v>
      </c>
      <c r="KG34" s="226">
        <f>IFERROR(AVERAGE($FC34:FR34),"")</f>
        <v>0.66266666666666663</v>
      </c>
      <c r="KH34" s="226">
        <f>IFERROR(AVERAGE($FC34:FS34),"")</f>
        <v>0.62124999999999997</v>
      </c>
      <c r="KI34" s="226">
        <f>IFERROR(AVERAGE($FC34:FT34),"")</f>
        <v>0.70235294117647051</v>
      </c>
      <c r="KJ34" s="226">
        <f>IFERROR(AVERAGE($FC34:FU34),"")</f>
        <v>0.66333333333333333</v>
      </c>
      <c r="KK34" s="226">
        <f>IFERROR(AVERAGE($FC34:FV34),"")</f>
        <v>0.73368421052631572</v>
      </c>
      <c r="KL34" s="226">
        <f>IFERROR(AVERAGE($FC34:FW34),"")</f>
        <v>0.69699999999999995</v>
      </c>
      <c r="KM34" s="226">
        <f>IFERROR(AVERAGE($FC34:FX34),"")</f>
        <v>0.66380952380952374</v>
      </c>
      <c r="KN34" s="226">
        <f>IFERROR(AVERAGE($FC34:FY34),"")</f>
        <v>0.63363636363636366</v>
      </c>
      <c r="KO34" s="226">
        <f>IFERROR(AVERAGE($FC34:FZ34),"")</f>
        <v>0.64956521739130435</v>
      </c>
      <c r="KP34" s="226">
        <f>IFERROR(AVERAGE($FC34:GA34),"")</f>
        <v>0.62249999999999994</v>
      </c>
      <c r="KQ34" s="226">
        <f>IFERROR(AVERAGE($FC34:GB34),"")</f>
        <v>0.59760000000000002</v>
      </c>
      <c r="KR34" s="226">
        <f>IFERROR(AVERAGE($FC34:GC34),"")</f>
        <v>0.57461538461538464</v>
      </c>
      <c r="KS34" s="226">
        <f>IFERROR(AVERAGE($FC34:GD34),"")</f>
        <v>0.55333333333333334</v>
      </c>
      <c r="KT34" s="226">
        <f>IFERROR(AVERAGE($FC34:GE34),"")</f>
        <v>0.53357142857142859</v>
      </c>
      <c r="KU34" s="226">
        <f>IFERROR(AVERAGE($FC34:GF34),"")</f>
        <v>0.51517241379310341</v>
      </c>
      <c r="KV34" s="226">
        <f>IFERROR(AVERAGE($FC34:GG34),"")</f>
        <v>0.53133333333333332</v>
      </c>
      <c r="KW34" s="226">
        <f>IFERROR(AVERAGE($FC34:GH34),"")</f>
        <v>0.51419354838709674</v>
      </c>
      <c r="KX34" s="226">
        <f>IFERROR(AVERAGE($FC34:GI34),"")</f>
        <v>0.49812499999999998</v>
      </c>
      <c r="KY34" s="226">
        <f>IFERROR(AVERAGE($FC34:GJ34),"")</f>
        <v>0.51333333333333331</v>
      </c>
      <c r="KZ34" s="226">
        <f>IFERROR(AVERAGE($FC34:GK34),"")</f>
        <v>0.498235294117647</v>
      </c>
      <c r="LA34" s="226">
        <f>IFERROR(AVERAGE($FC34:GL34),"")</f>
        <v>0.48399999999999993</v>
      </c>
      <c r="LB34" s="226">
        <f>IFERROR(AVERAGE($FC34:GM34),"")</f>
        <v>0.4705555555555555</v>
      </c>
      <c r="LC34" s="226">
        <f>IFERROR(AVERAGE($FC34:GN34),"")</f>
        <v>0.45783783783783777</v>
      </c>
      <c r="LD34" s="226">
        <f>IFERROR(AVERAGE($FC34:GO34),"")</f>
        <v>0.44578947368421046</v>
      </c>
      <c r="LE34" s="226">
        <f>IFERROR(AVERAGE($FC34:GP34),"")</f>
        <v>0.48564102564102557</v>
      </c>
      <c r="LF34" s="226">
        <f>IFERROR(AVERAGE($FC34:GQ34),"")</f>
        <v>0.47349999999999992</v>
      </c>
      <c r="LG34" s="226">
        <f>IFERROR(AVERAGE($FC34:GR34),"")</f>
        <v>0.46195121951219509</v>
      </c>
      <c r="LH34" s="226">
        <f>IFERROR(AVERAGE($FC34:GS34),"")</f>
        <v>0.46195121951219509</v>
      </c>
      <c r="LI34" s="226">
        <f>IFERROR(AVERAGE($FC34:GT34),"")</f>
        <v>0.46195121951219509</v>
      </c>
      <c r="LJ34" s="226">
        <f>IFERROR(AVERAGE($FC34:GU34),"")</f>
        <v>0.46195121951219509</v>
      </c>
      <c r="LK34" s="226">
        <f>IFERROR(AVERAGE($FC34:GV34),"")</f>
        <v>0.46195121951219509</v>
      </c>
      <c r="LL34" s="226">
        <f>IFERROR(AVERAGE($FC34:GW34),"")</f>
        <v>0.46195121951219509</v>
      </c>
      <c r="LM34" s="226">
        <f>IFERROR(AVERAGE($FC34:GX34),"")</f>
        <v>0.46195121951219509</v>
      </c>
      <c r="LN34" s="226">
        <f>IFERROR(AVERAGE($FC34:GY34),"")</f>
        <v>0.46195121951219509</v>
      </c>
      <c r="LO34" s="226">
        <f>IFERROR(AVERAGE($FC34:GZ34),"")</f>
        <v>0.46195121951219509</v>
      </c>
      <c r="LP34" s="226">
        <f>IFERROR(AVERAGE($FC34:HA34),"")</f>
        <v>0.46195121951219509</v>
      </c>
      <c r="LQ34" s="226">
        <f>IFERROR(AVERAGE($FC34:HB34),"")</f>
        <v>0.46195121951219509</v>
      </c>
      <c r="LR34" s="226">
        <f>IFERROR(AVERAGE($FC34:HC34),"")</f>
        <v>0.46195121951219509</v>
      </c>
      <c r="LT34" s="136" t="str">
        <f>+$C34</f>
        <v>KPI Q1</v>
      </c>
      <c r="LU34" s="144" t="str">
        <f>+$D34</f>
        <v>Quality</v>
      </c>
      <c r="LV34" s="144" t="str">
        <f t="shared" si="104"/>
        <v>No of complaints</v>
      </c>
      <c r="LW34" s="145" t="str">
        <f t="shared" si="105"/>
        <v>Count</v>
      </c>
      <c r="LX34" s="145" t="s">
        <v>285</v>
      </c>
      <c r="LY34" s="223" t="str">
        <f>IFERROR(AVERAGE($HJ34:HJ34),"")</f>
        <v/>
      </c>
      <c r="LZ34" s="223">
        <f>IFERROR(IF(LAD$7&gt;$D$3,"",AVERAGE($HJ34:HK34)),"")</f>
        <v>1</v>
      </c>
      <c r="MA34" s="223">
        <f>IFERROR(IF(MA$7&gt;$D$3,"",AVERAGE($HJ34:HL34)),"")</f>
        <v>1</v>
      </c>
      <c r="MB34" s="223">
        <f>IFERROR(IF(MB$7&gt;$D$3,"",AVERAGE($HJ34:HM34)),"")</f>
        <v>1</v>
      </c>
      <c r="MC34" s="223">
        <f>IFERROR(IF(MC$7&gt;$D$3,"",AVERAGE($HJ34:HN34)),"")</f>
        <v>1</v>
      </c>
      <c r="MD34" s="223">
        <f>IFERROR(IF(MD$7&gt;$D$3,"",AVERAGE($HJ34:HO34)),"")</f>
        <v>1</v>
      </c>
      <c r="ME34" s="223">
        <f>IFERROR(IF(ME$7&gt;$D$3,"",AVERAGE($HJ34:HP34)),"")</f>
        <v>1</v>
      </c>
      <c r="MF34" s="223">
        <f>IFERROR(IF(MF$7&gt;$D$3,"",AVERAGE($HJ34:HQ34)),"")</f>
        <v>1</v>
      </c>
      <c r="MG34" s="223">
        <f>IFERROR(IF(MG$7&gt;$D$3,"",AVERAGE($HJ34:HR34)),"")</f>
        <v>1</v>
      </c>
      <c r="MH34" s="223">
        <f>IFERROR(IF(MH$7&gt;$D$3,"",AVERAGE($HJ34:HS34)),"")</f>
        <v>1</v>
      </c>
      <c r="MI34" s="223">
        <f>IFERROR(IF(MI$7&gt;$D$3,"",AVERAGE($HJ34:HT34)),"")</f>
        <v>1</v>
      </c>
      <c r="MJ34" s="223">
        <f>IFERROR(IF(MJ$7&gt;$D$3,"",AVERAGE($HJ34:HU34)),"")</f>
        <v>1</v>
      </c>
      <c r="MK34" s="223">
        <f>IFERROR(IF(MK$7&gt;$D$3,"",AVERAGE($HJ34:HV34)),"")</f>
        <v>1</v>
      </c>
      <c r="ML34" s="223">
        <f>IFERROR(IF(ML$7&gt;$D$3,"",AVERAGE($HJ34:HW34)),"")</f>
        <v>1</v>
      </c>
      <c r="MM34" s="223">
        <f>IFERROR(IF(MM$7&gt;$D$3,"",AVERAGE($HJ34:HX34)),"")</f>
        <v>1</v>
      </c>
      <c r="MN34" s="223">
        <f>IFERROR(IF(MN$7&gt;$D$3,"",AVERAGE($HJ34:HY34)),"")</f>
        <v>1</v>
      </c>
      <c r="MO34" s="223">
        <f>IFERROR(IF(MO$7&gt;$D$3,"",AVERAGE($HJ34:HZ34)),"")</f>
        <v>1</v>
      </c>
      <c r="MP34" s="223">
        <f>IFERROR(IF(MP$7&gt;$D$3,"",AVERAGE($HJ34:IA34)),"")</f>
        <v>1</v>
      </c>
      <c r="MQ34" s="223">
        <f>IFERROR(IF(MQ$7&gt;$D$3,"",AVERAGE($HJ34:IB34)),"")</f>
        <v>1</v>
      </c>
      <c r="MR34" s="223">
        <f>IFERROR(IF(MR$7&gt;$D$3,"",AVERAGE($HJ34:IC34)),"")</f>
        <v>1</v>
      </c>
      <c r="MS34" s="223">
        <f>IFERROR(IF(MS$7&gt;$D$3,"",AVERAGE($HJ34:ID34)),"")</f>
        <v>1</v>
      </c>
      <c r="MT34" s="223">
        <f>IFERROR(IF(MT$7&gt;$D$3,"",AVERAGE($HJ34:IE34)),"")</f>
        <v>1</v>
      </c>
      <c r="MU34" s="223">
        <f>IFERROR(IF(MU$7&gt;$D$3,"",AVERAGE($HJ34:IF34)),"")</f>
        <v>1</v>
      </c>
      <c r="MV34" s="223">
        <f>IFERROR(IF(MV$7&gt;$D$3,"",AVERAGE($HJ34:IG34)),"")</f>
        <v>1</v>
      </c>
      <c r="MW34" s="223">
        <f>IFERROR(IF(MW$7&gt;$D$3,"",AVERAGE($HJ34:IH34)),"")</f>
        <v>1</v>
      </c>
      <c r="MX34" s="223">
        <f>IFERROR(IF(MX$7&gt;$D$3,"",AVERAGE($HJ34:II34)),"")</f>
        <v>1</v>
      </c>
      <c r="MY34" s="223">
        <f>IFERROR(IF(MY$7&gt;$D$3,"",AVERAGE($HJ34:IJ34)),"")</f>
        <v>1</v>
      </c>
      <c r="MZ34" s="223">
        <f>IFERROR(IF(MZ$7&gt;$D$3,"",AVERAGE($HJ34:IK34)),"")</f>
        <v>1</v>
      </c>
      <c r="NA34" s="223">
        <f>IFERROR(IF(NA$7&gt;$D$3,"",AVERAGE($HJ34:IL34)),"")</f>
        <v>1</v>
      </c>
      <c r="NB34" s="223">
        <f>IFERROR(IF(NB$7&gt;$D$3,"",AVERAGE($HJ34:IM34)),"")</f>
        <v>1</v>
      </c>
      <c r="NC34" s="223">
        <f>IFERROR(IF(NC$7&gt;$D$3,"",AVERAGE($HJ34:IN34)),"")</f>
        <v>1</v>
      </c>
      <c r="ND34" s="223">
        <f>IFERROR(IF(ND$7&gt;$D$3,"",AVERAGE($HJ34:IO34)),"")</f>
        <v>1</v>
      </c>
      <c r="NE34" s="223">
        <f>IFERROR(IF(NE$7&gt;$D$3,"",AVERAGE($HJ34:IP34)),"")</f>
        <v>1</v>
      </c>
      <c r="NF34" s="223">
        <f>IFERROR(IF(NF$7&gt;$D$3,"",AVERAGE($HJ34:IQ34)),"")</f>
        <v>1</v>
      </c>
      <c r="NG34" s="223">
        <f>IFERROR(IF(NG$7&gt;$D$3,"",AVERAGE($HJ34:IR34)),"")</f>
        <v>1</v>
      </c>
      <c r="NH34" s="223">
        <f>IFERROR(IF(NH$7&gt;$D$3,"",AVERAGE($HJ34:IS34)),"")</f>
        <v>1</v>
      </c>
      <c r="NI34" s="223">
        <f>IFERROR(IF(NI$7&gt;$D$3,"",AVERAGE($HJ34:IT34)),"")</f>
        <v>1</v>
      </c>
      <c r="NJ34" s="223">
        <f>IFERROR(IF(NJ$7&gt;$D$3,"",AVERAGE($HJ34:IU34)),"")</f>
        <v>1</v>
      </c>
      <c r="NK34" s="223">
        <f>IFERROR(IF(NK$7&gt;$D$3,"",AVERAGE($HJ34:IV34)),"")</f>
        <v>1</v>
      </c>
      <c r="NL34" s="223">
        <f>IFERROR(IF(NL$7&gt;$D$3,"",AVERAGE($HJ34:IW34)),"")</f>
        <v>1</v>
      </c>
      <c r="NM34" s="223">
        <f>IFERROR(IF(NM$7&gt;$D$3,"",AVERAGE($HJ34:IX34)),"")</f>
        <v>1</v>
      </c>
      <c r="NN34" s="223">
        <f>IFERROR(IF(NN$7&gt;$D$3,"",AVERAGE($HJ34:IY34)),"")</f>
        <v>1</v>
      </c>
      <c r="NO34" s="223" t="str">
        <f>IFERROR(IF(NO$7&gt;$D$3,"",AVERAGE($HJ34:IZ34)),"")</f>
        <v/>
      </c>
      <c r="NP34" s="223" t="str">
        <f>IFERROR(IF(NP$7&gt;$D$3,"",AVERAGE($HJ34:JA34)),"")</f>
        <v/>
      </c>
      <c r="NQ34" s="223" t="str">
        <f>IFERROR(IF(NQ$7&gt;$D$3,"",AVERAGE($HJ34:JB34)),"")</f>
        <v/>
      </c>
      <c r="NR34" s="223" t="str">
        <f>IFERROR(IF(NR$7&gt;$D$3,"",AVERAGE($HJ34:JC34)),"")</f>
        <v/>
      </c>
      <c r="NS34" s="223" t="str">
        <f>IFERROR(IF(NS$7&gt;$D$3,"",AVERAGE($HJ34:JD34)),"")</f>
        <v/>
      </c>
      <c r="NT34" s="223" t="str">
        <f>IFERROR(IF(NT$7&gt;$D$3,"",AVERAGE($HJ34:JE34)),"")</f>
        <v/>
      </c>
      <c r="NU34" s="223" t="str">
        <f>IFERROR(IF(NU$7&gt;$D$3,"",AVERAGE($HJ34:JF34)),"")</f>
        <v/>
      </c>
      <c r="NV34" s="223" t="str">
        <f>IFERROR(IF(NV$7&gt;$D$3,"",AVERAGE($HJ34:JG34)),"")</f>
        <v/>
      </c>
      <c r="NW34" s="223" t="str">
        <f>IFERROR(IF(NW$7&gt;$D$3,"",AVERAGE($HJ34:JH34)),"")</f>
        <v/>
      </c>
      <c r="NX34" s="223" t="str">
        <f>IFERROR(IF(NX$7&gt;$D$3,"",AVERAGE($HJ34:JI34)),"")</f>
        <v/>
      </c>
      <c r="NY34" s="223" t="str">
        <f>IFERROR(IF(NY$7&gt;$D$3,"",AVERAGE($HJ34:JJ34)),"")</f>
        <v/>
      </c>
    </row>
    <row r="35" spans="1:389" ht="15" thickBot="1" x14ac:dyDescent="0.35">
      <c r="A35" t="str">
        <f>$B$30&amp;"-"&amp;C35</f>
        <v>Product Design-KPI C1</v>
      </c>
      <c r="B35" s="138"/>
      <c r="C35" s="138" t="str">
        <f>+'KPI Stats'!C40</f>
        <v>KPI C1</v>
      </c>
      <c r="D35" s="146" t="str">
        <f>+'KPI Stats'!D40</f>
        <v>Cost</v>
      </c>
      <c r="E35" s="146" t="str">
        <f>+'KPI Stats'!E40</f>
        <v>Needs defining</v>
      </c>
      <c r="F35" s="147" t="str">
        <f>+'KPI Stats'!F40</f>
        <v>Undefined</v>
      </c>
      <c r="G35" s="188" t="str">
        <f>+'KPI Stats'!G40</f>
        <v>Undefined</v>
      </c>
      <c r="J35" s="160" t="str">
        <f>_xlfn.XLOOKUP(J$7,$AM$7:$CM$7,$AM35:$CM35,,FALSE)</f>
        <v>Undefined</v>
      </c>
      <c r="K35" s="266" t="str">
        <f>_xlfn.XLOOKUP(K$7,$FC$7:$HC$7,$FC35:$HC35,,FALSE)</f>
        <v>undefined</v>
      </c>
      <c r="L35" s="279" t="str">
        <f>_xlfn.XLOOKUP(L$7,$HJ$7:$JJ$7,$HJ35:$JJ35,,FALSE)</f>
        <v>Undefined</v>
      </c>
      <c r="M35" s="286" t="str">
        <f>_xlfn.XLOOKUP(M$7,$CU$7:$EU$7,$CU35:$EU35,,FALSE)</f>
        <v>Undefined</v>
      </c>
      <c r="P35" s="160" t="str">
        <f>_xlfn.XLOOKUP(P$7,$AM$7:$CM$7,$AM35:$CM35,,FALSE)</f>
        <v>Undefined</v>
      </c>
      <c r="Q35" s="266" t="str">
        <f t="shared" si="108"/>
        <v>undefined</v>
      </c>
      <c r="R35" s="279" t="str">
        <f t="shared" si="108"/>
        <v>undefined</v>
      </c>
      <c r="S35" s="266" t="str">
        <f t="shared" si="109"/>
        <v>Undefined</v>
      </c>
      <c r="T35" s="279" t="str">
        <f t="shared" si="109"/>
        <v>Undefined</v>
      </c>
      <c r="U35" s="296" t="str">
        <f>IF(F30&lt;$R$2,"Not Complete",IF(Q35=R35,"Same −",IF($G35="Over",IF(Q35&lt;R35,"Better ↑","Worse ↓"),IF($G35="Under",IF(Q35&gt;R35,"Better ↑","Worse ↓"),"err"))))</f>
        <v>Same −</v>
      </c>
      <c r="X35" s="160" t="str">
        <f t="shared" si="110"/>
        <v/>
      </c>
      <c r="Y35" s="164" t="str">
        <f>_xlfn.XLOOKUP(Y$7,$JR$7:$LR$7,$JR35:$LR35,FALSE)</f>
        <v/>
      </c>
      <c r="Z35" s="164">
        <f>_xlfn.XLOOKUP(Z$7,$LY$7:$NY$7,$LY35:$NY35,FALSE)</f>
        <v>0</v>
      </c>
      <c r="AA35" s="165" t="str">
        <f>IF(G35="Undefined","",IF(G35="under",Y35/Z35,IF(G35="over",Z35/Y35,"err")))</f>
        <v/>
      </c>
      <c r="AB35" s="296" t="str">
        <f>IF(F30&lt;$R$2,"TBC",IF(Y35=Z35,"Same −",IF($G35="Over",IF(Z35&lt;Y35,"Better ↑ ","Worse ↓ "),IF($G35="Under",IF(Y35&gt;Z35,"Better ↑ ","Worse ↓ "),"err"))))</f>
        <v>err</v>
      </c>
      <c r="AC35" s="160" t="str">
        <f>IF(AND(G35="above adero",AD35&gt;0),"R",IF(AF35&gt;1,"G",IF(AF35&gt;0.95,"A","R")))</f>
        <v>G</v>
      </c>
      <c r="AD35" s="164" t="str">
        <f>_xlfn.XLOOKUP(AD$7,$JR$7:$LR$7,$JR35:$LR35,FALSE)</f>
        <v/>
      </c>
      <c r="AE35" s="164">
        <f>_xlfn.XLOOKUP(AE$7,$LY$7:$NY$7,$LY35:$NY35,FALSE)</f>
        <v>0</v>
      </c>
      <c r="AF35" s="165" t="str">
        <f t="shared" si="113"/>
        <v/>
      </c>
      <c r="AH35" s="465" t="str">
        <f>+$A35</f>
        <v>Product Design-KPI C1</v>
      </c>
      <c r="AI35" s="138" t="str">
        <f t="shared" si="111"/>
        <v>KPI C1</v>
      </c>
      <c r="AJ35" s="146" t="str">
        <f t="shared" si="111"/>
        <v>Cost</v>
      </c>
      <c r="AK35" s="146" t="str">
        <f t="shared" si="87"/>
        <v>Needs defining</v>
      </c>
      <c r="AL35" s="147" t="str">
        <f t="shared" si="87"/>
        <v>Undefined</v>
      </c>
      <c r="AM35" s="160" t="str">
        <f>IF(AM$7&gt;$D$3,"",_xlfn.XLOOKUP(AM$7,'Product Design'!$M$6:$BM$6,'Product Design'!$M$22:$BM$22))</f>
        <v>Blank</v>
      </c>
      <c r="AN35" s="200" t="str">
        <f>IF(AN$7&gt;$D$3,"",_xlfn.XLOOKUP(AN$7,'Product Design'!$M$6:$BM$6,'Product Design'!$M$22:$BM$22))</f>
        <v>Undefined</v>
      </c>
      <c r="AO35" s="160" t="str">
        <f>IF(AO$7&gt;$D$3,"",_xlfn.XLOOKUP(AO$7,'Product Design'!$M$6:$BM$6,'Product Design'!$M$22:$BM$22))</f>
        <v>Undefined</v>
      </c>
      <c r="AP35" s="160" t="str">
        <f>IF(AP$7&gt;$D$3,"",_xlfn.XLOOKUP(AP$7,'Product Design'!$M$6:$BM$6,'Product Design'!$M$22:$BM$22))</f>
        <v>Undefined</v>
      </c>
      <c r="AQ35" s="160" t="str">
        <f>IF(AQ$7&gt;$D$3,"",_xlfn.XLOOKUP(AQ$7,'Product Design'!$M$6:$BM$6,'Product Design'!$M$22:$BM$22))</f>
        <v>Undefined</v>
      </c>
      <c r="AR35" s="160" t="str">
        <f>IF(AR$7&gt;$D$3,"",_xlfn.XLOOKUP(AR$7,'Product Design'!$M$6:$BM$6,'Product Design'!$M$22:$BM$22))</f>
        <v>Undefined</v>
      </c>
      <c r="AS35" s="160" t="str">
        <f>IF(AS$7&gt;$D$3,"",_xlfn.XLOOKUP(AS$7,'Product Design'!$M$6:$BM$6,'Product Design'!$M$22:$BM$22))</f>
        <v>Undefined</v>
      </c>
      <c r="AT35" s="160" t="str">
        <f>IF(AT$7&gt;$D$3,"",_xlfn.XLOOKUP(AT$7,'Product Design'!$M$6:$BM$6,'Product Design'!$M$22:$BM$22))</f>
        <v>Undefined</v>
      </c>
      <c r="AU35" s="160" t="str">
        <f>IF(AU$7&gt;$D$3,"",_xlfn.XLOOKUP(AU$7,'Product Design'!$M$6:$BM$6,'Product Design'!$M$22:$BM$22))</f>
        <v>Undefined</v>
      </c>
      <c r="AV35" s="160" t="str">
        <f>IF(AV$7&gt;$D$3,"",_xlfn.XLOOKUP(AV$7,'Product Design'!$M$6:$BM$6,'Product Design'!$M$22:$BM$22))</f>
        <v>Undefined</v>
      </c>
      <c r="AW35" s="160" t="str">
        <f>IF(AW$7&gt;$D$3,"",_xlfn.XLOOKUP(AW$7,'Product Design'!$M$6:$BM$6,'Product Design'!$M$22:$BM$22))</f>
        <v>Undefined</v>
      </c>
      <c r="AX35" s="160" t="str">
        <f>IF(AX$7&gt;$D$3,"",_xlfn.XLOOKUP(AX$7,'Product Design'!$M$6:$BM$6,'Product Design'!$M$22:$BM$22))</f>
        <v>Undefined</v>
      </c>
      <c r="AY35" s="160" t="str">
        <f>IF(AY$7&gt;$D$3,"",_xlfn.XLOOKUP(AY$7,'Product Design'!$M$6:$BM$6,'Product Design'!$M$22:$BM$22))</f>
        <v>Undefined</v>
      </c>
      <c r="AZ35" s="160" t="str">
        <f>IF(AZ$7&gt;$D$3,"",_xlfn.XLOOKUP(AZ$7,'Product Design'!$M$6:$BM$6,'Product Design'!$M$22:$BM$22))</f>
        <v>Undefined</v>
      </c>
      <c r="BA35" s="160" t="str">
        <f>IF(BA$7&gt;$D$3,"",_xlfn.XLOOKUP(BA$7,'Product Design'!$M$6:$BM$6,'Product Design'!$M$22:$BM$22))</f>
        <v>Undefined</v>
      </c>
      <c r="BB35" s="160" t="str">
        <f>IF(BB$7&gt;$D$3,"",_xlfn.XLOOKUP(BB$7,'Product Design'!$M$6:$BM$6,'Product Design'!$M$22:$BM$22))</f>
        <v>Undefined</v>
      </c>
      <c r="BC35" s="160" t="str">
        <f>IF(BC$7&gt;$D$3,"",_xlfn.XLOOKUP(BC$7,'Product Design'!$M$6:$BM$6,'Product Design'!$M$22:$BM$22))</f>
        <v>Undefined</v>
      </c>
      <c r="BD35" s="160" t="str">
        <f>IF(BD$7&gt;$D$3,"",_xlfn.XLOOKUP(BD$7,'Product Design'!$M$6:$BM$6,'Product Design'!$M$22:$BM$22))</f>
        <v>Undefined</v>
      </c>
      <c r="BE35" s="160" t="str">
        <f>IF(BE$7&gt;$D$3,"",_xlfn.XLOOKUP(BE$7,'Product Design'!$M$6:$BM$6,'Product Design'!$M$22:$BM$22))</f>
        <v>Undefined</v>
      </c>
      <c r="BF35" s="160" t="str">
        <f>IF(BF$7&gt;$D$3,"",_xlfn.XLOOKUP(BF$7,'Product Design'!$M$6:$BM$6,'Product Design'!$M$22:$BM$22))</f>
        <v>Undefined</v>
      </c>
      <c r="BG35" s="160" t="str">
        <f>IF(BG$7&gt;$D$3,"",_xlfn.XLOOKUP(BG$7,'Product Design'!$M$6:$BM$6,'Product Design'!$M$22:$BM$22))</f>
        <v>Undefined</v>
      </c>
      <c r="BH35" s="160" t="str">
        <f>IF(BH$7&gt;$D$3,"",_xlfn.XLOOKUP(BH$7,'Product Design'!$M$6:$BM$6,'Product Design'!$M$22:$BM$22))</f>
        <v>Undefined</v>
      </c>
      <c r="BI35" s="160" t="str">
        <f>IF(BI$7&gt;$D$3,"",_xlfn.XLOOKUP(BI$7,'Product Design'!$M$6:$BM$6,'Product Design'!$M$22:$BM$22))</f>
        <v>Undefined</v>
      </c>
      <c r="BJ35" s="160" t="str">
        <f>IF(BJ$7&gt;$D$3,"",_xlfn.XLOOKUP(BJ$7,'Product Design'!$M$6:$BM$6,'Product Design'!$M$22:$BM$22))</f>
        <v>Undefined</v>
      </c>
      <c r="BK35" s="160" t="str">
        <f>IF(BK$7&gt;$D$3,"",_xlfn.XLOOKUP(BK$7,'Product Design'!$M$6:$BM$6,'Product Design'!$M$22:$BM$22))</f>
        <v>Undefined</v>
      </c>
      <c r="BL35" s="160" t="str">
        <f>IF(BL$7&gt;$D$3,"",_xlfn.XLOOKUP(BL$7,'Product Design'!$M$6:$BM$6,'Product Design'!$M$22:$BM$22))</f>
        <v>Undefined</v>
      </c>
      <c r="BM35" s="160" t="str">
        <f>IF(BM$7&gt;$D$3,"",_xlfn.XLOOKUP(BM$7,'Product Design'!$M$6:$BM$6,'Product Design'!$M$22:$BM$22))</f>
        <v>Undefined</v>
      </c>
      <c r="BN35" s="160" t="str">
        <f>IF(BN$7&gt;$D$3,"",_xlfn.XLOOKUP(BN$7,'Product Design'!$M$6:$BM$6,'Product Design'!$M$22:$BM$22))</f>
        <v>Undefined</v>
      </c>
      <c r="BO35" s="160" t="str">
        <f>IF(BO$7&gt;$D$3,"",_xlfn.XLOOKUP(BO$7,'Product Design'!$M$6:$BM$6,'Product Design'!$M$22:$BM$22))</f>
        <v>Undefined</v>
      </c>
      <c r="BP35" s="160" t="str">
        <f>IF(BP$7&gt;$D$3,"",_xlfn.XLOOKUP(BP$7,'Product Design'!$M$6:$BM$6,'Product Design'!$M$22:$BM$22))</f>
        <v>Undefined</v>
      </c>
      <c r="BQ35" s="160" t="str">
        <f>IF(BQ$7&gt;$D$3,"",_xlfn.XLOOKUP(BQ$7,'Product Design'!$M$6:$BM$6,'Product Design'!$M$22:$BM$22))</f>
        <v>Undefined</v>
      </c>
      <c r="BR35" s="160" t="str">
        <f>IF(BR$7&gt;$D$3,"",_xlfn.XLOOKUP(BR$7,'Product Design'!$M$6:$BM$6,'Product Design'!$M$22:$BM$22))</f>
        <v>Undefined</v>
      </c>
      <c r="BS35" s="160" t="str">
        <f>IF(BS$7&gt;$D$3,"",_xlfn.XLOOKUP(BS$7,'Product Design'!$M$6:$BM$6,'Product Design'!$M$22:$BM$22))</f>
        <v>Undefined</v>
      </c>
      <c r="BT35" s="160" t="str">
        <f>IF(BT$7&gt;$D$3,"",_xlfn.XLOOKUP(BT$7,'Product Design'!$M$6:$BM$6,'Product Design'!$M$22:$BM$22))</f>
        <v>Undefined</v>
      </c>
      <c r="BU35" s="160" t="str">
        <f>IF(BU$7&gt;$D$3,"",_xlfn.XLOOKUP(BU$7,'Product Design'!$M$6:$BM$6,'Product Design'!$M$22:$BM$22))</f>
        <v>Undefined</v>
      </c>
      <c r="BV35" s="160" t="str">
        <f>IF(BV$7&gt;$D$3,"",_xlfn.XLOOKUP(BV$7,'Product Design'!$M$6:$BM$6,'Product Design'!$M$22:$BM$22))</f>
        <v>Undefined</v>
      </c>
      <c r="BW35" s="160" t="str">
        <f>IF(BW$7&gt;$D$3,"",_xlfn.XLOOKUP(BW$7,'Product Design'!$M$6:$BM$6,'Product Design'!$M$22:$BM$22))</f>
        <v>Undefined</v>
      </c>
      <c r="BX35" s="160" t="str">
        <f>IF(BX$7&gt;$D$3,"",_xlfn.XLOOKUP(BX$7,'Product Design'!$M$6:$BM$6,'Product Design'!$M$22:$BM$22))</f>
        <v>Undefined</v>
      </c>
      <c r="BY35" s="160" t="str">
        <f>IF(BY$7&gt;$D$3,"",_xlfn.XLOOKUP(BY$7,'Product Design'!$M$6:$BM$6,'Product Design'!$M$22:$BM$22))</f>
        <v>Undefined</v>
      </c>
      <c r="BZ35" s="160" t="str">
        <f>IF(BZ$7&gt;$D$3,"",_xlfn.XLOOKUP(BZ$7,'Product Design'!$M$6:$BM$6,'Product Design'!$M$22:$BM$22))</f>
        <v>Undefined</v>
      </c>
      <c r="CA35" s="160" t="str">
        <f>IF(CA$7&gt;$D$3,"",_xlfn.XLOOKUP(CA$7,'Product Design'!$M$6:$BM$6,'Product Design'!$M$22:$BM$22))</f>
        <v>Undefined</v>
      </c>
      <c r="CB35" s="160" t="str">
        <f>IF(CB$7&gt;$D$3,"",_xlfn.XLOOKUP(CB$7,'Product Design'!$M$6:$BM$6,'Product Design'!$M$22:$BM$22))</f>
        <v>Undefined</v>
      </c>
      <c r="CC35" s="160" t="str">
        <f>IF(CC$7&gt;$D$3,"",_xlfn.XLOOKUP(CC$7,'Product Design'!$M$6:$BM$6,'Product Design'!$M$22:$BM$22))</f>
        <v/>
      </c>
      <c r="CD35" s="160" t="str">
        <f>IF(CD$7&gt;$D$3,"",_xlfn.XLOOKUP(CD$7,'Product Design'!$M$6:$BM$6,'Product Design'!$M$22:$BM$22))</f>
        <v/>
      </c>
      <c r="CE35" s="160" t="str">
        <f>IF(CE$7&gt;$D$3,"",_xlfn.XLOOKUP(CE$7,'Product Design'!$M$6:$BM$6,'Product Design'!$M$22:$BM$22))</f>
        <v/>
      </c>
      <c r="CF35" s="160" t="str">
        <f>IF(CF$7&gt;$D$3,"",_xlfn.XLOOKUP(CF$7,'Product Design'!$M$6:$BM$6,'Product Design'!$M$22:$BM$22))</f>
        <v/>
      </c>
      <c r="CG35" s="160" t="str">
        <f>IF(CG$7&gt;$D$3,"",_xlfn.XLOOKUP(CG$7,'Product Design'!$M$6:$BM$6,'Product Design'!$M$22:$BM$22))</f>
        <v/>
      </c>
      <c r="CH35" s="160" t="str">
        <f>IF(CH$7&gt;$D$3,"",_xlfn.XLOOKUP(CH$7,'Product Design'!$M$6:$BM$6,'Product Design'!$M$22:$BM$22))</f>
        <v/>
      </c>
      <c r="CI35" s="160" t="str">
        <f>IF(CI$7&gt;$D$3,"",_xlfn.XLOOKUP(CI$7,'Product Design'!$M$6:$BM$6,'Product Design'!$M$22:$BM$22))</f>
        <v/>
      </c>
      <c r="CJ35" s="160" t="str">
        <f>IF(CJ$7&gt;$D$3,"",_xlfn.XLOOKUP(CJ$7,'Product Design'!$M$6:$BM$6,'Product Design'!$M$22:$BM$22))</f>
        <v/>
      </c>
      <c r="CK35" s="160" t="str">
        <f>IF(CK$7&gt;$D$3,"",_xlfn.XLOOKUP(CK$7,'Product Design'!$M$6:$BM$6,'Product Design'!$M$22:$BM$22))</f>
        <v/>
      </c>
      <c r="CL35" s="160" t="str">
        <f>IF(CL$7&gt;$D$3,"",_xlfn.XLOOKUP(CL$7,'Product Design'!$M$6:$BM$6,'Product Design'!$M$22:$BM$22))</f>
        <v/>
      </c>
      <c r="CM35" s="160" t="str">
        <f>IF(CM$7&gt;$D$3,"",_xlfn.XLOOKUP(CM$7,'Product Design'!$M$6:$BM$6,'Product Design'!$M$22:$BM$22))</f>
        <v/>
      </c>
      <c r="CO35" s="465" t="str">
        <f>+$A35</f>
        <v>Product Design-KPI C1</v>
      </c>
      <c r="CP35" s="138" t="str">
        <f t="shared" si="112"/>
        <v>KPI C1</v>
      </c>
      <c r="CQ35" s="146" t="str">
        <f t="shared" si="112"/>
        <v>Cost</v>
      </c>
      <c r="CR35" s="146" t="str">
        <f t="shared" si="112"/>
        <v>Needs defining</v>
      </c>
      <c r="CS35" s="147" t="str">
        <f t="shared" si="112"/>
        <v>Undefined</v>
      </c>
      <c r="CT35" s="208" t="str">
        <f>+G35</f>
        <v>Undefined</v>
      </c>
      <c r="CU35" s="160" t="str">
        <f>IF(CU$7&gt;$D$3,"",_xlfn.XLOOKUP(CU$7,'Product Design'!$M$6:$BM$6,'Product Design'!$M$22:$BM$22))</f>
        <v>Blank</v>
      </c>
      <c r="CV35" s="324" t="str">
        <f>IF(CV$7&gt;$D$3,"",IF(AN35="OD","OD",IF(AN35="Missed","Missed",IF(AN35="TBC","TBC",IF(AN35="Undefined","Undefined",_xlfn.XLOOKUP(CV$7,'Product Design'!$M$6:$BM$6,'Product Design'!$M$22:$BM$22))))))</f>
        <v>Undefined</v>
      </c>
      <c r="CW35" s="325" t="str">
        <f>IF(CW$7&gt;$D$3,"",IF(AO35="OD","OD",IF(AO35="Missed","Missed",IF(AO35="TBC","TBC",IF(AO35="Undefined","Undefined",_xlfn.XLOOKUP(CW$7,'Product Design'!$M$6:$BM$6,'Product Design'!$M$22:$BM$22))))))</f>
        <v>Undefined</v>
      </c>
      <c r="CX35" s="325" t="str">
        <f>IF(CX$7&gt;$D$3,"",IF(AP35="OD","OD",IF(AP35="Missed","Missed",IF(AP35="TBC","TBC",IF(AP35="Undefined","Undefined",_xlfn.XLOOKUP(CX$7,'Product Design'!$M$6:$BM$6,'Product Design'!$M$22:$BM$22))))))</f>
        <v>Undefined</v>
      </c>
      <c r="CY35" s="325" t="str">
        <f>IF(CY$7&gt;$D$3,"",IF(AQ35="OD","OD",IF(AQ35="Missed","Missed",IF(AQ35="TBC","TBC",IF(AQ35="Undefined","Undefined",_xlfn.XLOOKUP(CY$7,'Product Design'!$M$6:$BM$6,'Product Design'!$M$22:$BM$22))))))</f>
        <v>Undefined</v>
      </c>
      <c r="CZ35" s="325" t="str">
        <f>IF(CZ$7&gt;$D$3,"",IF(AR35="OD","OD",IF(AR35="Missed","Missed",IF(AR35="TBC","TBC",IF(AR35="Undefined","Undefined",_xlfn.XLOOKUP(CZ$7,'Product Design'!$M$6:$BM$6,'Product Design'!$M$22:$BM$22))))))</f>
        <v>Undefined</v>
      </c>
      <c r="DA35" s="325" t="str">
        <f>IF(DA$7&gt;$D$3,"",IF(AS35="OD","OD",IF(AS35="Missed","Missed",IF(AS35="TBC","TBC",IF(AS35="Undefined","Undefined",_xlfn.XLOOKUP(DA$7,'Product Design'!$M$6:$BM$6,'Product Design'!$M$22:$BM$22))))))</f>
        <v>Undefined</v>
      </c>
      <c r="DB35" s="325" t="str">
        <f>IF(DB$7&gt;$D$3,"",IF(AT35="OD","OD",IF(AT35="Missed","Missed",IF(AT35="TBC","TBC",IF(AT35="Undefined","Undefined",_xlfn.XLOOKUP(DB$7,'Product Design'!$M$6:$BM$6,'Product Design'!$M$22:$BM$22))))))</f>
        <v>Undefined</v>
      </c>
      <c r="DC35" s="325" t="str">
        <f>IF(DC$7&gt;$D$3,"",IF(AU35="OD","OD",IF(AU35="Missed","Missed",IF(AU35="TBC","TBC",IF(AU35="Undefined","Undefined",_xlfn.XLOOKUP(DC$7,'Product Design'!$M$6:$BM$6,'Product Design'!$M$22:$BM$22))))))</f>
        <v>Undefined</v>
      </c>
      <c r="DD35" s="325" t="str">
        <f>IF(DD$7&gt;$D$3,"",IF(AV35="OD","OD",IF(AV35="Missed","Missed",IF(AV35="TBC","TBC",IF(AV35="Undefined","Undefined",_xlfn.XLOOKUP(DD$7,'Product Design'!$M$6:$BM$6,'Product Design'!$M$22:$BM$22))))))</f>
        <v>Undefined</v>
      </c>
      <c r="DE35" s="325" t="str">
        <f>IF(DE$7&gt;$D$3,"",IF(AW35="OD","OD",IF(AW35="Missed","Missed",IF(AW35="TBC","TBC",IF(AW35="Undefined","Undefined",_xlfn.XLOOKUP(DE$7,'Product Design'!$M$6:$BM$6,'Product Design'!$M$22:$BM$22))))))</f>
        <v>Undefined</v>
      </c>
      <c r="DF35" s="325" t="str">
        <f>IF(DF$7&gt;$D$3,"",IF(AX35="OD","OD",IF(AX35="Missed","Missed",IF(AX35="TBC","TBC",IF(AX35="Undefined","Undefined",_xlfn.XLOOKUP(DF$7,'Product Design'!$M$6:$BM$6,'Product Design'!$M$22:$BM$22))))))</f>
        <v>Undefined</v>
      </c>
      <c r="DG35" s="325" t="str">
        <f>IF(DG$7&gt;$D$3,"",IF(AY35="OD","OD",IF(AY35="Missed","Missed",IF(AY35="TBC","TBC",IF(AY35="Undefined","Undefined",_xlfn.XLOOKUP(DG$7,'Product Design'!$M$6:$BM$6,'Product Design'!$M$22:$BM$22))))))</f>
        <v>Undefined</v>
      </c>
      <c r="DH35" s="325" t="str">
        <f>IF(DH$7&gt;$D$3,"",IF(AZ35="OD","OD",IF(AZ35="Missed","Missed",IF(AZ35="TBC","TBC",IF(AZ35="Undefined","Undefined",_xlfn.XLOOKUP(DH$7,'Product Design'!$M$6:$BM$6,'Product Design'!$M$22:$BM$22))))))</f>
        <v>Undefined</v>
      </c>
      <c r="DI35" s="325" t="str">
        <f>IF(DI$7&gt;$D$3,"",IF(BA35="OD","OD",IF(BA35="Missed","Missed",IF(BA35="TBC","TBC",IF(BA35="Undefined","Undefined",_xlfn.XLOOKUP(DI$7,'Product Design'!$M$6:$BM$6,'Product Design'!$M$22:$BM$22))))))</f>
        <v>Undefined</v>
      </c>
      <c r="DJ35" s="325" t="str">
        <f>IF(DJ$7&gt;$D$3,"",IF(BB35="OD","OD",IF(BB35="Missed","Missed",IF(BB35="TBC","TBC",IF(BB35="Undefined","Undefined",_xlfn.XLOOKUP(DJ$7,'Product Design'!$M$6:$BM$6,'Product Design'!$M$22:$BM$22))))))</f>
        <v>Undefined</v>
      </c>
      <c r="DK35" s="325" t="str">
        <f>IF(DK$7&gt;$D$3,"",IF(BC35="OD","OD",IF(BC35="Missed","Missed",IF(BC35="TBC","TBC",IF(BC35="Undefined","Undefined",_xlfn.XLOOKUP(DK$7,'Product Design'!$M$6:$BM$6,'Product Design'!$M$22:$BM$22))))))</f>
        <v>Undefined</v>
      </c>
      <c r="DL35" s="325" t="str">
        <f>IF(DL$7&gt;$D$3,"",IF(BD35="OD","OD",IF(BD35="Missed","Missed",IF(BD35="TBC","TBC",IF(BD35="Undefined","Undefined",_xlfn.XLOOKUP(DL$7,'Product Design'!$M$6:$BM$6,'Product Design'!$M$22:$BM$22))))))</f>
        <v>Undefined</v>
      </c>
      <c r="DM35" s="325" t="str">
        <f>IF(DM$7&gt;$D$3,"",IF(BE35="OD","OD",IF(BE35="Missed","Missed",IF(BE35="TBC","TBC",IF(BE35="Undefined","Undefined",_xlfn.XLOOKUP(DM$7,'Product Design'!$M$6:$BM$6,'Product Design'!$M$22:$BM$22))))))</f>
        <v>Undefined</v>
      </c>
      <c r="DN35" s="325" t="str">
        <f>IF(DN$7&gt;$D$3,"",IF(BF35="OD","OD",IF(BF35="Missed","Missed",IF(BF35="TBC","TBC",IF(BF35="Undefined","Undefined",_xlfn.XLOOKUP(DN$7,'Product Design'!$M$6:$BM$6,'Product Design'!$M$22:$BM$22))))))</f>
        <v>Undefined</v>
      </c>
      <c r="DO35" s="325" t="str">
        <f>IF(DO$7&gt;$D$3,"",IF(BG35="OD","OD",IF(BG35="Missed","Missed",IF(BG35="TBC","TBC",IF(BG35="Undefined","Undefined",_xlfn.XLOOKUP(DO$7,'Product Design'!$M$6:$BM$6,'Product Design'!$M$22:$BM$22))))))</f>
        <v>Undefined</v>
      </c>
      <c r="DP35" s="325" t="str">
        <f>IF(DP$7&gt;$D$3,"",IF(BH35="OD","OD",IF(BH35="Missed","Missed",IF(BH35="TBC","TBC",IF(BH35="Undefined","Undefined",_xlfn.XLOOKUP(DP$7,'Product Design'!$M$6:$BM$6,'Product Design'!$M$22:$BM$22))))))</f>
        <v>Undefined</v>
      </c>
      <c r="DQ35" s="325" t="str">
        <f>IF(DQ$7&gt;$D$3,"",IF(BI35="OD","OD",IF(BI35="Missed","Missed",IF(BI35="TBC","TBC",IF(BI35="Undefined","Undefined",_xlfn.XLOOKUP(DQ$7,'Product Design'!$M$6:$BM$6,'Product Design'!$M$22:$BM$22))))))</f>
        <v>Undefined</v>
      </c>
      <c r="DR35" s="325" t="str">
        <f>IF(DR$7&gt;$D$3,"",IF(BJ35="OD","OD",IF(BJ35="Missed","Missed",IF(BJ35="TBC","TBC",IF(BJ35="Undefined","Undefined",_xlfn.XLOOKUP(DR$7,'Product Design'!$M$6:$BM$6,'Product Design'!$M$22:$BM$22))))))</f>
        <v>Undefined</v>
      </c>
      <c r="DS35" s="325" t="str">
        <f>IF(DS$7&gt;$D$3,"",IF(BK35="OD","OD",IF(BK35="Missed","Missed",IF(BK35="TBC","TBC",IF(BK35="Undefined","Undefined",_xlfn.XLOOKUP(DS$7,'Product Design'!$M$6:$BM$6,'Product Design'!$M$22:$BM$22))))))</f>
        <v>Undefined</v>
      </c>
      <c r="DT35" s="325" t="str">
        <f>IF(DT$7&gt;$D$3,"",IF(BL35="OD","OD",IF(BL35="Missed","Missed",IF(BL35="TBC","TBC",IF(BL35="Undefined","Undefined",_xlfn.XLOOKUP(DT$7,'Product Design'!$M$6:$BM$6,'Product Design'!$M$22:$BM$22))))))</f>
        <v>Undefined</v>
      </c>
      <c r="DU35" s="325" t="str">
        <f>IF(DU$7&gt;$D$3,"",IF(BM35="OD","OD",IF(BM35="Missed","Missed",IF(BM35="TBC","TBC",IF(BM35="Undefined","Undefined",_xlfn.XLOOKUP(DU$7,'Product Design'!$M$6:$BM$6,'Product Design'!$M$22:$BM$22))))))</f>
        <v>Undefined</v>
      </c>
      <c r="DV35" s="325" t="str">
        <f>IF(DV$7&gt;$D$3,"",IF(BN35="OD","OD",IF(BN35="Missed","Missed",IF(BN35="TBC","TBC",IF(BN35="Undefined","Undefined",_xlfn.XLOOKUP(DV$7,'Product Design'!$M$6:$BM$6,'Product Design'!$M$22:$BM$22))))))</f>
        <v>Undefined</v>
      </c>
      <c r="DW35" s="325" t="str">
        <f>IF(DW$7&gt;$D$3,"",IF(BO35="OD","OD",IF(BO35="Missed","Missed",IF(BO35="TBC","TBC",IF(BO35="Undefined","Undefined",_xlfn.XLOOKUP(DW$7,'Product Design'!$M$6:$BM$6,'Product Design'!$M$22:$BM$22))))))</f>
        <v>Undefined</v>
      </c>
      <c r="DX35" s="325" t="str">
        <f>IF(DX$7&gt;$D$3,"",IF(BP35="OD","OD",IF(BP35="Missed","Missed",IF(BP35="TBC","TBC",IF(BP35="Undefined","Undefined",_xlfn.XLOOKUP(DX$7,'Product Design'!$M$6:$BM$6,'Product Design'!$M$22:$BM$22))))))</f>
        <v>Undefined</v>
      </c>
      <c r="DY35" s="325" t="str">
        <f>IF(DY$7&gt;$D$3,"",IF(BQ35="OD","OD",IF(BQ35="Missed","Missed",IF(BQ35="TBC","TBC",IF(BQ35="Undefined","Undefined",_xlfn.XLOOKUP(DY$7,'Product Design'!$M$6:$BM$6,'Product Design'!$M$22:$BM$22))))))</f>
        <v>Undefined</v>
      </c>
      <c r="DZ35" s="325" t="str">
        <f>IF(DZ$7&gt;$D$3,"",IF(BR35="OD","OD",IF(BR35="Missed","Missed",IF(BR35="TBC","TBC",IF(BR35="Undefined","Undefined",_xlfn.XLOOKUP(DZ$7,'Product Design'!$M$6:$BM$6,'Product Design'!$M$22:$BM$22))))))</f>
        <v>Undefined</v>
      </c>
      <c r="EA35" s="325" t="str">
        <f>IF(EA$7&gt;$D$3,"",IF(BS35="OD","OD",IF(BS35="Missed","Missed",IF(BS35="TBC","TBC",IF(BS35="Undefined","Undefined",_xlfn.XLOOKUP(EA$7,'Product Design'!$M$6:$BM$6,'Product Design'!$M$22:$BM$22))))))</f>
        <v>Undefined</v>
      </c>
      <c r="EB35" s="325" t="str">
        <f>IF(EB$7&gt;$D$3,"",IF(BT35="OD","OD",IF(BT35="Missed","Missed",IF(BT35="TBC","TBC",IF(BT35="Undefined","Undefined",_xlfn.XLOOKUP(EB$7,'Product Design'!$M$6:$BM$6,'Product Design'!$M$22:$BM$22))))))</f>
        <v>Undefined</v>
      </c>
      <c r="EC35" s="325" t="str">
        <f>IF(EC$7&gt;$D$3,"",IF(BU35="OD","OD",IF(BU35="Missed","Missed",IF(BU35="TBC","TBC",IF(BU35="Undefined","Undefined",_xlfn.XLOOKUP(EC$7,'Product Design'!$M$6:$BM$6,'Product Design'!$M$22:$BM$22))))))</f>
        <v>Undefined</v>
      </c>
      <c r="ED35" s="325" t="str">
        <f>IF(ED$7&gt;$D$3,"",IF(BV35="OD","OD",IF(BV35="Missed","Missed",IF(BV35="TBC","TBC",IF(BV35="Undefined","Undefined",_xlfn.XLOOKUP(ED$7,'Product Design'!$M$6:$BM$6,'Product Design'!$M$22:$BM$22))))))</f>
        <v>Undefined</v>
      </c>
      <c r="EE35" s="325" t="str">
        <f>IF(EE$7&gt;$D$3,"",IF(BW35="OD","OD",IF(BW35="Missed","Missed",IF(BW35="TBC","TBC",IF(BW35="Undefined","Undefined",_xlfn.XLOOKUP(EE$7,'Product Design'!$M$6:$BM$6,'Product Design'!$M$22:$BM$22))))))</f>
        <v>Undefined</v>
      </c>
      <c r="EF35" s="325" t="str">
        <f>IF(EF$7&gt;$D$3,"",IF(BX35="OD","OD",IF(BX35="Missed","Missed",IF(BX35="TBC","TBC",IF(BX35="Undefined","Undefined",_xlfn.XLOOKUP(EF$7,'Product Design'!$M$6:$BM$6,'Product Design'!$M$22:$BM$22))))))</f>
        <v>Undefined</v>
      </c>
      <c r="EG35" s="325" t="str">
        <f>IF(EG$7&gt;$D$3,"",IF(BY35="OD","OD",IF(BY35="Missed","Missed",IF(BY35="TBC","TBC",IF(BY35="Undefined","Undefined",_xlfn.XLOOKUP(EG$7,'Product Design'!$M$6:$BM$6,'Product Design'!$M$22:$BM$22))))))</f>
        <v>Undefined</v>
      </c>
      <c r="EH35" s="325" t="str">
        <f>IF(EH$7&gt;$D$3,"",IF(BZ35="OD","OD",IF(BZ35="Missed","Missed",IF(BZ35="TBC","TBC",IF(BZ35="Undefined","Undefined",_xlfn.XLOOKUP(EH$7,'Product Design'!$M$6:$BM$6,'Product Design'!$M$22:$BM$22))))))</f>
        <v>Undefined</v>
      </c>
      <c r="EI35" s="325" t="str">
        <f>IF(EI$7&gt;$D$3,"",IF(CA35="OD","OD",IF(CA35="Missed","Missed",IF(CA35="TBC","TBC",IF(CA35="Undefined","Undefined",_xlfn.XLOOKUP(EI$7,'Product Design'!$M$6:$BM$6,'Product Design'!$M$22:$BM$22))))))</f>
        <v>Undefined</v>
      </c>
      <c r="EJ35" s="325" t="str">
        <f>IF(EJ$7&gt;$D$3,"",IF(CB35="OD","OD",IF(CB35="Missed","Missed",IF(CB35="TBC","TBC",IF(CB35="Undefined","Undefined",_xlfn.XLOOKUP(EJ$7,'Product Design'!$M$6:$BM$6,'Product Design'!$M$22:$BM$22))))))</f>
        <v>Undefined</v>
      </c>
      <c r="EK35" s="325" t="str">
        <f>IF(EK$7&gt;$D$3,"",IF(CC35="OD","OD",IF(CC35="Missed","Missed",IF(CC35="TBC","TBC",IF(CC35="Undefined","Undefined",_xlfn.XLOOKUP(EK$7,'Product Design'!$M$6:$BM$6,'Product Design'!$M$22:$BM$22))))))</f>
        <v/>
      </c>
      <c r="EL35" s="325" t="str">
        <f>IF(EL$7&gt;$D$3,"",IF(CD35="OD","OD",IF(CD35="Missed","Missed",IF(CD35="TBC","TBC",IF(CD35="Undefined","Undefined",_xlfn.XLOOKUP(EL$7,'Product Design'!$M$6:$BM$6,'Product Design'!$M$22:$BM$22))))))</f>
        <v/>
      </c>
      <c r="EM35" s="325" t="str">
        <f>IF(EM$7&gt;$D$3,"",IF(CE35="OD","OD",IF(CE35="Missed","Missed",IF(CE35="TBC","TBC",IF(CE35="Undefined","Undefined",_xlfn.XLOOKUP(EM$7,'Product Design'!$M$6:$BM$6,'Product Design'!$M$22:$BM$22))))))</f>
        <v/>
      </c>
      <c r="EN35" s="325" t="str">
        <f>IF(EN$7&gt;$D$3,"",IF(CF35="OD","OD",IF(CF35="Missed","Missed",IF(CF35="TBC","TBC",IF(CF35="Undefined","Undefined",_xlfn.XLOOKUP(EN$7,'Product Design'!$M$6:$BM$6,'Product Design'!$M$22:$BM$22))))))</f>
        <v/>
      </c>
      <c r="EO35" s="325" t="str">
        <f>IF(EO$7&gt;$D$3,"",IF(CG35="OD","OD",IF(CG35="Missed","Missed",IF(CG35="TBC","TBC",IF(CG35="Undefined","Undefined",_xlfn.XLOOKUP(EO$7,'Product Design'!$M$6:$BM$6,'Product Design'!$M$22:$BM$22))))))</f>
        <v/>
      </c>
      <c r="EP35" s="325" t="str">
        <f>IF(EP$7&gt;$D$3,"",IF(CH35="OD","OD",IF(CH35="Missed","Missed",IF(CH35="TBC","TBC",IF(CH35="Undefined","Undefined",_xlfn.XLOOKUP(EP$7,'Product Design'!$M$6:$BM$6,'Product Design'!$M$22:$BM$22))))))</f>
        <v/>
      </c>
      <c r="EQ35" s="325" t="str">
        <f>IF(EQ$7&gt;$D$3,"",IF(CI35="OD","OD",IF(CI35="Missed","Missed",IF(CI35="TBC","TBC",IF(CI35="Undefined","Undefined",_xlfn.XLOOKUP(EQ$7,'Product Design'!$M$6:$BM$6,'Product Design'!$M$22:$BM$22))))))</f>
        <v/>
      </c>
      <c r="ER35" s="325" t="str">
        <f>IF(ER$7&gt;$D$3,"",IF(CJ35="OD","OD",IF(CJ35="Missed","Missed",IF(CJ35="TBC","TBC",IF(CJ35="Undefined","Undefined",_xlfn.XLOOKUP(ER$7,'Product Design'!$M$6:$BM$6,'Product Design'!$M$22:$BM$22))))))</f>
        <v/>
      </c>
      <c r="ES35" s="325" t="str">
        <f>IF(ES$7&gt;$D$3,"",IF(CK35="OD","OD",IF(CK35="Missed","Missed",IF(CK35="TBC","TBC",IF(CK35="Undefined","Undefined",_xlfn.XLOOKUP(ES$7,'Product Design'!$M$6:$BM$6,'Product Design'!$M$22:$BM$22))))))</f>
        <v/>
      </c>
      <c r="ET35" s="325" t="str">
        <f>IF(ET$7&gt;$D$3,"",IF(CL35="OD","OD",IF(CL35="Missed","Missed",IF(CL35="TBC","TBC",IF(CL35="Undefined","Undefined",_xlfn.XLOOKUP(ET$7,'Product Design'!$M$6:$BM$6,'Product Design'!$M$22:$BM$22))))))</f>
        <v/>
      </c>
      <c r="EU35" s="325" t="str">
        <f>IF(EU$7&gt;$D$3,"",IF(CM35="OD","OD",IF(CM35="Missed","Missed",IF(CM35="TBC","TBC",IF(CM35="Undefined","Undefined",_xlfn.XLOOKUP(EU$7,'Product Design'!$M$6:$BM$6,'Product Design'!$M$22:$BM$22))))))</f>
        <v/>
      </c>
      <c r="EW35" s="465" t="str">
        <f>+$A35</f>
        <v>Product Design-KPI C1</v>
      </c>
      <c r="EX35" s="138" t="str">
        <f>+$C35</f>
        <v>KPI C1</v>
      </c>
      <c r="EY35" s="146" t="str">
        <f>+$D35</f>
        <v>Cost</v>
      </c>
      <c r="EZ35" s="146" t="str">
        <f t="shared" si="91"/>
        <v>Needs defining</v>
      </c>
      <c r="FA35" s="147" t="str">
        <f t="shared" si="92"/>
        <v>Undefined</v>
      </c>
      <c r="FB35" s="147" t="s">
        <v>251</v>
      </c>
      <c r="FC35" s="213" t="str">
        <f>IF(FC$7&gt;$D$3,"",IF($FA30&lt;FC$7,"OD",_xlfn.XLOOKUP(FC$7,'Product Design'!$M$6:$BM$6,'Product Design'!$M$21:$BM$21)))</f>
        <v>Blank</v>
      </c>
      <c r="FD35" s="213" t="str">
        <f>IF(FD$7&gt;$D$3,"",IF($FA30&lt;FD$7,"OD",_xlfn.XLOOKUP(FD$7,'Product Design'!$M$6:$BM$6,'Product Design'!$M$21:$BM$21)))</f>
        <v>Undefined</v>
      </c>
      <c r="FE35" s="213" t="str">
        <f>IF(FE$7&gt;$D$3,"",IF($FA30&lt;FE$7,"OD",_xlfn.XLOOKUP(FE$7,'Product Design'!$M$6:$BM$6,'Product Design'!$M$21:$BM$21)))</f>
        <v>Undefined</v>
      </c>
      <c r="FF35" s="213" t="str">
        <f>IF(FF$7&gt;$D$3,"",IF($FA30&lt;FF$7,"OD",_xlfn.XLOOKUP(FF$7,'Product Design'!$M$6:$BM$6,'Product Design'!$M$21:$BM$21)))</f>
        <v>Undefined</v>
      </c>
      <c r="FG35" s="213" t="str">
        <f>IF(FG$7&gt;$D$3,"",IF($FA30&lt;FG$7,"OD",_xlfn.XLOOKUP(FG$7,'Product Design'!$M$6:$BM$6,'Product Design'!$M$21:$BM$21)))</f>
        <v>Undefined</v>
      </c>
      <c r="FH35" s="213" t="str">
        <f>IF(FH$7&gt;$D$3,"",IF($FA30&lt;FH$7,"OD",_xlfn.XLOOKUP(FH$7,'Product Design'!$M$6:$BM$6,'Product Design'!$M$21:$BM$21)))</f>
        <v>Undefined</v>
      </c>
      <c r="FI35" s="213" t="str">
        <f>IF(FI$7&gt;$D$3,"",IF($FA30&lt;FI$7,"OD",_xlfn.XLOOKUP(FI$7,'Product Design'!$M$6:$BM$6,'Product Design'!$M$21:$BM$21)))</f>
        <v>Undefined</v>
      </c>
      <c r="FJ35" s="213" t="str">
        <f>IF(FJ$7&gt;$D$3,"",IF($FA30&lt;FJ$7,"OD",_xlfn.XLOOKUP(FJ$7,'Product Design'!$M$6:$BM$6,'Product Design'!$M$21:$BM$21)))</f>
        <v>Undefined</v>
      </c>
      <c r="FK35" s="213" t="str">
        <f>IF(FK$7&gt;$D$3,"",IF($FA30&lt;FK$7,"OD",_xlfn.XLOOKUP(FK$7,'Product Design'!$M$6:$BM$6,'Product Design'!$M$21:$BM$21)))</f>
        <v>Undefined</v>
      </c>
      <c r="FL35" s="213" t="str">
        <f>IF(FL$7&gt;$D$3,"",IF($FA30&lt;FL$7,"OD",_xlfn.XLOOKUP(FL$7,'Product Design'!$M$6:$BM$6,'Product Design'!$M$21:$BM$21)))</f>
        <v>Undefined</v>
      </c>
      <c r="FM35" s="213" t="str">
        <f>IF(FM$7&gt;$D$3,"",IF($FA30&lt;FM$7,"OD",_xlfn.XLOOKUP(FM$7,'Product Design'!$M$6:$BM$6,'Product Design'!$M$21:$BM$21)))</f>
        <v>Undefined</v>
      </c>
      <c r="FN35" s="213" t="str">
        <f>IF(FN$7&gt;$D$3,"",IF($FA30&lt;FN$7,"OD",_xlfn.XLOOKUP(FN$7,'Product Design'!$M$6:$BM$6,'Product Design'!$M$21:$BM$21)))</f>
        <v>Undefined</v>
      </c>
      <c r="FO35" s="213" t="str">
        <f>IF(FO$7&gt;$D$3,"",IF($FA30&lt;FO$7,"OD",_xlfn.XLOOKUP(FO$7,'Product Design'!$M$6:$BM$6,'Product Design'!$M$21:$BM$21)))</f>
        <v>Undefined</v>
      </c>
      <c r="FP35" s="213" t="str">
        <f>IF(FP$7&gt;$D$3,"",IF($FA30&lt;FP$7,"OD",_xlfn.XLOOKUP(FP$7,'Product Design'!$M$6:$BM$6,'Product Design'!$M$21:$BM$21)))</f>
        <v>Undefined</v>
      </c>
      <c r="FQ35" s="213" t="str">
        <f>IF(FQ$7&gt;$D$3,"",IF($FA30&lt;FQ$7,"OD",_xlfn.XLOOKUP(FQ$7,'Product Design'!$M$6:$BM$6,'Product Design'!$M$21:$BM$21)))</f>
        <v>Undefined</v>
      </c>
      <c r="FR35" s="213" t="str">
        <f>IF(FR$7&gt;$D$3,"",IF($FA30&lt;FR$7,"OD",_xlfn.XLOOKUP(FR$7,'Product Design'!$M$6:$BM$6,'Product Design'!$M$21:$BM$21)))</f>
        <v>Undefined</v>
      </c>
      <c r="FS35" s="213" t="str">
        <f>IF(FS$7&gt;$D$3,"",IF($FA30&lt;FS$7,"OD",_xlfn.XLOOKUP(FS$7,'Product Design'!$M$6:$BM$6,'Product Design'!$M$21:$BM$21)))</f>
        <v>Undefined</v>
      </c>
      <c r="FT35" s="213" t="str">
        <f>IF(FT$7&gt;$D$3,"",IF($FA30&lt;FT$7,"OD",_xlfn.XLOOKUP(FT$7,'Product Design'!$M$6:$BM$6,'Product Design'!$M$21:$BM$21)))</f>
        <v>Undefined</v>
      </c>
      <c r="FU35" s="213" t="str">
        <f>IF(FU$7&gt;$D$3,"",IF($FA30&lt;FU$7,"OD",_xlfn.XLOOKUP(FU$7,'Product Design'!$M$6:$BM$6,'Product Design'!$M$21:$BM$21)))</f>
        <v>Undefined</v>
      </c>
      <c r="FV35" s="213" t="str">
        <f>IF(FV$7&gt;$D$3,"",IF($FA30&lt;FV$7,"OD",_xlfn.XLOOKUP(FV$7,'Product Design'!$M$6:$BM$6,'Product Design'!$M$21:$BM$21)))</f>
        <v>Undefined</v>
      </c>
      <c r="FW35" s="213" t="str">
        <f>IF(FW$7&gt;$D$3,"",IF($FA30&lt;FW$7,"OD",_xlfn.XLOOKUP(FW$7,'Product Design'!$M$6:$BM$6,'Product Design'!$M$21:$BM$21)))</f>
        <v>Undefined</v>
      </c>
      <c r="FX35" s="213" t="str">
        <f>IF(FX$7&gt;$D$3,"",IF($FA30&lt;FX$7,"OD",_xlfn.XLOOKUP(FX$7,'Product Design'!$M$6:$BM$6,'Product Design'!$M$21:$BM$21)))</f>
        <v>Undefined</v>
      </c>
      <c r="FY35" s="213" t="str">
        <f>IF(FY$7&gt;$D$3,"",IF($FA30&lt;FY$7,"OD",_xlfn.XLOOKUP(FY$7,'Product Design'!$M$6:$BM$6,'Product Design'!$M$21:$BM$21)))</f>
        <v>Undefined</v>
      </c>
      <c r="FZ35" s="213" t="str">
        <f>IF(FZ$7&gt;$D$3,"",IF($FA30&lt;FZ$7,"OD",_xlfn.XLOOKUP(FZ$7,'Product Design'!$M$6:$BM$6,'Product Design'!$M$21:$BM$21)))</f>
        <v>undefined</v>
      </c>
      <c r="GA35" s="213" t="str">
        <f>IF(GA$7&gt;$D$3,"",IF($FA30&lt;GA$7,"OD",_xlfn.XLOOKUP(GA$7,'Product Design'!$M$6:$BM$6,'Product Design'!$M$21:$BM$21)))</f>
        <v>undefined</v>
      </c>
      <c r="GB35" s="213" t="str">
        <f>IF(GB$7&gt;$D$3,"",IF($FA30&lt;GB$7,"OD",_xlfn.XLOOKUP(GB$7,'Product Design'!$M$6:$BM$6,'Product Design'!$M$21:$BM$21)))</f>
        <v>undefined</v>
      </c>
      <c r="GC35" s="213" t="str">
        <f>IF(GC$7&gt;$D$3,"",IF($FA30&lt;GC$7,"OD",_xlfn.XLOOKUP(GC$7,'Product Design'!$M$6:$BM$6,'Product Design'!$M$21:$BM$21)))</f>
        <v>undefined</v>
      </c>
      <c r="GD35" s="213" t="str">
        <f>IF(GD$7&gt;$D$3,"",IF($FA30&lt;GD$7,"OD",_xlfn.XLOOKUP(GD$7,'Product Design'!$M$6:$BM$6,'Product Design'!$M$21:$BM$21)))</f>
        <v>undefined</v>
      </c>
      <c r="GE35" s="213" t="str">
        <f>IF(GE$7&gt;$D$3,"",IF($FA30&lt;GE$7,"OD",_xlfn.XLOOKUP(GE$7,'Product Design'!$M$6:$BM$6,'Product Design'!$M$21:$BM$21)))</f>
        <v>undefined</v>
      </c>
      <c r="GF35" s="213" t="str">
        <f>IF(GF$7&gt;$D$3,"",IF($FA30&lt;GF$7,"OD",_xlfn.XLOOKUP(GF$7,'Product Design'!$M$6:$BM$6,'Product Design'!$M$21:$BM$21)))</f>
        <v>undefined</v>
      </c>
      <c r="GG35" s="213" t="str">
        <f>IF(GG$7&gt;$D$3,"",IF($FA30&lt;GG$7,"OD",_xlfn.XLOOKUP(GG$7,'Product Design'!$M$6:$BM$6,'Product Design'!$M$21:$BM$21)))</f>
        <v>undefined</v>
      </c>
      <c r="GH35" s="213" t="str">
        <f>IF(GH$7&gt;$D$3,"",IF($FA30&lt;GH$7,"OD",_xlfn.XLOOKUP(GH$7,'Product Design'!$M$6:$BM$6,'Product Design'!$M$21:$BM$21)))</f>
        <v>undefined</v>
      </c>
      <c r="GI35" s="213" t="str">
        <f>IF(GI$7&gt;$D$3,"",IF($FA30&lt;GI$7,"OD",_xlfn.XLOOKUP(GI$7,'Product Design'!$M$6:$BM$6,'Product Design'!$M$21:$BM$21)))</f>
        <v>undefined</v>
      </c>
      <c r="GJ35" s="213" t="str">
        <f>IF(GJ$7&gt;$D$3,"",IF($FA30&lt;GJ$7,"OD",_xlfn.XLOOKUP(GJ$7,'Product Design'!$M$6:$BM$6,'Product Design'!$M$21:$BM$21)))</f>
        <v>undefined</v>
      </c>
      <c r="GK35" s="213" t="str">
        <f>IF(GK$7&gt;$D$3,"",IF($FA30&lt;GK$7,"OD",_xlfn.XLOOKUP(GK$7,'Product Design'!$M$6:$BM$6,'Product Design'!$M$21:$BM$21)))</f>
        <v>undefined</v>
      </c>
      <c r="GL35" s="213" t="str">
        <f>IF(GL$7&gt;$D$3,"",IF($FA30&lt;GL$7,"OD",_xlfn.XLOOKUP(GL$7,'Product Design'!$M$6:$BM$6,'Product Design'!$M$21:$BM$21)))</f>
        <v>undefined</v>
      </c>
      <c r="GM35" s="213" t="str">
        <f>IF(GM$7&gt;$D$3,"",IF($FA30&lt;GM$7,"OD",_xlfn.XLOOKUP(GM$7,'Product Design'!$M$6:$BM$6,'Product Design'!$M$21:$BM$21)))</f>
        <v>undefined</v>
      </c>
      <c r="GN35" s="213" t="str">
        <f>IF(GN$7&gt;$D$3,"",IF($FA30&lt;GN$7,"OD",_xlfn.XLOOKUP(GN$7,'Product Design'!$M$6:$BM$6,'Product Design'!$M$21:$BM$21)))</f>
        <v>undefined</v>
      </c>
      <c r="GO35" s="213" t="str">
        <f>IF(GO$7&gt;$D$3,"",IF($FA30&lt;GO$7,"OD",_xlfn.XLOOKUP(GO$7,'Product Design'!$M$6:$BM$6,'Product Design'!$M$21:$BM$21)))</f>
        <v>undefined</v>
      </c>
      <c r="GP35" s="213" t="str">
        <f>IF(GP$7&gt;$D$3,"",IF($FA30&lt;GP$7,"OD",_xlfn.XLOOKUP(GP$7,'Product Design'!$M$6:$BM$6,'Product Design'!$M$21:$BM$21)))</f>
        <v>undefined</v>
      </c>
      <c r="GQ35" s="213" t="str">
        <f>IF(GQ$7&gt;$D$3,"",IF($FA30&lt;GQ$7,"OD",_xlfn.XLOOKUP(GQ$7,'Product Design'!$M$6:$BM$6,'Product Design'!$M$21:$BM$21)))</f>
        <v>undefined</v>
      </c>
      <c r="GR35" s="213" t="str">
        <f>IF(GR$7&gt;$D$3,"",IF($FA30&lt;GR$7,"OD",_xlfn.XLOOKUP(GR$7,'Product Design'!$M$6:$BM$6,'Product Design'!$M$21:$BM$21)))</f>
        <v>undefined</v>
      </c>
      <c r="GS35" s="213" t="str">
        <f>IF(GS$7&gt;$D$3,"",IF($FA30&lt;GS$7,"OD",_xlfn.XLOOKUP(GS$7,'Product Design'!$M$6:$BM$6,'Product Design'!$M$21:$BM$21)))</f>
        <v/>
      </c>
      <c r="GT35" s="213" t="str">
        <f>IF(GT$7&gt;$D$3,"",IF($FA30&lt;GT$7,"OD",_xlfn.XLOOKUP(GT$7,'Product Design'!$M$6:$BM$6,'Product Design'!$M$21:$BM$21)))</f>
        <v/>
      </c>
      <c r="GU35" s="213" t="str">
        <f>IF(GU$7&gt;$D$3,"",IF($FA30&lt;GU$7,"OD",_xlfn.XLOOKUP(GU$7,'Product Design'!$M$6:$BM$6,'Product Design'!$M$21:$BM$21)))</f>
        <v/>
      </c>
      <c r="GV35" s="213" t="str">
        <f>IF(GV$7&gt;$D$3,"",IF($FA30&lt;GV$7,"OD",_xlfn.XLOOKUP(GV$7,'Product Design'!$M$6:$BM$6,'Product Design'!$M$21:$BM$21)))</f>
        <v/>
      </c>
      <c r="GW35" s="213" t="str">
        <f>IF(GW$7&gt;$D$3,"",IF($FA30&lt;GW$7,"OD",_xlfn.XLOOKUP(GW$7,'Product Design'!$M$6:$BM$6,'Product Design'!$M$21:$BM$21)))</f>
        <v/>
      </c>
      <c r="GX35" s="213" t="str">
        <f>IF(GX$7&gt;$D$3,"",IF($FA30&lt;GX$7,"OD",_xlfn.XLOOKUP(GX$7,'Product Design'!$M$6:$BM$6,'Product Design'!$M$21:$BM$21)))</f>
        <v/>
      </c>
      <c r="GY35" s="213" t="str">
        <f>IF(GY$7&gt;$D$3,"",IF($FA30&lt;GY$7,"OD",_xlfn.XLOOKUP(GY$7,'Product Design'!$M$6:$BM$6,'Product Design'!$M$21:$BM$21)))</f>
        <v/>
      </c>
      <c r="GZ35" s="213" t="str">
        <f>IF(GZ$7&gt;$D$3,"",IF($FA30&lt;GZ$7,"OD",_xlfn.XLOOKUP(GZ$7,'Product Design'!$M$6:$BM$6,'Product Design'!$M$21:$BM$21)))</f>
        <v/>
      </c>
      <c r="HA35" s="213" t="str">
        <f>IF(HA$7&gt;$D$3,"",IF($FA30&lt;HA$7,"OD",_xlfn.XLOOKUP(HA$7,'Product Design'!$M$6:$BM$6,'Product Design'!$M$21:$BM$21)))</f>
        <v/>
      </c>
      <c r="HB35" s="213" t="str">
        <f>IF(HB$7&gt;$D$3,"",IF($FA30&lt;HB$7,"OD",_xlfn.XLOOKUP(HB$7,'Product Design'!$M$6:$BM$6,'Product Design'!$M$21:$BM$21)))</f>
        <v/>
      </c>
      <c r="HC35" s="213" t="str">
        <f>IF(HC$7&gt;$D$3,"",IF($FA30&lt;HC$7,"OD",_xlfn.XLOOKUP(HC$7,'Product Design'!$M$6:$BM$6,'Product Design'!$M$21:$BM$21)))</f>
        <v/>
      </c>
      <c r="HE35" s="138" t="str">
        <f>+$C35</f>
        <v>KPI C1</v>
      </c>
      <c r="HF35" s="146" t="str">
        <f>+$D35</f>
        <v>Cost</v>
      </c>
      <c r="HG35" s="146" t="str">
        <f t="shared" si="95"/>
        <v>Needs defining</v>
      </c>
      <c r="HH35" s="147" t="str">
        <f t="shared" si="96"/>
        <v>Undefined</v>
      </c>
      <c r="HI35" s="147" t="s">
        <v>44</v>
      </c>
      <c r="HJ35" s="213" t="s">
        <v>122</v>
      </c>
      <c r="HK35" s="213">
        <f>IF(HK$7&gt;$D$3,"",IF($FA30&lt;HK$7,"OD",_xlfn.XLOOKUP(HK$7,'Product Design'!$M$6:$BM$6,'Product Design'!$M$20:$BM$20)))</f>
        <v>0</v>
      </c>
      <c r="HL35" s="213">
        <f>IF(HL$7&gt;$D$3,"",IF($FA30&lt;HL$7,"OD",_xlfn.XLOOKUP(HL$7,'Product Design'!$M$6:$BM$6,'Product Design'!$M$20:$BM$20)))</f>
        <v>0</v>
      </c>
      <c r="HM35" s="213">
        <f>IF(HM$7&gt;$D$3,"",IF($FA30&lt;HM$7,"OD",_xlfn.XLOOKUP(HM$7,'Product Design'!$M$6:$BM$6,'Product Design'!$M$20:$BM$20)))</f>
        <v>0</v>
      </c>
      <c r="HN35" s="213">
        <f>IF(HN$7&gt;$D$3,"",IF($FA30&lt;HN$7,"OD",_xlfn.XLOOKUP(HN$7,'Product Design'!$M$6:$BM$6,'Product Design'!$M$20:$BM$20)))</f>
        <v>0</v>
      </c>
      <c r="HO35" s="213">
        <f>IF(HO$7&gt;$D$3,"",IF($FA30&lt;HO$7,"OD",_xlfn.XLOOKUP(HO$7,'Product Design'!$M$6:$BM$6,'Product Design'!$M$20:$BM$20)))</f>
        <v>0</v>
      </c>
      <c r="HP35" s="213">
        <f>IF(HP$7&gt;$D$3,"",IF($FA30&lt;HP$7,"OD",_xlfn.XLOOKUP(HP$7,'Product Design'!$M$6:$BM$6,'Product Design'!$M$20:$BM$20)))</f>
        <v>0</v>
      </c>
      <c r="HQ35" s="213">
        <f>IF(HQ$7&gt;$D$3,"",IF($FA30&lt;HQ$7,"OD",_xlfn.XLOOKUP(HQ$7,'Product Design'!$M$6:$BM$6,'Product Design'!$M$20:$BM$20)))</f>
        <v>0</v>
      </c>
      <c r="HR35" s="213">
        <f>IF(HR$7&gt;$D$3,"",IF($FA30&lt;HR$7,"OD",_xlfn.XLOOKUP(HR$7,'Product Design'!$M$6:$BM$6,'Product Design'!$M$20:$BM$20)))</f>
        <v>0</v>
      </c>
      <c r="HS35" s="213">
        <f>IF(HS$7&gt;$D$3,"",IF($FA30&lt;HS$7,"OD",_xlfn.XLOOKUP(HS$7,'Product Design'!$M$6:$BM$6,'Product Design'!$M$20:$BM$20)))</f>
        <v>0</v>
      </c>
      <c r="HT35" s="213">
        <f>IF(HT$7&gt;$D$3,"",IF($FA30&lt;HT$7,"OD",_xlfn.XLOOKUP(HT$7,'Product Design'!$M$6:$BM$6,'Product Design'!$M$20:$BM$20)))</f>
        <v>0</v>
      </c>
      <c r="HU35" s="213">
        <f>IF(HU$7&gt;$D$3,"",IF($FA30&lt;HU$7,"OD",_xlfn.XLOOKUP(HU$7,'Product Design'!$M$6:$BM$6,'Product Design'!$M$20:$BM$20)))</f>
        <v>0</v>
      </c>
      <c r="HV35" s="213">
        <f>IF(HV$7&gt;$D$3,"",IF($FA30&lt;HV$7,"OD",_xlfn.XLOOKUP(HV$7,'Product Design'!$M$6:$BM$6,'Product Design'!$M$20:$BM$20)))</f>
        <v>0</v>
      </c>
      <c r="HW35" s="213">
        <f>IF(HW$7&gt;$D$3,"",IF($FA30&lt;HW$7,"OD",_xlfn.XLOOKUP(HW$7,'Product Design'!$M$6:$BM$6,'Product Design'!$M$20:$BM$20)))</f>
        <v>0</v>
      </c>
      <c r="HX35" s="213">
        <f>IF(HX$7&gt;$D$3,"",IF($FA30&lt;HX$7,"OD",_xlfn.XLOOKUP(HX$7,'Product Design'!$M$6:$BM$6,'Product Design'!$M$20:$BM$20)))</f>
        <v>0</v>
      </c>
      <c r="HY35" s="213">
        <f>IF(HY$7&gt;$D$3,"",IF($FA30&lt;HY$7,"OD",_xlfn.XLOOKUP(HY$7,'Product Design'!$M$6:$BM$6,'Product Design'!$M$20:$BM$20)))</f>
        <v>0</v>
      </c>
      <c r="HZ35" s="213">
        <f>IF(HZ$7&gt;$D$3,"",IF($FA30&lt;HZ$7,"OD",_xlfn.XLOOKUP(HZ$7,'Product Design'!$M$6:$BM$6,'Product Design'!$M$20:$BM$20)))</f>
        <v>0</v>
      </c>
      <c r="IA35" s="213">
        <f>IF(IA$7&gt;$D$3,"",IF($FA30&lt;IA$7,"OD",_xlfn.XLOOKUP(IA$7,'Product Design'!$M$6:$BM$6,'Product Design'!$M$20:$BM$20)))</f>
        <v>0</v>
      </c>
      <c r="IB35" s="213">
        <f>IF(IB$7&gt;$D$3,"",IF($FA30&lt;IB$7,"OD",_xlfn.XLOOKUP(IB$7,'Product Design'!$M$6:$BM$6,'Product Design'!$M$20:$BM$20)))</f>
        <v>0</v>
      </c>
      <c r="IC35" s="213">
        <f>IF(IC$7&gt;$D$3,"",IF($FA30&lt;IC$7,"OD",_xlfn.XLOOKUP(IC$7,'Product Design'!$M$6:$BM$6,'Product Design'!$M$20:$BM$20)))</f>
        <v>0</v>
      </c>
      <c r="ID35" s="213">
        <f>IF(ID$7&gt;$D$3,"",IF($FA30&lt;ID$7,"OD",_xlfn.XLOOKUP(ID$7,'Product Design'!$M$6:$BM$6,'Product Design'!$M$20:$BM$20)))</f>
        <v>0</v>
      </c>
      <c r="IE35" s="213">
        <f>IF(IE$7&gt;$D$3,"",IF($FA30&lt;IE$7,"OD",_xlfn.XLOOKUP(IE$7,'Product Design'!$M$6:$BM$6,'Product Design'!$M$20:$BM$20)))</f>
        <v>0</v>
      </c>
      <c r="IF35" s="213">
        <f>IF(IF$7&gt;$D$3,"",IF($FA30&lt;IF$7,"OD",_xlfn.XLOOKUP(IF$7,'Product Design'!$M$6:$BM$6,'Product Design'!$M$20:$BM$20)))</f>
        <v>0</v>
      </c>
      <c r="IG35" s="213" t="str">
        <f>IF(IG$7&gt;$D$3,"",IF($FA30&lt;IG$7,"OD",_xlfn.XLOOKUP(IG$7,'Product Design'!$M$6:$BM$6,'Product Design'!$M$20:$BM$20)))</f>
        <v>Undefined</v>
      </c>
      <c r="IH35" s="213" t="str">
        <f>IF(IH$7&gt;$D$3,"",IF($FA30&lt;IH$7,"OD",_xlfn.XLOOKUP(IH$7,'Product Design'!$M$6:$BM$6,'Product Design'!$M$20:$BM$20)))</f>
        <v>Undefined</v>
      </c>
      <c r="II35" s="213" t="str">
        <f>IF(II$7&gt;$D$3,"",IF($FA30&lt;II$7,"OD",_xlfn.XLOOKUP(II$7,'Product Design'!$M$6:$BM$6,'Product Design'!$M$20:$BM$20)))</f>
        <v>Undefined</v>
      </c>
      <c r="IJ35" s="213" t="str">
        <f>IF(IJ$7&gt;$D$3,"",IF($FA30&lt;IJ$7,"OD",_xlfn.XLOOKUP(IJ$7,'Product Design'!$M$6:$BM$6,'Product Design'!$M$20:$BM$20)))</f>
        <v>Undefined</v>
      </c>
      <c r="IK35" s="213" t="str">
        <f>IF(IK$7&gt;$D$3,"",IF($FA30&lt;IK$7,"OD",_xlfn.XLOOKUP(IK$7,'Product Design'!$M$6:$BM$6,'Product Design'!$M$20:$BM$20)))</f>
        <v>Undefined</v>
      </c>
      <c r="IL35" s="213" t="str">
        <f>IF(IL$7&gt;$D$3,"",IF($FA30&lt;IL$7,"OD",_xlfn.XLOOKUP(IL$7,'Product Design'!$M$6:$BM$6,'Product Design'!$M$20:$BM$20)))</f>
        <v>Undefined</v>
      </c>
      <c r="IM35" s="213" t="str">
        <f>IF(IM$7&gt;$D$3,"",IF($FA30&lt;IM$7,"OD",_xlfn.XLOOKUP(IM$7,'Product Design'!$M$6:$BM$6,'Product Design'!$M$20:$BM$20)))</f>
        <v>Undefined</v>
      </c>
      <c r="IN35" s="213" t="str">
        <f>IF(IN$7&gt;$D$3,"",IF($FA30&lt;IN$7,"OD",_xlfn.XLOOKUP(IN$7,'Product Design'!$M$6:$BM$6,'Product Design'!$M$20:$BM$20)))</f>
        <v>Undefined</v>
      </c>
      <c r="IO35" s="213" t="str">
        <f>IF(IO$7&gt;$D$3,"",IF($FA30&lt;IO$7,"OD",_xlfn.XLOOKUP(IO$7,'Product Design'!$M$6:$BM$6,'Product Design'!$M$20:$BM$20)))</f>
        <v>Undefined</v>
      </c>
      <c r="IP35" s="213" t="str">
        <f>IF(IP$7&gt;$D$3,"",IF($FA30&lt;IP$7,"OD",_xlfn.XLOOKUP(IP$7,'Product Design'!$M$6:$BM$6,'Product Design'!$M$20:$BM$20)))</f>
        <v>Undefined</v>
      </c>
      <c r="IQ35" s="213" t="str">
        <f>IF(IQ$7&gt;$D$3,"",IF($FA30&lt;IQ$7,"OD",_xlfn.XLOOKUP(IQ$7,'Product Design'!$M$6:$BM$6,'Product Design'!$M$20:$BM$20)))</f>
        <v>Undefined</v>
      </c>
      <c r="IR35" s="213" t="str">
        <f>IF(IR$7&gt;$D$3,"",IF($FA30&lt;IR$7,"OD",_xlfn.XLOOKUP(IR$7,'Product Design'!$M$6:$BM$6,'Product Design'!$M$20:$BM$20)))</f>
        <v>Undefined</v>
      </c>
      <c r="IS35" s="213" t="str">
        <f>IF(IS$7&gt;$D$3,"",IF($FA30&lt;IS$7,"OD",_xlfn.XLOOKUP(IS$7,'Product Design'!$M$6:$BM$6,'Product Design'!$M$20:$BM$20)))</f>
        <v>Undefined</v>
      </c>
      <c r="IT35" s="213" t="str">
        <f>IF(IT$7&gt;$D$3,"",IF($FA30&lt;IT$7,"OD",_xlfn.XLOOKUP(IT$7,'Product Design'!$M$6:$BM$6,'Product Design'!$M$20:$BM$20)))</f>
        <v>Undefined</v>
      </c>
      <c r="IU35" s="213" t="str">
        <f>IF(IU$7&gt;$D$3,"",IF($FA30&lt;IU$7,"OD",_xlfn.XLOOKUP(IU$7,'Product Design'!$M$6:$BM$6,'Product Design'!$M$20:$BM$20)))</f>
        <v>Undefined</v>
      </c>
      <c r="IV35" s="213" t="str">
        <f>IF(IV$7&gt;$D$3,"",IF($FA30&lt;IV$7,"OD",_xlfn.XLOOKUP(IV$7,'Product Design'!$M$6:$BM$6,'Product Design'!$M$20:$BM$20)))</f>
        <v>Undefined</v>
      </c>
      <c r="IW35" s="213" t="str">
        <f>IF(IW$7&gt;$D$3,"",IF($FA30&lt;IW$7,"OD",_xlfn.XLOOKUP(IW$7,'Product Design'!$M$6:$BM$6,'Product Design'!$M$20:$BM$20)))</f>
        <v>Undefined</v>
      </c>
      <c r="IX35" s="213" t="str">
        <f>IF(IX$7&gt;$D$3,"",IF($FA30&lt;IX$7,"OD",_xlfn.XLOOKUP(IX$7,'Product Design'!$M$6:$BM$6,'Product Design'!$M$20:$BM$20)))</f>
        <v>Undefined</v>
      </c>
      <c r="IY35" s="213" t="str">
        <f>IF(IY$7&gt;$D$3,"",IF($FA30&lt;IY$7,"OD",_xlfn.XLOOKUP(IY$7,'Product Design'!$M$6:$BM$6,'Product Design'!$M$20:$BM$20)))</f>
        <v>Undefined</v>
      </c>
      <c r="IZ35" s="213" t="str">
        <f>IF(IZ$7&gt;$D$3,"",IF($FA30&lt;IZ$7,"OD",_xlfn.XLOOKUP(IZ$7,'Product Design'!$M$6:$BM$6,'Product Design'!$M$20:$BM$20)))</f>
        <v/>
      </c>
      <c r="JA35" s="213" t="str">
        <f>IF(JA$7&gt;$D$3,"",IF($FA30&lt;JA$7,"OD",_xlfn.XLOOKUP(JA$7,'Product Design'!$M$6:$BM$6,'Product Design'!$M$20:$BM$20)))</f>
        <v/>
      </c>
      <c r="JB35" s="213" t="str">
        <f>IF(JB$7&gt;$D$3,"",IF($FA30&lt;JB$7,"OD",_xlfn.XLOOKUP(JB$7,'Product Design'!$M$6:$BM$6,'Product Design'!$M$20:$BM$20)))</f>
        <v/>
      </c>
      <c r="JC35" s="213" t="str">
        <f>IF(JC$7&gt;$D$3,"",IF($FA30&lt;JC$7,"OD",_xlfn.XLOOKUP(JC$7,'Product Design'!$M$6:$BM$6,'Product Design'!$M$20:$BM$20)))</f>
        <v/>
      </c>
      <c r="JD35" s="213" t="str">
        <f>IF(JD$7&gt;$D$3,"",IF($FA30&lt;JD$7,"OD",_xlfn.XLOOKUP(JD$7,'Product Design'!$M$6:$BM$6,'Product Design'!$M$20:$BM$20)))</f>
        <v/>
      </c>
      <c r="JE35" s="213" t="str">
        <f>IF(JE$7&gt;$D$3,"",IF($FA30&lt;JE$7,"OD",_xlfn.XLOOKUP(JE$7,'Product Design'!$M$6:$BM$6,'Product Design'!$M$20:$BM$20)))</f>
        <v/>
      </c>
      <c r="JF35" s="213" t="str">
        <f>IF(JF$7&gt;$D$3,"",IF($FA30&lt;JF$7,"OD",_xlfn.XLOOKUP(JF$7,'Product Design'!$M$6:$BM$6,'Product Design'!$M$20:$BM$20)))</f>
        <v/>
      </c>
      <c r="JG35" s="213" t="str">
        <f>IF(JG$7&gt;$D$3,"",IF($FA30&lt;JG$7,"OD",_xlfn.XLOOKUP(JG$7,'Product Design'!$M$6:$BM$6,'Product Design'!$M$20:$BM$20)))</f>
        <v/>
      </c>
      <c r="JH35" s="213" t="str">
        <f>IF(JH$7&gt;$D$3,"",IF($FA30&lt;JH$7,"OD",_xlfn.XLOOKUP(JH$7,'Product Design'!$M$6:$BM$6,'Product Design'!$M$20:$BM$20)))</f>
        <v/>
      </c>
      <c r="JI35" s="213" t="str">
        <f>IF(JI$7&gt;$D$3,"",IF($FA30&lt;JI$7,"OD",_xlfn.XLOOKUP(JI$7,'Product Design'!$M$6:$BM$6,'Product Design'!$M$20:$BM$20)))</f>
        <v/>
      </c>
      <c r="JJ35" s="213" t="str">
        <f>IF(JJ$7&gt;$D$3,"",IF($FA30&lt;JJ$7,"OD",_xlfn.XLOOKUP(JJ$7,'Product Design'!$M$6:$BM$6,'Product Design'!$M$20:$BM$20)))</f>
        <v/>
      </c>
      <c r="JM35" s="138" t="str">
        <f>+$C35</f>
        <v>KPI C1</v>
      </c>
      <c r="JN35" s="146" t="str">
        <f>+$D35</f>
        <v>Cost</v>
      </c>
      <c r="JO35" s="146" t="str">
        <f t="shared" si="100"/>
        <v>Needs defining</v>
      </c>
      <c r="JP35" s="147" t="str">
        <f t="shared" si="101"/>
        <v>Undefined</v>
      </c>
      <c r="JQ35" s="147" t="s">
        <v>284</v>
      </c>
      <c r="JR35" s="227" t="str">
        <f>IFERROR(AVERAGE(FC35:$FC35),"")</f>
        <v/>
      </c>
      <c r="JS35" s="227" t="str">
        <f>IFERROR(AVERAGE($FC35:FD35),"")</f>
        <v/>
      </c>
      <c r="JT35" s="227" t="str">
        <f>IFERROR(AVERAGE($FC35:FE35),"")</f>
        <v/>
      </c>
      <c r="JU35" s="227" t="str">
        <f>IFERROR(AVERAGE($FC35:FF35),"")</f>
        <v/>
      </c>
      <c r="JV35" s="227" t="str">
        <f>IFERROR(AVERAGE($FC35:FG35),"")</f>
        <v/>
      </c>
      <c r="JW35" s="227" t="str">
        <f>IFERROR(AVERAGE($FC35:FH35),"")</f>
        <v/>
      </c>
      <c r="JX35" s="227" t="str">
        <f>IFERROR(AVERAGE($FC35:FI35),"")</f>
        <v/>
      </c>
      <c r="JY35" s="227" t="str">
        <f>IFERROR(AVERAGE($FC35:FJ35),"")</f>
        <v/>
      </c>
      <c r="JZ35" s="227" t="str">
        <f>IFERROR(AVERAGE($FC35:FK35),"")</f>
        <v/>
      </c>
      <c r="KA35" s="227" t="str">
        <f>IFERROR(AVERAGE($FC35:FL35),"")</f>
        <v/>
      </c>
      <c r="KB35" s="227" t="str">
        <f>IFERROR(AVERAGE($FC35:FM35),"")</f>
        <v/>
      </c>
      <c r="KC35" s="227" t="str">
        <f>IFERROR(AVERAGE($FC35:FN35),"")</f>
        <v/>
      </c>
      <c r="KD35" s="227" t="str">
        <f>IFERROR(AVERAGE($FC35:FO35),"")</f>
        <v/>
      </c>
      <c r="KE35" s="227" t="str">
        <f>IFERROR(AVERAGE($FC35:FP35),"")</f>
        <v/>
      </c>
      <c r="KF35" s="227" t="str">
        <f>IFERROR(AVERAGE($FC35:FQ35),"")</f>
        <v/>
      </c>
      <c r="KG35" s="227" t="str">
        <f>IFERROR(AVERAGE($FC35:FR35),"")</f>
        <v/>
      </c>
      <c r="KH35" s="227" t="str">
        <f>IFERROR(AVERAGE($FC35:FS35),"")</f>
        <v/>
      </c>
      <c r="KI35" s="227" t="str">
        <f>IFERROR(AVERAGE($FC35:FT35),"")</f>
        <v/>
      </c>
      <c r="KJ35" s="227" t="str">
        <f>IFERROR(AVERAGE($FC35:FU35),"")</f>
        <v/>
      </c>
      <c r="KK35" s="227" t="str">
        <f>IFERROR(AVERAGE($FC35:FV35),"")</f>
        <v/>
      </c>
      <c r="KL35" s="227" t="str">
        <f>IFERROR(AVERAGE($FC35:FW35),"")</f>
        <v/>
      </c>
      <c r="KM35" s="227" t="str">
        <f>IFERROR(AVERAGE($FC35:FX35),"")</f>
        <v/>
      </c>
      <c r="KN35" s="227" t="str">
        <f>IFERROR(AVERAGE($FC35:FY35),"")</f>
        <v/>
      </c>
      <c r="KO35" s="227" t="str">
        <f>IFERROR(AVERAGE($FC35:FZ35),"")</f>
        <v/>
      </c>
      <c r="KP35" s="227" t="str">
        <f>IFERROR(AVERAGE($FC35:GA35),"")</f>
        <v/>
      </c>
      <c r="KQ35" s="227" t="str">
        <f>IFERROR(AVERAGE($FC35:GB35),"")</f>
        <v/>
      </c>
      <c r="KR35" s="227" t="str">
        <f>IFERROR(AVERAGE($FC35:GC35),"")</f>
        <v/>
      </c>
      <c r="KS35" s="227" t="str">
        <f>IFERROR(AVERAGE($FC35:GD35),"")</f>
        <v/>
      </c>
      <c r="KT35" s="227" t="str">
        <f>IFERROR(AVERAGE($FC35:GE35),"")</f>
        <v/>
      </c>
      <c r="KU35" s="227" t="str">
        <f>IFERROR(AVERAGE($FC35:GF35),"")</f>
        <v/>
      </c>
      <c r="KV35" s="227" t="str">
        <f>IFERROR(AVERAGE($FC35:GG35),"")</f>
        <v/>
      </c>
      <c r="KW35" s="227" t="str">
        <f>IFERROR(AVERAGE($FC35:GH35),"")</f>
        <v/>
      </c>
      <c r="KX35" s="227" t="str">
        <f>IFERROR(AVERAGE($FC35:GI35),"")</f>
        <v/>
      </c>
      <c r="KY35" s="227" t="str">
        <f>IFERROR(AVERAGE($FC35:GJ35),"")</f>
        <v/>
      </c>
      <c r="KZ35" s="227" t="str">
        <f>IFERROR(AVERAGE($FC35:GK35),"")</f>
        <v/>
      </c>
      <c r="LA35" s="227" t="str">
        <f>IFERROR(AVERAGE($FC35:GL35),"")</f>
        <v/>
      </c>
      <c r="LB35" s="227" t="str">
        <f>IFERROR(AVERAGE($FC35:GM35),"")</f>
        <v/>
      </c>
      <c r="LC35" s="227" t="str">
        <f>IFERROR(AVERAGE($FC35:GN35),"")</f>
        <v/>
      </c>
      <c r="LD35" s="227" t="str">
        <f>IFERROR(AVERAGE($FC35:GO35),"")</f>
        <v/>
      </c>
      <c r="LE35" s="227" t="str">
        <f>IFERROR(AVERAGE($FC35:GP35),"")</f>
        <v/>
      </c>
      <c r="LF35" s="227" t="str">
        <f>IFERROR(AVERAGE($FC35:GQ35),"")</f>
        <v/>
      </c>
      <c r="LG35" s="227" t="str">
        <f>IFERROR(AVERAGE($FC35:GR35),"")</f>
        <v/>
      </c>
      <c r="LH35" s="227" t="str">
        <f>IFERROR(AVERAGE($FC35:GS35),"")</f>
        <v/>
      </c>
      <c r="LI35" s="227" t="str">
        <f>IFERROR(AVERAGE($FC35:GT35),"")</f>
        <v/>
      </c>
      <c r="LJ35" s="227" t="str">
        <f>IFERROR(AVERAGE($FC35:GU35),"")</f>
        <v/>
      </c>
      <c r="LK35" s="227" t="str">
        <f>IFERROR(AVERAGE($FC35:GV35),"")</f>
        <v/>
      </c>
      <c r="LL35" s="227" t="str">
        <f>IFERROR(AVERAGE($FC35:GW35),"")</f>
        <v/>
      </c>
      <c r="LM35" s="227" t="str">
        <f>IFERROR(AVERAGE($FC35:GX35),"")</f>
        <v/>
      </c>
      <c r="LN35" s="227" t="str">
        <f>IFERROR(AVERAGE($FC35:GY35),"")</f>
        <v/>
      </c>
      <c r="LO35" s="227" t="str">
        <f>IFERROR(AVERAGE($FC35:GZ35),"")</f>
        <v/>
      </c>
      <c r="LP35" s="227" t="str">
        <f>IFERROR(AVERAGE($FC35:HA35),"")</f>
        <v/>
      </c>
      <c r="LQ35" s="227" t="str">
        <f>IFERROR(AVERAGE($FC35:HB35),"")</f>
        <v/>
      </c>
      <c r="LR35" s="227" t="str">
        <f>IFERROR(AVERAGE($FC35:HC35),"")</f>
        <v/>
      </c>
      <c r="LT35" s="138" t="str">
        <f>+$C35</f>
        <v>KPI C1</v>
      </c>
      <c r="LU35" s="146" t="str">
        <f>+$D35</f>
        <v>Cost</v>
      </c>
      <c r="LV35" s="146" t="str">
        <f t="shared" si="104"/>
        <v>Needs defining</v>
      </c>
      <c r="LW35" s="147" t="str">
        <f t="shared" si="105"/>
        <v>Undefined</v>
      </c>
      <c r="LX35" s="147" t="s">
        <v>285</v>
      </c>
      <c r="LY35" s="213" t="str">
        <f>IFERROR(AVERAGE($HJ35:HJ35),"")</f>
        <v/>
      </c>
      <c r="LZ35" s="213">
        <f>IFERROR(IF(LAD$7&gt;$D$3,"",AVERAGE($HJ35:HK35)),"")</f>
        <v>0</v>
      </c>
      <c r="MA35" s="213">
        <f>IFERROR(IF(MA$7&gt;$D$3,"",AVERAGE($HJ35:HL35)),"")</f>
        <v>0</v>
      </c>
      <c r="MB35" s="213">
        <f>IFERROR(IF(MB$7&gt;$D$3,"",AVERAGE($HJ35:HM35)),"")</f>
        <v>0</v>
      </c>
      <c r="MC35" s="213">
        <f>IFERROR(IF(MC$7&gt;$D$3,"",AVERAGE($HJ35:HN35)),"")</f>
        <v>0</v>
      </c>
      <c r="MD35" s="213">
        <f>IFERROR(IF(MD$7&gt;$D$3,"",AVERAGE($HJ35:HO35)),"")</f>
        <v>0</v>
      </c>
      <c r="ME35" s="213">
        <f>IFERROR(IF(ME$7&gt;$D$3,"",AVERAGE($HJ35:HP35)),"")</f>
        <v>0</v>
      </c>
      <c r="MF35" s="213">
        <f>IFERROR(IF(MF$7&gt;$D$3,"",AVERAGE($HJ35:HQ35)),"")</f>
        <v>0</v>
      </c>
      <c r="MG35" s="213">
        <f>IFERROR(IF(MG$7&gt;$D$3,"",AVERAGE($HJ35:HR35)),"")</f>
        <v>0</v>
      </c>
      <c r="MH35" s="213">
        <f>IFERROR(IF(MH$7&gt;$D$3,"",AVERAGE($HJ35:HS35)),"")</f>
        <v>0</v>
      </c>
      <c r="MI35" s="213">
        <f>IFERROR(IF(MI$7&gt;$D$3,"",AVERAGE($HJ35:HT35)),"")</f>
        <v>0</v>
      </c>
      <c r="MJ35" s="213">
        <f>IFERROR(IF(MJ$7&gt;$D$3,"",AVERAGE($HJ35:HU35)),"")</f>
        <v>0</v>
      </c>
      <c r="MK35" s="213">
        <f>IFERROR(IF(MK$7&gt;$D$3,"",AVERAGE($HJ35:HV35)),"")</f>
        <v>0</v>
      </c>
      <c r="ML35" s="213">
        <f>IFERROR(IF(ML$7&gt;$D$3,"",AVERAGE($HJ35:HW35)),"")</f>
        <v>0</v>
      </c>
      <c r="MM35" s="213">
        <f>IFERROR(IF(MM$7&gt;$D$3,"",AVERAGE($HJ35:HX35)),"")</f>
        <v>0</v>
      </c>
      <c r="MN35" s="213">
        <f>IFERROR(IF(MN$7&gt;$D$3,"",AVERAGE($HJ35:HY35)),"")</f>
        <v>0</v>
      </c>
      <c r="MO35" s="213">
        <f>IFERROR(IF(MO$7&gt;$D$3,"",AVERAGE($HJ35:HZ35)),"")</f>
        <v>0</v>
      </c>
      <c r="MP35" s="213">
        <f>IFERROR(IF(MP$7&gt;$D$3,"",AVERAGE($HJ35:IA35)),"")</f>
        <v>0</v>
      </c>
      <c r="MQ35" s="213">
        <f>IFERROR(IF(MQ$7&gt;$D$3,"",AVERAGE($HJ35:IB35)),"")</f>
        <v>0</v>
      </c>
      <c r="MR35" s="213">
        <f>IFERROR(IF(MR$7&gt;$D$3,"",AVERAGE($HJ35:IC35)),"")</f>
        <v>0</v>
      </c>
      <c r="MS35" s="213">
        <f>IFERROR(IF(MS$7&gt;$D$3,"",AVERAGE($HJ35:ID35)),"")</f>
        <v>0</v>
      </c>
      <c r="MT35" s="213">
        <f>IFERROR(IF(MT$7&gt;$D$3,"",AVERAGE($HJ35:IE35)),"")</f>
        <v>0</v>
      </c>
      <c r="MU35" s="213">
        <f>IFERROR(IF(MU$7&gt;$D$3,"",AVERAGE($HJ35:IF35)),"")</f>
        <v>0</v>
      </c>
      <c r="MV35" s="213">
        <f>IFERROR(IF(MV$7&gt;$D$3,"",AVERAGE($HJ35:IG35)),"")</f>
        <v>0</v>
      </c>
      <c r="MW35" s="213">
        <f>IFERROR(IF(MW$7&gt;$D$3,"",AVERAGE($HJ35:IH35)),"")</f>
        <v>0</v>
      </c>
      <c r="MX35" s="213">
        <f>IFERROR(IF(MX$7&gt;$D$3,"",AVERAGE($HJ35:II35)),"")</f>
        <v>0</v>
      </c>
      <c r="MY35" s="213">
        <f>IFERROR(IF(MY$7&gt;$D$3,"",AVERAGE($HJ35:IJ35)),"")</f>
        <v>0</v>
      </c>
      <c r="MZ35" s="213">
        <f>IFERROR(IF(MZ$7&gt;$D$3,"",AVERAGE($HJ35:IK35)),"")</f>
        <v>0</v>
      </c>
      <c r="NA35" s="213">
        <f>IFERROR(IF(NA$7&gt;$D$3,"",AVERAGE($HJ35:IL35)),"")</f>
        <v>0</v>
      </c>
      <c r="NB35" s="213">
        <f>IFERROR(IF(NB$7&gt;$D$3,"",AVERAGE($HJ35:IM35)),"")</f>
        <v>0</v>
      </c>
      <c r="NC35" s="213">
        <f>IFERROR(IF(NC$7&gt;$D$3,"",AVERAGE($HJ35:IN35)),"")</f>
        <v>0</v>
      </c>
      <c r="ND35" s="213">
        <f>IFERROR(IF(ND$7&gt;$D$3,"",AVERAGE($HJ35:IO35)),"")</f>
        <v>0</v>
      </c>
      <c r="NE35" s="213">
        <f>IFERROR(IF(NE$7&gt;$D$3,"",AVERAGE($HJ35:IP35)),"")</f>
        <v>0</v>
      </c>
      <c r="NF35" s="213">
        <f>IFERROR(IF(NF$7&gt;$D$3,"",AVERAGE($HJ35:IQ35)),"")</f>
        <v>0</v>
      </c>
      <c r="NG35" s="213">
        <f>IFERROR(IF(NG$7&gt;$D$3,"",AVERAGE($HJ35:IR35)),"")</f>
        <v>0</v>
      </c>
      <c r="NH35" s="213">
        <f>IFERROR(IF(NH$7&gt;$D$3,"",AVERAGE($HJ35:IS35)),"")</f>
        <v>0</v>
      </c>
      <c r="NI35" s="213">
        <f>IFERROR(IF(NI$7&gt;$D$3,"",AVERAGE($HJ35:IT35)),"")</f>
        <v>0</v>
      </c>
      <c r="NJ35" s="213">
        <f>IFERROR(IF(NJ$7&gt;$D$3,"",AVERAGE($HJ35:IU35)),"")</f>
        <v>0</v>
      </c>
      <c r="NK35" s="213">
        <f>IFERROR(IF(NK$7&gt;$D$3,"",AVERAGE($HJ35:IV35)),"")</f>
        <v>0</v>
      </c>
      <c r="NL35" s="213">
        <f>IFERROR(IF(NL$7&gt;$D$3,"",AVERAGE($HJ35:IW35)),"")</f>
        <v>0</v>
      </c>
      <c r="NM35" s="213">
        <f>IFERROR(IF(NM$7&gt;$D$3,"",AVERAGE($HJ35:IX35)),"")</f>
        <v>0</v>
      </c>
      <c r="NN35" s="213">
        <f>IFERROR(IF(NN$7&gt;$D$3,"",AVERAGE($HJ35:IY35)),"")</f>
        <v>0</v>
      </c>
      <c r="NO35" s="213" t="str">
        <f>IFERROR(IF(NO$7&gt;$D$3,"",AVERAGE($HJ35:IZ35)),"")</f>
        <v/>
      </c>
      <c r="NP35" s="213" t="str">
        <f>IFERROR(IF(NP$7&gt;$D$3,"",AVERAGE($HJ35:JA35)),"")</f>
        <v/>
      </c>
      <c r="NQ35" s="213" t="str">
        <f>IFERROR(IF(NQ$7&gt;$D$3,"",AVERAGE($HJ35:JB35)),"")</f>
        <v/>
      </c>
      <c r="NR35" s="213" t="str">
        <f>IFERROR(IF(NR$7&gt;$D$3,"",AVERAGE($HJ35:JC35)),"")</f>
        <v/>
      </c>
      <c r="NS35" s="213" t="str">
        <f>IFERROR(IF(NS$7&gt;$D$3,"",AVERAGE($HJ35:JD35)),"")</f>
        <v/>
      </c>
      <c r="NT35" s="213" t="str">
        <f>IFERROR(IF(NT$7&gt;$D$3,"",AVERAGE($HJ35:JE35)),"")</f>
        <v/>
      </c>
      <c r="NU35" s="213" t="str">
        <f>IFERROR(IF(NU$7&gt;$D$3,"",AVERAGE($HJ35:JF35)),"")</f>
        <v/>
      </c>
      <c r="NV35" s="213" t="str">
        <f>IFERROR(IF(NV$7&gt;$D$3,"",AVERAGE($HJ35:JG35)),"")</f>
        <v/>
      </c>
      <c r="NW35" s="213" t="str">
        <f>IFERROR(IF(NW$7&gt;$D$3,"",AVERAGE($HJ35:JH35)),"")</f>
        <v/>
      </c>
      <c r="NX35" s="213" t="str">
        <f>IFERROR(IF(NX$7&gt;$D$3,"",AVERAGE($HJ35:JI35)),"")</f>
        <v/>
      </c>
      <c r="NY35" s="213" t="str">
        <f>IFERROR(IF(NY$7&gt;$D$3,"",AVERAGE($HJ35:JJ35)),"")</f>
        <v/>
      </c>
    </row>
    <row r="36" spans="1:389" ht="15" thickBot="1" x14ac:dyDescent="0.35">
      <c r="AB36" s="292"/>
      <c r="AH36" s="465"/>
      <c r="AN36" s="201"/>
      <c r="CO36" s="465"/>
      <c r="CV36" s="316"/>
      <c r="CW36" s="316"/>
      <c r="CX36" s="316"/>
      <c r="CY36" s="316"/>
      <c r="CZ36" s="316"/>
      <c r="DA36" s="316"/>
      <c r="DB36" s="316"/>
      <c r="DC36" s="316"/>
      <c r="DD36" s="316"/>
      <c r="DE36" s="316"/>
      <c r="DF36" s="316"/>
      <c r="DG36" s="316"/>
      <c r="DH36" s="316"/>
      <c r="DI36" s="316"/>
      <c r="DJ36" s="316"/>
      <c r="DK36" s="316"/>
      <c r="DL36" s="316"/>
      <c r="DM36" s="316"/>
      <c r="DN36" s="316"/>
      <c r="DO36" s="316"/>
      <c r="DP36" s="316"/>
      <c r="DQ36" s="316"/>
      <c r="DR36" s="316"/>
      <c r="DS36" s="316"/>
      <c r="DT36" s="316"/>
      <c r="DU36" s="316"/>
      <c r="DV36" s="316"/>
      <c r="DW36" s="316"/>
      <c r="DX36" s="316"/>
      <c r="DY36" s="316"/>
      <c r="DZ36" s="316"/>
      <c r="EA36" s="316"/>
      <c r="EB36" s="316"/>
      <c r="EC36" s="316"/>
      <c r="ED36" s="316"/>
      <c r="EE36" s="316"/>
      <c r="EF36" s="316"/>
      <c r="EG36" s="316"/>
      <c r="EH36" s="316"/>
      <c r="EI36" s="316"/>
      <c r="EJ36" s="316"/>
      <c r="EK36" s="316"/>
      <c r="EL36" s="316"/>
      <c r="EM36" s="316"/>
      <c r="EN36" s="316"/>
      <c r="EO36" s="316"/>
      <c r="EP36" s="316"/>
      <c r="EQ36" s="316"/>
      <c r="ER36" s="316"/>
      <c r="ES36" s="316"/>
      <c r="ET36" s="316"/>
      <c r="EU36" s="316"/>
      <c r="EW36" s="465"/>
      <c r="FC36" s="201"/>
      <c r="FD36" s="201"/>
      <c r="FE36" s="201"/>
      <c r="FF36" s="201"/>
      <c r="FG36" s="201"/>
      <c r="FH36" s="201"/>
      <c r="FI36" s="201"/>
      <c r="FJ36" s="201"/>
      <c r="FK36" s="201"/>
      <c r="FL36" s="201"/>
      <c r="FM36" s="201"/>
      <c r="FN36" s="201"/>
      <c r="FO36" s="201"/>
      <c r="FP36" s="201"/>
      <c r="FQ36" s="201"/>
      <c r="FR36" s="201"/>
      <c r="FS36" s="201"/>
      <c r="FT36" s="201"/>
      <c r="FU36" s="201"/>
      <c r="FV36" s="201"/>
      <c r="FW36" s="201"/>
      <c r="FX36" s="201"/>
      <c r="FY36" s="201"/>
      <c r="FZ36" s="201"/>
      <c r="GA36" s="201"/>
      <c r="GB36" s="201"/>
      <c r="GC36" s="201"/>
      <c r="GD36" s="201"/>
      <c r="GE36" s="201"/>
      <c r="GF36" s="201"/>
      <c r="GG36" s="201"/>
      <c r="GH36" s="201"/>
      <c r="GI36" s="201"/>
      <c r="GJ36" s="201"/>
      <c r="GK36" s="201"/>
      <c r="GL36" s="201"/>
      <c r="GM36" s="201"/>
      <c r="GN36" s="201"/>
      <c r="GO36" s="201"/>
      <c r="GP36" s="201"/>
      <c r="GQ36" s="201"/>
      <c r="GR36" s="201"/>
      <c r="GS36" s="201"/>
      <c r="GT36" s="201"/>
      <c r="GU36" s="201"/>
      <c r="GV36" s="201"/>
      <c r="GW36" s="201"/>
      <c r="GX36" s="201"/>
      <c r="GY36" s="201"/>
      <c r="GZ36" s="201"/>
      <c r="HA36" s="201"/>
      <c r="HB36" s="201"/>
      <c r="HC36" s="201"/>
      <c r="HJ36" s="201"/>
      <c r="HK36" s="201"/>
      <c r="HL36" s="249"/>
      <c r="HM36" s="249"/>
      <c r="HN36" s="249"/>
      <c r="HO36" s="249"/>
      <c r="HP36" s="249"/>
      <c r="HQ36" s="249"/>
      <c r="HR36" s="249"/>
      <c r="HS36" s="249"/>
      <c r="HT36" s="249"/>
      <c r="HU36" s="249"/>
      <c r="HV36" s="249"/>
      <c r="HW36" s="249"/>
      <c r="HX36" s="249"/>
      <c r="HY36" s="249"/>
      <c r="HZ36" s="249"/>
      <c r="IA36" s="249"/>
      <c r="IB36" s="249"/>
      <c r="IC36" s="249"/>
      <c r="ID36" s="249"/>
      <c r="IE36" s="249"/>
      <c r="IF36" s="249"/>
      <c r="IG36" s="249"/>
      <c r="IH36" s="249"/>
      <c r="II36" s="249"/>
      <c r="IJ36" s="249"/>
      <c r="IK36" s="249"/>
      <c r="IL36" s="249"/>
      <c r="IM36" s="249"/>
      <c r="IN36" s="249"/>
      <c r="IO36" s="249"/>
      <c r="IP36" s="249"/>
      <c r="IQ36" s="249"/>
      <c r="IR36" s="249"/>
      <c r="IS36" s="249"/>
      <c r="IT36" s="249"/>
      <c r="IU36" s="249"/>
      <c r="IV36" s="249"/>
      <c r="IW36" s="249"/>
      <c r="IX36" s="249"/>
      <c r="IY36" s="249"/>
      <c r="IZ36" s="249"/>
      <c r="JA36" s="249"/>
      <c r="JB36" s="249"/>
      <c r="JC36" s="249"/>
      <c r="JD36" s="249"/>
      <c r="JE36" s="249"/>
      <c r="JF36" s="249"/>
      <c r="JG36" s="249"/>
      <c r="JH36" s="249"/>
      <c r="JI36" s="249"/>
      <c r="JJ36" s="249"/>
      <c r="JR36" s="249"/>
      <c r="JS36" s="249"/>
      <c r="JT36" s="249"/>
      <c r="JU36" s="249"/>
      <c r="JV36" s="249"/>
      <c r="JW36" s="249"/>
      <c r="JX36" s="249"/>
      <c r="JY36" s="249"/>
      <c r="JZ36" s="249"/>
      <c r="KA36" s="249"/>
      <c r="KB36" s="249"/>
      <c r="KC36" s="249"/>
      <c r="KD36" s="249"/>
      <c r="KE36" s="249"/>
      <c r="KF36" s="249"/>
      <c r="KG36" s="249"/>
      <c r="KH36" s="249"/>
      <c r="KI36" s="249"/>
      <c r="KJ36" s="249"/>
      <c r="KK36" s="249"/>
      <c r="KL36" s="249"/>
      <c r="KM36" s="249"/>
      <c r="KN36" s="249"/>
      <c r="KO36" s="249"/>
      <c r="KP36" s="249"/>
      <c r="KQ36" s="249"/>
      <c r="KR36" s="249"/>
      <c r="KS36" s="249"/>
      <c r="KT36" s="249"/>
      <c r="KU36" s="249"/>
      <c r="KV36" s="249"/>
      <c r="KW36" s="249"/>
      <c r="KX36" s="249"/>
      <c r="KY36" s="249"/>
      <c r="KZ36" s="249"/>
      <c r="LA36" s="249"/>
      <c r="LB36" s="249"/>
      <c r="LC36" s="249"/>
      <c r="LD36" s="249"/>
      <c r="LE36" s="249"/>
      <c r="LF36" s="249"/>
      <c r="LG36" s="249"/>
      <c r="LH36" s="249"/>
      <c r="LI36" s="249"/>
      <c r="LJ36" s="249"/>
      <c r="LK36" s="249"/>
      <c r="LL36" s="249"/>
      <c r="LM36" s="249"/>
      <c r="LN36" s="249"/>
      <c r="LO36" s="249"/>
      <c r="LP36" s="249"/>
      <c r="LQ36" s="249"/>
      <c r="LR36" s="249"/>
      <c r="LY36" s="201"/>
      <c r="LZ36" s="201"/>
      <c r="MA36" s="201"/>
      <c r="MB36" s="201"/>
      <c r="MC36" s="201"/>
      <c r="MD36" s="201"/>
      <c r="ME36" s="201"/>
      <c r="MF36" s="201"/>
      <c r="MG36" s="201"/>
      <c r="MH36" s="201"/>
      <c r="MI36" s="201"/>
      <c r="MJ36" s="201"/>
      <c r="MK36" s="201"/>
      <c r="ML36" s="201"/>
      <c r="MM36" s="201"/>
      <c r="MN36" s="201"/>
      <c r="MO36" s="201"/>
      <c r="MP36" s="201"/>
      <c r="MQ36" s="201"/>
      <c r="MR36" s="201"/>
      <c r="MS36" s="201"/>
      <c r="MT36" s="201"/>
      <c r="MU36" s="201"/>
      <c r="MV36" s="201"/>
      <c r="MW36" s="201"/>
      <c r="MX36" s="201"/>
      <c r="MY36" s="201"/>
      <c r="MZ36" s="201"/>
      <c r="NA36" s="201"/>
      <c r="NB36" s="201"/>
      <c r="NC36" s="201"/>
      <c r="ND36" s="201"/>
      <c r="NE36" s="201"/>
      <c r="NF36" s="201"/>
      <c r="NG36" s="201"/>
      <c r="NH36" s="201"/>
      <c r="NI36" s="201"/>
      <c r="NJ36" s="201"/>
      <c r="NK36" s="201"/>
      <c r="NL36" s="201"/>
      <c r="NM36" s="201"/>
      <c r="NN36" s="201"/>
      <c r="NO36" s="201"/>
      <c r="NP36" s="201"/>
      <c r="NQ36" s="201"/>
      <c r="NR36" s="201"/>
      <c r="NS36" s="201"/>
      <c r="NT36" s="201"/>
      <c r="NU36" s="201"/>
      <c r="NV36" s="201"/>
      <c r="NW36" s="201"/>
      <c r="NX36" s="201"/>
      <c r="NY36" s="201"/>
    </row>
    <row r="37" spans="1:389" ht="29.4" thickBot="1" x14ac:dyDescent="0.35">
      <c r="B37" s="180" t="str">
        <f>+'KPI Stats'!B42</f>
        <v>Product Eng - MB</v>
      </c>
      <c r="C37" s="133" t="str">
        <f>+'KPI Stats'!C42</f>
        <v>Paul Dolan</v>
      </c>
      <c r="D37" s="134"/>
      <c r="E37" s="141" t="str">
        <f>+'KPI Stats'!E42</f>
        <v>Completed to Week</v>
      </c>
      <c r="F37" s="141">
        <f>+'KPI Stats'!F42</f>
        <v>42</v>
      </c>
      <c r="G37" s="181" t="s">
        <v>506</v>
      </c>
      <c r="J37" s="181" t="str">
        <f>+$B37</f>
        <v>Product Eng - MB</v>
      </c>
      <c r="K37" s="181"/>
      <c r="L37" s="182"/>
      <c r="M37" s="183"/>
      <c r="P37" s="181" t="str">
        <f>+$B37</f>
        <v>Product Eng - MB</v>
      </c>
      <c r="Q37" s="181"/>
      <c r="R37" s="181"/>
      <c r="S37" s="183"/>
      <c r="T37" s="183"/>
      <c r="U37" s="291"/>
      <c r="X37" s="181" t="str">
        <f>+$B37</f>
        <v>Product Eng - MB</v>
      </c>
      <c r="Y37" s="181"/>
      <c r="Z37" s="181"/>
      <c r="AA37" s="183"/>
      <c r="AB37" s="291"/>
      <c r="AC37" s="181" t="str">
        <f>+$B37</f>
        <v>Product Eng - MB</v>
      </c>
      <c r="AD37" s="181"/>
      <c r="AE37" s="181"/>
      <c r="AF37" s="183"/>
      <c r="AH37" s="465"/>
      <c r="AI37" s="191" t="str">
        <f>+B38</f>
        <v>Product Engineering - Maybole</v>
      </c>
      <c r="AJ37" s="192"/>
      <c r="AK37" s="141" t="str">
        <f t="shared" ref="AK37:AL42" si="114">+E37</f>
        <v>Completed to Week</v>
      </c>
      <c r="AL37" s="141">
        <f t="shared" si="114"/>
        <v>42</v>
      </c>
      <c r="AM37" s="209" t="str">
        <f t="shared" ref="AM37:BR37" si="115">+$B37</f>
        <v>Product Eng - MB</v>
      </c>
      <c r="AN37" s="210" t="str">
        <f t="shared" si="115"/>
        <v>Product Eng - MB</v>
      </c>
      <c r="AO37" s="209" t="str">
        <f t="shared" si="115"/>
        <v>Product Eng - MB</v>
      </c>
      <c r="AP37" s="209" t="str">
        <f t="shared" si="115"/>
        <v>Product Eng - MB</v>
      </c>
      <c r="AQ37" s="209" t="str">
        <f t="shared" si="115"/>
        <v>Product Eng - MB</v>
      </c>
      <c r="AR37" s="209" t="str">
        <f t="shared" si="115"/>
        <v>Product Eng - MB</v>
      </c>
      <c r="AS37" s="209" t="str">
        <f t="shared" si="115"/>
        <v>Product Eng - MB</v>
      </c>
      <c r="AT37" s="209" t="str">
        <f t="shared" si="115"/>
        <v>Product Eng - MB</v>
      </c>
      <c r="AU37" s="209" t="str">
        <f t="shared" si="115"/>
        <v>Product Eng - MB</v>
      </c>
      <c r="AV37" s="209" t="str">
        <f t="shared" si="115"/>
        <v>Product Eng - MB</v>
      </c>
      <c r="AW37" s="209" t="str">
        <f t="shared" si="115"/>
        <v>Product Eng - MB</v>
      </c>
      <c r="AX37" s="209" t="str">
        <f t="shared" si="115"/>
        <v>Product Eng - MB</v>
      </c>
      <c r="AY37" s="209" t="str">
        <f t="shared" si="115"/>
        <v>Product Eng - MB</v>
      </c>
      <c r="AZ37" s="209" t="str">
        <f t="shared" si="115"/>
        <v>Product Eng - MB</v>
      </c>
      <c r="BA37" s="209" t="str">
        <f t="shared" si="115"/>
        <v>Product Eng - MB</v>
      </c>
      <c r="BB37" s="209" t="str">
        <f t="shared" si="115"/>
        <v>Product Eng - MB</v>
      </c>
      <c r="BC37" s="209" t="str">
        <f t="shared" si="115"/>
        <v>Product Eng - MB</v>
      </c>
      <c r="BD37" s="209" t="str">
        <f t="shared" si="115"/>
        <v>Product Eng - MB</v>
      </c>
      <c r="BE37" s="209" t="str">
        <f t="shared" si="115"/>
        <v>Product Eng - MB</v>
      </c>
      <c r="BF37" s="209" t="str">
        <f t="shared" si="115"/>
        <v>Product Eng - MB</v>
      </c>
      <c r="BG37" s="209" t="str">
        <f t="shared" si="115"/>
        <v>Product Eng - MB</v>
      </c>
      <c r="BH37" s="209" t="str">
        <f t="shared" si="115"/>
        <v>Product Eng - MB</v>
      </c>
      <c r="BI37" s="209" t="str">
        <f t="shared" si="115"/>
        <v>Product Eng - MB</v>
      </c>
      <c r="BJ37" s="209" t="str">
        <f t="shared" si="115"/>
        <v>Product Eng - MB</v>
      </c>
      <c r="BK37" s="209" t="str">
        <f t="shared" si="115"/>
        <v>Product Eng - MB</v>
      </c>
      <c r="BL37" s="209" t="str">
        <f t="shared" si="115"/>
        <v>Product Eng - MB</v>
      </c>
      <c r="BM37" s="209" t="str">
        <f t="shared" si="115"/>
        <v>Product Eng - MB</v>
      </c>
      <c r="BN37" s="209" t="str">
        <f t="shared" si="115"/>
        <v>Product Eng - MB</v>
      </c>
      <c r="BO37" s="209" t="str">
        <f t="shared" si="115"/>
        <v>Product Eng - MB</v>
      </c>
      <c r="BP37" s="209" t="str">
        <f t="shared" si="115"/>
        <v>Product Eng - MB</v>
      </c>
      <c r="BQ37" s="209" t="str">
        <f t="shared" si="115"/>
        <v>Product Eng - MB</v>
      </c>
      <c r="BR37" s="209" t="str">
        <f t="shared" si="115"/>
        <v>Product Eng - MB</v>
      </c>
      <c r="BS37" s="209" t="str">
        <f t="shared" ref="BS37:CM37" si="116">+$B37</f>
        <v>Product Eng - MB</v>
      </c>
      <c r="BT37" s="209" t="str">
        <f t="shared" si="116"/>
        <v>Product Eng - MB</v>
      </c>
      <c r="BU37" s="209" t="str">
        <f t="shared" si="116"/>
        <v>Product Eng - MB</v>
      </c>
      <c r="BV37" s="209" t="str">
        <f t="shared" si="116"/>
        <v>Product Eng - MB</v>
      </c>
      <c r="BW37" s="209" t="str">
        <f t="shared" si="116"/>
        <v>Product Eng - MB</v>
      </c>
      <c r="BX37" s="209" t="str">
        <f t="shared" si="116"/>
        <v>Product Eng - MB</v>
      </c>
      <c r="BY37" s="209" t="str">
        <f t="shared" si="116"/>
        <v>Product Eng - MB</v>
      </c>
      <c r="BZ37" s="209" t="str">
        <f t="shared" si="116"/>
        <v>Product Eng - MB</v>
      </c>
      <c r="CA37" s="209" t="str">
        <f t="shared" si="116"/>
        <v>Product Eng - MB</v>
      </c>
      <c r="CB37" s="209" t="str">
        <f t="shared" si="116"/>
        <v>Product Eng - MB</v>
      </c>
      <c r="CC37" s="209" t="str">
        <f t="shared" si="116"/>
        <v>Product Eng - MB</v>
      </c>
      <c r="CD37" s="209" t="str">
        <f t="shared" si="116"/>
        <v>Product Eng - MB</v>
      </c>
      <c r="CE37" s="209" t="str">
        <f t="shared" si="116"/>
        <v>Product Eng - MB</v>
      </c>
      <c r="CF37" s="209" t="str">
        <f t="shared" si="116"/>
        <v>Product Eng - MB</v>
      </c>
      <c r="CG37" s="209" t="str">
        <f t="shared" si="116"/>
        <v>Product Eng - MB</v>
      </c>
      <c r="CH37" s="209" t="str">
        <f t="shared" si="116"/>
        <v>Product Eng - MB</v>
      </c>
      <c r="CI37" s="209" t="str">
        <f t="shared" si="116"/>
        <v>Product Eng - MB</v>
      </c>
      <c r="CJ37" s="209" t="str">
        <f t="shared" si="116"/>
        <v>Product Eng - MB</v>
      </c>
      <c r="CK37" s="209" t="str">
        <f t="shared" si="116"/>
        <v>Product Eng - MB</v>
      </c>
      <c r="CL37" s="209" t="str">
        <f t="shared" si="116"/>
        <v>Product Eng - MB</v>
      </c>
      <c r="CM37" s="209" t="str">
        <f t="shared" si="116"/>
        <v>Product Eng - MB</v>
      </c>
      <c r="CO37" s="465"/>
      <c r="CP37" s="191" t="str">
        <f>+B38</f>
        <v>Product Engineering - Maybole</v>
      </c>
      <c r="CQ37" s="192"/>
      <c r="CR37" s="141" t="str">
        <f>+E37</f>
        <v>Completed to Week</v>
      </c>
      <c r="CS37" s="141">
        <f>+F37</f>
        <v>42</v>
      </c>
      <c r="CT37" s="351" t="str">
        <f>+G37</f>
        <v>Weekly KPI</v>
      </c>
      <c r="CU37" s="326" t="str">
        <f t="shared" ref="CU37:EU37" si="117">+$B37</f>
        <v>Product Eng - MB</v>
      </c>
      <c r="CV37" s="321" t="str">
        <f t="shared" si="117"/>
        <v>Product Eng - MB</v>
      </c>
      <c r="CW37" s="321" t="str">
        <f t="shared" si="117"/>
        <v>Product Eng - MB</v>
      </c>
      <c r="CX37" s="321" t="str">
        <f t="shared" si="117"/>
        <v>Product Eng - MB</v>
      </c>
      <c r="CY37" s="321" t="str">
        <f t="shared" si="117"/>
        <v>Product Eng - MB</v>
      </c>
      <c r="CZ37" s="321" t="str">
        <f t="shared" si="117"/>
        <v>Product Eng - MB</v>
      </c>
      <c r="DA37" s="321" t="str">
        <f t="shared" si="117"/>
        <v>Product Eng - MB</v>
      </c>
      <c r="DB37" s="321" t="str">
        <f t="shared" si="117"/>
        <v>Product Eng - MB</v>
      </c>
      <c r="DC37" s="321" t="str">
        <f t="shared" si="117"/>
        <v>Product Eng - MB</v>
      </c>
      <c r="DD37" s="321" t="str">
        <f t="shared" si="117"/>
        <v>Product Eng - MB</v>
      </c>
      <c r="DE37" s="321" t="str">
        <f t="shared" si="117"/>
        <v>Product Eng - MB</v>
      </c>
      <c r="DF37" s="321" t="str">
        <f t="shared" si="117"/>
        <v>Product Eng - MB</v>
      </c>
      <c r="DG37" s="321" t="str">
        <f t="shared" si="117"/>
        <v>Product Eng - MB</v>
      </c>
      <c r="DH37" s="321" t="str">
        <f t="shared" si="117"/>
        <v>Product Eng - MB</v>
      </c>
      <c r="DI37" s="321" t="str">
        <f t="shared" si="117"/>
        <v>Product Eng - MB</v>
      </c>
      <c r="DJ37" s="321" t="str">
        <f t="shared" si="117"/>
        <v>Product Eng - MB</v>
      </c>
      <c r="DK37" s="321" t="str">
        <f t="shared" si="117"/>
        <v>Product Eng - MB</v>
      </c>
      <c r="DL37" s="321" t="str">
        <f t="shared" si="117"/>
        <v>Product Eng - MB</v>
      </c>
      <c r="DM37" s="321" t="str">
        <f t="shared" si="117"/>
        <v>Product Eng - MB</v>
      </c>
      <c r="DN37" s="321" t="str">
        <f t="shared" si="117"/>
        <v>Product Eng - MB</v>
      </c>
      <c r="DO37" s="321" t="str">
        <f t="shared" si="117"/>
        <v>Product Eng - MB</v>
      </c>
      <c r="DP37" s="321" t="str">
        <f t="shared" si="117"/>
        <v>Product Eng - MB</v>
      </c>
      <c r="DQ37" s="321" t="str">
        <f t="shared" si="117"/>
        <v>Product Eng - MB</v>
      </c>
      <c r="DR37" s="321" t="str">
        <f t="shared" si="117"/>
        <v>Product Eng - MB</v>
      </c>
      <c r="DS37" s="321" t="str">
        <f t="shared" si="117"/>
        <v>Product Eng - MB</v>
      </c>
      <c r="DT37" s="321" t="str">
        <f t="shared" si="117"/>
        <v>Product Eng - MB</v>
      </c>
      <c r="DU37" s="321" t="str">
        <f t="shared" si="117"/>
        <v>Product Eng - MB</v>
      </c>
      <c r="DV37" s="321" t="str">
        <f t="shared" si="117"/>
        <v>Product Eng - MB</v>
      </c>
      <c r="DW37" s="321" t="str">
        <f t="shared" si="117"/>
        <v>Product Eng - MB</v>
      </c>
      <c r="DX37" s="321" t="str">
        <f t="shared" si="117"/>
        <v>Product Eng - MB</v>
      </c>
      <c r="DY37" s="321" t="str">
        <f t="shared" si="117"/>
        <v>Product Eng - MB</v>
      </c>
      <c r="DZ37" s="321" t="str">
        <f t="shared" si="117"/>
        <v>Product Eng - MB</v>
      </c>
      <c r="EA37" s="321" t="str">
        <f t="shared" si="117"/>
        <v>Product Eng - MB</v>
      </c>
      <c r="EB37" s="321" t="str">
        <f t="shared" si="117"/>
        <v>Product Eng - MB</v>
      </c>
      <c r="EC37" s="321" t="str">
        <f t="shared" si="117"/>
        <v>Product Eng - MB</v>
      </c>
      <c r="ED37" s="321" t="str">
        <f t="shared" si="117"/>
        <v>Product Eng - MB</v>
      </c>
      <c r="EE37" s="321" t="str">
        <f t="shared" si="117"/>
        <v>Product Eng - MB</v>
      </c>
      <c r="EF37" s="321" t="str">
        <f t="shared" si="117"/>
        <v>Product Eng - MB</v>
      </c>
      <c r="EG37" s="321" t="str">
        <f t="shared" si="117"/>
        <v>Product Eng - MB</v>
      </c>
      <c r="EH37" s="321" t="str">
        <f t="shared" si="117"/>
        <v>Product Eng - MB</v>
      </c>
      <c r="EI37" s="321" t="str">
        <f t="shared" si="117"/>
        <v>Product Eng - MB</v>
      </c>
      <c r="EJ37" s="321" t="str">
        <f t="shared" si="117"/>
        <v>Product Eng - MB</v>
      </c>
      <c r="EK37" s="321" t="str">
        <f t="shared" si="117"/>
        <v>Product Eng - MB</v>
      </c>
      <c r="EL37" s="321" t="str">
        <f t="shared" si="117"/>
        <v>Product Eng - MB</v>
      </c>
      <c r="EM37" s="321" t="str">
        <f t="shared" si="117"/>
        <v>Product Eng - MB</v>
      </c>
      <c r="EN37" s="321" t="str">
        <f t="shared" si="117"/>
        <v>Product Eng - MB</v>
      </c>
      <c r="EO37" s="321" t="str">
        <f t="shared" si="117"/>
        <v>Product Eng - MB</v>
      </c>
      <c r="EP37" s="321" t="str">
        <f t="shared" si="117"/>
        <v>Product Eng - MB</v>
      </c>
      <c r="EQ37" s="321" t="str">
        <f t="shared" si="117"/>
        <v>Product Eng - MB</v>
      </c>
      <c r="ER37" s="321" t="str">
        <f t="shared" si="117"/>
        <v>Product Eng - MB</v>
      </c>
      <c r="ES37" s="321" t="str">
        <f t="shared" si="117"/>
        <v>Product Eng - MB</v>
      </c>
      <c r="ET37" s="321" t="str">
        <f t="shared" si="117"/>
        <v>Product Eng - MB</v>
      </c>
      <c r="EU37" s="321" t="str">
        <f t="shared" si="117"/>
        <v>Product Eng - MB</v>
      </c>
      <c r="EW37" s="465"/>
      <c r="EX37" s="191" t="str">
        <f>+$B37</f>
        <v>Product Eng - MB</v>
      </c>
      <c r="EY37" s="192"/>
      <c r="EZ37" s="141" t="str">
        <f t="shared" ref="EZ37:EZ42" si="118">+$E37</f>
        <v>Completed to Week</v>
      </c>
      <c r="FA37" s="141">
        <f t="shared" ref="FA37:FA42" si="119">+$F37</f>
        <v>42</v>
      </c>
      <c r="FB37" s="141"/>
      <c r="FC37" s="210" t="str">
        <f t="shared" ref="FC37:GH37" si="120">+$B37</f>
        <v>Product Eng - MB</v>
      </c>
      <c r="FD37" s="210" t="str">
        <f t="shared" si="120"/>
        <v>Product Eng - MB</v>
      </c>
      <c r="FE37" s="210" t="str">
        <f t="shared" si="120"/>
        <v>Product Eng - MB</v>
      </c>
      <c r="FF37" s="210" t="str">
        <f t="shared" si="120"/>
        <v>Product Eng - MB</v>
      </c>
      <c r="FG37" s="210" t="str">
        <f t="shared" si="120"/>
        <v>Product Eng - MB</v>
      </c>
      <c r="FH37" s="210" t="str">
        <f t="shared" si="120"/>
        <v>Product Eng - MB</v>
      </c>
      <c r="FI37" s="210" t="str">
        <f t="shared" si="120"/>
        <v>Product Eng - MB</v>
      </c>
      <c r="FJ37" s="210" t="str">
        <f t="shared" si="120"/>
        <v>Product Eng - MB</v>
      </c>
      <c r="FK37" s="210" t="str">
        <f t="shared" si="120"/>
        <v>Product Eng - MB</v>
      </c>
      <c r="FL37" s="210" t="str">
        <f t="shared" si="120"/>
        <v>Product Eng - MB</v>
      </c>
      <c r="FM37" s="210" t="str">
        <f t="shared" si="120"/>
        <v>Product Eng - MB</v>
      </c>
      <c r="FN37" s="210" t="str">
        <f t="shared" si="120"/>
        <v>Product Eng - MB</v>
      </c>
      <c r="FO37" s="210" t="str">
        <f t="shared" si="120"/>
        <v>Product Eng - MB</v>
      </c>
      <c r="FP37" s="210" t="str">
        <f t="shared" si="120"/>
        <v>Product Eng - MB</v>
      </c>
      <c r="FQ37" s="210" t="str">
        <f t="shared" si="120"/>
        <v>Product Eng - MB</v>
      </c>
      <c r="FR37" s="210" t="str">
        <f t="shared" si="120"/>
        <v>Product Eng - MB</v>
      </c>
      <c r="FS37" s="210" t="str">
        <f t="shared" si="120"/>
        <v>Product Eng - MB</v>
      </c>
      <c r="FT37" s="210" t="str">
        <f t="shared" si="120"/>
        <v>Product Eng - MB</v>
      </c>
      <c r="FU37" s="210" t="str">
        <f t="shared" si="120"/>
        <v>Product Eng - MB</v>
      </c>
      <c r="FV37" s="210" t="str">
        <f t="shared" si="120"/>
        <v>Product Eng - MB</v>
      </c>
      <c r="FW37" s="210" t="str">
        <f t="shared" si="120"/>
        <v>Product Eng - MB</v>
      </c>
      <c r="FX37" s="210" t="str">
        <f t="shared" si="120"/>
        <v>Product Eng - MB</v>
      </c>
      <c r="FY37" s="210" t="str">
        <f t="shared" si="120"/>
        <v>Product Eng - MB</v>
      </c>
      <c r="FZ37" s="210" t="str">
        <f t="shared" si="120"/>
        <v>Product Eng - MB</v>
      </c>
      <c r="GA37" s="210" t="str">
        <f t="shared" si="120"/>
        <v>Product Eng - MB</v>
      </c>
      <c r="GB37" s="210" t="str">
        <f t="shared" si="120"/>
        <v>Product Eng - MB</v>
      </c>
      <c r="GC37" s="210" t="str">
        <f t="shared" si="120"/>
        <v>Product Eng - MB</v>
      </c>
      <c r="GD37" s="210" t="str">
        <f t="shared" si="120"/>
        <v>Product Eng - MB</v>
      </c>
      <c r="GE37" s="210" t="str">
        <f t="shared" si="120"/>
        <v>Product Eng - MB</v>
      </c>
      <c r="GF37" s="210" t="str">
        <f t="shared" si="120"/>
        <v>Product Eng - MB</v>
      </c>
      <c r="GG37" s="210" t="str">
        <f t="shared" si="120"/>
        <v>Product Eng - MB</v>
      </c>
      <c r="GH37" s="210" t="str">
        <f t="shared" si="120"/>
        <v>Product Eng - MB</v>
      </c>
      <c r="GI37" s="210" t="str">
        <f t="shared" ref="GI37:HC37" si="121">+$B37</f>
        <v>Product Eng - MB</v>
      </c>
      <c r="GJ37" s="210" t="str">
        <f t="shared" si="121"/>
        <v>Product Eng - MB</v>
      </c>
      <c r="GK37" s="210" t="str">
        <f t="shared" si="121"/>
        <v>Product Eng - MB</v>
      </c>
      <c r="GL37" s="210" t="str">
        <f t="shared" si="121"/>
        <v>Product Eng - MB</v>
      </c>
      <c r="GM37" s="210" t="str">
        <f t="shared" si="121"/>
        <v>Product Eng - MB</v>
      </c>
      <c r="GN37" s="210" t="str">
        <f t="shared" si="121"/>
        <v>Product Eng - MB</v>
      </c>
      <c r="GO37" s="210" t="str">
        <f t="shared" si="121"/>
        <v>Product Eng - MB</v>
      </c>
      <c r="GP37" s="210" t="str">
        <f t="shared" si="121"/>
        <v>Product Eng - MB</v>
      </c>
      <c r="GQ37" s="210" t="str">
        <f t="shared" si="121"/>
        <v>Product Eng - MB</v>
      </c>
      <c r="GR37" s="210" t="str">
        <f t="shared" si="121"/>
        <v>Product Eng - MB</v>
      </c>
      <c r="GS37" s="210" t="str">
        <f t="shared" si="121"/>
        <v>Product Eng - MB</v>
      </c>
      <c r="GT37" s="210" t="str">
        <f t="shared" si="121"/>
        <v>Product Eng - MB</v>
      </c>
      <c r="GU37" s="210" t="str">
        <f t="shared" si="121"/>
        <v>Product Eng - MB</v>
      </c>
      <c r="GV37" s="210" t="str">
        <f t="shared" si="121"/>
        <v>Product Eng - MB</v>
      </c>
      <c r="GW37" s="210" t="str">
        <f t="shared" si="121"/>
        <v>Product Eng - MB</v>
      </c>
      <c r="GX37" s="210" t="str">
        <f t="shared" si="121"/>
        <v>Product Eng - MB</v>
      </c>
      <c r="GY37" s="210" t="str">
        <f t="shared" si="121"/>
        <v>Product Eng - MB</v>
      </c>
      <c r="GZ37" s="210" t="str">
        <f t="shared" si="121"/>
        <v>Product Eng - MB</v>
      </c>
      <c r="HA37" s="210" t="str">
        <f t="shared" si="121"/>
        <v>Product Eng - MB</v>
      </c>
      <c r="HB37" s="210" t="str">
        <f t="shared" si="121"/>
        <v>Product Eng - MB</v>
      </c>
      <c r="HC37" s="210" t="str">
        <f t="shared" si="121"/>
        <v>Product Eng - MB</v>
      </c>
      <c r="HE37" s="191" t="str">
        <f>+$B37</f>
        <v>Product Eng - MB</v>
      </c>
      <c r="HF37" s="192"/>
      <c r="HG37" s="141" t="str">
        <f t="shared" ref="HG37:HG42" si="122">+$E37</f>
        <v>Completed to Week</v>
      </c>
      <c r="HH37" s="141">
        <f t="shared" ref="HH37:HH42" si="123">+$F37</f>
        <v>42</v>
      </c>
      <c r="HI37" s="141" t="str">
        <f t="shared" ref="HI37" si="124">+GJ37</f>
        <v>Product Eng - MB</v>
      </c>
      <c r="HJ37" s="210" t="str">
        <f t="shared" ref="HJ37:IO37" si="125">+$B37</f>
        <v>Product Eng - MB</v>
      </c>
      <c r="HK37" s="210" t="str">
        <f t="shared" si="125"/>
        <v>Product Eng - MB</v>
      </c>
      <c r="HL37" s="251" t="str">
        <f t="shared" si="125"/>
        <v>Product Eng - MB</v>
      </c>
      <c r="HM37" s="251" t="str">
        <f t="shared" si="125"/>
        <v>Product Eng - MB</v>
      </c>
      <c r="HN37" s="251" t="str">
        <f t="shared" si="125"/>
        <v>Product Eng - MB</v>
      </c>
      <c r="HO37" s="251" t="str">
        <f t="shared" si="125"/>
        <v>Product Eng - MB</v>
      </c>
      <c r="HP37" s="251" t="str">
        <f t="shared" si="125"/>
        <v>Product Eng - MB</v>
      </c>
      <c r="HQ37" s="251" t="str">
        <f t="shared" si="125"/>
        <v>Product Eng - MB</v>
      </c>
      <c r="HR37" s="251" t="str">
        <f t="shared" si="125"/>
        <v>Product Eng - MB</v>
      </c>
      <c r="HS37" s="251" t="str">
        <f t="shared" si="125"/>
        <v>Product Eng - MB</v>
      </c>
      <c r="HT37" s="251" t="str">
        <f t="shared" si="125"/>
        <v>Product Eng - MB</v>
      </c>
      <c r="HU37" s="251" t="str">
        <f t="shared" si="125"/>
        <v>Product Eng - MB</v>
      </c>
      <c r="HV37" s="251" t="str">
        <f t="shared" si="125"/>
        <v>Product Eng - MB</v>
      </c>
      <c r="HW37" s="251" t="str">
        <f t="shared" si="125"/>
        <v>Product Eng - MB</v>
      </c>
      <c r="HX37" s="251" t="str">
        <f t="shared" si="125"/>
        <v>Product Eng - MB</v>
      </c>
      <c r="HY37" s="251" t="str">
        <f t="shared" si="125"/>
        <v>Product Eng - MB</v>
      </c>
      <c r="HZ37" s="251" t="str">
        <f t="shared" si="125"/>
        <v>Product Eng - MB</v>
      </c>
      <c r="IA37" s="251" t="str">
        <f t="shared" si="125"/>
        <v>Product Eng - MB</v>
      </c>
      <c r="IB37" s="251" t="str">
        <f t="shared" si="125"/>
        <v>Product Eng - MB</v>
      </c>
      <c r="IC37" s="251" t="str">
        <f t="shared" si="125"/>
        <v>Product Eng - MB</v>
      </c>
      <c r="ID37" s="251" t="str">
        <f t="shared" si="125"/>
        <v>Product Eng - MB</v>
      </c>
      <c r="IE37" s="251" t="str">
        <f t="shared" si="125"/>
        <v>Product Eng - MB</v>
      </c>
      <c r="IF37" s="251" t="str">
        <f t="shared" si="125"/>
        <v>Product Eng - MB</v>
      </c>
      <c r="IG37" s="251" t="str">
        <f t="shared" si="125"/>
        <v>Product Eng - MB</v>
      </c>
      <c r="IH37" s="251" t="str">
        <f t="shared" si="125"/>
        <v>Product Eng - MB</v>
      </c>
      <c r="II37" s="251" t="str">
        <f t="shared" si="125"/>
        <v>Product Eng - MB</v>
      </c>
      <c r="IJ37" s="251" t="str">
        <f t="shared" si="125"/>
        <v>Product Eng - MB</v>
      </c>
      <c r="IK37" s="251" t="str">
        <f t="shared" si="125"/>
        <v>Product Eng - MB</v>
      </c>
      <c r="IL37" s="251" t="str">
        <f t="shared" si="125"/>
        <v>Product Eng - MB</v>
      </c>
      <c r="IM37" s="251" t="str">
        <f t="shared" si="125"/>
        <v>Product Eng - MB</v>
      </c>
      <c r="IN37" s="251" t="str">
        <f t="shared" si="125"/>
        <v>Product Eng - MB</v>
      </c>
      <c r="IO37" s="251" t="str">
        <f t="shared" si="125"/>
        <v>Product Eng - MB</v>
      </c>
      <c r="IP37" s="251" t="str">
        <f t="shared" ref="IP37:JJ37" si="126">+$B37</f>
        <v>Product Eng - MB</v>
      </c>
      <c r="IQ37" s="251" t="str">
        <f t="shared" si="126"/>
        <v>Product Eng - MB</v>
      </c>
      <c r="IR37" s="251" t="str">
        <f t="shared" si="126"/>
        <v>Product Eng - MB</v>
      </c>
      <c r="IS37" s="251" t="str">
        <f t="shared" si="126"/>
        <v>Product Eng - MB</v>
      </c>
      <c r="IT37" s="251" t="str">
        <f t="shared" si="126"/>
        <v>Product Eng - MB</v>
      </c>
      <c r="IU37" s="251" t="str">
        <f t="shared" si="126"/>
        <v>Product Eng - MB</v>
      </c>
      <c r="IV37" s="251" t="str">
        <f t="shared" si="126"/>
        <v>Product Eng - MB</v>
      </c>
      <c r="IW37" s="251" t="str">
        <f t="shared" si="126"/>
        <v>Product Eng - MB</v>
      </c>
      <c r="IX37" s="251" t="str">
        <f t="shared" si="126"/>
        <v>Product Eng - MB</v>
      </c>
      <c r="IY37" s="251" t="str">
        <f t="shared" si="126"/>
        <v>Product Eng - MB</v>
      </c>
      <c r="IZ37" s="251" t="str">
        <f t="shared" si="126"/>
        <v>Product Eng - MB</v>
      </c>
      <c r="JA37" s="251" t="str">
        <f t="shared" si="126"/>
        <v>Product Eng - MB</v>
      </c>
      <c r="JB37" s="251" t="str">
        <f t="shared" si="126"/>
        <v>Product Eng - MB</v>
      </c>
      <c r="JC37" s="251" t="str">
        <f t="shared" si="126"/>
        <v>Product Eng - MB</v>
      </c>
      <c r="JD37" s="251" t="str">
        <f t="shared" si="126"/>
        <v>Product Eng - MB</v>
      </c>
      <c r="JE37" s="251" t="str">
        <f t="shared" si="126"/>
        <v>Product Eng - MB</v>
      </c>
      <c r="JF37" s="251" t="str">
        <f t="shared" si="126"/>
        <v>Product Eng - MB</v>
      </c>
      <c r="JG37" s="251" t="str">
        <f t="shared" si="126"/>
        <v>Product Eng - MB</v>
      </c>
      <c r="JH37" s="251" t="str">
        <f t="shared" si="126"/>
        <v>Product Eng - MB</v>
      </c>
      <c r="JI37" s="251" t="str">
        <f t="shared" si="126"/>
        <v>Product Eng - MB</v>
      </c>
      <c r="JJ37" s="251" t="str">
        <f t="shared" si="126"/>
        <v>Product Eng - MB</v>
      </c>
      <c r="JM37" s="191" t="str">
        <f>+$B37</f>
        <v>Product Eng - MB</v>
      </c>
      <c r="JN37" s="192"/>
      <c r="JO37" s="141" t="str">
        <f t="shared" ref="JO37:JO42" si="127">+$E37</f>
        <v>Completed to Week</v>
      </c>
      <c r="JP37" s="141">
        <f t="shared" ref="JP37:JP42" si="128">+$F37</f>
        <v>42</v>
      </c>
      <c r="JQ37" s="141"/>
      <c r="JR37" s="251" t="str">
        <f t="shared" ref="JR37:KW37" si="129">+$B37</f>
        <v>Product Eng - MB</v>
      </c>
      <c r="JS37" s="251" t="str">
        <f t="shared" si="129"/>
        <v>Product Eng - MB</v>
      </c>
      <c r="JT37" s="251" t="str">
        <f t="shared" si="129"/>
        <v>Product Eng - MB</v>
      </c>
      <c r="JU37" s="251" t="str">
        <f t="shared" si="129"/>
        <v>Product Eng - MB</v>
      </c>
      <c r="JV37" s="251" t="str">
        <f t="shared" si="129"/>
        <v>Product Eng - MB</v>
      </c>
      <c r="JW37" s="251" t="str">
        <f t="shared" si="129"/>
        <v>Product Eng - MB</v>
      </c>
      <c r="JX37" s="251" t="str">
        <f t="shared" si="129"/>
        <v>Product Eng - MB</v>
      </c>
      <c r="JY37" s="251" t="str">
        <f t="shared" si="129"/>
        <v>Product Eng - MB</v>
      </c>
      <c r="JZ37" s="251" t="str">
        <f t="shared" si="129"/>
        <v>Product Eng - MB</v>
      </c>
      <c r="KA37" s="251" t="str">
        <f t="shared" si="129"/>
        <v>Product Eng - MB</v>
      </c>
      <c r="KB37" s="251" t="str">
        <f t="shared" si="129"/>
        <v>Product Eng - MB</v>
      </c>
      <c r="KC37" s="251" t="str">
        <f t="shared" si="129"/>
        <v>Product Eng - MB</v>
      </c>
      <c r="KD37" s="251" t="str">
        <f t="shared" si="129"/>
        <v>Product Eng - MB</v>
      </c>
      <c r="KE37" s="251" t="str">
        <f t="shared" si="129"/>
        <v>Product Eng - MB</v>
      </c>
      <c r="KF37" s="251" t="str">
        <f t="shared" si="129"/>
        <v>Product Eng - MB</v>
      </c>
      <c r="KG37" s="251" t="str">
        <f t="shared" si="129"/>
        <v>Product Eng - MB</v>
      </c>
      <c r="KH37" s="251" t="str">
        <f t="shared" si="129"/>
        <v>Product Eng - MB</v>
      </c>
      <c r="KI37" s="251" t="str">
        <f t="shared" si="129"/>
        <v>Product Eng - MB</v>
      </c>
      <c r="KJ37" s="251" t="str">
        <f t="shared" si="129"/>
        <v>Product Eng - MB</v>
      </c>
      <c r="KK37" s="251" t="str">
        <f t="shared" si="129"/>
        <v>Product Eng - MB</v>
      </c>
      <c r="KL37" s="251" t="str">
        <f t="shared" si="129"/>
        <v>Product Eng - MB</v>
      </c>
      <c r="KM37" s="251" t="str">
        <f t="shared" si="129"/>
        <v>Product Eng - MB</v>
      </c>
      <c r="KN37" s="251" t="str">
        <f t="shared" si="129"/>
        <v>Product Eng - MB</v>
      </c>
      <c r="KO37" s="251" t="str">
        <f t="shared" si="129"/>
        <v>Product Eng - MB</v>
      </c>
      <c r="KP37" s="251" t="str">
        <f t="shared" si="129"/>
        <v>Product Eng - MB</v>
      </c>
      <c r="KQ37" s="251" t="str">
        <f t="shared" si="129"/>
        <v>Product Eng - MB</v>
      </c>
      <c r="KR37" s="251" t="str">
        <f t="shared" si="129"/>
        <v>Product Eng - MB</v>
      </c>
      <c r="KS37" s="251" t="str">
        <f t="shared" si="129"/>
        <v>Product Eng - MB</v>
      </c>
      <c r="KT37" s="251" t="str">
        <f t="shared" si="129"/>
        <v>Product Eng - MB</v>
      </c>
      <c r="KU37" s="251" t="str">
        <f t="shared" si="129"/>
        <v>Product Eng - MB</v>
      </c>
      <c r="KV37" s="251" t="str">
        <f t="shared" si="129"/>
        <v>Product Eng - MB</v>
      </c>
      <c r="KW37" s="251" t="str">
        <f t="shared" si="129"/>
        <v>Product Eng - MB</v>
      </c>
      <c r="KX37" s="251" t="str">
        <f t="shared" ref="KX37:LR37" si="130">+$B37</f>
        <v>Product Eng - MB</v>
      </c>
      <c r="KY37" s="251" t="str">
        <f t="shared" si="130"/>
        <v>Product Eng - MB</v>
      </c>
      <c r="KZ37" s="251" t="str">
        <f t="shared" si="130"/>
        <v>Product Eng - MB</v>
      </c>
      <c r="LA37" s="251" t="str">
        <f t="shared" si="130"/>
        <v>Product Eng - MB</v>
      </c>
      <c r="LB37" s="251" t="str">
        <f t="shared" si="130"/>
        <v>Product Eng - MB</v>
      </c>
      <c r="LC37" s="251" t="str">
        <f t="shared" si="130"/>
        <v>Product Eng - MB</v>
      </c>
      <c r="LD37" s="251" t="str">
        <f t="shared" si="130"/>
        <v>Product Eng - MB</v>
      </c>
      <c r="LE37" s="251" t="str">
        <f t="shared" si="130"/>
        <v>Product Eng - MB</v>
      </c>
      <c r="LF37" s="251" t="str">
        <f t="shared" si="130"/>
        <v>Product Eng - MB</v>
      </c>
      <c r="LG37" s="251" t="str">
        <f t="shared" si="130"/>
        <v>Product Eng - MB</v>
      </c>
      <c r="LH37" s="251" t="str">
        <f t="shared" si="130"/>
        <v>Product Eng - MB</v>
      </c>
      <c r="LI37" s="251" t="str">
        <f t="shared" si="130"/>
        <v>Product Eng - MB</v>
      </c>
      <c r="LJ37" s="251" t="str">
        <f t="shared" si="130"/>
        <v>Product Eng - MB</v>
      </c>
      <c r="LK37" s="251" t="str">
        <f t="shared" si="130"/>
        <v>Product Eng - MB</v>
      </c>
      <c r="LL37" s="251" t="str">
        <f t="shared" si="130"/>
        <v>Product Eng - MB</v>
      </c>
      <c r="LM37" s="251" t="str">
        <f t="shared" si="130"/>
        <v>Product Eng - MB</v>
      </c>
      <c r="LN37" s="251" t="str">
        <f t="shared" si="130"/>
        <v>Product Eng - MB</v>
      </c>
      <c r="LO37" s="251" t="str">
        <f t="shared" si="130"/>
        <v>Product Eng - MB</v>
      </c>
      <c r="LP37" s="251" t="str">
        <f t="shared" si="130"/>
        <v>Product Eng - MB</v>
      </c>
      <c r="LQ37" s="251" t="str">
        <f t="shared" si="130"/>
        <v>Product Eng - MB</v>
      </c>
      <c r="LR37" s="251" t="str">
        <f t="shared" si="130"/>
        <v>Product Eng - MB</v>
      </c>
      <c r="LT37" s="191" t="str">
        <f>+$B37</f>
        <v>Product Eng - MB</v>
      </c>
      <c r="LU37" s="192"/>
      <c r="LV37" s="141" t="str">
        <f t="shared" ref="LV37:LV42" si="131">+$E37</f>
        <v>Completed to Week</v>
      </c>
      <c r="LW37" s="141">
        <f t="shared" ref="LW37:LW42" si="132">+$F37</f>
        <v>42</v>
      </c>
      <c r="LX37" s="141"/>
      <c r="LY37" s="210" t="str">
        <f t="shared" ref="LY37:ND37" si="133">+$B37</f>
        <v>Product Eng - MB</v>
      </c>
      <c r="LZ37" s="210" t="str">
        <f t="shared" si="133"/>
        <v>Product Eng - MB</v>
      </c>
      <c r="MA37" s="210" t="str">
        <f t="shared" si="133"/>
        <v>Product Eng - MB</v>
      </c>
      <c r="MB37" s="210" t="str">
        <f t="shared" si="133"/>
        <v>Product Eng - MB</v>
      </c>
      <c r="MC37" s="210" t="str">
        <f t="shared" si="133"/>
        <v>Product Eng - MB</v>
      </c>
      <c r="MD37" s="210" t="str">
        <f t="shared" si="133"/>
        <v>Product Eng - MB</v>
      </c>
      <c r="ME37" s="210" t="str">
        <f t="shared" si="133"/>
        <v>Product Eng - MB</v>
      </c>
      <c r="MF37" s="210" t="str">
        <f t="shared" si="133"/>
        <v>Product Eng - MB</v>
      </c>
      <c r="MG37" s="210" t="str">
        <f t="shared" si="133"/>
        <v>Product Eng - MB</v>
      </c>
      <c r="MH37" s="210" t="str">
        <f t="shared" si="133"/>
        <v>Product Eng - MB</v>
      </c>
      <c r="MI37" s="210" t="str">
        <f t="shared" si="133"/>
        <v>Product Eng - MB</v>
      </c>
      <c r="MJ37" s="210" t="str">
        <f t="shared" si="133"/>
        <v>Product Eng - MB</v>
      </c>
      <c r="MK37" s="210" t="str">
        <f t="shared" si="133"/>
        <v>Product Eng - MB</v>
      </c>
      <c r="ML37" s="210" t="str">
        <f t="shared" si="133"/>
        <v>Product Eng - MB</v>
      </c>
      <c r="MM37" s="210" t="str">
        <f t="shared" si="133"/>
        <v>Product Eng - MB</v>
      </c>
      <c r="MN37" s="210" t="str">
        <f t="shared" si="133"/>
        <v>Product Eng - MB</v>
      </c>
      <c r="MO37" s="210" t="str">
        <f t="shared" si="133"/>
        <v>Product Eng - MB</v>
      </c>
      <c r="MP37" s="210" t="str">
        <f t="shared" si="133"/>
        <v>Product Eng - MB</v>
      </c>
      <c r="MQ37" s="210" t="str">
        <f t="shared" si="133"/>
        <v>Product Eng - MB</v>
      </c>
      <c r="MR37" s="210" t="str">
        <f t="shared" si="133"/>
        <v>Product Eng - MB</v>
      </c>
      <c r="MS37" s="210" t="str">
        <f t="shared" si="133"/>
        <v>Product Eng - MB</v>
      </c>
      <c r="MT37" s="210" t="str">
        <f t="shared" si="133"/>
        <v>Product Eng - MB</v>
      </c>
      <c r="MU37" s="210" t="str">
        <f t="shared" si="133"/>
        <v>Product Eng - MB</v>
      </c>
      <c r="MV37" s="210" t="str">
        <f t="shared" si="133"/>
        <v>Product Eng - MB</v>
      </c>
      <c r="MW37" s="210" t="str">
        <f t="shared" si="133"/>
        <v>Product Eng - MB</v>
      </c>
      <c r="MX37" s="210" t="str">
        <f t="shared" si="133"/>
        <v>Product Eng - MB</v>
      </c>
      <c r="MY37" s="210" t="str">
        <f t="shared" si="133"/>
        <v>Product Eng - MB</v>
      </c>
      <c r="MZ37" s="210" t="str">
        <f t="shared" si="133"/>
        <v>Product Eng - MB</v>
      </c>
      <c r="NA37" s="210" t="str">
        <f t="shared" si="133"/>
        <v>Product Eng - MB</v>
      </c>
      <c r="NB37" s="210" t="str">
        <f t="shared" si="133"/>
        <v>Product Eng - MB</v>
      </c>
      <c r="NC37" s="210" t="str">
        <f t="shared" si="133"/>
        <v>Product Eng - MB</v>
      </c>
      <c r="ND37" s="210" t="str">
        <f t="shared" si="133"/>
        <v>Product Eng - MB</v>
      </c>
      <c r="NE37" s="210" t="str">
        <f t="shared" ref="NE37:NY37" si="134">+$B37</f>
        <v>Product Eng - MB</v>
      </c>
      <c r="NF37" s="210" t="str">
        <f t="shared" si="134"/>
        <v>Product Eng - MB</v>
      </c>
      <c r="NG37" s="210" t="str">
        <f t="shared" si="134"/>
        <v>Product Eng - MB</v>
      </c>
      <c r="NH37" s="210" t="str">
        <f t="shared" si="134"/>
        <v>Product Eng - MB</v>
      </c>
      <c r="NI37" s="210" t="str">
        <f t="shared" si="134"/>
        <v>Product Eng - MB</v>
      </c>
      <c r="NJ37" s="210" t="str">
        <f t="shared" si="134"/>
        <v>Product Eng - MB</v>
      </c>
      <c r="NK37" s="210" t="str">
        <f t="shared" si="134"/>
        <v>Product Eng - MB</v>
      </c>
      <c r="NL37" s="210" t="str">
        <f t="shared" si="134"/>
        <v>Product Eng - MB</v>
      </c>
      <c r="NM37" s="210" t="str">
        <f t="shared" si="134"/>
        <v>Product Eng - MB</v>
      </c>
      <c r="NN37" s="210" t="str">
        <f t="shared" si="134"/>
        <v>Product Eng - MB</v>
      </c>
      <c r="NO37" s="210" t="str">
        <f t="shared" si="134"/>
        <v>Product Eng - MB</v>
      </c>
      <c r="NP37" s="210" t="str">
        <f t="shared" si="134"/>
        <v>Product Eng - MB</v>
      </c>
      <c r="NQ37" s="210" t="str">
        <f t="shared" si="134"/>
        <v>Product Eng - MB</v>
      </c>
      <c r="NR37" s="210" t="str">
        <f t="shared" si="134"/>
        <v>Product Eng - MB</v>
      </c>
      <c r="NS37" s="210" t="str">
        <f t="shared" si="134"/>
        <v>Product Eng - MB</v>
      </c>
      <c r="NT37" s="210" t="str">
        <f t="shared" si="134"/>
        <v>Product Eng - MB</v>
      </c>
      <c r="NU37" s="210" t="str">
        <f t="shared" si="134"/>
        <v>Product Eng - MB</v>
      </c>
      <c r="NV37" s="210" t="str">
        <f t="shared" si="134"/>
        <v>Product Eng - MB</v>
      </c>
      <c r="NW37" s="210" t="str">
        <f t="shared" si="134"/>
        <v>Product Eng - MB</v>
      </c>
      <c r="NX37" s="210" t="str">
        <f t="shared" si="134"/>
        <v>Product Eng - MB</v>
      </c>
      <c r="NY37" s="210" t="str">
        <f t="shared" si="134"/>
        <v>Product Eng - MB</v>
      </c>
    </row>
    <row r="38" spans="1:389" x14ac:dyDescent="0.3">
      <c r="A38" t="str">
        <f>$B$37&amp;"-"&amp;C38</f>
        <v>Product Eng - MB-KPI P1</v>
      </c>
      <c r="B38" s="917" t="str">
        <f>+'KPI Stats'!B43</f>
        <v>Product Engineering - Maybole</v>
      </c>
      <c r="C38" s="133" t="str">
        <f>+'KPI Stats'!C43</f>
        <v>KPI P1</v>
      </c>
      <c r="D38" s="142" t="str">
        <f>+'KPI Stats'!D43</f>
        <v>Productivity</v>
      </c>
      <c r="E38" s="142" t="str">
        <f>+'KPI Stats'!E43</f>
        <v>Output lines as a percentage of capacity</v>
      </c>
      <c r="F38" s="143" t="str">
        <f>+'KPI Stats'!F43</f>
        <v>Percentage</v>
      </c>
      <c r="G38" s="168" t="str">
        <f>+'KPI Stats'!G43</f>
        <v>Under</v>
      </c>
      <c r="J38" s="159" t="str">
        <f>_xlfn.XLOOKUP(J$7,$AM$7:$CM$7,$AM38:$CM38,,FALSE)</f>
        <v>OD</v>
      </c>
      <c r="K38" s="262">
        <f>_xlfn.XLOOKUP(K$7,$FC$7:$HC$7,$FC38:$HC38,,FALSE)</f>
        <v>0</v>
      </c>
      <c r="L38" s="277">
        <f>_xlfn.XLOOKUP(L$7,$HJ$7:$JJ$7,$HJ38:$JJ38,,FALSE)</f>
        <v>80</v>
      </c>
      <c r="M38" s="284" t="str">
        <f>_xlfn.XLOOKUP(M$7,$CU$7:$EU$7,$CU38:$EU38,,FALSE)</f>
        <v>OD</v>
      </c>
      <c r="P38" s="159" t="str">
        <f>_xlfn.XLOOKUP(P$7,$AM$7:$CM$7,$AM38:$CM38,,FALSE)</f>
        <v>OD</v>
      </c>
      <c r="Q38" s="262">
        <f t="shared" ref="Q38:R42" si="135">_xlfn.XLOOKUP(Q$7,$FC$7:$HC$7,$FC38:$HC38,FALSE)</f>
        <v>0</v>
      </c>
      <c r="R38" s="277">
        <f t="shared" si="135"/>
        <v>319</v>
      </c>
      <c r="S38" s="299" t="str">
        <f t="shared" ref="S38:T42" si="136">_xlfn.XLOOKUP(S$7,$CU$7:$EU$7,$CU38:$EU38,,FALSE)</f>
        <v>OD</v>
      </c>
      <c r="T38" s="300">
        <f t="shared" si="136"/>
        <v>3.9874999999999998</v>
      </c>
      <c r="U38" s="294" t="str">
        <f>IF(F37&lt;$R$2,"Not Complete",IF(Q38=R38,"Same −",IF($G38="Over",IF(Q38&lt;R38,"Better ↑","Worse ↓"),IF($G38="Under",IF(Q38&gt;R38,"Better ↑","Worse ↓"),"err"))))</f>
        <v>Worse ↓</v>
      </c>
      <c r="X38" s="159" t="str">
        <f t="shared" ref="X38:X42" si="137">IF(Y38="","",IF(Y38="Blank","",IF(AND(G38="above zero",Y38&gt;0),"R",IF(AA38&gt;1,"G",IF(AA38&gt;0.95,"A","R")))))</f>
        <v>G</v>
      </c>
      <c r="Y38" s="161">
        <f>_xlfn.XLOOKUP(Y$7,$JR$7:$LR$7,$JR38:$LR38,FALSE)</f>
        <v>115.41463414634147</v>
      </c>
      <c r="Z38" s="161">
        <f>_xlfn.XLOOKUP(Z$7,$LY$7:$NY$7,$LY38:$NY38,FALSE)</f>
        <v>80</v>
      </c>
      <c r="AA38" s="253">
        <f>IF(G38="under",Y38/Z38,IF(G38="over",Z38/Y38,"err"))</f>
        <v>1.4426829268292685</v>
      </c>
      <c r="AB38" s="294" t="str">
        <f>IF(F37&lt;$R$2,"TBC",IF(Y38=Z38,"Same −",IF($G38="Over",IF(Z38&lt;Y38,"Better ↑ ","Worse ↓ "),IF($G38="Under",IF(Y38&gt;Z38,"Better ↑ ","Worse ↓ "),"err"))))</f>
        <v xml:space="preserve">Better ↑ </v>
      </c>
      <c r="AC38" s="159" t="str">
        <f>IF(AND(G38="above adero",AD38&gt;0),"R",IF(AF38&gt;1,"G",IF(AF38&gt;0.95,"A","R")))</f>
        <v>G</v>
      </c>
      <c r="AD38" s="161">
        <f>_xlfn.XLOOKUP(AD$7,$JR$7:$LR$7,$JR38:$LR38,FALSE)</f>
        <v>118.3</v>
      </c>
      <c r="AE38" s="161">
        <f>_xlfn.XLOOKUP(AE$7,$LY$7:$NY$7,$LY38:$NY38,FALSE)</f>
        <v>80</v>
      </c>
      <c r="AF38" s="253">
        <f>IF(G38="under",AD38/AE38,IF(G38="over",AE38/AD38,"err"))</f>
        <v>1.47875</v>
      </c>
      <c r="AH38" s="465" t="str">
        <f>+$A38</f>
        <v>Product Eng - MB-KPI P1</v>
      </c>
      <c r="AI38" s="133" t="str">
        <f t="shared" ref="AI38:AJ42" si="138">+C38</f>
        <v>KPI P1</v>
      </c>
      <c r="AJ38" s="142" t="str">
        <f t="shared" si="138"/>
        <v>Productivity</v>
      </c>
      <c r="AK38" s="142" t="str">
        <f t="shared" si="114"/>
        <v>Output lines as a percentage of capacity</v>
      </c>
      <c r="AL38" s="143" t="str">
        <f t="shared" si="114"/>
        <v>Percentage</v>
      </c>
      <c r="AM38" s="159" t="str">
        <f>IF(AM$7&gt;$D$3,"",_xlfn.XLOOKUP(AM$7,'Product Eng - MB'!$M$6:$BM$6,'Product Eng - MB'!$M$10:$BM$10))</f>
        <v>Blank</v>
      </c>
      <c r="AN38" s="198" t="str">
        <f>IF(AN$7&gt;$D$3,"",_xlfn.XLOOKUP(AN$7,'Product Eng - MB'!$M$6:$BM$6,'Product Eng - MB'!$M$10:$BM$10))</f>
        <v>R</v>
      </c>
      <c r="AO38" s="159" t="str">
        <f>IF(AO$7&gt;$D$3,"",_xlfn.XLOOKUP(AO$7,'Product Eng - MB'!$M$6:$BM$6,'Product Eng - MB'!$M$10:$BM$10))</f>
        <v>G</v>
      </c>
      <c r="AP38" s="159" t="str">
        <f>IF(AP$7&gt;$D$3,"",_xlfn.XLOOKUP(AP$7,'Product Eng - MB'!$M$6:$BM$6,'Product Eng - MB'!$M$10:$BM$10))</f>
        <v>G</v>
      </c>
      <c r="AQ38" s="159" t="str">
        <f>IF(AQ$7&gt;$D$3,"",_xlfn.XLOOKUP(AQ$7,'Product Eng - MB'!$M$6:$BM$6,'Product Eng - MB'!$M$10:$BM$10))</f>
        <v>G</v>
      </c>
      <c r="AR38" s="159" t="str">
        <f>IF(AR$7&gt;$D$3,"",_xlfn.XLOOKUP(AR$7,'Product Eng - MB'!$M$6:$BM$6,'Product Eng - MB'!$M$10:$BM$10))</f>
        <v>G</v>
      </c>
      <c r="AS38" s="159" t="str">
        <f>IF(AS$7&gt;$D$3,"",_xlfn.XLOOKUP(AS$7,'Product Eng - MB'!$M$6:$BM$6,'Product Eng - MB'!$M$10:$BM$10))</f>
        <v>G</v>
      </c>
      <c r="AT38" s="159" t="str">
        <f>IF(AT$7&gt;$D$3,"",_xlfn.XLOOKUP(AT$7,'Product Eng - MB'!$M$6:$BM$6,'Product Eng - MB'!$M$10:$BM$10))</f>
        <v>G</v>
      </c>
      <c r="AU38" s="159" t="str">
        <f>IF(AU$7&gt;$D$3,"",_xlfn.XLOOKUP(AU$7,'Product Eng - MB'!$M$6:$BM$6,'Product Eng - MB'!$M$10:$BM$10))</f>
        <v>R</v>
      </c>
      <c r="AV38" s="159" t="str">
        <f>IF(AV$7&gt;$D$3,"",_xlfn.XLOOKUP(AV$7,'Product Eng - MB'!$M$6:$BM$6,'Product Eng - MB'!$M$10:$BM$10))</f>
        <v>G</v>
      </c>
      <c r="AW38" s="159" t="str">
        <f>IF(AW$7&gt;$D$3,"",_xlfn.XLOOKUP(AW$7,'Product Eng - MB'!$M$6:$BM$6,'Product Eng - MB'!$M$10:$BM$10))</f>
        <v>G</v>
      </c>
      <c r="AX38" s="159" t="str">
        <f>IF(AX$7&gt;$D$3,"",_xlfn.XLOOKUP(AX$7,'Product Eng - MB'!$M$6:$BM$6,'Product Eng - MB'!$M$10:$BM$10))</f>
        <v>R</v>
      </c>
      <c r="AY38" s="159" t="str">
        <f>IF(AY$7&gt;$D$3,"",_xlfn.XLOOKUP(AY$7,'Product Eng - MB'!$M$6:$BM$6,'Product Eng - MB'!$M$10:$BM$10))</f>
        <v>R</v>
      </c>
      <c r="AZ38" s="159" t="str">
        <f>IF(AZ$7&gt;$D$3,"",_xlfn.XLOOKUP(AZ$7,'Product Eng - MB'!$M$6:$BM$6,'Product Eng - MB'!$M$10:$BM$10))</f>
        <v>G</v>
      </c>
      <c r="BA38" s="159" t="str">
        <f>IF(BA$7&gt;$D$3,"",_xlfn.XLOOKUP(BA$7,'Product Eng - MB'!$M$6:$BM$6,'Product Eng - MB'!$M$10:$BM$10))</f>
        <v>R</v>
      </c>
      <c r="BB38" s="159" t="str">
        <f>IF(BB$7&gt;$D$3,"",_xlfn.XLOOKUP(BB$7,'Product Eng - MB'!$M$6:$BM$6,'Product Eng - MB'!$M$10:$BM$10))</f>
        <v>G</v>
      </c>
      <c r="BC38" s="159" t="str">
        <f>IF(BC$7&gt;$D$3,"",_xlfn.XLOOKUP(BC$7,'Product Eng - MB'!$M$6:$BM$6,'Product Eng - MB'!$M$10:$BM$10))</f>
        <v>R</v>
      </c>
      <c r="BD38" s="159" t="str">
        <f>IF(BD$7&gt;$D$3,"",_xlfn.XLOOKUP(BD$7,'Product Eng - MB'!$M$6:$BM$6,'Product Eng - MB'!$M$10:$BM$10))</f>
        <v>G</v>
      </c>
      <c r="BE38" s="159" t="str">
        <f>IF(BE$7&gt;$D$3,"",_xlfn.XLOOKUP(BE$7,'Product Eng - MB'!$M$6:$BM$6,'Product Eng - MB'!$M$10:$BM$10))</f>
        <v>G</v>
      </c>
      <c r="BF38" s="159" t="str">
        <f>IF(BF$7&gt;$D$3,"",_xlfn.XLOOKUP(BF$7,'Product Eng - MB'!$M$6:$BM$6,'Product Eng - MB'!$M$10:$BM$10))</f>
        <v>R</v>
      </c>
      <c r="BG38" s="159" t="str">
        <f>IF(BG$7&gt;$D$3,"",_xlfn.XLOOKUP(BG$7,'Product Eng - MB'!$M$6:$BM$6,'Product Eng - MB'!$M$10:$BM$10))</f>
        <v>G</v>
      </c>
      <c r="BH38" s="159" t="str">
        <f>IF(BH$7&gt;$D$3,"",_xlfn.XLOOKUP(BH$7,'Product Eng - MB'!$M$6:$BM$6,'Product Eng - MB'!$M$10:$BM$10))</f>
        <v>G</v>
      </c>
      <c r="BI38" s="159" t="str">
        <f>IF(BI$7&gt;$D$3,"",_xlfn.XLOOKUP(BI$7,'Product Eng - MB'!$M$6:$BM$6,'Product Eng - MB'!$M$10:$BM$10))</f>
        <v>G</v>
      </c>
      <c r="BJ38" s="159" t="str">
        <f>IF(BJ$7&gt;$D$3,"",_xlfn.XLOOKUP(BJ$7,'Product Eng - MB'!$M$6:$BM$6,'Product Eng - MB'!$M$10:$BM$10))</f>
        <v>G</v>
      </c>
      <c r="BK38" s="159" t="str">
        <f>IF(BK$7&gt;$D$3,"",_xlfn.XLOOKUP(BK$7,'Product Eng - MB'!$M$6:$BM$6,'Product Eng - MB'!$M$10:$BM$10))</f>
        <v>G</v>
      </c>
      <c r="BL38" s="159" t="str">
        <f>IF(BL$7&gt;$D$3,"",_xlfn.XLOOKUP(BL$7,'Product Eng - MB'!$M$6:$BM$6,'Product Eng - MB'!$M$10:$BM$10))</f>
        <v>G</v>
      </c>
      <c r="BM38" s="159" t="str">
        <f>IF(BM$7&gt;$D$3,"",_xlfn.XLOOKUP(BM$7,'Product Eng - MB'!$M$6:$BM$6,'Product Eng - MB'!$M$10:$BM$10))</f>
        <v>G</v>
      </c>
      <c r="BN38" s="159" t="str">
        <f>IF(BN$7&gt;$D$3,"",_xlfn.XLOOKUP(BN$7,'Product Eng - MB'!$M$6:$BM$6,'Product Eng - MB'!$M$10:$BM$10))</f>
        <v>R</v>
      </c>
      <c r="BO38" s="159" t="str">
        <f>IF(BO$7&gt;$D$3,"",_xlfn.XLOOKUP(BO$7,'Product Eng - MB'!$M$6:$BM$6,'Product Eng - MB'!$M$10:$BM$10))</f>
        <v>G</v>
      </c>
      <c r="BP38" s="159" t="str">
        <f>IF(BP$7&gt;$D$3,"",_xlfn.XLOOKUP(BP$7,'Product Eng - MB'!$M$6:$BM$6,'Product Eng - MB'!$M$10:$BM$10))</f>
        <v>G</v>
      </c>
      <c r="BQ38" s="159" t="str">
        <f>IF(BQ$7&gt;$D$3,"",_xlfn.XLOOKUP(BQ$7,'Product Eng - MB'!$M$6:$BM$6,'Product Eng - MB'!$M$10:$BM$10))</f>
        <v>R</v>
      </c>
      <c r="BR38" s="159" t="str">
        <f>IF(BR$7&gt;$D$3,"",_xlfn.XLOOKUP(BR$7,'Product Eng - MB'!$M$6:$BM$6,'Product Eng - MB'!$M$10:$BM$10))</f>
        <v>R</v>
      </c>
      <c r="BS38" s="159" t="str">
        <f>IF(BS$7&gt;$D$3,"",_xlfn.XLOOKUP(BS$7,'Product Eng - MB'!$M$6:$BM$6,'Product Eng - MB'!$M$10:$BM$10))</f>
        <v>R</v>
      </c>
      <c r="BT38" s="159" t="str">
        <f>IF(BT$7&gt;$D$3,"",_xlfn.XLOOKUP(BT$7,'Product Eng - MB'!$M$6:$BM$6,'Product Eng - MB'!$M$10:$BM$10))</f>
        <v>G</v>
      </c>
      <c r="BU38" s="159" t="str">
        <f>IF(BU$7&gt;$D$3,"",_xlfn.XLOOKUP(BU$7,'Product Eng - MB'!$M$6:$BM$6,'Product Eng - MB'!$M$10:$BM$10))</f>
        <v>G</v>
      </c>
      <c r="BV38" s="159" t="str">
        <f>IF(BV$7&gt;$D$3,"",_xlfn.XLOOKUP(BV$7,'Product Eng - MB'!$M$6:$BM$6,'Product Eng - MB'!$M$10:$BM$10))</f>
        <v>G</v>
      </c>
      <c r="BW38" s="159" t="str">
        <f>IF(BW$7&gt;$D$3,"",_xlfn.XLOOKUP(BW$7,'Product Eng - MB'!$M$6:$BM$6,'Product Eng - MB'!$M$10:$BM$10))</f>
        <v>R</v>
      </c>
      <c r="BX38" s="159" t="str">
        <f>IF(BX$7&gt;$D$3,"",_xlfn.XLOOKUP(BX$7,'Product Eng - MB'!$M$6:$BM$6,'Product Eng - MB'!$M$10:$BM$10))</f>
        <v>G</v>
      </c>
      <c r="BY38" s="159" t="str">
        <f>IF(BY$7&gt;$D$3,"",_xlfn.XLOOKUP(BY$7,'Product Eng - MB'!$M$6:$BM$6,'Product Eng - MB'!$M$10:$BM$10))</f>
        <v>A</v>
      </c>
      <c r="BZ38" s="159" t="str">
        <f>IF(BZ$7&gt;$D$3,"",_xlfn.XLOOKUP(BZ$7,'Product Eng - MB'!$M$6:$BM$6,'Product Eng - MB'!$M$10:$BM$10))</f>
        <v>G</v>
      </c>
      <c r="CA38" s="159" t="str">
        <f>IF(CA$7&gt;$D$3,"",_xlfn.XLOOKUP(CA$7,'Product Eng - MB'!$M$6:$BM$6,'Product Eng - MB'!$M$10:$BM$10))</f>
        <v>G</v>
      </c>
      <c r="CB38" s="159" t="str">
        <f>IF(CB$7&gt;$D$3,"",_xlfn.XLOOKUP(CB$7,'Product Eng - MB'!$M$6:$BM$6,'Product Eng - MB'!$M$10:$BM$10))</f>
        <v>OD</v>
      </c>
      <c r="CC38" s="159" t="str">
        <f>IF(CC$7&gt;$D$3,"",_xlfn.XLOOKUP(CC$7,'Product Eng - MB'!$M$6:$BM$6,'Product Eng - MB'!$M$10:$BM$10))</f>
        <v/>
      </c>
      <c r="CD38" s="159" t="str">
        <f>IF(CD$7&gt;$D$3,"",_xlfn.XLOOKUP(CD$7,'Product Eng - MB'!$M$6:$BM$6,'Product Eng - MB'!$M$10:$BM$10))</f>
        <v/>
      </c>
      <c r="CE38" s="159" t="str">
        <f>IF(CE$7&gt;$D$3,"",_xlfn.XLOOKUP(CE$7,'Product Eng - MB'!$M$6:$BM$6,'Product Eng - MB'!$M$10:$BM$10))</f>
        <v/>
      </c>
      <c r="CF38" s="159" t="str">
        <f>IF(CF$7&gt;$D$3,"",_xlfn.XLOOKUP(CF$7,'Product Eng - MB'!$M$6:$BM$6,'Product Eng - MB'!$M$10:$BM$10))</f>
        <v/>
      </c>
      <c r="CG38" s="159" t="str">
        <f>IF(CG$7&gt;$D$3,"",_xlfn.XLOOKUP(CG$7,'Product Eng - MB'!$M$6:$BM$6,'Product Eng - MB'!$M$10:$BM$10))</f>
        <v/>
      </c>
      <c r="CH38" s="159" t="str">
        <f>IF(CH$7&gt;$D$3,"",_xlfn.XLOOKUP(CH$7,'Product Eng - MB'!$M$6:$BM$6,'Product Eng - MB'!$M$10:$BM$10))</f>
        <v/>
      </c>
      <c r="CI38" s="159" t="str">
        <f>IF(CI$7&gt;$D$3,"",_xlfn.XLOOKUP(CI$7,'Product Eng - MB'!$M$6:$BM$6,'Product Eng - MB'!$M$10:$BM$10))</f>
        <v/>
      </c>
      <c r="CJ38" s="159" t="str">
        <f>IF(CJ$7&gt;$D$3,"",_xlfn.XLOOKUP(CJ$7,'Product Eng - MB'!$M$6:$BM$6,'Product Eng - MB'!$M$10:$BM$10))</f>
        <v/>
      </c>
      <c r="CK38" s="159" t="str">
        <f>IF(CK$7&gt;$D$3,"",_xlfn.XLOOKUP(CK$7,'Product Eng - MB'!$M$6:$BM$6,'Product Eng - MB'!$M$10:$BM$10))</f>
        <v/>
      </c>
      <c r="CL38" s="159" t="str">
        <f>IF(CL$7&gt;$D$3,"",_xlfn.XLOOKUP(CL$7,'Product Eng - MB'!$M$6:$BM$6,'Product Eng - MB'!$M$10:$BM$10))</f>
        <v/>
      </c>
      <c r="CM38" s="159" t="str">
        <f>IF(CM$7&gt;$D$3,"",_xlfn.XLOOKUP(CM$7,'Product Eng - MB'!$M$6:$BM$6,'Product Eng - MB'!$M$10:$BM$10))</f>
        <v/>
      </c>
      <c r="CO38" s="465" t="str">
        <f>+$A38</f>
        <v>Product Eng - MB-KPI P1</v>
      </c>
      <c r="CP38" s="133" t="str">
        <f t="shared" ref="CP38:CS42" si="139">+C38</f>
        <v>KPI P1</v>
      </c>
      <c r="CQ38" s="142" t="str">
        <f t="shared" si="139"/>
        <v>Productivity</v>
      </c>
      <c r="CR38" s="142" t="str">
        <f t="shared" si="139"/>
        <v>Output lines as a percentage of capacity</v>
      </c>
      <c r="CS38" s="143" t="str">
        <f t="shared" si="139"/>
        <v>Percentage</v>
      </c>
      <c r="CT38" s="206" t="s">
        <v>246</v>
      </c>
      <c r="CU38" s="159" t="str">
        <f>IF(CU$7&gt;$D$3,"",_xlfn.XLOOKUP(CU$7,'Product Eng - MB'!$M$6:$BM$6,'Product Eng - MB'!$M$10:$BM$10))</f>
        <v>Blank</v>
      </c>
      <c r="CV38" s="323">
        <f>IFERROR(IF(CV$7&gt;$D$3,"",IF(AN38="OD","OD",IF(AN38="Missed","Missed",IF(AN38="TBC","TBC",IF(AN38="Undefined","Undefined",_xlfn.XLOOKUP(CV$7,'Product Eng - MB'!$M$6:$BM$6,'Product Eng - MB'!$M$9:$BM$9)/_xlfn.XLOOKUP(CV$7,'Product Eng - MB'!$M$6:$BM$6,'Product Eng - MB'!$M$8:$BM$8)))))),"")</f>
        <v>0.26250000000000001</v>
      </c>
      <c r="CW38" s="315">
        <f>IFERROR(IF(CW$7&gt;$D$3,"",IF(AO38="OD","OD",IF(AO38="Missed","Missed",IF(AO38="TBC","TBC",IF(AO38="Undefined","Undefined",_xlfn.XLOOKUP(CW$7,'Product Eng - MB'!$M$6:$BM$6,'Product Eng - MB'!$M$9:$BM$9)/_xlfn.XLOOKUP(CW$7,'Product Eng - MB'!$M$6:$BM$6,'Product Eng - MB'!$M$8:$BM$8)))))),"")</f>
        <v>1.4750000000000001</v>
      </c>
      <c r="CX38" s="315">
        <f>IFERROR(IF(CX$7&gt;$D$3,"",IF(AP38="OD","OD",IF(AP38="Missed","Missed",IF(AP38="TBC","TBC",IF(AP38="Undefined","Undefined",_xlfn.XLOOKUP(CX$7,'Product Eng - MB'!$M$6:$BM$6,'Product Eng - MB'!$M$9:$BM$9)/_xlfn.XLOOKUP(CX$7,'Product Eng - MB'!$M$6:$BM$6,'Product Eng - MB'!$M$8:$BM$8)))))),"")</f>
        <v>2.0375000000000001</v>
      </c>
      <c r="CY38" s="315">
        <f>IFERROR(IF(CY$7&gt;$D$3,"",IF(AQ38="OD","OD",IF(AQ38="Missed","Missed",IF(AQ38="TBC","TBC",IF(AQ38="Undefined","Undefined",_xlfn.XLOOKUP(CY$7,'Product Eng - MB'!$M$6:$BM$6,'Product Eng - MB'!$M$9:$BM$9)/_xlfn.XLOOKUP(CY$7,'Product Eng - MB'!$M$6:$BM$6,'Product Eng - MB'!$M$8:$BM$8)))))),"")</f>
        <v>1.8125</v>
      </c>
      <c r="CZ38" s="315">
        <f>IFERROR(IF(CZ$7&gt;$D$3,"",IF(AR38="OD","OD",IF(AR38="Missed","Missed",IF(AR38="TBC","TBC",IF(AR38="Undefined","Undefined",_xlfn.XLOOKUP(CZ$7,'Product Eng - MB'!$M$6:$BM$6,'Product Eng - MB'!$M$9:$BM$9)/_xlfn.XLOOKUP(CZ$7,'Product Eng - MB'!$M$6:$BM$6,'Product Eng - MB'!$M$8:$BM$8)))))),"")</f>
        <v>1.425</v>
      </c>
      <c r="DA38" s="315">
        <f>IFERROR(IF(DA$7&gt;$D$3,"",IF(AS38="OD","OD",IF(AS38="Missed","Missed",IF(AS38="TBC","TBC",IF(AS38="Undefined","Undefined",_xlfn.XLOOKUP(DA$7,'Product Eng - MB'!$M$6:$BM$6,'Product Eng - MB'!$M$9:$BM$9)/_xlfn.XLOOKUP(DA$7,'Product Eng - MB'!$M$6:$BM$6,'Product Eng - MB'!$M$8:$BM$8)))))),"")</f>
        <v>2.2875000000000001</v>
      </c>
      <c r="DB38" s="315">
        <f>IFERROR(IF(DB$7&gt;$D$3,"",IF(AT38="OD","OD",IF(AT38="Missed","Missed",IF(AT38="TBC","TBC",IF(AT38="Undefined","Undefined",_xlfn.XLOOKUP(DB$7,'Product Eng - MB'!$M$6:$BM$6,'Product Eng - MB'!$M$9:$BM$9)/_xlfn.XLOOKUP(DB$7,'Product Eng - MB'!$M$6:$BM$6,'Product Eng - MB'!$M$8:$BM$8)))))),"")</f>
        <v>1.5625</v>
      </c>
      <c r="DC38" s="315">
        <f>IFERROR(IF(DC$7&gt;$D$3,"",IF(AU38="OD","OD",IF(AU38="Missed","Missed",IF(AU38="TBC","TBC",IF(AU38="Undefined","Undefined",_xlfn.XLOOKUP(DC$7,'Product Eng - MB'!$M$6:$BM$6,'Product Eng - MB'!$M$9:$BM$9)/_xlfn.XLOOKUP(DC$7,'Product Eng - MB'!$M$6:$BM$6,'Product Eng - MB'!$M$8:$BM$8)))))),"")</f>
        <v>0.88749999999999996</v>
      </c>
      <c r="DD38" s="315">
        <f>IFERROR(IF(DD$7&gt;$D$3,"",IF(AV38="OD","OD",IF(AV38="Missed","Missed",IF(AV38="TBC","TBC",IF(AV38="Undefined","Undefined",_xlfn.XLOOKUP(DD$7,'Product Eng - MB'!$M$6:$BM$6,'Product Eng - MB'!$M$9:$BM$9)/_xlfn.XLOOKUP(DD$7,'Product Eng - MB'!$M$6:$BM$6,'Product Eng - MB'!$M$8:$BM$8)))))),"")</f>
        <v>1.4750000000000001</v>
      </c>
      <c r="DE38" s="315">
        <f>IFERROR(IF(DE$7&gt;$D$3,"",IF(AW38="OD","OD",IF(AW38="Missed","Missed",IF(AW38="TBC","TBC",IF(AW38="Undefined","Undefined",_xlfn.XLOOKUP(DE$7,'Product Eng - MB'!$M$6:$BM$6,'Product Eng - MB'!$M$9:$BM$9)/_xlfn.XLOOKUP(DE$7,'Product Eng - MB'!$M$6:$BM$6,'Product Eng - MB'!$M$8:$BM$8)))))),"")</f>
        <v>2.1875</v>
      </c>
      <c r="DF38" s="315">
        <f>IFERROR(IF(DF$7&gt;$D$3,"",IF(AX38="OD","OD",IF(AX38="Missed","Missed",IF(AX38="TBC","TBC",IF(AX38="Undefined","Undefined",_xlfn.XLOOKUP(DF$7,'Product Eng - MB'!$M$6:$BM$6,'Product Eng - MB'!$M$9:$BM$9)/_xlfn.XLOOKUP(DF$7,'Product Eng - MB'!$M$6:$BM$6,'Product Eng - MB'!$M$8:$BM$8)))))),"")</f>
        <v>0.8125</v>
      </c>
      <c r="DG38" s="315">
        <f>IFERROR(IF(DG$7&gt;$D$3,"",IF(AY38="OD","OD",IF(AY38="Missed","Missed",IF(AY38="TBC","TBC",IF(AY38="Undefined","Undefined",_xlfn.XLOOKUP(DG$7,'Product Eng - MB'!$M$6:$BM$6,'Product Eng - MB'!$M$9:$BM$9)/_xlfn.XLOOKUP(DG$7,'Product Eng - MB'!$M$6:$BM$6,'Product Eng - MB'!$M$8:$BM$8)))))),"")</f>
        <v>0.53749999999999998</v>
      </c>
      <c r="DH38" s="315">
        <f>IFERROR(IF(DH$7&gt;$D$3,"",IF(AZ38="OD","OD",IF(AZ38="Missed","Missed",IF(AZ38="TBC","TBC",IF(AZ38="Undefined","Undefined",_xlfn.XLOOKUP(DH$7,'Product Eng - MB'!$M$6:$BM$6,'Product Eng - MB'!$M$9:$BM$9)/_xlfn.XLOOKUP(DH$7,'Product Eng - MB'!$M$6:$BM$6,'Product Eng - MB'!$M$8:$BM$8)))))),"")</f>
        <v>1.1499999999999999</v>
      </c>
      <c r="DI38" s="315">
        <f>IFERROR(IF(DI$7&gt;$D$3,"",IF(BA38="OD","OD",IF(BA38="Missed","Missed",IF(BA38="TBC","TBC",IF(BA38="Undefined","Undefined",_xlfn.XLOOKUP(DI$7,'Product Eng - MB'!$M$6:$BM$6,'Product Eng - MB'!$M$9:$BM$9)/_xlfn.XLOOKUP(DI$7,'Product Eng - MB'!$M$6:$BM$6,'Product Eng - MB'!$M$8:$BM$8)))))),"")</f>
        <v>0.73750000000000004</v>
      </c>
      <c r="DJ38" s="315">
        <f>IFERROR(IF(DJ$7&gt;$D$3,"",IF(BB38="OD","OD",IF(BB38="Missed","Missed",IF(BB38="TBC","TBC",IF(BB38="Undefined","Undefined",_xlfn.XLOOKUP(DJ$7,'Product Eng - MB'!$M$6:$BM$6,'Product Eng - MB'!$M$9:$BM$9)/_xlfn.XLOOKUP(DJ$7,'Product Eng - MB'!$M$6:$BM$6,'Product Eng - MB'!$M$8:$BM$8)))))),"")</f>
        <v>1.9</v>
      </c>
      <c r="DK38" s="315">
        <f>IFERROR(IF(DK$7&gt;$D$3,"",IF(BC38="OD","OD",IF(BC38="Missed","Missed",IF(BC38="TBC","TBC",IF(BC38="Undefined","Undefined",_xlfn.XLOOKUP(DK$7,'Product Eng - MB'!$M$6:$BM$6,'Product Eng - MB'!$M$9:$BM$9)/_xlfn.XLOOKUP(DK$7,'Product Eng - MB'!$M$6:$BM$6,'Product Eng - MB'!$M$8:$BM$8)))))),"")</f>
        <v>0.82499999999999996</v>
      </c>
      <c r="DL38" s="315">
        <f>IFERROR(IF(DL$7&gt;$D$3,"",IF(BD38="OD","OD",IF(BD38="Missed","Missed",IF(BD38="TBC","TBC",IF(BD38="Undefined","Undefined",_xlfn.XLOOKUP(DL$7,'Product Eng - MB'!$M$6:$BM$6,'Product Eng - MB'!$M$9:$BM$9)/_xlfn.XLOOKUP(DL$7,'Product Eng - MB'!$M$6:$BM$6,'Product Eng - MB'!$M$8:$BM$8)))))),"")</f>
        <v>1.25</v>
      </c>
      <c r="DM38" s="315">
        <f>IFERROR(IF(DM$7&gt;$D$3,"",IF(BE38="OD","OD",IF(BE38="Missed","Missed",IF(BE38="TBC","TBC",IF(BE38="Undefined","Undefined",_xlfn.XLOOKUP(DM$7,'Product Eng - MB'!$M$6:$BM$6,'Product Eng - MB'!$M$9:$BM$9)/_xlfn.XLOOKUP(DM$7,'Product Eng - MB'!$M$6:$BM$6,'Product Eng - MB'!$M$8:$BM$8)))))),"")</f>
        <v>2.3125</v>
      </c>
      <c r="DN38" s="315">
        <f>IFERROR(IF(DN$7&gt;$D$3,"",IF(BF38="OD","OD",IF(BF38="Missed","Missed",IF(BF38="TBC","TBC",IF(BF38="Undefined","Undefined",_xlfn.XLOOKUP(DN$7,'Product Eng - MB'!$M$6:$BM$6,'Product Eng - MB'!$M$9:$BM$9)/_xlfn.XLOOKUP(DN$7,'Product Eng - MB'!$M$6:$BM$6,'Product Eng - MB'!$M$8:$BM$8)))))),"")</f>
        <v>0.51249999999999996</v>
      </c>
      <c r="DO38" s="315">
        <f>IFERROR(IF(DO$7&gt;$D$3,"",IF(BG38="OD","OD",IF(BG38="Missed","Missed",IF(BG38="TBC","TBC",IF(BG38="Undefined","Undefined",_xlfn.XLOOKUP(DO$7,'Product Eng - MB'!$M$6:$BM$6,'Product Eng - MB'!$M$9:$BM$9)/_xlfn.XLOOKUP(DO$7,'Product Eng - MB'!$M$6:$BM$6,'Product Eng - MB'!$M$8:$BM$8)))))),"")</f>
        <v>1.7250000000000001</v>
      </c>
      <c r="DP38" s="315">
        <f>IFERROR(IF(DP$7&gt;$D$3,"",IF(BH38="OD","OD",IF(BH38="Missed","Missed",IF(BH38="TBC","TBC",IF(BH38="Undefined","Undefined",_xlfn.XLOOKUP(DP$7,'Product Eng - MB'!$M$6:$BM$6,'Product Eng - MB'!$M$9:$BM$9)/_xlfn.XLOOKUP(DP$7,'Product Eng - MB'!$M$6:$BM$6,'Product Eng - MB'!$M$8:$BM$8)))))),"")</f>
        <v>1.8374999999999999</v>
      </c>
      <c r="DQ38" s="315">
        <f>IFERROR(IF(DQ$7&gt;$D$3,"",IF(BI38="OD","OD",IF(BI38="Missed","Missed",IF(BI38="TBC","TBC",IF(BI38="Undefined","Undefined",_xlfn.XLOOKUP(DQ$7,'Product Eng - MB'!$M$6:$BM$6,'Product Eng - MB'!$M$9:$BM$9)/_xlfn.XLOOKUP(DQ$7,'Product Eng - MB'!$M$6:$BM$6,'Product Eng - MB'!$M$8:$BM$8)))))),"")</f>
        <v>2.2875000000000001</v>
      </c>
      <c r="DR38" s="315">
        <f>IFERROR(IF(DR$7&gt;$D$3,"",IF(BJ38="OD","OD",IF(BJ38="Missed","Missed",IF(BJ38="TBC","TBC",IF(BJ38="Undefined","Undefined",_xlfn.XLOOKUP(DR$7,'Product Eng - MB'!$M$6:$BM$6,'Product Eng - MB'!$M$9:$BM$9)/_xlfn.XLOOKUP(DR$7,'Product Eng - MB'!$M$6:$BM$6,'Product Eng - MB'!$M$8:$BM$8)))))),"")</f>
        <v>2.2000000000000002</v>
      </c>
      <c r="DS38" s="315">
        <f>IFERROR(IF(DS$7&gt;$D$3,"",IF(BK38="OD","OD",IF(BK38="Missed","Missed",IF(BK38="TBC","TBC",IF(BK38="Undefined","Undefined",_xlfn.XLOOKUP(DS$7,'Product Eng - MB'!$M$6:$BM$6,'Product Eng - MB'!$M$9:$BM$9)/_xlfn.XLOOKUP(DS$7,'Product Eng - MB'!$M$6:$BM$6,'Product Eng - MB'!$M$8:$BM$8)))))),"")</f>
        <v>1.7124999999999999</v>
      </c>
      <c r="DT38" s="315">
        <f>IFERROR(IF(DT$7&gt;$D$3,"",IF(BL38="OD","OD",IF(BL38="Missed","Missed",IF(BL38="TBC","TBC",IF(BL38="Undefined","Undefined",_xlfn.XLOOKUP(DT$7,'Product Eng - MB'!$M$6:$BM$6,'Product Eng - MB'!$M$9:$BM$9)/_xlfn.XLOOKUP(DT$7,'Product Eng - MB'!$M$6:$BM$6,'Product Eng - MB'!$M$8:$BM$8)))))),"")</f>
        <v>1.3125</v>
      </c>
      <c r="DU38" s="315">
        <f>IFERROR(IF(DU$7&gt;$D$3,"",IF(BM38="OD","OD",IF(BM38="Missed","Missed",IF(BM38="TBC","TBC",IF(BM38="Undefined","Undefined",_xlfn.XLOOKUP(DU$7,'Product Eng - MB'!$M$6:$BM$6,'Product Eng - MB'!$M$9:$BM$9)/_xlfn.XLOOKUP(DU$7,'Product Eng - MB'!$M$6:$BM$6,'Product Eng - MB'!$M$8:$BM$8)))))),"")</f>
        <v>1.1625000000000001</v>
      </c>
      <c r="DV38" s="315">
        <f>IFERROR(IF(DV$7&gt;$D$3,"",IF(BN38="OD","OD",IF(BN38="Missed","Missed",IF(BN38="TBC","TBC",IF(BN38="Undefined","Undefined",_xlfn.XLOOKUP(DV$7,'Product Eng - MB'!$M$6:$BM$6,'Product Eng - MB'!$M$9:$BM$9)/_xlfn.XLOOKUP(DV$7,'Product Eng - MB'!$M$6:$BM$6,'Product Eng - MB'!$M$8:$BM$8)))))),"")</f>
        <v>8.7499999999999994E-2</v>
      </c>
      <c r="DW38" s="315">
        <f>IFERROR(IF(DW$7&gt;$D$3,"",IF(BO38="OD","OD",IF(BO38="Missed","Missed",IF(BO38="TBC","TBC",IF(BO38="Undefined","Undefined",_xlfn.XLOOKUP(DW$7,'Product Eng - MB'!$M$6:$BM$6,'Product Eng - MB'!$M$9:$BM$9)/_xlfn.XLOOKUP(DW$7,'Product Eng - MB'!$M$6:$BM$6,'Product Eng - MB'!$M$8:$BM$8)))))),"")</f>
        <v>2.15</v>
      </c>
      <c r="DX38" s="315">
        <f>IFERROR(IF(DX$7&gt;$D$3,"",IF(BP38="OD","OD",IF(BP38="Missed","Missed",IF(BP38="TBC","TBC",IF(BP38="Undefined","Undefined",_xlfn.XLOOKUP(DX$7,'Product Eng - MB'!$M$6:$BM$6,'Product Eng - MB'!$M$9:$BM$9)/_xlfn.XLOOKUP(DX$7,'Product Eng - MB'!$M$6:$BM$6,'Product Eng - MB'!$M$8:$BM$8)))))),"")</f>
        <v>2.4249999999999998</v>
      </c>
      <c r="DY38" s="315">
        <f>IFERROR(IF(DY$7&gt;$D$3,"",IF(BQ38="OD","OD",IF(BQ38="Missed","Missed",IF(BQ38="TBC","TBC",IF(BQ38="Undefined","Undefined",_xlfn.XLOOKUP(DY$7,'Product Eng - MB'!$M$6:$BM$6,'Product Eng - MB'!$M$9:$BM$9)/_xlfn.XLOOKUP(DY$7,'Product Eng - MB'!$M$6:$BM$6,'Product Eng - MB'!$M$8:$BM$8)))))),"")</f>
        <v>0.51249999999999996</v>
      </c>
      <c r="DZ38" s="315">
        <f>IFERROR(IF(DZ$7&gt;$D$3,"",IF(BR38="OD","OD",IF(BR38="Missed","Missed",IF(BR38="TBC","TBC",IF(BR38="Undefined","Undefined",_xlfn.XLOOKUP(DZ$7,'Product Eng - MB'!$M$6:$BM$6,'Product Eng - MB'!$M$9:$BM$9)/_xlfn.XLOOKUP(DZ$7,'Product Eng - MB'!$M$6:$BM$6,'Product Eng - MB'!$M$8:$BM$8)))))),"")</f>
        <v>0.78749999999999998</v>
      </c>
      <c r="EA38" s="315">
        <f>IFERROR(IF(EA$7&gt;$D$3,"",IF(BS38="OD","OD",IF(BS38="Missed","Missed",IF(BS38="TBC","TBC",IF(BS38="Undefined","Undefined",_xlfn.XLOOKUP(EA$7,'Product Eng - MB'!$M$6:$BM$6,'Product Eng - MB'!$M$9:$BM$9)/_xlfn.XLOOKUP(EA$7,'Product Eng - MB'!$M$6:$BM$6,'Product Eng - MB'!$M$8:$BM$8)))))),"")</f>
        <v>0.58750000000000002</v>
      </c>
      <c r="EB38" s="315">
        <f>IFERROR(IF(EB$7&gt;$D$3,"",IF(BT38="OD","OD",IF(BT38="Missed","Missed",IF(BT38="TBC","TBC",IF(BT38="Undefined","Undefined",_xlfn.XLOOKUP(EB$7,'Product Eng - MB'!$M$6:$BM$6,'Product Eng - MB'!$M$9:$BM$9)/_xlfn.XLOOKUP(EB$7,'Product Eng - MB'!$M$6:$BM$6,'Product Eng - MB'!$M$8:$BM$8)))))),"")</f>
        <v>1.1625000000000001</v>
      </c>
      <c r="EC38" s="315">
        <f>IFERROR(IF(EC$7&gt;$D$3,"",IF(BU38="OD","OD",IF(BU38="Missed","Missed",IF(BU38="TBC","TBC",IF(BU38="Undefined","Undefined",_xlfn.XLOOKUP(EC$7,'Product Eng - MB'!$M$6:$BM$6,'Product Eng - MB'!$M$9:$BM$9)/_xlfn.XLOOKUP(EC$7,'Product Eng - MB'!$M$6:$BM$6,'Product Eng - MB'!$M$8:$BM$8)))))),"")</f>
        <v>2.125</v>
      </c>
      <c r="ED38" s="315">
        <f>IFERROR(IF(ED$7&gt;$D$3,"",IF(BV38="OD","OD",IF(BV38="Missed","Missed",IF(BV38="TBC","TBC",IF(BV38="Undefined","Undefined",_xlfn.XLOOKUP(ED$7,'Product Eng - MB'!$M$6:$BM$6,'Product Eng - MB'!$M$9:$BM$9)/_xlfn.XLOOKUP(ED$7,'Product Eng - MB'!$M$6:$BM$6,'Product Eng - MB'!$M$8:$BM$8)))))),"")</f>
        <v>1.6</v>
      </c>
      <c r="EE38" s="315">
        <f>IFERROR(IF(EE$7&gt;$D$3,"",IF(BW38="OD","OD",IF(BW38="Missed","Missed",IF(BW38="TBC","TBC",IF(BW38="Undefined","Undefined",_xlfn.XLOOKUP(EE$7,'Product Eng - MB'!$M$6:$BM$6,'Product Eng - MB'!$M$9:$BM$9)/_xlfn.XLOOKUP(EE$7,'Product Eng - MB'!$M$6:$BM$6,'Product Eng - MB'!$M$8:$BM$8)))))),"")</f>
        <v>0.875</v>
      </c>
      <c r="EF38" s="315">
        <f>IFERROR(IF(EF$7&gt;$D$3,"",IF(BX38="OD","OD",IF(BX38="Missed","Missed",IF(BX38="TBC","TBC",IF(BX38="Undefined","Undefined",_xlfn.XLOOKUP(EF$7,'Product Eng - MB'!$M$6:$BM$6,'Product Eng - MB'!$M$9:$BM$9)/_xlfn.XLOOKUP(EF$7,'Product Eng - MB'!$M$6:$BM$6,'Product Eng - MB'!$M$8:$BM$8)))))),"")</f>
        <v>1.3125</v>
      </c>
      <c r="EG38" s="315">
        <f>IFERROR(IF(EG$7&gt;$D$3,"",IF(BY38="OD","OD",IF(BY38="Missed","Missed",IF(BY38="TBC","TBC",IF(BY38="Undefined","Undefined",_xlfn.XLOOKUP(EG$7,'Product Eng - MB'!$M$6:$BM$6,'Product Eng - MB'!$M$9:$BM$9)/_xlfn.XLOOKUP(EG$7,'Product Eng - MB'!$M$6:$BM$6,'Product Eng - MB'!$M$8:$BM$8)))))),"")</f>
        <v>0.96250000000000002</v>
      </c>
      <c r="EH38" s="315">
        <f>IFERROR(IF(EH$7&gt;$D$3,"",IF(BZ38="OD","OD",IF(BZ38="Missed","Missed",IF(BZ38="TBC","TBC",IF(BZ38="Undefined","Undefined",_xlfn.XLOOKUP(EH$7,'Product Eng - MB'!$M$6:$BM$6,'Product Eng - MB'!$M$9:$BM$9)/_xlfn.XLOOKUP(EH$7,'Product Eng - MB'!$M$6:$BM$6,'Product Eng - MB'!$M$8:$BM$8)))))),"")</f>
        <v>2.8875000000000002</v>
      </c>
      <c r="EI38" s="315">
        <f>IFERROR(IF(EI$7&gt;$D$3,"",IF(CA38="OD","OD",IF(CA38="Missed","Missed",IF(CA38="TBC","TBC",IF(CA38="Undefined","Undefined",_xlfn.XLOOKUP(EI$7,'Product Eng - MB'!$M$6:$BM$6,'Product Eng - MB'!$M$9:$BM$9)/_xlfn.XLOOKUP(EI$7,'Product Eng - MB'!$M$6:$BM$6,'Product Eng - MB'!$M$8:$BM$8)))))),"")</f>
        <v>3.9874999999999998</v>
      </c>
      <c r="EJ38" s="315" t="str">
        <f>IFERROR(IF(EJ$7&gt;$D$3,"",IF(CB38="OD","OD",IF(CB38="Missed","Missed",IF(CB38="TBC","TBC",IF(CB38="Undefined","Undefined",_xlfn.XLOOKUP(EJ$7,'Product Eng - MB'!$M$6:$BM$6,'Product Eng - MB'!$M$9:$BM$9)/_xlfn.XLOOKUP(EJ$7,'Product Eng - MB'!$M$6:$BM$6,'Product Eng - MB'!$M$8:$BM$8)))))),"")</f>
        <v>OD</v>
      </c>
      <c r="EK38" s="315" t="str">
        <f>IFERROR(IF(EK$7&gt;$D$3,"",IF(CC38="OD","OD",IF(CC38="Missed","Missed",IF(CC38="TBC","TBC",IF(CC38="Undefined","Undefined",_xlfn.XLOOKUP(EK$7,'Product Eng - MB'!$M$6:$BM$6,'Product Eng - MB'!$M$9:$BM$9)/_xlfn.XLOOKUP(EK$7,'Product Eng - MB'!$M$6:$BM$6,'Product Eng - MB'!$M$8:$BM$8)))))),"")</f>
        <v/>
      </c>
      <c r="EL38" s="315" t="str">
        <f>IFERROR(IF(EL$7&gt;$D$3,"",IF(CD38="OD","OD",IF(CD38="Missed","Missed",IF(CD38="TBC","TBC",IF(CD38="Undefined","Undefined",_xlfn.XLOOKUP(EL$7,'Product Eng - MB'!$M$6:$BM$6,'Product Eng - MB'!$M$9:$BM$9)/_xlfn.XLOOKUP(EL$7,'Product Eng - MB'!$M$6:$BM$6,'Product Eng - MB'!$M$8:$BM$8)))))),"")</f>
        <v/>
      </c>
      <c r="EM38" s="315" t="str">
        <f>IFERROR(IF(EM$7&gt;$D$3,"",IF(CE38="OD","OD",IF(CE38="Missed","Missed",IF(CE38="TBC","TBC",IF(CE38="Undefined","Undefined",_xlfn.XLOOKUP(EM$7,'Product Eng - MB'!$M$6:$BM$6,'Product Eng - MB'!$M$9:$BM$9)/_xlfn.XLOOKUP(EM$7,'Product Eng - MB'!$M$6:$BM$6,'Product Eng - MB'!$M$8:$BM$8)))))),"")</f>
        <v/>
      </c>
      <c r="EN38" s="315" t="str">
        <f>IFERROR(IF(EN$7&gt;$D$3,"",IF(CF38="OD","OD",IF(CF38="Missed","Missed",IF(CF38="TBC","TBC",IF(CF38="Undefined","Undefined",_xlfn.XLOOKUP(EN$7,'Product Eng - MB'!$M$6:$BM$6,'Product Eng - MB'!$M$9:$BM$9)/_xlfn.XLOOKUP(EN$7,'Product Eng - MB'!$M$6:$BM$6,'Product Eng - MB'!$M$8:$BM$8)))))),"")</f>
        <v/>
      </c>
      <c r="EO38" s="315" t="str">
        <f>IFERROR(IF(EO$7&gt;$D$3,"",IF(CG38="OD","OD",IF(CG38="Missed","Missed",IF(CG38="TBC","TBC",IF(CG38="Undefined","Undefined",_xlfn.XLOOKUP(EO$7,'Product Eng - MB'!$M$6:$BM$6,'Product Eng - MB'!$M$9:$BM$9)/_xlfn.XLOOKUP(EO$7,'Product Eng - MB'!$M$6:$BM$6,'Product Eng - MB'!$M$8:$BM$8)))))),"")</f>
        <v/>
      </c>
      <c r="EP38" s="315" t="str">
        <f>IFERROR(IF(EP$7&gt;$D$3,"",IF(CH38="OD","OD",IF(CH38="Missed","Missed",IF(CH38="TBC","TBC",IF(CH38="Undefined","Undefined",_xlfn.XLOOKUP(EP$7,'Product Eng - MB'!$M$6:$BM$6,'Product Eng - MB'!$M$9:$BM$9)/_xlfn.XLOOKUP(EP$7,'Product Eng - MB'!$M$6:$BM$6,'Product Eng - MB'!$M$8:$BM$8)))))),"")</f>
        <v/>
      </c>
      <c r="EQ38" s="315" t="str">
        <f>IFERROR(IF(EQ$7&gt;$D$3,"",IF(CI38="OD","OD",IF(CI38="Missed","Missed",IF(CI38="TBC","TBC",IF(CI38="Undefined","Undefined",_xlfn.XLOOKUP(EQ$7,'Product Eng - MB'!$M$6:$BM$6,'Product Eng - MB'!$M$9:$BM$9)/_xlfn.XLOOKUP(EQ$7,'Product Eng - MB'!$M$6:$BM$6,'Product Eng - MB'!$M$8:$BM$8)))))),"")</f>
        <v/>
      </c>
      <c r="ER38" s="315" t="str">
        <f>IFERROR(IF(ER$7&gt;$D$3,"",IF(CJ38="OD","OD",IF(CJ38="Missed","Missed",IF(CJ38="TBC","TBC",IF(CJ38="Undefined","Undefined",_xlfn.XLOOKUP(ER$7,'Product Eng - MB'!$M$6:$BM$6,'Product Eng - MB'!$M$9:$BM$9)/_xlfn.XLOOKUP(ER$7,'Product Eng - MB'!$M$6:$BM$6,'Product Eng - MB'!$M$8:$BM$8)))))),"")</f>
        <v/>
      </c>
      <c r="ES38" s="315" t="str">
        <f>IFERROR(IF(ES$7&gt;$D$3,"",IF(CK38="OD","OD",IF(CK38="Missed","Missed",IF(CK38="TBC","TBC",IF(CK38="Undefined","Undefined",_xlfn.XLOOKUP(ES$7,'Product Eng - MB'!$M$6:$BM$6,'Product Eng - MB'!$M$9:$BM$9)/_xlfn.XLOOKUP(ES$7,'Product Eng - MB'!$M$6:$BM$6,'Product Eng - MB'!$M$8:$BM$8)))))),"")</f>
        <v/>
      </c>
      <c r="ET38" s="315" t="str">
        <f>IFERROR(IF(ET$7&gt;$D$3,"",IF(CL38="OD","OD",IF(CL38="Missed","Missed",IF(CL38="TBC","TBC",IF(CL38="Undefined","Undefined",_xlfn.XLOOKUP(ET$7,'Product Eng - MB'!$M$6:$BM$6,'Product Eng - MB'!$M$9:$BM$9)/_xlfn.XLOOKUP(ET$7,'Product Eng - MB'!$M$6:$BM$6,'Product Eng - MB'!$M$8:$BM$8)))))),"")</f>
        <v/>
      </c>
      <c r="EU38" s="315" t="str">
        <f>IFERROR(IF(EU$7&gt;$D$3,"",IF(CM38="OD","OD",IF(CM38="Missed","Missed",IF(CM38="TBC","TBC",IF(CM38="Undefined","Undefined",_xlfn.XLOOKUP(EU$7,'Product Eng - MB'!$M$6:$BM$6,'Product Eng - MB'!$M$9:$BM$9)/_xlfn.XLOOKUP(EU$7,'Product Eng - MB'!$M$6:$BM$6,'Product Eng - MB'!$M$8:$BM$8)))))),"")</f>
        <v/>
      </c>
      <c r="EW38" s="465" t="str">
        <f>+$A38</f>
        <v>Product Eng - MB-KPI P1</v>
      </c>
      <c r="EX38" s="133" t="str">
        <f>+$C38</f>
        <v>KPI P1</v>
      </c>
      <c r="EY38" s="142" t="str">
        <f>+$D38</f>
        <v>Productivity</v>
      </c>
      <c r="EZ38" s="142" t="str">
        <f t="shared" si="118"/>
        <v>Output lines as a percentage of capacity</v>
      </c>
      <c r="FA38" s="143" t="str">
        <f t="shared" si="119"/>
        <v>Percentage</v>
      </c>
      <c r="FB38" s="143" t="s">
        <v>251</v>
      </c>
      <c r="FC38" s="222" t="str">
        <f>IF(FC$7&gt;$D$3,"",IF($FA37&lt;FC$7,"OD",_xlfn.XLOOKUP(FC$7,'Product Eng - MB'!$M$6:$BM$6,'Product Eng - MB'!$M$9:$BM$9)))</f>
        <v>Blank</v>
      </c>
      <c r="FD38" s="222">
        <f>IF(FD$7&gt;$D$3,"",IF($FA37&lt;FD$7,"OD",_xlfn.XLOOKUP(FD$7,'Product Eng - MB'!$M$6:$BM$6,'Product Eng - MB'!$M$9:$BM$9)))</f>
        <v>21</v>
      </c>
      <c r="FE38" s="222">
        <f>IF(FE$7&gt;$D$3,"",IF($FA37&lt;FE$7,"OD",_xlfn.XLOOKUP(FE$7,'Product Eng - MB'!$M$6:$BM$6,'Product Eng - MB'!$M$9:$BM$9)))</f>
        <v>118</v>
      </c>
      <c r="FF38" s="222">
        <f>IF(FF$7&gt;$D$3,"",IF($FA37&lt;FF$7,"OD",_xlfn.XLOOKUP(FF$7,'Product Eng - MB'!$M$6:$BM$6,'Product Eng - MB'!$M$9:$BM$9)))</f>
        <v>163</v>
      </c>
      <c r="FG38" s="222">
        <f>IF(FG$7&gt;$D$3,"",IF($FA37&lt;FG$7,"OD",_xlfn.XLOOKUP(FG$7,'Product Eng - MB'!$M$6:$BM$6,'Product Eng - MB'!$M$9:$BM$9)))</f>
        <v>145</v>
      </c>
      <c r="FH38" s="222">
        <f>IF(FH$7&gt;$D$3,"",IF($FA37&lt;FH$7,"OD",_xlfn.XLOOKUP(FH$7,'Product Eng - MB'!$M$6:$BM$6,'Product Eng - MB'!$M$9:$BM$9)))</f>
        <v>114</v>
      </c>
      <c r="FI38" s="222">
        <f>IF(FI$7&gt;$D$3,"",IF($FA37&lt;FI$7,"OD",_xlfn.XLOOKUP(FI$7,'Product Eng - MB'!$M$6:$BM$6,'Product Eng - MB'!$M$9:$BM$9)))</f>
        <v>183</v>
      </c>
      <c r="FJ38" s="222">
        <f>IF(FJ$7&gt;$D$3,"",IF($FA37&lt;FJ$7,"OD",_xlfn.XLOOKUP(FJ$7,'Product Eng - MB'!$M$6:$BM$6,'Product Eng - MB'!$M$9:$BM$9)))</f>
        <v>125</v>
      </c>
      <c r="FK38" s="222">
        <f>IF(FK$7&gt;$D$3,"",IF($FA37&lt;FK$7,"OD",_xlfn.XLOOKUP(FK$7,'Product Eng - MB'!$M$6:$BM$6,'Product Eng - MB'!$M$9:$BM$9)))</f>
        <v>71</v>
      </c>
      <c r="FL38" s="222">
        <f>IF(FL$7&gt;$D$3,"",IF($FA37&lt;FL$7,"OD",_xlfn.XLOOKUP(FL$7,'Product Eng - MB'!$M$6:$BM$6,'Product Eng - MB'!$M$9:$BM$9)))</f>
        <v>118</v>
      </c>
      <c r="FM38" s="222">
        <f>IF(FM$7&gt;$D$3,"",IF($FA37&lt;FM$7,"OD",_xlfn.XLOOKUP(FM$7,'Product Eng - MB'!$M$6:$BM$6,'Product Eng - MB'!$M$9:$BM$9)))</f>
        <v>175</v>
      </c>
      <c r="FN38" s="222">
        <f>IF(FN$7&gt;$D$3,"",IF($FA37&lt;FN$7,"OD",_xlfn.XLOOKUP(FN$7,'Product Eng - MB'!$M$6:$BM$6,'Product Eng - MB'!$M$9:$BM$9)))</f>
        <v>65</v>
      </c>
      <c r="FO38" s="222">
        <f>IF(FO$7&gt;$D$3,"",IF($FA37&lt;FO$7,"OD",_xlfn.XLOOKUP(FO$7,'Product Eng - MB'!$M$6:$BM$6,'Product Eng - MB'!$M$9:$BM$9)))</f>
        <v>43</v>
      </c>
      <c r="FP38" s="222">
        <f>IF(FP$7&gt;$D$3,"",IF($FA37&lt;FP$7,"OD",_xlfn.XLOOKUP(FP$7,'Product Eng - MB'!$M$6:$BM$6,'Product Eng - MB'!$M$9:$BM$9)))</f>
        <v>92</v>
      </c>
      <c r="FQ38" s="222">
        <f>IF(FQ$7&gt;$D$3,"",IF($FA37&lt;FQ$7,"OD",_xlfn.XLOOKUP(FQ$7,'Product Eng - MB'!$M$6:$BM$6,'Product Eng - MB'!$M$9:$BM$9)))</f>
        <v>59</v>
      </c>
      <c r="FR38" s="222">
        <f>IF(FR$7&gt;$D$3,"",IF($FA37&lt;FR$7,"OD",_xlfn.XLOOKUP(FR$7,'Product Eng - MB'!$M$6:$BM$6,'Product Eng - MB'!$M$9:$BM$9)))</f>
        <v>152</v>
      </c>
      <c r="FS38" s="222">
        <f>IF(FS$7&gt;$D$3,"",IF($FA37&lt;FS$7,"OD",_xlfn.XLOOKUP(FS$7,'Product Eng - MB'!$M$6:$BM$6,'Product Eng - MB'!$M$9:$BM$9)))</f>
        <v>66</v>
      </c>
      <c r="FT38" s="222">
        <f>IF(FT$7&gt;$D$3,"",IF($FA37&lt;FT$7,"OD",_xlfn.XLOOKUP(FT$7,'Product Eng - MB'!$M$6:$BM$6,'Product Eng - MB'!$M$9:$BM$9)))</f>
        <v>100</v>
      </c>
      <c r="FU38" s="222">
        <f>IF(FU$7&gt;$D$3,"",IF($FA37&lt;FU$7,"OD",_xlfn.XLOOKUP(FU$7,'Product Eng - MB'!$M$6:$BM$6,'Product Eng - MB'!$M$9:$BM$9)))</f>
        <v>185</v>
      </c>
      <c r="FV38" s="222">
        <f>IF(FV$7&gt;$D$3,"",IF($FA37&lt;FV$7,"OD",_xlfn.XLOOKUP(FV$7,'Product Eng - MB'!$M$6:$BM$6,'Product Eng - MB'!$M$9:$BM$9)))</f>
        <v>41</v>
      </c>
      <c r="FW38" s="222">
        <f>IF(FW$7&gt;$D$3,"",IF($FA37&lt;FW$7,"OD",_xlfn.XLOOKUP(FW$7,'Product Eng - MB'!$M$6:$BM$6,'Product Eng - MB'!$M$9:$BM$9)))</f>
        <v>138</v>
      </c>
      <c r="FX38" s="222">
        <f>IF(FX$7&gt;$D$3,"",IF($FA37&lt;FX$7,"OD",_xlfn.XLOOKUP(FX$7,'Product Eng - MB'!$M$6:$BM$6,'Product Eng - MB'!$M$9:$BM$9)))</f>
        <v>147</v>
      </c>
      <c r="FY38" s="222">
        <f>IF(FY$7&gt;$D$3,"",IF($FA37&lt;FY$7,"OD",_xlfn.XLOOKUP(FY$7,'Product Eng - MB'!$M$6:$BM$6,'Product Eng - MB'!$M$9:$BM$9)))</f>
        <v>183</v>
      </c>
      <c r="FZ38" s="222">
        <f>IF(FZ$7&gt;$D$3,"",IF($FA37&lt;FZ$7,"OD",_xlfn.XLOOKUP(FZ$7,'Product Eng - MB'!$M$6:$BM$6,'Product Eng - MB'!$M$9:$BM$9)))</f>
        <v>176</v>
      </c>
      <c r="GA38" s="222">
        <f>IF(GA$7&gt;$D$3,"",IF($FA37&lt;GA$7,"OD",_xlfn.XLOOKUP(GA$7,'Product Eng - MB'!$M$6:$BM$6,'Product Eng - MB'!$M$9:$BM$9)))</f>
        <v>137</v>
      </c>
      <c r="GB38" s="222">
        <f>IF(GB$7&gt;$D$3,"",IF($FA37&lt;GB$7,"OD",_xlfn.XLOOKUP(GB$7,'Product Eng - MB'!$M$6:$BM$6,'Product Eng - MB'!$M$9:$BM$9)))</f>
        <v>105</v>
      </c>
      <c r="GC38" s="222">
        <f>IF(GC$7&gt;$D$3,"",IF($FA37&lt;GC$7,"OD",_xlfn.XLOOKUP(GC$7,'Product Eng - MB'!$M$6:$BM$6,'Product Eng - MB'!$M$9:$BM$9)))</f>
        <v>93</v>
      </c>
      <c r="GD38" s="222">
        <f>IF(GD$7&gt;$D$3,"",IF($FA37&lt;GD$7,"OD",_xlfn.XLOOKUP(GD$7,'Product Eng - MB'!$M$6:$BM$6,'Product Eng - MB'!$M$9:$BM$9)))</f>
        <v>7</v>
      </c>
      <c r="GE38" s="222">
        <f>IF(GE$7&gt;$D$3,"",IF($FA37&lt;GE$7,"OD",_xlfn.XLOOKUP(GE$7,'Product Eng - MB'!$M$6:$BM$6,'Product Eng - MB'!$M$9:$BM$9)))</f>
        <v>172</v>
      </c>
      <c r="GF38" s="222">
        <f>IF(GF$7&gt;$D$3,"",IF($FA37&lt;GF$7,"OD",_xlfn.XLOOKUP(GF$7,'Product Eng - MB'!$M$6:$BM$6,'Product Eng - MB'!$M$9:$BM$9)))</f>
        <v>194</v>
      </c>
      <c r="GG38" s="222">
        <f>IF(GG$7&gt;$D$3,"",IF($FA37&lt;GG$7,"OD",_xlfn.XLOOKUP(GG$7,'Product Eng - MB'!$M$6:$BM$6,'Product Eng - MB'!$M$9:$BM$9)))</f>
        <v>41</v>
      </c>
      <c r="GH38" s="222">
        <f>IF(GH$7&gt;$D$3,"",IF($FA37&lt;GH$7,"OD",_xlfn.XLOOKUP(GH$7,'Product Eng - MB'!$M$6:$BM$6,'Product Eng - MB'!$M$9:$BM$9)))</f>
        <v>63</v>
      </c>
      <c r="GI38" s="222">
        <f>IF(GI$7&gt;$D$3,"",IF($FA37&lt;GI$7,"OD",_xlfn.XLOOKUP(GI$7,'Product Eng - MB'!$M$6:$BM$6,'Product Eng - MB'!$M$9:$BM$9)))</f>
        <v>47</v>
      </c>
      <c r="GJ38" s="222">
        <f>IF(GJ$7&gt;$D$3,"",IF($FA37&lt;GJ$7,"OD",_xlfn.XLOOKUP(GJ$7,'Product Eng - MB'!$M$6:$BM$6,'Product Eng - MB'!$M$9:$BM$9)))</f>
        <v>93</v>
      </c>
      <c r="GK38" s="222">
        <f>IF(GK$7&gt;$D$3,"",IF($FA37&lt;GK$7,"OD",_xlfn.XLOOKUP(GK$7,'Product Eng - MB'!$M$6:$BM$6,'Product Eng - MB'!$M$9:$BM$9)))</f>
        <v>170</v>
      </c>
      <c r="GL38" s="222">
        <f>IF(GL$7&gt;$D$3,"",IF($FA37&lt;GL$7,"OD",_xlfn.XLOOKUP(GL$7,'Product Eng - MB'!$M$6:$BM$6,'Product Eng - MB'!$M$9:$BM$9)))</f>
        <v>128</v>
      </c>
      <c r="GM38" s="222">
        <f>IF(GM$7&gt;$D$3,"",IF($FA37&lt;GM$7,"OD",_xlfn.XLOOKUP(GM$7,'Product Eng - MB'!$M$6:$BM$6,'Product Eng - MB'!$M$9:$BM$9)))</f>
        <v>70</v>
      </c>
      <c r="GN38" s="222">
        <f>IF(GN$7&gt;$D$3,"",IF($FA37&lt;GN$7,"OD",_xlfn.XLOOKUP(GN$7,'Product Eng - MB'!$M$6:$BM$6,'Product Eng - MB'!$M$9:$BM$9)))</f>
        <v>105</v>
      </c>
      <c r="GO38" s="222">
        <f>IF(GO$7&gt;$D$3,"",IF($FA37&lt;GO$7,"OD",_xlfn.XLOOKUP(GO$7,'Product Eng - MB'!$M$6:$BM$6,'Product Eng - MB'!$M$9:$BM$9)))</f>
        <v>77</v>
      </c>
      <c r="GP38" s="222">
        <f>IF(GP$7&gt;$D$3,"",IF($FA37&lt;GP$7,"OD",_xlfn.XLOOKUP(GP$7,'Product Eng - MB'!$M$6:$BM$6,'Product Eng - MB'!$M$9:$BM$9)))</f>
        <v>231</v>
      </c>
      <c r="GQ38" s="222">
        <f>IF(GQ$7&gt;$D$3,"",IF($FA37&lt;GQ$7,"OD",_xlfn.XLOOKUP(GQ$7,'Product Eng - MB'!$M$6:$BM$6,'Product Eng - MB'!$M$9:$BM$9)))</f>
        <v>319</v>
      </c>
      <c r="GR38" s="222">
        <f>IF(GR$7&gt;$D$3,"",IF($FA37&lt;GR$7,"OD",_xlfn.XLOOKUP(GR$7,'Product Eng - MB'!$M$6:$BM$6,'Product Eng - MB'!$M$9:$BM$9)))</f>
        <v>0</v>
      </c>
      <c r="GS38" s="222" t="str">
        <f>IF(GS$7&gt;$D$3,"",IF($FA37&lt;GS$7,"OD",_xlfn.XLOOKUP(GS$7,'Product Eng - MB'!$M$6:$BM$6,'Product Eng - MB'!$M$9:$BM$9)))</f>
        <v/>
      </c>
      <c r="GT38" s="222" t="str">
        <f>IF(GT$7&gt;$D$3,"",IF($FA37&lt;GT$7,"OD",_xlfn.XLOOKUP(GT$7,'Product Eng - MB'!$M$6:$BM$6,'Product Eng - MB'!$M$9:$BM$9)))</f>
        <v/>
      </c>
      <c r="GU38" s="222" t="str">
        <f>IF(GU$7&gt;$D$3,"",IF($FA37&lt;GU$7,"OD",_xlfn.XLOOKUP(GU$7,'Product Eng - MB'!$M$6:$BM$6,'Product Eng - MB'!$M$9:$BM$9)))</f>
        <v/>
      </c>
      <c r="GV38" s="222" t="str">
        <f>IF(GV$7&gt;$D$3,"",IF($FA37&lt;GV$7,"OD",_xlfn.XLOOKUP(GV$7,'Product Eng - MB'!$M$6:$BM$6,'Product Eng - MB'!$M$9:$BM$9)))</f>
        <v/>
      </c>
      <c r="GW38" s="222" t="str">
        <f>IF(GW$7&gt;$D$3,"",IF($FA37&lt;GW$7,"OD",_xlfn.XLOOKUP(GW$7,'Product Eng - MB'!$M$6:$BM$6,'Product Eng - MB'!$M$9:$BM$9)))</f>
        <v/>
      </c>
      <c r="GX38" s="222" t="str">
        <f>IF(GX$7&gt;$D$3,"",IF($FA37&lt;GX$7,"OD",_xlfn.XLOOKUP(GX$7,'Product Eng - MB'!$M$6:$BM$6,'Product Eng - MB'!$M$9:$BM$9)))</f>
        <v/>
      </c>
      <c r="GY38" s="222" t="str">
        <f>IF(GY$7&gt;$D$3,"",IF($FA37&lt;GY$7,"OD",_xlfn.XLOOKUP(GY$7,'Product Eng - MB'!$M$6:$BM$6,'Product Eng - MB'!$M$9:$BM$9)))</f>
        <v/>
      </c>
      <c r="GZ38" s="222" t="str">
        <f>IF(GZ$7&gt;$D$3,"",IF($FA37&lt;GZ$7,"OD",_xlfn.XLOOKUP(GZ$7,'Product Eng - MB'!$M$6:$BM$6,'Product Eng - MB'!$M$9:$BM$9)))</f>
        <v/>
      </c>
      <c r="HA38" s="222" t="str">
        <f>IF(HA$7&gt;$D$3,"",IF($FA37&lt;HA$7,"OD",_xlfn.XLOOKUP(HA$7,'Product Eng - MB'!$M$6:$BM$6,'Product Eng - MB'!$M$9:$BM$9)))</f>
        <v/>
      </c>
      <c r="HB38" s="222" t="str">
        <f>IF(HB$7&gt;$D$3,"",IF($FA37&lt;HB$7,"OD",_xlfn.XLOOKUP(HB$7,'Product Eng - MB'!$M$6:$BM$6,'Product Eng - MB'!$M$9:$BM$9)))</f>
        <v/>
      </c>
      <c r="HC38" s="222" t="str">
        <f>IF(HC$7&gt;$D$3,"",IF($FA37&lt;HC$7,"OD",_xlfn.XLOOKUP(HC$7,'Product Eng - MB'!$M$6:$BM$6,'Product Eng - MB'!$M$9:$BM$9)))</f>
        <v/>
      </c>
      <c r="HE38" s="133" t="str">
        <f>+$C38</f>
        <v>KPI P1</v>
      </c>
      <c r="HF38" s="142" t="str">
        <f>+$D38</f>
        <v>Productivity</v>
      </c>
      <c r="HG38" s="142" t="str">
        <f t="shared" si="122"/>
        <v>Output lines as a percentage of capacity</v>
      </c>
      <c r="HH38" s="143" t="str">
        <f t="shared" si="123"/>
        <v>Percentage</v>
      </c>
      <c r="HI38" s="143" t="s">
        <v>44</v>
      </c>
      <c r="HJ38" s="222" t="s">
        <v>122</v>
      </c>
      <c r="HK38" s="222">
        <f>IF(HK$7&gt;$D$3,"",IF($FA37&lt;HK$7,"OD",_xlfn.XLOOKUP(HK$7,'Product Eng - MB'!$M$6:$BM$6,'Product Eng - MB'!$M$8:$BM$8)))</f>
        <v>80</v>
      </c>
      <c r="HL38" s="222">
        <f>IF(HL$7&gt;$D$3,"",IF($FA37&lt;HL$7,"OD",_xlfn.XLOOKUP(HL$7,'Product Eng - MB'!$M$6:$BM$6,'Product Eng - MB'!$M$8:$BM$8)))</f>
        <v>80</v>
      </c>
      <c r="HM38" s="222">
        <f>IF(HM$7&gt;$D$3,"",IF($FA37&lt;HM$7,"OD",_xlfn.XLOOKUP(HM$7,'Product Eng - MB'!$M$6:$BM$6,'Product Eng - MB'!$M$8:$BM$8)))</f>
        <v>80</v>
      </c>
      <c r="HN38" s="222">
        <f>IF(HN$7&gt;$D$3,"",IF($FA37&lt;HN$7,"OD",_xlfn.XLOOKUP(HN$7,'Product Eng - MB'!$M$6:$BM$6,'Product Eng - MB'!$M$8:$BM$8)))</f>
        <v>80</v>
      </c>
      <c r="HO38" s="222">
        <f>IF(HO$7&gt;$D$3,"",IF($FA37&lt;HO$7,"OD",_xlfn.XLOOKUP(HO$7,'Product Eng - MB'!$M$6:$BM$6,'Product Eng - MB'!$M$8:$BM$8)))</f>
        <v>80</v>
      </c>
      <c r="HP38" s="222">
        <f>IF(HP$7&gt;$D$3,"",IF($FA37&lt;HP$7,"OD",_xlfn.XLOOKUP(HP$7,'Product Eng - MB'!$M$6:$BM$6,'Product Eng - MB'!$M$8:$BM$8)))</f>
        <v>80</v>
      </c>
      <c r="HQ38" s="222">
        <f>IF(HQ$7&gt;$D$3,"",IF($FA37&lt;HQ$7,"OD",_xlfn.XLOOKUP(HQ$7,'Product Eng - MB'!$M$6:$BM$6,'Product Eng - MB'!$M$8:$BM$8)))</f>
        <v>80</v>
      </c>
      <c r="HR38" s="222">
        <f>IF(HR$7&gt;$D$3,"",IF($FA37&lt;HR$7,"OD",_xlfn.XLOOKUP(HR$7,'Product Eng - MB'!$M$6:$BM$6,'Product Eng - MB'!$M$8:$BM$8)))</f>
        <v>80</v>
      </c>
      <c r="HS38" s="222">
        <f>IF(HS$7&gt;$D$3,"",IF($FA37&lt;HS$7,"OD",_xlfn.XLOOKUP(HS$7,'Product Eng - MB'!$M$6:$BM$6,'Product Eng - MB'!$M$8:$BM$8)))</f>
        <v>80</v>
      </c>
      <c r="HT38" s="222">
        <f>IF(HT$7&gt;$D$3,"",IF($FA37&lt;HT$7,"OD",_xlfn.XLOOKUP(HT$7,'Product Eng - MB'!$M$6:$BM$6,'Product Eng - MB'!$M$8:$BM$8)))</f>
        <v>80</v>
      </c>
      <c r="HU38" s="222">
        <f>IF(HU$7&gt;$D$3,"",IF($FA37&lt;HU$7,"OD",_xlfn.XLOOKUP(HU$7,'Product Eng - MB'!$M$6:$BM$6,'Product Eng - MB'!$M$8:$BM$8)))</f>
        <v>80</v>
      </c>
      <c r="HV38" s="222">
        <f>IF(HV$7&gt;$D$3,"",IF($FA37&lt;HV$7,"OD",_xlfn.XLOOKUP(HV$7,'Product Eng - MB'!$M$6:$BM$6,'Product Eng - MB'!$M$8:$BM$8)))</f>
        <v>80</v>
      </c>
      <c r="HW38" s="222">
        <f>IF(HW$7&gt;$D$3,"",IF($FA37&lt;HW$7,"OD",_xlfn.XLOOKUP(HW$7,'Product Eng - MB'!$M$6:$BM$6,'Product Eng - MB'!$M$8:$BM$8)))</f>
        <v>80</v>
      </c>
      <c r="HX38" s="222">
        <f>IF(HX$7&gt;$D$3,"",IF($FA37&lt;HX$7,"OD",_xlfn.XLOOKUP(HX$7,'Product Eng - MB'!$M$6:$BM$6,'Product Eng - MB'!$M$8:$BM$8)))</f>
        <v>80</v>
      </c>
      <c r="HY38" s="222">
        <f>IF(HY$7&gt;$D$3,"",IF($FA37&lt;HY$7,"OD",_xlfn.XLOOKUP(HY$7,'Product Eng - MB'!$M$6:$BM$6,'Product Eng - MB'!$M$8:$BM$8)))</f>
        <v>80</v>
      </c>
      <c r="HZ38" s="222">
        <f>IF(HZ$7&gt;$D$3,"",IF($FA37&lt;HZ$7,"OD",_xlfn.XLOOKUP(HZ$7,'Product Eng - MB'!$M$6:$BM$6,'Product Eng - MB'!$M$8:$BM$8)))</f>
        <v>80</v>
      </c>
      <c r="IA38" s="222">
        <f>IF(IA$7&gt;$D$3,"",IF($FA37&lt;IA$7,"OD",_xlfn.XLOOKUP(IA$7,'Product Eng - MB'!$M$6:$BM$6,'Product Eng - MB'!$M$8:$BM$8)))</f>
        <v>80</v>
      </c>
      <c r="IB38" s="222">
        <f>IF(IB$7&gt;$D$3,"",IF($FA37&lt;IB$7,"OD",_xlfn.XLOOKUP(IB$7,'Product Eng - MB'!$M$6:$BM$6,'Product Eng - MB'!$M$8:$BM$8)))</f>
        <v>80</v>
      </c>
      <c r="IC38" s="222">
        <f>IF(IC$7&gt;$D$3,"",IF($FA37&lt;IC$7,"OD",_xlfn.XLOOKUP(IC$7,'Product Eng - MB'!$M$6:$BM$6,'Product Eng - MB'!$M$8:$BM$8)))</f>
        <v>80</v>
      </c>
      <c r="ID38" s="222">
        <f>IF(ID$7&gt;$D$3,"",IF($FA37&lt;ID$7,"OD",_xlfn.XLOOKUP(ID$7,'Product Eng - MB'!$M$6:$BM$6,'Product Eng - MB'!$M$8:$BM$8)))</f>
        <v>80</v>
      </c>
      <c r="IE38" s="222">
        <f>IF(IE$7&gt;$D$3,"",IF($FA37&lt;IE$7,"OD",_xlfn.XLOOKUP(IE$7,'Product Eng - MB'!$M$6:$BM$6,'Product Eng - MB'!$M$8:$BM$8)))</f>
        <v>80</v>
      </c>
      <c r="IF38" s="222">
        <f>IF(IF$7&gt;$D$3,"",IF($FA37&lt;IF$7,"OD",_xlfn.XLOOKUP(IF$7,'Product Eng - MB'!$M$6:$BM$6,'Product Eng - MB'!$M$8:$BM$8)))</f>
        <v>80</v>
      </c>
      <c r="IG38" s="222">
        <f>IF(IG$7&gt;$D$3,"",IF($FA37&lt;IG$7,"OD",_xlfn.XLOOKUP(IG$7,'Product Eng - MB'!$M$6:$BM$6,'Product Eng - MB'!$M$8:$BM$8)))</f>
        <v>80</v>
      </c>
      <c r="IH38" s="222">
        <f>IF(IH$7&gt;$D$3,"",IF($FA37&lt;IH$7,"OD",_xlfn.XLOOKUP(IH$7,'Product Eng - MB'!$M$6:$BM$6,'Product Eng - MB'!$M$8:$BM$8)))</f>
        <v>80</v>
      </c>
      <c r="II38" s="222">
        <f>IF(II$7&gt;$D$3,"",IF($FA37&lt;II$7,"OD",_xlfn.XLOOKUP(II$7,'Product Eng - MB'!$M$6:$BM$6,'Product Eng - MB'!$M$8:$BM$8)))</f>
        <v>80</v>
      </c>
      <c r="IJ38" s="222">
        <f>IF(IJ$7&gt;$D$3,"",IF($FA37&lt;IJ$7,"OD",_xlfn.XLOOKUP(IJ$7,'Product Eng - MB'!$M$6:$BM$6,'Product Eng - MB'!$M$8:$BM$8)))</f>
        <v>80</v>
      </c>
      <c r="IK38" s="222">
        <f>IF(IK$7&gt;$D$3,"",IF($FA37&lt;IK$7,"OD",_xlfn.XLOOKUP(IK$7,'Product Eng - MB'!$M$6:$BM$6,'Product Eng - MB'!$M$8:$BM$8)))</f>
        <v>80</v>
      </c>
      <c r="IL38" s="222">
        <f>IF(IL$7&gt;$D$3,"",IF($FA37&lt;IL$7,"OD",_xlfn.XLOOKUP(IL$7,'Product Eng - MB'!$M$6:$BM$6,'Product Eng - MB'!$M$8:$BM$8)))</f>
        <v>80</v>
      </c>
      <c r="IM38" s="222">
        <f>IF(IM$7&gt;$D$3,"",IF($FA37&lt;IM$7,"OD",_xlfn.XLOOKUP(IM$7,'Product Eng - MB'!$M$6:$BM$6,'Product Eng - MB'!$M$8:$BM$8)))</f>
        <v>80</v>
      </c>
      <c r="IN38" s="222">
        <f>IF(IN$7&gt;$D$3,"",IF($FA37&lt;IN$7,"OD",_xlfn.XLOOKUP(IN$7,'Product Eng - MB'!$M$6:$BM$6,'Product Eng - MB'!$M$8:$BM$8)))</f>
        <v>80</v>
      </c>
      <c r="IO38" s="222">
        <f>IF(IO$7&gt;$D$3,"",IF($FA37&lt;IO$7,"OD",_xlfn.XLOOKUP(IO$7,'Product Eng - MB'!$M$6:$BM$6,'Product Eng - MB'!$M$8:$BM$8)))</f>
        <v>80</v>
      </c>
      <c r="IP38" s="222">
        <f>IF(IP$7&gt;$D$3,"",IF($FA37&lt;IP$7,"OD",_xlfn.XLOOKUP(IP$7,'Product Eng - MB'!$M$6:$BM$6,'Product Eng - MB'!$M$8:$BM$8)))</f>
        <v>80</v>
      </c>
      <c r="IQ38" s="222">
        <f>IF(IQ$7&gt;$D$3,"",IF($FA37&lt;IQ$7,"OD",_xlfn.XLOOKUP(IQ$7,'Product Eng - MB'!$M$6:$BM$6,'Product Eng - MB'!$M$8:$BM$8)))</f>
        <v>80</v>
      </c>
      <c r="IR38" s="222">
        <f>IF(IR$7&gt;$D$3,"",IF($FA37&lt;IR$7,"OD",_xlfn.XLOOKUP(IR$7,'Product Eng - MB'!$M$6:$BM$6,'Product Eng - MB'!$M$8:$BM$8)))</f>
        <v>80</v>
      </c>
      <c r="IS38" s="222">
        <f>IF(IS$7&gt;$D$3,"",IF($FA37&lt;IS$7,"OD",_xlfn.XLOOKUP(IS$7,'Product Eng - MB'!$M$6:$BM$6,'Product Eng - MB'!$M$8:$BM$8)))</f>
        <v>80</v>
      </c>
      <c r="IT38" s="222">
        <f>IF(IT$7&gt;$D$3,"",IF($FA37&lt;IT$7,"OD",_xlfn.XLOOKUP(IT$7,'Product Eng - MB'!$M$6:$BM$6,'Product Eng - MB'!$M$8:$BM$8)))</f>
        <v>80</v>
      </c>
      <c r="IU38" s="222">
        <f>IF(IU$7&gt;$D$3,"",IF($FA37&lt;IU$7,"OD",_xlfn.XLOOKUP(IU$7,'Product Eng - MB'!$M$6:$BM$6,'Product Eng - MB'!$M$8:$BM$8)))</f>
        <v>80</v>
      </c>
      <c r="IV38" s="222">
        <f>IF(IV$7&gt;$D$3,"",IF($FA37&lt;IV$7,"OD",_xlfn.XLOOKUP(IV$7,'Product Eng - MB'!$M$6:$BM$6,'Product Eng - MB'!$M$8:$BM$8)))</f>
        <v>80</v>
      </c>
      <c r="IW38" s="222">
        <f>IF(IW$7&gt;$D$3,"",IF($FA37&lt;IW$7,"OD",_xlfn.XLOOKUP(IW$7,'Product Eng - MB'!$M$6:$BM$6,'Product Eng - MB'!$M$8:$BM$8)))</f>
        <v>80</v>
      </c>
      <c r="IX38" s="222">
        <f>IF(IX$7&gt;$D$3,"",IF($FA37&lt;IX$7,"OD",_xlfn.XLOOKUP(IX$7,'Product Eng - MB'!$M$6:$BM$6,'Product Eng - MB'!$M$8:$BM$8)))</f>
        <v>80</v>
      </c>
      <c r="IY38" s="222">
        <f>IF(IY$7&gt;$D$3,"",IF($FA37&lt;IY$7,"OD",_xlfn.XLOOKUP(IY$7,'Product Eng - MB'!$M$6:$BM$6,'Product Eng - MB'!$M$8:$BM$8)))</f>
        <v>80</v>
      </c>
      <c r="IZ38" s="222" t="str">
        <f>IF(IZ$7&gt;$D$3,"",IF($FA37&lt;IZ$7,"OD",_xlfn.XLOOKUP(IZ$7,'Product Eng - MB'!$M$6:$BM$6,'Product Eng - MB'!$M$8:$BM$8)))</f>
        <v/>
      </c>
      <c r="JA38" s="222" t="str">
        <f>IF(JA$7&gt;$D$3,"",IF($FA37&lt;JA$7,"OD",_xlfn.XLOOKUP(JA$7,'Product Eng - MB'!$M$6:$BM$6,'Product Eng - MB'!$M$8:$BM$8)))</f>
        <v/>
      </c>
      <c r="JB38" s="222" t="str">
        <f>IF(JB$7&gt;$D$3,"",IF($FA37&lt;JB$7,"OD",_xlfn.XLOOKUP(JB$7,'Product Eng - MB'!$M$6:$BM$6,'Product Eng - MB'!$M$8:$BM$8)))</f>
        <v/>
      </c>
      <c r="JC38" s="222" t="str">
        <f>IF(JC$7&gt;$D$3,"",IF($FA37&lt;JC$7,"OD",_xlfn.XLOOKUP(JC$7,'Product Eng - MB'!$M$6:$BM$6,'Product Eng - MB'!$M$8:$BM$8)))</f>
        <v/>
      </c>
      <c r="JD38" s="222" t="str">
        <f>IF(JD$7&gt;$D$3,"",IF($FA37&lt;JD$7,"OD",_xlfn.XLOOKUP(JD$7,'Product Eng - MB'!$M$6:$BM$6,'Product Eng - MB'!$M$8:$BM$8)))</f>
        <v/>
      </c>
      <c r="JE38" s="222" t="str">
        <f>IF(JE$7&gt;$D$3,"",IF($FA37&lt;JE$7,"OD",_xlfn.XLOOKUP(JE$7,'Product Eng - MB'!$M$6:$BM$6,'Product Eng - MB'!$M$8:$BM$8)))</f>
        <v/>
      </c>
      <c r="JF38" s="222" t="str">
        <f>IF(JF$7&gt;$D$3,"",IF($FA37&lt;JF$7,"OD",_xlfn.XLOOKUP(JF$7,'Product Eng - MB'!$M$6:$BM$6,'Product Eng - MB'!$M$8:$BM$8)))</f>
        <v/>
      </c>
      <c r="JG38" s="222" t="str">
        <f>IF(JG$7&gt;$D$3,"",IF($FA37&lt;JG$7,"OD",_xlfn.XLOOKUP(JG$7,'Product Eng - MB'!$M$6:$BM$6,'Product Eng - MB'!$M$8:$BM$8)))</f>
        <v/>
      </c>
      <c r="JH38" s="222" t="str">
        <f>IF(JH$7&gt;$D$3,"",IF($FA37&lt;JH$7,"OD",_xlfn.XLOOKUP(JH$7,'Product Eng - MB'!$M$6:$BM$6,'Product Eng - MB'!$M$8:$BM$8)))</f>
        <v/>
      </c>
      <c r="JI38" s="222" t="str">
        <f>IF(JI$7&gt;$D$3,"",IF($FA37&lt;JI$7,"OD",_xlfn.XLOOKUP(JI$7,'Product Eng - MB'!$M$6:$BM$6,'Product Eng - MB'!$M$8:$BM$8)))</f>
        <v/>
      </c>
      <c r="JJ38" s="222" t="str">
        <f>IF(JJ$7&gt;$D$3,"",IF($FA37&lt;JJ$7,"OD",_xlfn.XLOOKUP(JJ$7,'Product Eng - MB'!$M$6:$BM$6,'Product Eng - MB'!$M$8:$BM$8)))</f>
        <v/>
      </c>
      <c r="JM38" s="133" t="str">
        <f>+$C38</f>
        <v>KPI P1</v>
      </c>
      <c r="JN38" s="142" t="str">
        <f>+$D38</f>
        <v>Productivity</v>
      </c>
      <c r="JO38" s="142" t="str">
        <f t="shared" si="127"/>
        <v>Output lines as a percentage of capacity</v>
      </c>
      <c r="JP38" s="143" t="str">
        <f t="shared" si="128"/>
        <v>Percentage</v>
      </c>
      <c r="JQ38" s="143" t="s">
        <v>284</v>
      </c>
      <c r="JR38" s="225" t="str">
        <f>IFERROR(AVERAGE(FC38:$FC38),"")</f>
        <v/>
      </c>
      <c r="JS38" s="225">
        <f>IFERROR(AVERAGE($FC38:FD38),"")</f>
        <v>21</v>
      </c>
      <c r="JT38" s="225">
        <f>IFERROR(AVERAGE($FC38:FE38),"")</f>
        <v>69.5</v>
      </c>
      <c r="JU38" s="225">
        <f>IFERROR(AVERAGE($FC38:FF38),"")</f>
        <v>100.66666666666667</v>
      </c>
      <c r="JV38" s="225">
        <f>IFERROR(AVERAGE($FC38:FG38),"")</f>
        <v>111.75</v>
      </c>
      <c r="JW38" s="225">
        <f>IFERROR(AVERAGE($FC38:FH38),"")</f>
        <v>112.2</v>
      </c>
      <c r="JX38" s="225">
        <f>IFERROR(AVERAGE($FC38:FI38),"")</f>
        <v>124</v>
      </c>
      <c r="JY38" s="225">
        <f>IFERROR(AVERAGE($FC38:FJ38),"")</f>
        <v>124.14285714285714</v>
      </c>
      <c r="JZ38" s="225">
        <f>IFERROR(AVERAGE($FC38:FK38),"")</f>
        <v>117.5</v>
      </c>
      <c r="KA38" s="225">
        <f>IFERROR(AVERAGE($FC38:FL38),"")</f>
        <v>117.55555555555556</v>
      </c>
      <c r="KB38" s="225">
        <f>IFERROR(AVERAGE($FC38:FM38),"")</f>
        <v>123.3</v>
      </c>
      <c r="KC38" s="225">
        <f>IFERROR(AVERAGE($FC38:FN38),"")</f>
        <v>118</v>
      </c>
      <c r="KD38" s="225">
        <f>IFERROR(AVERAGE($FC38:FO38),"")</f>
        <v>111.75</v>
      </c>
      <c r="KE38" s="225">
        <f>IFERROR(AVERAGE($FC38:FP38),"")</f>
        <v>110.23076923076923</v>
      </c>
      <c r="KF38" s="225">
        <f>IFERROR(AVERAGE($FC38:FQ38),"")</f>
        <v>106.57142857142857</v>
      </c>
      <c r="KG38" s="225">
        <f>IFERROR(AVERAGE($FC38:FR38),"")</f>
        <v>109.6</v>
      </c>
      <c r="KH38" s="225">
        <f>IFERROR(AVERAGE($FC38:FS38),"")</f>
        <v>106.875</v>
      </c>
      <c r="KI38" s="225">
        <f>IFERROR(AVERAGE($FC38:FT38),"")</f>
        <v>106.47058823529412</v>
      </c>
      <c r="KJ38" s="225">
        <f>IFERROR(AVERAGE($FC38:FU38),"")</f>
        <v>110.83333333333333</v>
      </c>
      <c r="KK38" s="225">
        <f>IFERROR(AVERAGE($FC38:FV38),"")</f>
        <v>107.15789473684211</v>
      </c>
      <c r="KL38" s="225">
        <f>IFERROR(AVERAGE($FC38:FW38),"")</f>
        <v>108.7</v>
      </c>
      <c r="KM38" s="225">
        <f>IFERROR(AVERAGE($FC38:FX38),"")</f>
        <v>110.52380952380952</v>
      </c>
      <c r="KN38" s="225">
        <f>IFERROR(AVERAGE($FC38:FY38),"")</f>
        <v>113.81818181818181</v>
      </c>
      <c r="KO38" s="225">
        <f>IFERROR(AVERAGE($FC38:FZ38),"")</f>
        <v>116.52173913043478</v>
      </c>
      <c r="KP38" s="225">
        <f>IFERROR(AVERAGE($FC38:GA38),"")</f>
        <v>117.375</v>
      </c>
      <c r="KQ38" s="225">
        <f>IFERROR(AVERAGE($FC38:GB38),"")</f>
        <v>116.88</v>
      </c>
      <c r="KR38" s="225">
        <f>IFERROR(AVERAGE($FC38:GC38),"")</f>
        <v>115.96153846153847</v>
      </c>
      <c r="KS38" s="225">
        <f>IFERROR(AVERAGE($FC38:GD38),"")</f>
        <v>111.92592592592592</v>
      </c>
      <c r="KT38" s="225">
        <f>IFERROR(AVERAGE($FC38:GE38),"")</f>
        <v>114.07142857142857</v>
      </c>
      <c r="KU38" s="225">
        <f>IFERROR(AVERAGE($FC38:GF38),"")</f>
        <v>116.82758620689656</v>
      </c>
      <c r="KV38" s="225">
        <f>IFERROR(AVERAGE($FC38:GG38),"")</f>
        <v>114.3</v>
      </c>
      <c r="KW38" s="225">
        <f>IFERROR(AVERAGE($FC38:GH38),"")</f>
        <v>112.64516129032258</v>
      </c>
      <c r="KX38" s="225">
        <f>IFERROR(AVERAGE($FC38:GI38),"")</f>
        <v>110.59375</v>
      </c>
      <c r="KY38" s="225">
        <f>IFERROR(AVERAGE($FC38:GJ38),"")</f>
        <v>110.06060606060606</v>
      </c>
      <c r="KZ38" s="225">
        <f>IFERROR(AVERAGE($FC38:GK38),"")</f>
        <v>111.82352941176471</v>
      </c>
      <c r="LA38" s="225">
        <f>IFERROR(AVERAGE($FC38:GL38),"")</f>
        <v>112.28571428571429</v>
      </c>
      <c r="LB38" s="225">
        <f>IFERROR(AVERAGE($FC38:GM38),"")</f>
        <v>111.11111111111111</v>
      </c>
      <c r="LC38" s="225">
        <f>IFERROR(AVERAGE($FC38:GN38),"")</f>
        <v>110.94594594594595</v>
      </c>
      <c r="LD38" s="225">
        <f>IFERROR(AVERAGE($FC38:GO38),"")</f>
        <v>110.05263157894737</v>
      </c>
      <c r="LE38" s="225">
        <f>IFERROR(AVERAGE($FC38:GP38),"")</f>
        <v>113.15384615384616</v>
      </c>
      <c r="LF38" s="225">
        <f>IFERROR(AVERAGE($FC38:GQ38),"")</f>
        <v>118.3</v>
      </c>
      <c r="LG38" s="225">
        <f>IFERROR(AVERAGE($FC38:GR38),"")</f>
        <v>115.41463414634147</v>
      </c>
      <c r="LH38" s="225">
        <f>IFERROR(AVERAGE($FC38:GS38),"")</f>
        <v>115.41463414634147</v>
      </c>
      <c r="LI38" s="225">
        <f>IFERROR(AVERAGE($FC38:GT38),"")</f>
        <v>115.41463414634147</v>
      </c>
      <c r="LJ38" s="225">
        <f>IFERROR(AVERAGE($FC38:GU38),"")</f>
        <v>115.41463414634147</v>
      </c>
      <c r="LK38" s="225">
        <f>IFERROR(AVERAGE($FC38:GV38),"")</f>
        <v>115.41463414634147</v>
      </c>
      <c r="LL38" s="225">
        <f>IFERROR(AVERAGE($FC38:GW38),"")</f>
        <v>115.41463414634147</v>
      </c>
      <c r="LM38" s="225">
        <f>IFERROR(AVERAGE($FC38:GX38),"")</f>
        <v>115.41463414634147</v>
      </c>
      <c r="LN38" s="225">
        <f>IFERROR(AVERAGE($FC38:GY38),"")</f>
        <v>115.41463414634147</v>
      </c>
      <c r="LO38" s="225">
        <f>IFERROR(AVERAGE($FC38:GZ38),"")</f>
        <v>115.41463414634147</v>
      </c>
      <c r="LP38" s="225">
        <f>IFERROR(AVERAGE($FC38:HA38),"")</f>
        <v>115.41463414634147</v>
      </c>
      <c r="LQ38" s="225">
        <f>IFERROR(AVERAGE($FC38:HB38),"")</f>
        <v>115.41463414634147</v>
      </c>
      <c r="LR38" s="225">
        <f>IFERROR(AVERAGE($FC38:HC38),"")</f>
        <v>115.41463414634147</v>
      </c>
      <c r="LT38" s="133" t="str">
        <f>+$C38</f>
        <v>KPI P1</v>
      </c>
      <c r="LU38" s="142" t="str">
        <f>+$D38</f>
        <v>Productivity</v>
      </c>
      <c r="LV38" s="142" t="str">
        <f t="shared" si="131"/>
        <v>Output lines as a percentage of capacity</v>
      </c>
      <c r="LW38" s="143" t="str">
        <f t="shared" si="132"/>
        <v>Percentage</v>
      </c>
      <c r="LX38" s="143" t="s">
        <v>285</v>
      </c>
      <c r="LY38" s="222" t="str">
        <f>IFERROR(AVERAGE($HJ38:HJ38),"")</f>
        <v/>
      </c>
      <c r="LZ38" s="222">
        <f>IFERROR(IF(LAD$7&gt;$D$3,"",AVERAGE($HJ38:HK38)),"")</f>
        <v>80</v>
      </c>
      <c r="MA38" s="222">
        <f>IFERROR(IF(MA$7&gt;$D$3,"",AVERAGE($HJ38:HL38)),"")</f>
        <v>80</v>
      </c>
      <c r="MB38" s="222">
        <f>IFERROR(IF(MB$7&gt;$D$3,"",AVERAGE($HJ38:HM38)),"")</f>
        <v>80</v>
      </c>
      <c r="MC38" s="222">
        <f>IFERROR(IF(MC$7&gt;$D$3,"",AVERAGE($HJ38:HN38)),"")</f>
        <v>80</v>
      </c>
      <c r="MD38" s="222">
        <f>IFERROR(IF(MD$7&gt;$D$3,"",AVERAGE($HJ38:HO38)),"")</f>
        <v>80</v>
      </c>
      <c r="ME38" s="222">
        <f>IFERROR(IF(ME$7&gt;$D$3,"",AVERAGE($HJ38:HP38)),"")</f>
        <v>80</v>
      </c>
      <c r="MF38" s="222">
        <f>IFERROR(IF(MF$7&gt;$D$3,"",AVERAGE($HJ38:HQ38)),"")</f>
        <v>80</v>
      </c>
      <c r="MG38" s="222">
        <f>IFERROR(IF(MG$7&gt;$D$3,"",AVERAGE($HJ38:HR38)),"")</f>
        <v>80</v>
      </c>
      <c r="MH38" s="222">
        <f>IFERROR(IF(MH$7&gt;$D$3,"",AVERAGE($HJ38:HS38)),"")</f>
        <v>80</v>
      </c>
      <c r="MI38" s="222">
        <f>IFERROR(IF(MI$7&gt;$D$3,"",AVERAGE($HJ38:HT38)),"")</f>
        <v>80</v>
      </c>
      <c r="MJ38" s="222">
        <f>IFERROR(IF(MJ$7&gt;$D$3,"",AVERAGE($HJ38:HU38)),"")</f>
        <v>80</v>
      </c>
      <c r="MK38" s="222">
        <f>IFERROR(IF(MK$7&gt;$D$3,"",AVERAGE($HJ38:HV38)),"")</f>
        <v>80</v>
      </c>
      <c r="ML38" s="222">
        <f>IFERROR(IF(ML$7&gt;$D$3,"",AVERAGE($HJ38:HW38)),"")</f>
        <v>80</v>
      </c>
      <c r="MM38" s="222">
        <f>IFERROR(IF(MM$7&gt;$D$3,"",AVERAGE($HJ38:HX38)),"")</f>
        <v>80</v>
      </c>
      <c r="MN38" s="222">
        <f>IFERROR(IF(MN$7&gt;$D$3,"",AVERAGE($HJ38:HY38)),"")</f>
        <v>80</v>
      </c>
      <c r="MO38" s="222">
        <f>IFERROR(IF(MO$7&gt;$D$3,"",AVERAGE($HJ38:HZ38)),"")</f>
        <v>80</v>
      </c>
      <c r="MP38" s="222">
        <f>IFERROR(IF(MP$7&gt;$D$3,"",AVERAGE($HJ38:IA38)),"")</f>
        <v>80</v>
      </c>
      <c r="MQ38" s="222">
        <f>IFERROR(IF(MQ$7&gt;$D$3,"",AVERAGE($HJ38:IB38)),"")</f>
        <v>80</v>
      </c>
      <c r="MR38" s="222">
        <f>IFERROR(IF(MR$7&gt;$D$3,"",AVERAGE($HJ38:IC38)),"")</f>
        <v>80</v>
      </c>
      <c r="MS38" s="222">
        <f>IFERROR(IF(MS$7&gt;$D$3,"",AVERAGE($HJ38:ID38)),"")</f>
        <v>80</v>
      </c>
      <c r="MT38" s="222">
        <f>IFERROR(IF(MT$7&gt;$D$3,"",AVERAGE($HJ38:IE38)),"")</f>
        <v>80</v>
      </c>
      <c r="MU38" s="222">
        <f>IFERROR(IF(MU$7&gt;$D$3,"",AVERAGE($HJ38:IF38)),"")</f>
        <v>80</v>
      </c>
      <c r="MV38" s="222">
        <f>IFERROR(IF(MV$7&gt;$D$3,"",AVERAGE($HJ38:IG38)),"")</f>
        <v>80</v>
      </c>
      <c r="MW38" s="222">
        <f>IFERROR(IF(MW$7&gt;$D$3,"",AVERAGE($HJ38:IH38)),"")</f>
        <v>80</v>
      </c>
      <c r="MX38" s="222">
        <f>IFERROR(IF(MX$7&gt;$D$3,"",AVERAGE($HJ38:II38)),"")</f>
        <v>80</v>
      </c>
      <c r="MY38" s="222">
        <f>IFERROR(IF(MY$7&gt;$D$3,"",AVERAGE($HJ38:IJ38)),"")</f>
        <v>80</v>
      </c>
      <c r="MZ38" s="222">
        <f>IFERROR(IF(MZ$7&gt;$D$3,"",AVERAGE($HJ38:IK38)),"")</f>
        <v>80</v>
      </c>
      <c r="NA38" s="222">
        <f>IFERROR(IF(NA$7&gt;$D$3,"",AVERAGE($HJ38:IL38)),"")</f>
        <v>80</v>
      </c>
      <c r="NB38" s="222">
        <f>IFERROR(IF(NB$7&gt;$D$3,"",AVERAGE($HJ38:IM38)),"")</f>
        <v>80</v>
      </c>
      <c r="NC38" s="222">
        <f>IFERROR(IF(NC$7&gt;$D$3,"",AVERAGE($HJ38:IN38)),"")</f>
        <v>80</v>
      </c>
      <c r="ND38" s="222">
        <f>IFERROR(IF(ND$7&gt;$D$3,"",AVERAGE($HJ38:IO38)),"")</f>
        <v>80</v>
      </c>
      <c r="NE38" s="222">
        <f>IFERROR(IF(NE$7&gt;$D$3,"",AVERAGE($HJ38:IP38)),"")</f>
        <v>80</v>
      </c>
      <c r="NF38" s="222">
        <f>IFERROR(IF(NF$7&gt;$D$3,"",AVERAGE($HJ38:IQ38)),"")</f>
        <v>80</v>
      </c>
      <c r="NG38" s="222">
        <f>IFERROR(IF(NG$7&gt;$D$3,"",AVERAGE($HJ38:IR38)),"")</f>
        <v>80</v>
      </c>
      <c r="NH38" s="222">
        <f>IFERROR(IF(NH$7&gt;$D$3,"",AVERAGE($HJ38:IS38)),"")</f>
        <v>80</v>
      </c>
      <c r="NI38" s="222">
        <f>IFERROR(IF(NI$7&gt;$D$3,"",AVERAGE($HJ38:IT38)),"")</f>
        <v>80</v>
      </c>
      <c r="NJ38" s="222">
        <f>IFERROR(IF(NJ$7&gt;$D$3,"",AVERAGE($HJ38:IU38)),"")</f>
        <v>80</v>
      </c>
      <c r="NK38" s="222">
        <f>IFERROR(IF(NK$7&gt;$D$3,"",AVERAGE($HJ38:IV38)),"")</f>
        <v>80</v>
      </c>
      <c r="NL38" s="222">
        <f>IFERROR(IF(NL$7&gt;$D$3,"",AVERAGE($HJ38:IW38)),"")</f>
        <v>80</v>
      </c>
      <c r="NM38" s="222">
        <f>IFERROR(IF(NM$7&gt;$D$3,"",AVERAGE($HJ38:IX38)),"")</f>
        <v>80</v>
      </c>
      <c r="NN38" s="222">
        <f>IFERROR(IF(NN$7&gt;$D$3,"",AVERAGE($HJ38:IY38)),"")</f>
        <v>80</v>
      </c>
      <c r="NO38" s="222" t="str">
        <f>IFERROR(IF(NO$7&gt;$D$3,"",AVERAGE($HJ38:IZ38)),"")</f>
        <v/>
      </c>
      <c r="NP38" s="222" t="str">
        <f>IFERROR(IF(NP$7&gt;$D$3,"",AVERAGE($HJ38:JA38)),"")</f>
        <v/>
      </c>
      <c r="NQ38" s="222" t="str">
        <f>IFERROR(IF(NQ$7&gt;$D$3,"",AVERAGE($HJ38:JB38)),"")</f>
        <v/>
      </c>
      <c r="NR38" s="222" t="str">
        <f>IFERROR(IF(NR$7&gt;$D$3,"",AVERAGE($HJ38:JC38)),"")</f>
        <v/>
      </c>
      <c r="NS38" s="222" t="str">
        <f>IFERROR(IF(NS$7&gt;$D$3,"",AVERAGE($HJ38:JD38)),"")</f>
        <v/>
      </c>
      <c r="NT38" s="222" t="str">
        <f>IFERROR(IF(NT$7&gt;$D$3,"",AVERAGE($HJ38:JE38)),"")</f>
        <v/>
      </c>
      <c r="NU38" s="222" t="str">
        <f>IFERROR(IF(NU$7&gt;$D$3,"",AVERAGE($HJ38:JF38)),"")</f>
        <v/>
      </c>
      <c r="NV38" s="222" t="str">
        <f>IFERROR(IF(NV$7&gt;$D$3,"",AVERAGE($HJ38:JG38)),"")</f>
        <v/>
      </c>
      <c r="NW38" s="222" t="str">
        <f>IFERROR(IF(NW$7&gt;$D$3,"",AVERAGE($HJ38:JH38)),"")</f>
        <v/>
      </c>
      <c r="NX38" s="222" t="str">
        <f>IFERROR(IF(NX$7&gt;$D$3,"",AVERAGE($HJ38:JI38)),"")</f>
        <v/>
      </c>
      <c r="NY38" s="222" t="str">
        <f>IFERROR(IF(NY$7&gt;$D$3,"",AVERAGE($HJ38:JJ38)),"")</f>
        <v/>
      </c>
    </row>
    <row r="39" spans="1:389" x14ac:dyDescent="0.3">
      <c r="A39" t="str">
        <f>$B$37&amp;"-"&amp;C39</f>
        <v>Product Eng - MB-KPI D1</v>
      </c>
      <c r="B39" s="918" t="str">
        <f>+'KPI Stats'!B44</f>
        <v>Paul Dolan</v>
      </c>
      <c r="C39" s="136" t="str">
        <f>+'KPI Stats'!C44</f>
        <v>KPI D1</v>
      </c>
      <c r="D39" s="144" t="str">
        <f>+'KPI Stats'!D44</f>
        <v>Delivery</v>
      </c>
      <c r="E39" s="144" t="str">
        <f>+'KPI Stats'!E44</f>
        <v>BOM Lead time</v>
      </c>
      <c r="F39" s="145" t="str">
        <f>+'KPI Stats'!F44</f>
        <v>Days</v>
      </c>
      <c r="G39" s="169" t="str">
        <f>+'KPI Stats'!G44</f>
        <v>Under</v>
      </c>
      <c r="J39" s="69" t="str">
        <f>_xlfn.XLOOKUP(J$7,$AM$7:$CM$7,$AM39:$CM39,,FALSE)</f>
        <v>OD</v>
      </c>
      <c r="K39" s="264">
        <f>_xlfn.XLOOKUP(K$7,$FC$7:$HC$7,$FC39:$HC39,,FALSE)</f>
        <v>0</v>
      </c>
      <c r="L39" s="278">
        <f>_xlfn.XLOOKUP(L$7,$HJ$7:$JJ$7,$HJ39:$JJ39,,FALSE)</f>
        <v>5</v>
      </c>
      <c r="M39" s="285" t="str">
        <f>_xlfn.XLOOKUP(M$7,$CU$7:$EU$7,$CU39:$EU39,,FALSE)</f>
        <v>OD</v>
      </c>
      <c r="P39" s="69" t="str">
        <f>_xlfn.XLOOKUP(P$7,$AM$7:$CM$7,$AM39:$CM39,,FALSE)</f>
        <v>OD</v>
      </c>
      <c r="Q39" s="264">
        <f t="shared" si="135"/>
        <v>0</v>
      </c>
      <c r="R39" s="278">
        <f t="shared" si="135"/>
        <v>3</v>
      </c>
      <c r="S39" s="301" t="str">
        <f t="shared" si="136"/>
        <v>OD</v>
      </c>
      <c r="T39" s="302">
        <f t="shared" si="136"/>
        <v>1.6666666666666667</v>
      </c>
      <c r="U39" s="295" t="str">
        <f>IF(F37&lt;$R$2,"Not Complete",IF(Q39=R39,"Same −",IF($G39="Over",IF(Q39&lt;R39,"Better ↑","Worse ↓"),IF($G39="Under",IF(Q39&gt;R39,"Better ↑","Worse ↓"),"err"))))</f>
        <v>Worse ↓</v>
      </c>
      <c r="X39" s="69" t="str">
        <f t="shared" si="137"/>
        <v>R</v>
      </c>
      <c r="Y39" s="114">
        <f>_xlfn.XLOOKUP(Y$7,$JR$7:$LR$7,$JR39:$LR39,FALSE)</f>
        <v>3.7895121951219513</v>
      </c>
      <c r="Z39" s="114">
        <f>_xlfn.XLOOKUP(Z$7,$LY$7:$NY$7,$LY39:$NY39,FALSE)</f>
        <v>5</v>
      </c>
      <c r="AA39" s="254">
        <f>IF(G39="under",Y39/Z39,IF(G39="over",Z39/Y39,"err"))</f>
        <v>0.75790243902439025</v>
      </c>
      <c r="AB39" s="295" t="str">
        <f>IF(F37&lt;$R$2,"TBC",IF(Y39=Z39,"Same −",IF($G39="Over",IF(Z39&lt;Y39,"Better ↑ ","Worse ↓ "),IF($G39="Under",IF(Y39&gt;Z39,"Better ↑ ","Worse ↓ "),"err"))))</f>
        <v xml:space="preserve">Worse ↓ </v>
      </c>
      <c r="AC39" s="69" t="str">
        <f>IF(AND(G39="above adero",AD39&gt;0),"R",IF(AF39&gt;1,"G",IF(AF39&gt;0.95,"A","R")))</f>
        <v>R</v>
      </c>
      <c r="AD39" s="114">
        <f>_xlfn.XLOOKUP(AD$7,$JR$7:$LR$7,$JR39:$LR39,FALSE)</f>
        <v>3.8842500000000002</v>
      </c>
      <c r="AE39" s="114">
        <f>_xlfn.XLOOKUP(AE$7,$LY$7:$NY$7,$LY39:$NY39,FALSE)</f>
        <v>5</v>
      </c>
      <c r="AF39" s="254">
        <f>IF(G39="under",AD39/AE39,IF(G39="over",AE39/AD39,"err"))</f>
        <v>0.77685000000000004</v>
      </c>
      <c r="AH39" s="465" t="str">
        <f>+$A39</f>
        <v>Product Eng - MB-KPI D1</v>
      </c>
      <c r="AI39" s="136" t="str">
        <f t="shared" si="138"/>
        <v>KPI D1</v>
      </c>
      <c r="AJ39" s="144" t="str">
        <f t="shared" si="138"/>
        <v>Delivery</v>
      </c>
      <c r="AK39" s="144" t="str">
        <f t="shared" si="114"/>
        <v>BOM Lead time</v>
      </c>
      <c r="AL39" s="145" t="str">
        <f t="shared" si="114"/>
        <v>Days</v>
      </c>
      <c r="AM39" s="69" t="str">
        <f>IF(AM$7&gt;$D$3,"",_xlfn.XLOOKUP(AM$7,'Product Eng - MB'!$M$6:$BM$6,'Product Eng - MB'!$M$13:$BM$13))</f>
        <v>Blank</v>
      </c>
      <c r="AN39" s="199" t="str">
        <f>IF(AN$7&gt;$D$3,"",_xlfn.XLOOKUP(AN$7,'Product Eng - MB'!$M$6:$BM$6,'Product Eng - MB'!$M$13:$BM$13))</f>
        <v>R</v>
      </c>
      <c r="AO39" s="69" t="str">
        <f>IF(AO$7&gt;$D$3,"",_xlfn.XLOOKUP(AO$7,'Product Eng - MB'!$M$6:$BM$6,'Product Eng - MB'!$M$13:$BM$13))</f>
        <v>R</v>
      </c>
      <c r="AP39" s="69" t="str">
        <f>IF(AP$7&gt;$D$3,"",_xlfn.XLOOKUP(AP$7,'Product Eng - MB'!$M$6:$BM$6,'Product Eng - MB'!$M$13:$BM$13))</f>
        <v>R</v>
      </c>
      <c r="AQ39" s="69" t="str">
        <f>IF(AQ$7&gt;$D$3,"",_xlfn.XLOOKUP(AQ$7,'Product Eng - MB'!$M$6:$BM$6,'Product Eng - MB'!$M$13:$BM$13))</f>
        <v>R</v>
      </c>
      <c r="AR39" s="69" t="str">
        <f>IF(AR$7&gt;$D$3,"",_xlfn.XLOOKUP(AR$7,'Product Eng - MB'!$M$6:$BM$6,'Product Eng - MB'!$M$13:$BM$13))</f>
        <v>G</v>
      </c>
      <c r="AS39" s="69" t="str">
        <f>IF(AS$7&gt;$D$3,"",_xlfn.XLOOKUP(AS$7,'Product Eng - MB'!$M$6:$BM$6,'Product Eng - MB'!$M$13:$BM$13))</f>
        <v>G</v>
      </c>
      <c r="AT39" s="69" t="str">
        <f>IF(AT$7&gt;$D$3,"",_xlfn.XLOOKUP(AT$7,'Product Eng - MB'!$M$6:$BM$6,'Product Eng - MB'!$M$13:$BM$13))</f>
        <v>G</v>
      </c>
      <c r="AU39" s="69" t="str">
        <f>IF(AU$7&gt;$D$3,"",_xlfn.XLOOKUP(AU$7,'Product Eng - MB'!$M$6:$BM$6,'Product Eng - MB'!$M$13:$BM$13))</f>
        <v>R</v>
      </c>
      <c r="AV39" s="69" t="str">
        <f>IF(AV$7&gt;$D$3,"",_xlfn.XLOOKUP(AV$7,'Product Eng - MB'!$M$6:$BM$6,'Product Eng - MB'!$M$13:$BM$13))</f>
        <v>G</v>
      </c>
      <c r="AW39" s="69" t="str">
        <f>IF(AW$7&gt;$D$3,"",_xlfn.XLOOKUP(AW$7,'Product Eng - MB'!$M$6:$BM$6,'Product Eng - MB'!$M$13:$BM$13))</f>
        <v>G</v>
      </c>
      <c r="AX39" s="69" t="str">
        <f>IF(AX$7&gt;$D$3,"",_xlfn.XLOOKUP(AX$7,'Product Eng - MB'!$M$6:$BM$6,'Product Eng - MB'!$M$13:$BM$13))</f>
        <v>G</v>
      </c>
      <c r="AY39" s="69" t="str">
        <f>IF(AY$7&gt;$D$3,"",_xlfn.XLOOKUP(AY$7,'Product Eng - MB'!$M$6:$BM$6,'Product Eng - MB'!$M$13:$BM$13))</f>
        <v>G</v>
      </c>
      <c r="AZ39" s="69" t="str">
        <f>IF(AZ$7&gt;$D$3,"",_xlfn.XLOOKUP(AZ$7,'Product Eng - MB'!$M$6:$BM$6,'Product Eng - MB'!$M$13:$BM$13))</f>
        <v>G</v>
      </c>
      <c r="BA39" s="69" t="str">
        <f>IF(BA$7&gt;$D$3,"",_xlfn.XLOOKUP(BA$7,'Product Eng - MB'!$M$6:$BM$6,'Product Eng - MB'!$M$13:$BM$13))</f>
        <v>G</v>
      </c>
      <c r="BB39" s="69" t="str">
        <f>IF(BB$7&gt;$D$3,"",_xlfn.XLOOKUP(BB$7,'Product Eng - MB'!$M$6:$BM$6,'Product Eng - MB'!$M$13:$BM$13))</f>
        <v>R</v>
      </c>
      <c r="BC39" s="69" t="str">
        <f>IF(BC$7&gt;$D$3,"",_xlfn.XLOOKUP(BC$7,'Product Eng - MB'!$M$6:$BM$6,'Product Eng - MB'!$M$13:$BM$13))</f>
        <v>G</v>
      </c>
      <c r="BD39" s="69" t="str">
        <f>IF(BD$7&gt;$D$3,"",_xlfn.XLOOKUP(BD$7,'Product Eng - MB'!$M$6:$BM$6,'Product Eng - MB'!$M$13:$BM$13))</f>
        <v>G</v>
      </c>
      <c r="BE39" s="69" t="str">
        <f>IF(BE$7&gt;$D$3,"",_xlfn.XLOOKUP(BE$7,'Product Eng - MB'!$M$6:$BM$6,'Product Eng - MB'!$M$13:$BM$13))</f>
        <v>G</v>
      </c>
      <c r="BF39" s="69" t="str">
        <f>IF(BF$7&gt;$D$3,"",_xlfn.XLOOKUP(BF$7,'Product Eng - MB'!$M$6:$BM$6,'Product Eng - MB'!$M$13:$BM$13))</f>
        <v>G</v>
      </c>
      <c r="BG39" s="69" t="str">
        <f>IF(BG$7&gt;$D$3,"",_xlfn.XLOOKUP(BG$7,'Product Eng - MB'!$M$6:$BM$6,'Product Eng - MB'!$M$13:$BM$13))</f>
        <v>G</v>
      </c>
      <c r="BH39" s="69" t="str">
        <f>IF(BH$7&gt;$D$3,"",_xlfn.XLOOKUP(BH$7,'Product Eng - MB'!$M$6:$BM$6,'Product Eng - MB'!$M$13:$BM$13))</f>
        <v>G</v>
      </c>
      <c r="BI39" s="69" t="str">
        <f>IF(BI$7&gt;$D$3,"",_xlfn.XLOOKUP(BI$7,'Product Eng - MB'!$M$6:$BM$6,'Product Eng - MB'!$M$13:$BM$13))</f>
        <v>G</v>
      </c>
      <c r="BJ39" s="69" t="str">
        <f>IF(BJ$7&gt;$D$3,"",_xlfn.XLOOKUP(BJ$7,'Product Eng - MB'!$M$6:$BM$6,'Product Eng - MB'!$M$13:$BM$13))</f>
        <v>G</v>
      </c>
      <c r="BK39" s="69" t="str">
        <f>IF(BK$7&gt;$D$3,"",_xlfn.XLOOKUP(BK$7,'Product Eng - MB'!$M$6:$BM$6,'Product Eng - MB'!$M$13:$BM$13))</f>
        <v>G</v>
      </c>
      <c r="BL39" s="69" t="str">
        <f>IF(BL$7&gt;$D$3,"",_xlfn.XLOOKUP(BL$7,'Product Eng - MB'!$M$6:$BM$6,'Product Eng - MB'!$M$13:$BM$13))</f>
        <v>G</v>
      </c>
      <c r="BM39" s="69" t="str">
        <f>IF(BM$7&gt;$D$3,"",_xlfn.XLOOKUP(BM$7,'Product Eng - MB'!$M$6:$BM$6,'Product Eng - MB'!$M$13:$BM$13))</f>
        <v>G</v>
      </c>
      <c r="BN39" s="69" t="str">
        <f>IF(BN$7&gt;$D$3,"",_xlfn.XLOOKUP(BN$7,'Product Eng - MB'!$M$6:$BM$6,'Product Eng - MB'!$M$13:$BM$13))</f>
        <v>G</v>
      </c>
      <c r="BO39" s="69" t="str">
        <f>IF(BO$7&gt;$D$3,"",_xlfn.XLOOKUP(BO$7,'Product Eng - MB'!$M$6:$BM$6,'Product Eng - MB'!$M$13:$BM$13))</f>
        <v>G</v>
      </c>
      <c r="BP39" s="69" t="str">
        <f>IF(BP$7&gt;$D$3,"",_xlfn.XLOOKUP(BP$7,'Product Eng - MB'!$M$6:$BM$6,'Product Eng - MB'!$M$13:$BM$13))</f>
        <v>G</v>
      </c>
      <c r="BQ39" s="69" t="str">
        <f>IF(BQ$7&gt;$D$3,"",_xlfn.XLOOKUP(BQ$7,'Product Eng - MB'!$M$6:$BM$6,'Product Eng - MB'!$M$13:$BM$13))</f>
        <v>G</v>
      </c>
      <c r="BR39" s="69" t="str">
        <f>IF(BR$7&gt;$D$3,"",_xlfn.XLOOKUP(BR$7,'Product Eng - MB'!$M$6:$BM$6,'Product Eng - MB'!$M$13:$BM$13))</f>
        <v>G</v>
      </c>
      <c r="BS39" s="69" t="str">
        <f>IF(BS$7&gt;$D$3,"",_xlfn.XLOOKUP(BS$7,'Product Eng - MB'!$M$6:$BM$6,'Product Eng - MB'!$M$13:$BM$13))</f>
        <v>G</v>
      </c>
      <c r="BT39" s="69" t="str">
        <f>IF(BT$7&gt;$D$3,"",_xlfn.XLOOKUP(BT$7,'Product Eng - MB'!$M$6:$BM$6,'Product Eng - MB'!$M$13:$BM$13))</f>
        <v>G</v>
      </c>
      <c r="BU39" s="69" t="str">
        <f>IF(BU$7&gt;$D$3,"",_xlfn.XLOOKUP(BU$7,'Product Eng - MB'!$M$6:$BM$6,'Product Eng - MB'!$M$13:$BM$13))</f>
        <v>G</v>
      </c>
      <c r="BV39" s="69" t="str">
        <f>IF(BV$7&gt;$D$3,"",_xlfn.XLOOKUP(BV$7,'Product Eng - MB'!$M$6:$BM$6,'Product Eng - MB'!$M$13:$BM$13))</f>
        <v>G</v>
      </c>
      <c r="BW39" s="69" t="str">
        <f>IF(BW$7&gt;$D$3,"",_xlfn.XLOOKUP(BW$7,'Product Eng - MB'!$M$6:$BM$6,'Product Eng - MB'!$M$13:$BM$13))</f>
        <v>G</v>
      </c>
      <c r="BX39" s="69" t="str">
        <f>IF(BX$7&gt;$D$3,"",_xlfn.XLOOKUP(BX$7,'Product Eng - MB'!$M$6:$BM$6,'Product Eng - MB'!$M$13:$BM$13))</f>
        <v>G</v>
      </c>
      <c r="BY39" s="69" t="str">
        <f>IF(BY$7&gt;$D$3,"",_xlfn.XLOOKUP(BY$7,'Product Eng - MB'!$M$6:$BM$6,'Product Eng - MB'!$M$13:$BM$13))</f>
        <v>G</v>
      </c>
      <c r="BZ39" s="69" t="str">
        <f>IF(BZ$7&gt;$D$3,"",_xlfn.XLOOKUP(BZ$7,'Product Eng - MB'!$M$6:$BM$6,'Product Eng - MB'!$M$13:$BM$13))</f>
        <v>G</v>
      </c>
      <c r="CA39" s="69" t="str">
        <f>IF(CA$7&gt;$D$3,"",_xlfn.XLOOKUP(CA$7,'Product Eng - MB'!$M$6:$BM$6,'Product Eng - MB'!$M$13:$BM$13))</f>
        <v>G</v>
      </c>
      <c r="CB39" s="69" t="str">
        <f>IF(CB$7&gt;$D$3,"",_xlfn.XLOOKUP(CB$7,'Product Eng - MB'!$M$6:$BM$6,'Product Eng - MB'!$M$13:$BM$13))</f>
        <v>OD</v>
      </c>
      <c r="CC39" s="69" t="str">
        <f>IF(CC$7&gt;$D$3,"",_xlfn.XLOOKUP(CC$7,'Product Eng - MB'!$M$6:$BM$6,'Product Eng - MB'!$M$13:$BM$13))</f>
        <v/>
      </c>
      <c r="CD39" s="69" t="str">
        <f>IF(CD$7&gt;$D$3,"",_xlfn.XLOOKUP(CD$7,'Product Eng - MB'!$M$6:$BM$6,'Product Eng - MB'!$M$13:$BM$13))</f>
        <v/>
      </c>
      <c r="CE39" s="69" t="str">
        <f>IF(CE$7&gt;$D$3,"",_xlfn.XLOOKUP(CE$7,'Product Eng - MB'!$M$6:$BM$6,'Product Eng - MB'!$M$13:$BM$13))</f>
        <v/>
      </c>
      <c r="CF39" s="69" t="str">
        <f>IF(CF$7&gt;$D$3,"",_xlfn.XLOOKUP(CF$7,'Product Eng - MB'!$M$6:$BM$6,'Product Eng - MB'!$M$13:$BM$13))</f>
        <v/>
      </c>
      <c r="CG39" s="69" t="str">
        <f>IF(CG$7&gt;$D$3,"",_xlfn.XLOOKUP(CG$7,'Product Eng - MB'!$M$6:$BM$6,'Product Eng - MB'!$M$13:$BM$13))</f>
        <v/>
      </c>
      <c r="CH39" s="69" t="str">
        <f>IF(CH$7&gt;$D$3,"",_xlfn.XLOOKUP(CH$7,'Product Eng - MB'!$M$6:$BM$6,'Product Eng - MB'!$M$13:$BM$13))</f>
        <v/>
      </c>
      <c r="CI39" s="69" t="str">
        <f>IF(CI$7&gt;$D$3,"",_xlfn.XLOOKUP(CI$7,'Product Eng - MB'!$M$6:$BM$6,'Product Eng - MB'!$M$13:$BM$13))</f>
        <v/>
      </c>
      <c r="CJ39" s="69" t="str">
        <f>IF(CJ$7&gt;$D$3,"",_xlfn.XLOOKUP(CJ$7,'Product Eng - MB'!$M$6:$BM$6,'Product Eng - MB'!$M$13:$BM$13))</f>
        <v/>
      </c>
      <c r="CK39" s="69" t="str">
        <f>IF(CK$7&gt;$D$3,"",_xlfn.XLOOKUP(CK$7,'Product Eng - MB'!$M$6:$BM$6,'Product Eng - MB'!$M$13:$BM$13))</f>
        <v/>
      </c>
      <c r="CL39" s="69" t="str">
        <f>IF(CL$7&gt;$D$3,"",_xlfn.XLOOKUP(CL$7,'Product Eng - MB'!$M$6:$BM$6,'Product Eng - MB'!$M$13:$BM$13))</f>
        <v/>
      </c>
      <c r="CM39" s="69" t="str">
        <f>IF(CM$7&gt;$D$3,"",_xlfn.XLOOKUP(CM$7,'Product Eng - MB'!$M$6:$BM$6,'Product Eng - MB'!$M$13:$BM$13))</f>
        <v/>
      </c>
      <c r="CO39" s="465" t="str">
        <f>+$A39</f>
        <v>Product Eng - MB-KPI D1</v>
      </c>
      <c r="CP39" s="136" t="str">
        <f t="shared" si="139"/>
        <v>KPI D1</v>
      </c>
      <c r="CQ39" s="144" t="str">
        <f t="shared" si="139"/>
        <v>Delivery</v>
      </c>
      <c r="CR39" s="144" t="str">
        <f t="shared" si="139"/>
        <v>BOM Lead time</v>
      </c>
      <c r="CS39" s="145" t="str">
        <f t="shared" si="139"/>
        <v>Days</v>
      </c>
      <c r="CT39" s="207" t="s">
        <v>246</v>
      </c>
      <c r="CU39" s="69" t="str">
        <f>IF(CU$7&gt;$D$3,"",_xlfn.XLOOKUP(CU$7,'Product Eng - MB'!$M$6:$BM$6,'Product Eng - MB'!$M$13:$BM$13))</f>
        <v>Blank</v>
      </c>
      <c r="CV39" s="323">
        <f>IFERROR(IF(CV$7&gt;$D$3,"",IF(AN39="OD","OD",IF(AN39="Missed","Missed",IF(AN39="TBC","TBC",IF(AN39="Undefined","Undefined",_xlfn.XLOOKUP(CV$7,'Product Eng - MB'!$M$6:$BM$6,'Product Eng - MB'!$M$11:$BM$11)/_xlfn.XLOOKUP(CV$7,'Product Eng - MB'!$M$6:$BM$6,'Product Eng - MB'!$M$12:$BM$12)))))),"")</f>
        <v>0.83333333333333337</v>
      </c>
      <c r="CW39" s="315">
        <f>IFERROR(IF(CW$7&gt;$D$3,"",IF(AO39="OD","OD",IF(AO39="Missed","Missed",IF(AO39="TBC","TBC",IF(AO39="Undefined","Undefined",_xlfn.XLOOKUP(CW$7,'Product Eng - MB'!$M$6:$BM$6,'Product Eng - MB'!$M$11:$BM$11)/_xlfn.XLOOKUP(CW$7,'Product Eng - MB'!$M$6:$BM$6,'Product Eng - MB'!$M$12:$BM$12)))))),"")</f>
        <v>0.625</v>
      </c>
      <c r="CX39" s="315">
        <f>IFERROR(IF(CX$7&gt;$D$3,"",IF(AP39="OD","OD",IF(AP39="Missed","Missed",IF(AP39="TBC","TBC",IF(AP39="Undefined","Undefined",_xlfn.XLOOKUP(CX$7,'Product Eng - MB'!$M$6:$BM$6,'Product Eng - MB'!$M$11:$BM$11)/_xlfn.XLOOKUP(CX$7,'Product Eng - MB'!$M$6:$BM$6,'Product Eng - MB'!$M$12:$BM$12)))))),"")</f>
        <v>0.45454545454545453</v>
      </c>
      <c r="CY39" s="315">
        <f>IFERROR(IF(CY$7&gt;$D$3,"",IF(AQ39="OD","OD",IF(AQ39="Missed","Missed",IF(AQ39="TBC","TBC",IF(AQ39="Undefined","Undefined",_xlfn.XLOOKUP(CY$7,'Product Eng - MB'!$M$6:$BM$6,'Product Eng - MB'!$M$11:$BM$11)/_xlfn.XLOOKUP(CY$7,'Product Eng - MB'!$M$6:$BM$6,'Product Eng - MB'!$M$12:$BM$12)))))),"")</f>
        <v>0.83333333333333337</v>
      </c>
      <c r="CZ39" s="315">
        <f>IFERROR(IF(CZ$7&gt;$D$3,"",IF(AR39="OD","OD",IF(AR39="Missed","Missed",IF(AR39="TBC","TBC",IF(AR39="Undefined","Undefined",_xlfn.XLOOKUP(CZ$7,'Product Eng - MB'!$M$6:$BM$6,'Product Eng - MB'!$M$11:$BM$11)/_xlfn.XLOOKUP(CZ$7,'Product Eng - MB'!$M$6:$BM$6,'Product Eng - MB'!$M$12:$BM$12)))))),"")</f>
        <v>1</v>
      </c>
      <c r="DA39" s="315">
        <f>IFERROR(IF(DA$7&gt;$D$3,"",IF(AS39="OD","OD",IF(AS39="Missed","Missed",IF(AS39="TBC","TBC",IF(AS39="Undefined","Undefined",_xlfn.XLOOKUP(DA$7,'Product Eng - MB'!$M$6:$BM$6,'Product Eng - MB'!$M$11:$BM$11)/_xlfn.XLOOKUP(DA$7,'Product Eng - MB'!$M$6:$BM$6,'Product Eng - MB'!$M$12:$BM$12)))))),"")</f>
        <v>1.25</v>
      </c>
      <c r="DB39" s="315">
        <f>IFERROR(IF(DB$7&gt;$D$3,"",IF(AT39="OD","OD",IF(AT39="Missed","Missed",IF(AT39="TBC","TBC",IF(AT39="Undefined","Undefined",_xlfn.XLOOKUP(DB$7,'Product Eng - MB'!$M$6:$BM$6,'Product Eng - MB'!$M$11:$BM$11)/_xlfn.XLOOKUP(DB$7,'Product Eng - MB'!$M$6:$BM$6,'Product Eng - MB'!$M$12:$BM$12)))))),"")</f>
        <v>1.25</v>
      </c>
      <c r="DC39" s="315">
        <f>IFERROR(IF(DC$7&gt;$D$3,"",IF(AU39="OD","OD",IF(AU39="Missed","Missed",IF(AU39="TBC","TBC",IF(AU39="Undefined","Undefined",_xlfn.XLOOKUP(DC$7,'Product Eng - MB'!$M$6:$BM$6,'Product Eng - MB'!$M$11:$BM$11)/_xlfn.XLOOKUP(DC$7,'Product Eng - MB'!$M$6:$BM$6,'Product Eng - MB'!$M$12:$BM$12)))))),"")</f>
        <v>0.83333333333333337</v>
      </c>
      <c r="DD39" s="315">
        <f>IFERROR(IF(DD$7&gt;$D$3,"",IF(AV39="OD","OD",IF(AV39="Missed","Missed",IF(AV39="TBC","TBC",IF(AV39="Undefined","Undefined",_xlfn.XLOOKUP(DD$7,'Product Eng - MB'!$M$6:$BM$6,'Product Eng - MB'!$M$11:$BM$11)/_xlfn.XLOOKUP(DD$7,'Product Eng - MB'!$M$6:$BM$6,'Product Eng - MB'!$M$12:$BM$12)))))),"")</f>
        <v>1</v>
      </c>
      <c r="DE39" s="315">
        <f>IFERROR(IF(DE$7&gt;$D$3,"",IF(AW39="OD","OD",IF(AW39="Missed","Missed",IF(AW39="TBC","TBC",IF(AW39="Undefined","Undefined",_xlfn.XLOOKUP(DE$7,'Product Eng - MB'!$M$6:$BM$6,'Product Eng - MB'!$M$11:$BM$11)/_xlfn.XLOOKUP(DE$7,'Product Eng - MB'!$M$6:$BM$6,'Product Eng - MB'!$M$12:$BM$12)))))),"")</f>
        <v>2.5</v>
      </c>
      <c r="DF39" s="315">
        <f>IFERROR(IF(DF$7&gt;$D$3,"",IF(AX39="OD","OD",IF(AX39="Missed","Missed",IF(AX39="TBC","TBC",IF(AX39="Undefined","Undefined",_xlfn.XLOOKUP(DF$7,'Product Eng - MB'!$M$6:$BM$6,'Product Eng - MB'!$M$11:$BM$11)/_xlfn.XLOOKUP(DF$7,'Product Eng - MB'!$M$6:$BM$6,'Product Eng - MB'!$M$12:$BM$12)))))),"")</f>
        <v>1.6666666666666667</v>
      </c>
      <c r="DG39" s="315">
        <f>IFERROR(IF(DG$7&gt;$D$3,"",IF(AY39="OD","OD",IF(AY39="Missed","Missed",IF(AY39="TBC","TBC",IF(AY39="Undefined","Undefined",_xlfn.XLOOKUP(DG$7,'Product Eng - MB'!$M$6:$BM$6,'Product Eng - MB'!$M$11:$BM$11)/_xlfn.XLOOKUP(DG$7,'Product Eng - MB'!$M$6:$BM$6,'Product Eng - MB'!$M$12:$BM$12)))))),"")</f>
        <v>1.6666666666666667</v>
      </c>
      <c r="DH39" s="315">
        <f>IFERROR(IF(DH$7&gt;$D$3,"",IF(AZ39="OD","OD",IF(AZ39="Missed","Missed",IF(AZ39="TBC","TBC",IF(AZ39="Undefined","Undefined",_xlfn.XLOOKUP(DH$7,'Product Eng - MB'!$M$6:$BM$6,'Product Eng - MB'!$M$11:$BM$11)/_xlfn.XLOOKUP(DH$7,'Product Eng - MB'!$M$6:$BM$6,'Product Eng - MB'!$M$12:$BM$12)))))),"")</f>
        <v>1.25</v>
      </c>
      <c r="DI39" s="315">
        <f>IFERROR(IF(DI$7&gt;$D$3,"",IF(BA39="OD","OD",IF(BA39="Missed","Missed",IF(BA39="TBC","TBC",IF(BA39="Undefined","Undefined",_xlfn.XLOOKUP(DI$7,'Product Eng - MB'!$M$6:$BM$6,'Product Eng - MB'!$M$11:$BM$11)/_xlfn.XLOOKUP(DI$7,'Product Eng - MB'!$M$6:$BM$6,'Product Eng - MB'!$M$12:$BM$12)))))),"")</f>
        <v>1.1363636363636362</v>
      </c>
      <c r="DJ39" s="315">
        <f>IFERROR(IF(DJ$7&gt;$D$3,"",IF(BB39="OD","OD",IF(BB39="Missed","Missed",IF(BB39="TBC","TBC",IF(BB39="Undefined","Undefined",_xlfn.XLOOKUP(DJ$7,'Product Eng - MB'!$M$6:$BM$6,'Product Eng - MB'!$M$11:$BM$11)/_xlfn.XLOOKUP(DJ$7,'Product Eng - MB'!$M$6:$BM$6,'Product Eng - MB'!$M$12:$BM$12)))))),"")</f>
        <v>0.76923076923076927</v>
      </c>
      <c r="DK39" s="315">
        <f>IFERROR(IF(DK$7&gt;$D$3,"",IF(BC39="OD","OD",IF(BC39="Missed","Missed",IF(BC39="TBC","TBC",IF(BC39="Undefined","Undefined",_xlfn.XLOOKUP(DK$7,'Product Eng - MB'!$M$6:$BM$6,'Product Eng - MB'!$M$11:$BM$11)/_xlfn.XLOOKUP(DK$7,'Product Eng - MB'!$M$6:$BM$6,'Product Eng - MB'!$M$12:$BM$12)))))),"")</f>
        <v>1.4285714285714286</v>
      </c>
      <c r="DL39" s="315">
        <f>IFERROR(IF(DL$7&gt;$D$3,"",IF(BD39="OD","OD",IF(BD39="Missed","Missed",IF(BD39="TBC","TBC",IF(BD39="Undefined","Undefined",_xlfn.XLOOKUP(DL$7,'Product Eng - MB'!$M$6:$BM$6,'Product Eng - MB'!$M$11:$BM$11)/_xlfn.XLOOKUP(DL$7,'Product Eng - MB'!$M$6:$BM$6,'Product Eng - MB'!$M$12:$BM$12)))))),"")</f>
        <v>1.7857142857142858</v>
      </c>
      <c r="DM39" s="315">
        <f>IFERROR(IF(DM$7&gt;$D$3,"",IF(BE39="OD","OD",IF(BE39="Missed","Missed",IF(BE39="TBC","TBC",IF(BE39="Undefined","Undefined",_xlfn.XLOOKUP(DM$7,'Product Eng - MB'!$M$6:$BM$6,'Product Eng - MB'!$M$11:$BM$11)/_xlfn.XLOOKUP(DM$7,'Product Eng - MB'!$M$6:$BM$6,'Product Eng - MB'!$M$12:$BM$12)))))),"")</f>
        <v>2.5</v>
      </c>
      <c r="DN39" s="315">
        <f>IFERROR(IF(DN$7&gt;$D$3,"",IF(BF39="OD","OD",IF(BF39="Missed","Missed",IF(BF39="TBC","TBC",IF(BF39="Undefined","Undefined",_xlfn.XLOOKUP(DN$7,'Product Eng - MB'!$M$6:$BM$6,'Product Eng - MB'!$M$11:$BM$11)/_xlfn.XLOOKUP(DN$7,'Product Eng - MB'!$M$6:$BM$6,'Product Eng - MB'!$M$12:$BM$12)))))),"")</f>
        <v>2.5</v>
      </c>
      <c r="DO39" s="315">
        <f>IFERROR(IF(DO$7&gt;$D$3,"",IF(BG39="OD","OD",IF(BG39="Missed","Missed",IF(BG39="TBC","TBC",IF(BG39="Undefined","Undefined",_xlfn.XLOOKUP(DO$7,'Product Eng - MB'!$M$6:$BM$6,'Product Eng - MB'!$M$11:$BM$11)/_xlfn.XLOOKUP(DO$7,'Product Eng - MB'!$M$6:$BM$6,'Product Eng - MB'!$M$12:$BM$12)))))),"")</f>
        <v>1.0416666666666667</v>
      </c>
      <c r="DP39" s="315">
        <f>IFERROR(IF(DP$7&gt;$D$3,"",IF(BH39="OD","OD",IF(BH39="Missed","Missed",IF(BH39="TBC","TBC",IF(BH39="Undefined","Undefined",_xlfn.XLOOKUP(DP$7,'Product Eng - MB'!$M$6:$BM$6,'Product Eng - MB'!$M$11:$BM$11)/_xlfn.XLOOKUP(DP$7,'Product Eng - MB'!$M$6:$BM$6,'Product Eng - MB'!$M$12:$BM$12)))))),"")</f>
        <v>1.6666666666666667</v>
      </c>
      <c r="DQ39" s="315">
        <f>IFERROR(IF(DQ$7&gt;$D$3,"",IF(BI39="OD","OD",IF(BI39="Missed","Missed",IF(BI39="TBC","TBC",IF(BI39="Undefined","Undefined",_xlfn.XLOOKUP(DQ$7,'Product Eng - MB'!$M$6:$BM$6,'Product Eng - MB'!$M$11:$BM$11)/_xlfn.XLOOKUP(DQ$7,'Product Eng - MB'!$M$6:$BM$6,'Product Eng - MB'!$M$12:$BM$12)))))),"")</f>
        <v>2</v>
      </c>
      <c r="DR39" s="315">
        <f>IFERROR(IF(DR$7&gt;$D$3,"",IF(BJ39="OD","OD",IF(BJ39="Missed","Missed",IF(BJ39="TBC","TBC",IF(BJ39="Undefined","Undefined",_xlfn.XLOOKUP(DR$7,'Product Eng - MB'!$M$6:$BM$6,'Product Eng - MB'!$M$11:$BM$11)/_xlfn.XLOOKUP(DR$7,'Product Eng - MB'!$M$6:$BM$6,'Product Eng - MB'!$M$12:$BM$12)))))),"")</f>
        <v>2.5</v>
      </c>
      <c r="DS39" s="315">
        <f>IFERROR(IF(DS$7&gt;$D$3,"",IF(BK39="OD","OD",IF(BK39="Missed","Missed",IF(BK39="TBC","TBC",IF(BK39="Undefined","Undefined",_xlfn.XLOOKUP(DS$7,'Product Eng - MB'!$M$6:$BM$6,'Product Eng - MB'!$M$11:$BM$11)/_xlfn.XLOOKUP(DS$7,'Product Eng - MB'!$M$6:$BM$6,'Product Eng - MB'!$M$12:$BM$12)))))),"")</f>
        <v>1.4285714285714286</v>
      </c>
      <c r="DT39" s="315">
        <f>IFERROR(IF(DT$7&gt;$D$3,"",IF(BL39="OD","OD",IF(BL39="Missed","Missed",IF(BL39="TBC","TBC",IF(BL39="Undefined","Undefined",_xlfn.XLOOKUP(DT$7,'Product Eng - MB'!$M$6:$BM$6,'Product Eng - MB'!$M$11:$BM$11)/_xlfn.XLOOKUP(DT$7,'Product Eng - MB'!$M$6:$BM$6,'Product Eng - MB'!$M$12:$BM$12)))))),"")</f>
        <v>1.25</v>
      </c>
      <c r="DU39" s="315">
        <f>IFERROR(IF(DU$7&gt;$D$3,"",IF(BM39="OD","OD",IF(BM39="Missed","Missed",IF(BM39="TBC","TBC",IF(BM39="Undefined","Undefined",_xlfn.XLOOKUP(DU$7,'Product Eng - MB'!$M$6:$BM$6,'Product Eng - MB'!$M$11:$BM$11)/_xlfn.XLOOKUP(DU$7,'Product Eng - MB'!$M$6:$BM$6,'Product Eng - MB'!$M$12:$BM$12)))))),"")</f>
        <v>1.25</v>
      </c>
      <c r="DV39" s="315">
        <f>IFERROR(IF(DV$7&gt;$D$3,"",IF(BN39="OD","OD",IF(BN39="Missed","Missed",IF(BN39="TBC","TBC",IF(BN39="Undefined","Undefined",_xlfn.XLOOKUP(DV$7,'Product Eng - MB'!$M$6:$BM$6,'Product Eng - MB'!$M$11:$BM$11)/_xlfn.XLOOKUP(DV$7,'Product Eng - MB'!$M$6:$BM$6,'Product Eng - MB'!$M$12:$BM$12)))))),"")</f>
        <v>1.25</v>
      </c>
      <c r="DW39" s="315">
        <f>IFERROR(IF(DW$7&gt;$D$3,"",IF(BO39="OD","OD",IF(BO39="Missed","Missed",IF(BO39="TBC","TBC",IF(BO39="Undefined","Undefined",_xlfn.XLOOKUP(DW$7,'Product Eng - MB'!$M$6:$BM$6,'Product Eng - MB'!$M$11:$BM$11)/_xlfn.XLOOKUP(DW$7,'Product Eng - MB'!$M$6:$BM$6,'Product Eng - MB'!$M$12:$BM$12)))))),"")</f>
        <v>1.25</v>
      </c>
      <c r="DX39" s="315">
        <f>IFERROR(IF(DX$7&gt;$D$3,"",IF(BP39="OD","OD",IF(BP39="Missed","Missed",IF(BP39="TBC","TBC",IF(BP39="Undefined","Undefined",_xlfn.XLOOKUP(DX$7,'Product Eng - MB'!$M$6:$BM$6,'Product Eng - MB'!$M$11:$BM$11)/_xlfn.XLOOKUP(DX$7,'Product Eng - MB'!$M$6:$BM$6,'Product Eng - MB'!$M$12:$BM$12)))))),"")</f>
        <v>3.3333333333333335</v>
      </c>
      <c r="DY39" s="315">
        <f>IFERROR(IF(DY$7&gt;$D$3,"",IF(BQ39="OD","OD",IF(BQ39="Missed","Missed",IF(BQ39="TBC","TBC",IF(BQ39="Undefined","Undefined",_xlfn.XLOOKUP(DY$7,'Product Eng - MB'!$M$6:$BM$6,'Product Eng - MB'!$M$11:$BM$11)/_xlfn.XLOOKUP(DY$7,'Product Eng - MB'!$M$6:$BM$6,'Product Eng - MB'!$M$12:$BM$12)))))),"")</f>
        <v>2.7777777777777777</v>
      </c>
      <c r="DZ39" s="315">
        <f>IFERROR(IF(DZ$7&gt;$D$3,"",IF(BR39="OD","OD",IF(BR39="Missed","Missed",IF(BR39="TBC","TBC",IF(BR39="Undefined","Undefined",_xlfn.XLOOKUP(DZ$7,'Product Eng - MB'!$M$6:$BM$6,'Product Eng - MB'!$M$11:$BM$11)/_xlfn.XLOOKUP(DZ$7,'Product Eng - MB'!$M$6:$BM$6,'Product Eng - MB'!$M$12:$BM$12)))))),"")</f>
        <v>1.8726591760299627</v>
      </c>
      <c r="EA39" s="315">
        <f>IFERROR(IF(EA$7&gt;$D$3,"",IF(BS39="OD","OD",IF(BS39="Missed","Missed",IF(BS39="TBC","TBC",IF(BS39="Undefined","Undefined",_xlfn.XLOOKUP(EA$7,'Product Eng - MB'!$M$6:$BM$6,'Product Eng - MB'!$M$11:$BM$11)/_xlfn.XLOOKUP(EA$7,'Product Eng - MB'!$M$6:$BM$6,'Product Eng - MB'!$M$12:$BM$12)))))),"")</f>
        <v>1.1363636363636362</v>
      </c>
      <c r="EB39" s="315">
        <f>IFERROR(IF(EB$7&gt;$D$3,"",IF(BT39="OD","OD",IF(BT39="Missed","Missed",IF(BT39="TBC","TBC",IF(BT39="Undefined","Undefined",_xlfn.XLOOKUP(EB$7,'Product Eng - MB'!$M$6:$BM$6,'Product Eng - MB'!$M$11:$BM$11)/_xlfn.XLOOKUP(EB$7,'Product Eng - MB'!$M$6:$BM$6,'Product Eng - MB'!$M$12:$BM$12)))))),"")</f>
        <v>1.25</v>
      </c>
      <c r="EC39" s="315">
        <f>IFERROR(IF(EC$7&gt;$D$3,"",IF(BU39="OD","OD",IF(BU39="Missed","Missed",IF(BU39="TBC","TBC",IF(BU39="Undefined","Undefined",_xlfn.XLOOKUP(EC$7,'Product Eng - MB'!$M$6:$BM$6,'Product Eng - MB'!$M$11:$BM$11)/_xlfn.XLOOKUP(EC$7,'Product Eng - MB'!$M$6:$BM$6,'Product Eng - MB'!$M$12:$BM$12)))))),"")</f>
        <v>1.25</v>
      </c>
      <c r="ED39" s="315">
        <f>IFERROR(IF(ED$7&gt;$D$3,"",IF(BV39="OD","OD",IF(BV39="Missed","Missed",IF(BV39="TBC","TBC",IF(BV39="Undefined","Undefined",_xlfn.XLOOKUP(ED$7,'Product Eng - MB'!$M$6:$BM$6,'Product Eng - MB'!$M$11:$BM$11)/_xlfn.XLOOKUP(ED$7,'Product Eng - MB'!$M$6:$BM$6,'Product Eng - MB'!$M$12:$BM$12)))))),"")</f>
        <v>1.6666666666666667</v>
      </c>
      <c r="EE39" s="315">
        <f>IFERROR(IF(EE$7&gt;$D$3,"",IF(BW39="OD","OD",IF(BW39="Missed","Missed",IF(BW39="TBC","TBC",IF(BW39="Undefined","Undefined",_xlfn.XLOOKUP(EE$7,'Product Eng - MB'!$M$6:$BM$6,'Product Eng - MB'!$M$11:$BM$11)/_xlfn.XLOOKUP(EE$7,'Product Eng - MB'!$M$6:$BM$6,'Product Eng - MB'!$M$12:$BM$12)))))),"")</f>
        <v>1.6666666666666667</v>
      </c>
      <c r="EF39" s="315">
        <f>IFERROR(IF(EF$7&gt;$D$3,"",IF(BX39="OD","OD",IF(BX39="Missed","Missed",IF(BX39="TBC","TBC",IF(BX39="Undefined","Undefined",_xlfn.XLOOKUP(EF$7,'Product Eng - MB'!$M$6:$BM$6,'Product Eng - MB'!$M$11:$BM$11)/_xlfn.XLOOKUP(EF$7,'Product Eng - MB'!$M$6:$BM$6,'Product Eng - MB'!$M$12:$BM$12)))))),"")</f>
        <v>1.6666666666666667</v>
      </c>
      <c r="EG39" s="315">
        <f>IFERROR(IF(EG$7&gt;$D$3,"",IF(BY39="OD","OD",IF(BY39="Missed","Missed",IF(BY39="TBC","TBC",IF(BY39="Undefined","Undefined",_xlfn.XLOOKUP(EG$7,'Product Eng - MB'!$M$6:$BM$6,'Product Eng - MB'!$M$11:$BM$11)/_xlfn.XLOOKUP(EG$7,'Product Eng - MB'!$M$6:$BM$6,'Product Eng - MB'!$M$12:$BM$12)))))),"")</f>
        <v>1.6666666666666667</v>
      </c>
      <c r="EH39" s="315">
        <f>IFERROR(IF(EH$7&gt;$D$3,"",IF(BZ39="OD","OD",IF(BZ39="Missed","Missed",IF(BZ39="TBC","TBC",IF(BZ39="Undefined","Undefined",_xlfn.XLOOKUP(EH$7,'Product Eng - MB'!$M$6:$BM$6,'Product Eng - MB'!$M$11:$BM$11)/_xlfn.XLOOKUP(EH$7,'Product Eng - MB'!$M$6:$BM$6,'Product Eng - MB'!$M$12:$BM$12)))))),"")</f>
        <v>2.5</v>
      </c>
      <c r="EI39" s="315">
        <f>IFERROR(IF(EI$7&gt;$D$3,"",IF(CA39="OD","OD",IF(CA39="Missed","Missed",IF(CA39="TBC","TBC",IF(CA39="Undefined","Undefined",_xlfn.XLOOKUP(EI$7,'Product Eng - MB'!$M$6:$BM$6,'Product Eng - MB'!$M$11:$BM$11)/_xlfn.XLOOKUP(EI$7,'Product Eng - MB'!$M$6:$BM$6,'Product Eng - MB'!$M$12:$BM$12)))))),"")</f>
        <v>1.6666666666666667</v>
      </c>
      <c r="EJ39" s="315" t="str">
        <f>IFERROR(IF(EJ$7&gt;$D$3,"",IF(CB39="OD","OD",IF(CB39="Missed","Missed",IF(CB39="TBC","TBC",IF(CB39="Undefined","Undefined",_xlfn.XLOOKUP(EJ$7,'Product Eng - MB'!$M$6:$BM$6,'Product Eng - MB'!$M$11:$BM$11)/_xlfn.XLOOKUP(EJ$7,'Product Eng - MB'!$M$6:$BM$6,'Product Eng - MB'!$M$12:$BM$12)))))),"")</f>
        <v>OD</v>
      </c>
      <c r="EK39" s="315" t="str">
        <f>IFERROR(IF(EK$7&gt;$D$3,"",IF(CC39="OD","OD",IF(CC39="Missed","Missed",IF(CC39="TBC","TBC",IF(CC39="Undefined","Undefined",_xlfn.XLOOKUP(EK$7,'Product Eng - MB'!$M$6:$BM$6,'Product Eng - MB'!$M$11:$BM$11)/_xlfn.XLOOKUP(EK$7,'Product Eng - MB'!$M$6:$BM$6,'Product Eng - MB'!$M$12:$BM$12)))))),"")</f>
        <v/>
      </c>
      <c r="EL39" s="315" t="str">
        <f>IFERROR(IF(EL$7&gt;$D$3,"",IF(CD39="OD","OD",IF(CD39="Missed","Missed",IF(CD39="TBC","TBC",IF(CD39="Undefined","Undefined",_xlfn.XLOOKUP(EL$7,'Product Eng - MB'!$M$6:$BM$6,'Product Eng - MB'!$M$11:$BM$11)/_xlfn.XLOOKUP(EL$7,'Product Eng - MB'!$M$6:$BM$6,'Product Eng - MB'!$M$12:$BM$12)))))),"")</f>
        <v/>
      </c>
      <c r="EM39" s="315" t="str">
        <f>IFERROR(IF(EM$7&gt;$D$3,"",IF(CE39="OD","OD",IF(CE39="Missed","Missed",IF(CE39="TBC","TBC",IF(CE39="Undefined","Undefined",_xlfn.XLOOKUP(EM$7,'Product Eng - MB'!$M$6:$BM$6,'Product Eng - MB'!$M$11:$BM$11)/_xlfn.XLOOKUP(EM$7,'Product Eng - MB'!$M$6:$BM$6,'Product Eng - MB'!$M$12:$BM$12)))))),"")</f>
        <v/>
      </c>
      <c r="EN39" s="315" t="str">
        <f>IFERROR(IF(EN$7&gt;$D$3,"",IF(CF39="OD","OD",IF(CF39="Missed","Missed",IF(CF39="TBC","TBC",IF(CF39="Undefined","Undefined",_xlfn.XLOOKUP(EN$7,'Product Eng - MB'!$M$6:$BM$6,'Product Eng - MB'!$M$11:$BM$11)/_xlfn.XLOOKUP(EN$7,'Product Eng - MB'!$M$6:$BM$6,'Product Eng - MB'!$M$12:$BM$12)))))),"")</f>
        <v/>
      </c>
      <c r="EO39" s="315" t="str">
        <f>IFERROR(IF(EO$7&gt;$D$3,"",IF(CG39="OD","OD",IF(CG39="Missed","Missed",IF(CG39="TBC","TBC",IF(CG39="Undefined","Undefined",_xlfn.XLOOKUP(EO$7,'Product Eng - MB'!$M$6:$BM$6,'Product Eng - MB'!$M$11:$BM$11)/_xlfn.XLOOKUP(EO$7,'Product Eng - MB'!$M$6:$BM$6,'Product Eng - MB'!$M$12:$BM$12)))))),"")</f>
        <v/>
      </c>
      <c r="EP39" s="315" t="str">
        <f>IFERROR(IF(EP$7&gt;$D$3,"",IF(CH39="OD","OD",IF(CH39="Missed","Missed",IF(CH39="TBC","TBC",IF(CH39="Undefined","Undefined",_xlfn.XLOOKUP(EP$7,'Product Eng - MB'!$M$6:$BM$6,'Product Eng - MB'!$M$11:$BM$11)/_xlfn.XLOOKUP(EP$7,'Product Eng - MB'!$M$6:$BM$6,'Product Eng - MB'!$M$12:$BM$12)))))),"")</f>
        <v/>
      </c>
      <c r="EQ39" s="315" t="str">
        <f>IFERROR(IF(EQ$7&gt;$D$3,"",IF(CI39="OD","OD",IF(CI39="Missed","Missed",IF(CI39="TBC","TBC",IF(CI39="Undefined","Undefined",_xlfn.XLOOKUP(EQ$7,'Product Eng - MB'!$M$6:$BM$6,'Product Eng - MB'!$M$11:$BM$11)/_xlfn.XLOOKUP(EQ$7,'Product Eng - MB'!$M$6:$BM$6,'Product Eng - MB'!$M$12:$BM$12)))))),"")</f>
        <v/>
      </c>
      <c r="ER39" s="315" t="str">
        <f>IFERROR(IF(ER$7&gt;$D$3,"",IF(CJ39="OD","OD",IF(CJ39="Missed","Missed",IF(CJ39="TBC","TBC",IF(CJ39="Undefined","Undefined",_xlfn.XLOOKUP(ER$7,'Product Eng - MB'!$M$6:$BM$6,'Product Eng - MB'!$M$11:$BM$11)/_xlfn.XLOOKUP(ER$7,'Product Eng - MB'!$M$6:$BM$6,'Product Eng - MB'!$M$12:$BM$12)))))),"")</f>
        <v/>
      </c>
      <c r="ES39" s="315" t="str">
        <f>IFERROR(IF(ES$7&gt;$D$3,"",IF(CK39="OD","OD",IF(CK39="Missed","Missed",IF(CK39="TBC","TBC",IF(CK39="Undefined","Undefined",_xlfn.XLOOKUP(ES$7,'Product Eng - MB'!$M$6:$BM$6,'Product Eng - MB'!$M$11:$BM$11)/_xlfn.XLOOKUP(ES$7,'Product Eng - MB'!$M$6:$BM$6,'Product Eng - MB'!$M$12:$BM$12)))))),"")</f>
        <v/>
      </c>
      <c r="ET39" s="315" t="str">
        <f>IFERROR(IF(ET$7&gt;$D$3,"",IF(CL39="OD","OD",IF(CL39="Missed","Missed",IF(CL39="TBC","TBC",IF(CL39="Undefined","Undefined",_xlfn.XLOOKUP(ET$7,'Product Eng - MB'!$M$6:$BM$6,'Product Eng - MB'!$M$11:$BM$11)/_xlfn.XLOOKUP(ET$7,'Product Eng - MB'!$M$6:$BM$6,'Product Eng - MB'!$M$12:$BM$12)))))),"")</f>
        <v/>
      </c>
      <c r="EU39" s="315" t="str">
        <f>IFERROR(IF(EU$7&gt;$D$3,"",IF(CM39="OD","OD",IF(CM39="Missed","Missed",IF(CM39="TBC","TBC",IF(CM39="Undefined","Undefined",_xlfn.XLOOKUP(EU$7,'Product Eng - MB'!$M$6:$BM$6,'Product Eng - MB'!$M$11:$BM$11)/_xlfn.XLOOKUP(EU$7,'Product Eng - MB'!$M$6:$BM$6,'Product Eng - MB'!$M$12:$BM$12)))))),"")</f>
        <v/>
      </c>
      <c r="EW39" s="465" t="str">
        <f>+$A39</f>
        <v>Product Eng - MB-KPI D1</v>
      </c>
      <c r="EX39" s="136" t="str">
        <f>+$C39</f>
        <v>KPI D1</v>
      </c>
      <c r="EY39" s="144" t="str">
        <f>+$D39</f>
        <v>Delivery</v>
      </c>
      <c r="EZ39" s="144" t="str">
        <f t="shared" si="118"/>
        <v>BOM Lead time</v>
      </c>
      <c r="FA39" s="145" t="str">
        <f t="shared" si="119"/>
        <v>Days</v>
      </c>
      <c r="FB39" s="145" t="s">
        <v>251</v>
      </c>
      <c r="FC39" s="223" t="str">
        <f>IF(FC$7&gt;$D$3,"",IF($FA37&lt;FC$7,"OD",_xlfn.XLOOKUP(FC$7,'Product Eng - MB'!$M$6:$BM$6,'Product Eng - MB'!$M$12:$BM$12)))</f>
        <v>Blank</v>
      </c>
      <c r="FD39" s="223">
        <f>IF(FD$7&gt;$D$3,"",IF($FA37&lt;FD$7,"OD",_xlfn.XLOOKUP(FD$7,'Product Eng - MB'!$M$6:$BM$6,'Product Eng - MB'!$M$12:$BM$12)))</f>
        <v>6</v>
      </c>
      <c r="FE39" s="223">
        <f>IF(FE$7&gt;$D$3,"",IF($FA37&lt;FE$7,"OD",_xlfn.XLOOKUP(FE$7,'Product Eng - MB'!$M$6:$BM$6,'Product Eng - MB'!$M$12:$BM$12)))</f>
        <v>8</v>
      </c>
      <c r="FF39" s="223">
        <f>IF(FF$7&gt;$D$3,"",IF($FA37&lt;FF$7,"OD",_xlfn.XLOOKUP(FF$7,'Product Eng - MB'!$M$6:$BM$6,'Product Eng - MB'!$M$12:$BM$12)))</f>
        <v>11</v>
      </c>
      <c r="FG39" s="223">
        <f>IF(FG$7&gt;$D$3,"",IF($FA37&lt;FG$7,"OD",_xlfn.XLOOKUP(FG$7,'Product Eng - MB'!$M$6:$BM$6,'Product Eng - MB'!$M$12:$BM$12)))</f>
        <v>6</v>
      </c>
      <c r="FH39" s="223">
        <f>IF(FH$7&gt;$D$3,"",IF($FA37&lt;FH$7,"OD",_xlfn.XLOOKUP(FH$7,'Product Eng - MB'!$M$6:$BM$6,'Product Eng - MB'!$M$12:$BM$12)))</f>
        <v>5</v>
      </c>
      <c r="FI39" s="223">
        <f>IF(FI$7&gt;$D$3,"",IF($FA37&lt;FI$7,"OD",_xlfn.XLOOKUP(FI$7,'Product Eng - MB'!$M$6:$BM$6,'Product Eng - MB'!$M$12:$BM$12)))</f>
        <v>4</v>
      </c>
      <c r="FJ39" s="223">
        <f>IF(FJ$7&gt;$D$3,"",IF($FA37&lt;FJ$7,"OD",_xlfn.XLOOKUP(FJ$7,'Product Eng - MB'!$M$6:$BM$6,'Product Eng - MB'!$M$12:$BM$12)))</f>
        <v>4</v>
      </c>
      <c r="FK39" s="223">
        <f>IF(FK$7&gt;$D$3,"",IF($FA37&lt;FK$7,"OD",_xlfn.XLOOKUP(FK$7,'Product Eng - MB'!$M$6:$BM$6,'Product Eng - MB'!$M$12:$BM$12)))</f>
        <v>6</v>
      </c>
      <c r="FL39" s="223">
        <f>IF(FL$7&gt;$D$3,"",IF($FA37&lt;FL$7,"OD",_xlfn.XLOOKUP(FL$7,'Product Eng - MB'!$M$6:$BM$6,'Product Eng - MB'!$M$12:$BM$12)))</f>
        <v>5</v>
      </c>
      <c r="FM39" s="223">
        <f>IF(FM$7&gt;$D$3,"",IF($FA37&lt;FM$7,"OD",_xlfn.XLOOKUP(FM$7,'Product Eng - MB'!$M$6:$BM$6,'Product Eng - MB'!$M$12:$BM$12)))</f>
        <v>2</v>
      </c>
      <c r="FN39" s="223">
        <f>IF(FN$7&gt;$D$3,"",IF($FA37&lt;FN$7,"OD",_xlfn.XLOOKUP(FN$7,'Product Eng - MB'!$M$6:$BM$6,'Product Eng - MB'!$M$12:$BM$12)))</f>
        <v>3</v>
      </c>
      <c r="FO39" s="223">
        <f>IF(FO$7&gt;$D$3,"",IF($FA37&lt;FO$7,"OD",_xlfn.XLOOKUP(FO$7,'Product Eng - MB'!$M$6:$BM$6,'Product Eng - MB'!$M$12:$BM$12)))</f>
        <v>3</v>
      </c>
      <c r="FP39" s="223">
        <f>IF(FP$7&gt;$D$3,"",IF($FA37&lt;FP$7,"OD",_xlfn.XLOOKUP(FP$7,'Product Eng - MB'!$M$6:$BM$6,'Product Eng - MB'!$M$12:$BM$12)))</f>
        <v>4</v>
      </c>
      <c r="FQ39" s="223">
        <f>IF(FQ$7&gt;$D$3,"",IF($FA37&lt;FQ$7,"OD",_xlfn.XLOOKUP(FQ$7,'Product Eng - MB'!$M$6:$BM$6,'Product Eng - MB'!$M$12:$BM$12)))</f>
        <v>4.4000000000000004</v>
      </c>
      <c r="FR39" s="223">
        <f>IF(FR$7&gt;$D$3,"",IF($FA37&lt;FR$7,"OD",_xlfn.XLOOKUP(FR$7,'Product Eng - MB'!$M$6:$BM$6,'Product Eng - MB'!$M$12:$BM$12)))</f>
        <v>6.5</v>
      </c>
      <c r="FS39" s="223">
        <f>IF(FS$7&gt;$D$3,"",IF($FA37&lt;FS$7,"OD",_xlfn.XLOOKUP(FS$7,'Product Eng - MB'!$M$6:$BM$6,'Product Eng - MB'!$M$12:$BM$12)))</f>
        <v>3.5</v>
      </c>
      <c r="FT39" s="223">
        <f>IF(FT$7&gt;$D$3,"",IF($FA37&lt;FT$7,"OD",_xlfn.XLOOKUP(FT$7,'Product Eng - MB'!$M$6:$BM$6,'Product Eng - MB'!$M$12:$BM$12)))</f>
        <v>2.8</v>
      </c>
      <c r="FU39" s="223">
        <f>IF(FU$7&gt;$D$3,"",IF($FA37&lt;FU$7,"OD",_xlfn.XLOOKUP(FU$7,'Product Eng - MB'!$M$6:$BM$6,'Product Eng - MB'!$M$12:$BM$12)))</f>
        <v>2</v>
      </c>
      <c r="FV39" s="223">
        <f>IF(FV$7&gt;$D$3,"",IF($FA37&lt;FV$7,"OD",_xlfn.XLOOKUP(FV$7,'Product Eng - MB'!$M$6:$BM$6,'Product Eng - MB'!$M$12:$BM$12)))</f>
        <v>2</v>
      </c>
      <c r="FW39" s="223">
        <f>IF(FW$7&gt;$D$3,"",IF($FA37&lt;FW$7,"OD",_xlfn.XLOOKUP(FW$7,'Product Eng - MB'!$M$6:$BM$6,'Product Eng - MB'!$M$12:$BM$12)))</f>
        <v>4.8</v>
      </c>
      <c r="FX39" s="223">
        <f>IF(FX$7&gt;$D$3,"",IF($FA37&lt;FX$7,"OD",_xlfn.XLOOKUP(FX$7,'Product Eng - MB'!$M$6:$BM$6,'Product Eng - MB'!$M$12:$BM$12)))</f>
        <v>3</v>
      </c>
      <c r="FY39" s="223">
        <f>IF(FY$7&gt;$D$3,"",IF($FA37&lt;FY$7,"OD",_xlfn.XLOOKUP(FY$7,'Product Eng - MB'!$M$6:$BM$6,'Product Eng - MB'!$M$12:$BM$12)))</f>
        <v>2.5</v>
      </c>
      <c r="FZ39" s="223">
        <f>IF(FZ$7&gt;$D$3,"",IF($FA37&lt;FZ$7,"OD",_xlfn.XLOOKUP(FZ$7,'Product Eng - MB'!$M$6:$BM$6,'Product Eng - MB'!$M$12:$BM$12)))</f>
        <v>2</v>
      </c>
      <c r="GA39" s="223">
        <f>IF(GA$7&gt;$D$3,"",IF($FA37&lt;GA$7,"OD",_xlfn.XLOOKUP(GA$7,'Product Eng - MB'!$M$6:$BM$6,'Product Eng - MB'!$M$12:$BM$12)))</f>
        <v>3.5</v>
      </c>
      <c r="GB39" s="223">
        <f>IF(GB$7&gt;$D$3,"",IF($FA37&lt;GB$7,"OD",_xlfn.XLOOKUP(GB$7,'Product Eng - MB'!$M$6:$BM$6,'Product Eng - MB'!$M$12:$BM$12)))</f>
        <v>4</v>
      </c>
      <c r="GC39" s="223">
        <f>IF(GC$7&gt;$D$3,"",IF($FA37&lt;GC$7,"OD",_xlfn.XLOOKUP(GC$7,'Product Eng - MB'!$M$6:$BM$6,'Product Eng - MB'!$M$12:$BM$12)))</f>
        <v>4</v>
      </c>
      <c r="GD39" s="223">
        <f>IF(GD$7&gt;$D$3,"",IF($FA37&lt;GD$7,"OD",_xlfn.XLOOKUP(GD$7,'Product Eng - MB'!$M$6:$BM$6,'Product Eng - MB'!$M$12:$BM$12)))</f>
        <v>4</v>
      </c>
      <c r="GE39" s="223">
        <f>IF(GE$7&gt;$D$3,"",IF($FA37&lt;GE$7,"OD",_xlfn.XLOOKUP(GE$7,'Product Eng - MB'!$M$6:$BM$6,'Product Eng - MB'!$M$12:$BM$12)))</f>
        <v>4</v>
      </c>
      <c r="GF39" s="223">
        <f>IF(GF$7&gt;$D$3,"",IF($FA37&lt;GF$7,"OD",_xlfn.XLOOKUP(GF$7,'Product Eng - MB'!$M$6:$BM$6,'Product Eng - MB'!$M$12:$BM$12)))</f>
        <v>1.5</v>
      </c>
      <c r="GG39" s="223">
        <f>IF(GG$7&gt;$D$3,"",IF($FA37&lt;GG$7,"OD",_xlfn.XLOOKUP(GG$7,'Product Eng - MB'!$M$6:$BM$6,'Product Eng - MB'!$M$12:$BM$12)))</f>
        <v>1.8</v>
      </c>
      <c r="GH39" s="223">
        <f>IF(GH$7&gt;$D$3,"",IF($FA37&lt;GH$7,"OD",_xlfn.XLOOKUP(GH$7,'Product Eng - MB'!$M$6:$BM$6,'Product Eng - MB'!$M$12:$BM$12)))</f>
        <v>2.67</v>
      </c>
      <c r="GI39" s="223">
        <f>IF(GI$7&gt;$D$3,"",IF($FA37&lt;GI$7,"OD",_xlfn.XLOOKUP(GI$7,'Product Eng - MB'!$M$6:$BM$6,'Product Eng - MB'!$M$12:$BM$12)))</f>
        <v>4.4000000000000004</v>
      </c>
      <c r="GJ39" s="223">
        <f>IF(GJ$7&gt;$D$3,"",IF($FA37&lt;GJ$7,"OD",_xlfn.XLOOKUP(GJ$7,'Product Eng - MB'!$M$6:$BM$6,'Product Eng - MB'!$M$12:$BM$12)))</f>
        <v>4</v>
      </c>
      <c r="GK39" s="223">
        <f>IF(GK$7&gt;$D$3,"",IF($FA37&lt;GK$7,"OD",_xlfn.XLOOKUP(GK$7,'Product Eng - MB'!$M$6:$BM$6,'Product Eng - MB'!$M$12:$BM$12)))</f>
        <v>4</v>
      </c>
      <c r="GL39" s="223">
        <f>IF(GL$7&gt;$D$3,"",IF($FA37&lt;GL$7,"OD",_xlfn.XLOOKUP(GL$7,'Product Eng - MB'!$M$6:$BM$6,'Product Eng - MB'!$M$12:$BM$12)))</f>
        <v>3</v>
      </c>
      <c r="GM39" s="223">
        <f>IF(GM$7&gt;$D$3,"",IF($FA37&lt;GM$7,"OD",_xlfn.XLOOKUP(GM$7,'Product Eng - MB'!$M$6:$BM$6,'Product Eng - MB'!$M$12:$BM$12)))</f>
        <v>3</v>
      </c>
      <c r="GN39" s="223">
        <f>IF(GN$7&gt;$D$3,"",IF($FA37&lt;GN$7,"OD",_xlfn.XLOOKUP(GN$7,'Product Eng - MB'!$M$6:$BM$6,'Product Eng - MB'!$M$12:$BM$12)))</f>
        <v>3</v>
      </c>
      <c r="GO39" s="223">
        <f>IF(GO$7&gt;$D$3,"",IF($FA37&lt;GO$7,"OD",_xlfn.XLOOKUP(GO$7,'Product Eng - MB'!$M$6:$BM$6,'Product Eng - MB'!$M$12:$BM$12)))</f>
        <v>3</v>
      </c>
      <c r="GP39" s="223">
        <f>IF(GP$7&gt;$D$3,"",IF($FA37&lt;GP$7,"OD",_xlfn.XLOOKUP(GP$7,'Product Eng - MB'!$M$6:$BM$6,'Product Eng - MB'!$M$12:$BM$12)))</f>
        <v>2</v>
      </c>
      <c r="GQ39" s="223">
        <f>IF(GQ$7&gt;$D$3,"",IF($FA37&lt;GQ$7,"OD",_xlfn.XLOOKUP(GQ$7,'Product Eng - MB'!$M$6:$BM$6,'Product Eng - MB'!$M$12:$BM$12)))</f>
        <v>3</v>
      </c>
      <c r="GR39" s="223">
        <f>IF(GR$7&gt;$D$3,"",IF($FA37&lt;GR$7,"OD",_xlfn.XLOOKUP(GR$7,'Product Eng - MB'!$M$6:$BM$6,'Product Eng - MB'!$M$12:$BM$12)))</f>
        <v>0</v>
      </c>
      <c r="GS39" s="223" t="str">
        <f>IF(GS$7&gt;$D$3,"",IF($FA37&lt;GS$7,"OD",_xlfn.XLOOKUP(GS$7,'Product Eng - MB'!$M$6:$BM$6,'Product Eng - MB'!$M$12:$BM$12)))</f>
        <v/>
      </c>
      <c r="GT39" s="223" t="str">
        <f>IF(GT$7&gt;$D$3,"",IF($FA37&lt;GT$7,"OD",_xlfn.XLOOKUP(GT$7,'Product Eng - MB'!$M$6:$BM$6,'Product Eng - MB'!$M$12:$BM$12)))</f>
        <v/>
      </c>
      <c r="GU39" s="223" t="str">
        <f>IF(GU$7&gt;$D$3,"",IF($FA37&lt;GU$7,"OD",_xlfn.XLOOKUP(GU$7,'Product Eng - MB'!$M$6:$BM$6,'Product Eng - MB'!$M$12:$BM$12)))</f>
        <v/>
      </c>
      <c r="GV39" s="223" t="str">
        <f>IF(GV$7&gt;$D$3,"",IF($FA37&lt;GV$7,"OD",_xlfn.XLOOKUP(GV$7,'Product Eng - MB'!$M$6:$BM$6,'Product Eng - MB'!$M$12:$BM$12)))</f>
        <v/>
      </c>
      <c r="GW39" s="223" t="str">
        <f>IF(GW$7&gt;$D$3,"",IF($FA37&lt;GW$7,"OD",_xlfn.XLOOKUP(GW$7,'Product Eng - MB'!$M$6:$BM$6,'Product Eng - MB'!$M$12:$BM$12)))</f>
        <v/>
      </c>
      <c r="GX39" s="223" t="str">
        <f>IF(GX$7&gt;$D$3,"",IF($FA37&lt;GX$7,"OD",_xlfn.XLOOKUP(GX$7,'Product Eng - MB'!$M$6:$BM$6,'Product Eng - MB'!$M$12:$BM$12)))</f>
        <v/>
      </c>
      <c r="GY39" s="223" t="str">
        <f>IF(GY$7&gt;$D$3,"",IF($FA37&lt;GY$7,"OD",_xlfn.XLOOKUP(GY$7,'Product Eng - MB'!$M$6:$BM$6,'Product Eng - MB'!$M$12:$BM$12)))</f>
        <v/>
      </c>
      <c r="GZ39" s="223" t="str">
        <f>IF(GZ$7&gt;$D$3,"",IF($FA37&lt;GZ$7,"OD",_xlfn.XLOOKUP(GZ$7,'Product Eng - MB'!$M$6:$BM$6,'Product Eng - MB'!$M$12:$BM$12)))</f>
        <v/>
      </c>
      <c r="HA39" s="223" t="str">
        <f>IF(HA$7&gt;$D$3,"",IF($FA37&lt;HA$7,"OD",_xlfn.XLOOKUP(HA$7,'Product Eng - MB'!$M$6:$BM$6,'Product Eng - MB'!$M$12:$BM$12)))</f>
        <v/>
      </c>
      <c r="HB39" s="223" t="str">
        <f>IF(HB$7&gt;$D$3,"",IF($FA37&lt;HB$7,"OD",_xlfn.XLOOKUP(HB$7,'Product Eng - MB'!$M$6:$BM$6,'Product Eng - MB'!$M$12:$BM$12)))</f>
        <v/>
      </c>
      <c r="HC39" s="223" t="str">
        <f>IF(HC$7&gt;$D$3,"",IF($FA37&lt;HC$7,"OD",_xlfn.XLOOKUP(HC$7,'Product Eng - MB'!$M$6:$BM$6,'Product Eng - MB'!$M$12:$BM$12)))</f>
        <v/>
      </c>
      <c r="HE39" s="136" t="str">
        <f>+$C39</f>
        <v>KPI D1</v>
      </c>
      <c r="HF39" s="144" t="str">
        <f>+$D39</f>
        <v>Delivery</v>
      </c>
      <c r="HG39" s="144" t="str">
        <f t="shared" si="122"/>
        <v>BOM Lead time</v>
      </c>
      <c r="HH39" s="145" t="str">
        <f t="shared" si="123"/>
        <v>Days</v>
      </c>
      <c r="HI39" s="145" t="s">
        <v>44</v>
      </c>
      <c r="HJ39" s="223" t="s">
        <v>122</v>
      </c>
      <c r="HK39" s="223">
        <f>IF(HK$7&gt;$D$3,"",IF($FA37&lt;HK$7,"OD",_xlfn.XLOOKUP(HK$7,'Product Eng - MB'!$M$6:$BM$6,'Product Eng - MB'!$M$11:$BM$11)))</f>
        <v>5</v>
      </c>
      <c r="HL39" s="223">
        <f>IF(HL$7&gt;$D$3,"",IF($FA37&lt;HL$7,"OD",_xlfn.XLOOKUP(HL$7,'Product Eng - MB'!$M$6:$BM$6,'Product Eng - MB'!$M$11:$BM$11)))</f>
        <v>5</v>
      </c>
      <c r="HM39" s="223">
        <f>IF(HM$7&gt;$D$3,"",IF($FA37&lt;HM$7,"OD",_xlfn.XLOOKUP(HM$7,'Product Eng - MB'!$M$6:$BM$6,'Product Eng - MB'!$M$11:$BM$11)))</f>
        <v>5</v>
      </c>
      <c r="HN39" s="223">
        <f>IF(HN$7&gt;$D$3,"",IF($FA37&lt;HN$7,"OD",_xlfn.XLOOKUP(HN$7,'Product Eng - MB'!$M$6:$BM$6,'Product Eng - MB'!$M$11:$BM$11)))</f>
        <v>5</v>
      </c>
      <c r="HO39" s="223">
        <f>IF(HO$7&gt;$D$3,"",IF($FA37&lt;HO$7,"OD",_xlfn.XLOOKUP(HO$7,'Product Eng - MB'!$M$6:$BM$6,'Product Eng - MB'!$M$11:$BM$11)))</f>
        <v>5</v>
      </c>
      <c r="HP39" s="223">
        <f>IF(HP$7&gt;$D$3,"",IF($FA37&lt;HP$7,"OD",_xlfn.XLOOKUP(HP$7,'Product Eng - MB'!$M$6:$BM$6,'Product Eng - MB'!$M$11:$BM$11)))</f>
        <v>5</v>
      </c>
      <c r="HQ39" s="223">
        <f>IF(HQ$7&gt;$D$3,"",IF($FA37&lt;HQ$7,"OD",_xlfn.XLOOKUP(HQ$7,'Product Eng - MB'!$M$6:$BM$6,'Product Eng - MB'!$M$11:$BM$11)))</f>
        <v>5</v>
      </c>
      <c r="HR39" s="223">
        <f>IF(HR$7&gt;$D$3,"",IF($FA37&lt;HR$7,"OD",_xlfn.XLOOKUP(HR$7,'Product Eng - MB'!$M$6:$BM$6,'Product Eng - MB'!$M$11:$BM$11)))</f>
        <v>5</v>
      </c>
      <c r="HS39" s="223">
        <f>IF(HS$7&gt;$D$3,"",IF($FA37&lt;HS$7,"OD",_xlfn.XLOOKUP(HS$7,'Product Eng - MB'!$M$6:$BM$6,'Product Eng - MB'!$M$11:$BM$11)))</f>
        <v>5</v>
      </c>
      <c r="HT39" s="223">
        <f>IF(HT$7&gt;$D$3,"",IF($FA37&lt;HT$7,"OD",_xlfn.XLOOKUP(HT$7,'Product Eng - MB'!$M$6:$BM$6,'Product Eng - MB'!$M$11:$BM$11)))</f>
        <v>5</v>
      </c>
      <c r="HU39" s="223">
        <f>IF(HU$7&gt;$D$3,"",IF($FA37&lt;HU$7,"OD",_xlfn.XLOOKUP(HU$7,'Product Eng - MB'!$M$6:$BM$6,'Product Eng - MB'!$M$11:$BM$11)))</f>
        <v>5</v>
      </c>
      <c r="HV39" s="223">
        <f>IF(HV$7&gt;$D$3,"",IF($FA37&lt;HV$7,"OD",_xlfn.XLOOKUP(HV$7,'Product Eng - MB'!$M$6:$BM$6,'Product Eng - MB'!$M$11:$BM$11)))</f>
        <v>5</v>
      </c>
      <c r="HW39" s="223">
        <f>IF(HW$7&gt;$D$3,"",IF($FA37&lt;HW$7,"OD",_xlfn.XLOOKUP(HW$7,'Product Eng - MB'!$M$6:$BM$6,'Product Eng - MB'!$M$11:$BM$11)))</f>
        <v>5</v>
      </c>
      <c r="HX39" s="223">
        <f>IF(HX$7&gt;$D$3,"",IF($FA37&lt;HX$7,"OD",_xlfn.XLOOKUP(HX$7,'Product Eng - MB'!$M$6:$BM$6,'Product Eng - MB'!$M$11:$BM$11)))</f>
        <v>5</v>
      </c>
      <c r="HY39" s="223">
        <f>IF(HY$7&gt;$D$3,"",IF($FA37&lt;HY$7,"OD",_xlfn.XLOOKUP(HY$7,'Product Eng - MB'!$M$6:$BM$6,'Product Eng - MB'!$M$11:$BM$11)))</f>
        <v>5</v>
      </c>
      <c r="HZ39" s="223">
        <f>IF(HZ$7&gt;$D$3,"",IF($FA37&lt;HZ$7,"OD",_xlfn.XLOOKUP(HZ$7,'Product Eng - MB'!$M$6:$BM$6,'Product Eng - MB'!$M$11:$BM$11)))</f>
        <v>5</v>
      </c>
      <c r="IA39" s="223">
        <f>IF(IA$7&gt;$D$3,"",IF($FA37&lt;IA$7,"OD",_xlfn.XLOOKUP(IA$7,'Product Eng - MB'!$M$6:$BM$6,'Product Eng - MB'!$M$11:$BM$11)))</f>
        <v>5</v>
      </c>
      <c r="IB39" s="223">
        <f>IF(IB$7&gt;$D$3,"",IF($FA37&lt;IB$7,"OD",_xlfn.XLOOKUP(IB$7,'Product Eng - MB'!$M$6:$BM$6,'Product Eng - MB'!$M$11:$BM$11)))</f>
        <v>5</v>
      </c>
      <c r="IC39" s="223">
        <f>IF(IC$7&gt;$D$3,"",IF($FA37&lt;IC$7,"OD",_xlfn.XLOOKUP(IC$7,'Product Eng - MB'!$M$6:$BM$6,'Product Eng - MB'!$M$11:$BM$11)))</f>
        <v>5</v>
      </c>
      <c r="ID39" s="223">
        <f>IF(ID$7&gt;$D$3,"",IF($FA37&lt;ID$7,"OD",_xlfn.XLOOKUP(ID$7,'Product Eng - MB'!$M$6:$BM$6,'Product Eng - MB'!$M$11:$BM$11)))</f>
        <v>5</v>
      </c>
      <c r="IE39" s="223">
        <f>IF(IE$7&gt;$D$3,"",IF($FA37&lt;IE$7,"OD",_xlfn.XLOOKUP(IE$7,'Product Eng - MB'!$M$6:$BM$6,'Product Eng - MB'!$M$11:$BM$11)))</f>
        <v>5</v>
      </c>
      <c r="IF39" s="223">
        <f>IF(IF$7&gt;$D$3,"",IF($FA37&lt;IF$7,"OD",_xlfn.XLOOKUP(IF$7,'Product Eng - MB'!$M$6:$BM$6,'Product Eng - MB'!$M$11:$BM$11)))</f>
        <v>5</v>
      </c>
      <c r="IG39" s="223">
        <f>IF(IG$7&gt;$D$3,"",IF($FA37&lt;IG$7,"OD",_xlfn.XLOOKUP(IG$7,'Product Eng - MB'!$M$6:$BM$6,'Product Eng - MB'!$M$11:$BM$11)))</f>
        <v>5</v>
      </c>
      <c r="IH39" s="223">
        <f>IF(IH$7&gt;$D$3,"",IF($FA37&lt;IH$7,"OD",_xlfn.XLOOKUP(IH$7,'Product Eng - MB'!$M$6:$BM$6,'Product Eng - MB'!$M$11:$BM$11)))</f>
        <v>5</v>
      </c>
      <c r="II39" s="223">
        <f>IF(II$7&gt;$D$3,"",IF($FA37&lt;II$7,"OD",_xlfn.XLOOKUP(II$7,'Product Eng - MB'!$M$6:$BM$6,'Product Eng - MB'!$M$11:$BM$11)))</f>
        <v>5</v>
      </c>
      <c r="IJ39" s="223">
        <f>IF(IJ$7&gt;$D$3,"",IF($FA37&lt;IJ$7,"OD",_xlfn.XLOOKUP(IJ$7,'Product Eng - MB'!$M$6:$BM$6,'Product Eng - MB'!$M$11:$BM$11)))</f>
        <v>5</v>
      </c>
      <c r="IK39" s="223">
        <f>IF(IK$7&gt;$D$3,"",IF($FA37&lt;IK$7,"OD",_xlfn.XLOOKUP(IK$7,'Product Eng - MB'!$M$6:$BM$6,'Product Eng - MB'!$M$11:$BM$11)))</f>
        <v>5</v>
      </c>
      <c r="IL39" s="223">
        <f>IF(IL$7&gt;$D$3,"",IF($FA37&lt;IL$7,"OD",_xlfn.XLOOKUP(IL$7,'Product Eng - MB'!$M$6:$BM$6,'Product Eng - MB'!$M$11:$BM$11)))</f>
        <v>5</v>
      </c>
      <c r="IM39" s="223">
        <f>IF(IM$7&gt;$D$3,"",IF($FA37&lt;IM$7,"OD",_xlfn.XLOOKUP(IM$7,'Product Eng - MB'!$M$6:$BM$6,'Product Eng - MB'!$M$11:$BM$11)))</f>
        <v>5</v>
      </c>
      <c r="IN39" s="223">
        <f>IF(IN$7&gt;$D$3,"",IF($FA37&lt;IN$7,"OD",_xlfn.XLOOKUP(IN$7,'Product Eng - MB'!$M$6:$BM$6,'Product Eng - MB'!$M$11:$BM$11)))</f>
        <v>5</v>
      </c>
      <c r="IO39" s="223">
        <f>IF(IO$7&gt;$D$3,"",IF($FA37&lt;IO$7,"OD",_xlfn.XLOOKUP(IO$7,'Product Eng - MB'!$M$6:$BM$6,'Product Eng - MB'!$M$11:$BM$11)))</f>
        <v>5</v>
      </c>
      <c r="IP39" s="223">
        <f>IF(IP$7&gt;$D$3,"",IF($FA37&lt;IP$7,"OD",_xlfn.XLOOKUP(IP$7,'Product Eng - MB'!$M$6:$BM$6,'Product Eng - MB'!$M$11:$BM$11)))</f>
        <v>5</v>
      </c>
      <c r="IQ39" s="223">
        <f>IF(IQ$7&gt;$D$3,"",IF($FA37&lt;IQ$7,"OD",_xlfn.XLOOKUP(IQ$7,'Product Eng - MB'!$M$6:$BM$6,'Product Eng - MB'!$M$11:$BM$11)))</f>
        <v>5</v>
      </c>
      <c r="IR39" s="223">
        <f>IF(IR$7&gt;$D$3,"",IF($FA37&lt;IR$7,"OD",_xlfn.XLOOKUP(IR$7,'Product Eng - MB'!$M$6:$BM$6,'Product Eng - MB'!$M$11:$BM$11)))</f>
        <v>5</v>
      </c>
      <c r="IS39" s="223">
        <f>IF(IS$7&gt;$D$3,"",IF($FA37&lt;IS$7,"OD",_xlfn.XLOOKUP(IS$7,'Product Eng - MB'!$M$6:$BM$6,'Product Eng - MB'!$M$11:$BM$11)))</f>
        <v>5</v>
      </c>
      <c r="IT39" s="223">
        <f>IF(IT$7&gt;$D$3,"",IF($FA37&lt;IT$7,"OD",_xlfn.XLOOKUP(IT$7,'Product Eng - MB'!$M$6:$BM$6,'Product Eng - MB'!$M$11:$BM$11)))</f>
        <v>5</v>
      </c>
      <c r="IU39" s="223">
        <f>IF(IU$7&gt;$D$3,"",IF($FA37&lt;IU$7,"OD",_xlfn.XLOOKUP(IU$7,'Product Eng - MB'!$M$6:$BM$6,'Product Eng - MB'!$M$11:$BM$11)))</f>
        <v>5</v>
      </c>
      <c r="IV39" s="223">
        <f>IF(IV$7&gt;$D$3,"",IF($FA37&lt;IV$7,"OD",_xlfn.XLOOKUP(IV$7,'Product Eng - MB'!$M$6:$BM$6,'Product Eng - MB'!$M$11:$BM$11)))</f>
        <v>5</v>
      </c>
      <c r="IW39" s="223">
        <f>IF(IW$7&gt;$D$3,"",IF($FA37&lt;IW$7,"OD",_xlfn.XLOOKUP(IW$7,'Product Eng - MB'!$M$6:$BM$6,'Product Eng - MB'!$M$11:$BM$11)))</f>
        <v>5</v>
      </c>
      <c r="IX39" s="223">
        <f>IF(IX$7&gt;$D$3,"",IF($FA37&lt;IX$7,"OD",_xlfn.XLOOKUP(IX$7,'Product Eng - MB'!$M$6:$BM$6,'Product Eng - MB'!$M$11:$BM$11)))</f>
        <v>5</v>
      </c>
      <c r="IY39" s="223">
        <f>IF(IY$7&gt;$D$3,"",IF($FA37&lt;IY$7,"OD",_xlfn.XLOOKUP(IY$7,'Product Eng - MB'!$M$6:$BM$6,'Product Eng - MB'!$M$11:$BM$11)))</f>
        <v>5</v>
      </c>
      <c r="IZ39" s="223" t="str">
        <f>IF(IZ$7&gt;$D$3,"",IF($FA37&lt;IZ$7,"OD",_xlfn.XLOOKUP(IZ$7,'Product Eng - MB'!$M$6:$BM$6,'Product Eng - MB'!$M$11:$BM$11)))</f>
        <v/>
      </c>
      <c r="JA39" s="223" t="str">
        <f>IF(JA$7&gt;$D$3,"",IF($FA37&lt;JA$7,"OD",_xlfn.XLOOKUP(JA$7,'Product Eng - MB'!$M$6:$BM$6,'Product Eng - MB'!$M$11:$BM$11)))</f>
        <v/>
      </c>
      <c r="JB39" s="223" t="str">
        <f>IF(JB$7&gt;$D$3,"",IF($FA37&lt;JB$7,"OD",_xlfn.XLOOKUP(JB$7,'Product Eng - MB'!$M$6:$BM$6,'Product Eng - MB'!$M$11:$BM$11)))</f>
        <v/>
      </c>
      <c r="JC39" s="223" t="str">
        <f>IF(JC$7&gt;$D$3,"",IF($FA37&lt;JC$7,"OD",_xlfn.XLOOKUP(JC$7,'Product Eng - MB'!$M$6:$BM$6,'Product Eng - MB'!$M$11:$BM$11)))</f>
        <v/>
      </c>
      <c r="JD39" s="223" t="str">
        <f>IF(JD$7&gt;$D$3,"",IF($FA37&lt;JD$7,"OD",_xlfn.XLOOKUP(JD$7,'Product Eng - MB'!$M$6:$BM$6,'Product Eng - MB'!$M$11:$BM$11)))</f>
        <v/>
      </c>
      <c r="JE39" s="223" t="str">
        <f>IF(JE$7&gt;$D$3,"",IF($FA37&lt;JE$7,"OD",_xlfn.XLOOKUP(JE$7,'Product Eng - MB'!$M$6:$BM$6,'Product Eng - MB'!$M$11:$BM$11)))</f>
        <v/>
      </c>
      <c r="JF39" s="223" t="str">
        <f>IF(JF$7&gt;$D$3,"",IF($FA37&lt;JF$7,"OD",_xlfn.XLOOKUP(JF$7,'Product Eng - MB'!$M$6:$BM$6,'Product Eng - MB'!$M$11:$BM$11)))</f>
        <v/>
      </c>
      <c r="JG39" s="223" t="str">
        <f>IF(JG$7&gt;$D$3,"",IF($FA37&lt;JG$7,"OD",_xlfn.XLOOKUP(JG$7,'Product Eng - MB'!$M$6:$BM$6,'Product Eng - MB'!$M$11:$BM$11)))</f>
        <v/>
      </c>
      <c r="JH39" s="223" t="str">
        <f>IF(JH$7&gt;$D$3,"",IF($FA37&lt;JH$7,"OD",_xlfn.XLOOKUP(JH$7,'Product Eng - MB'!$M$6:$BM$6,'Product Eng - MB'!$M$11:$BM$11)))</f>
        <v/>
      </c>
      <c r="JI39" s="223" t="str">
        <f>IF(JI$7&gt;$D$3,"",IF($FA37&lt;JI$7,"OD",_xlfn.XLOOKUP(JI$7,'Product Eng - MB'!$M$6:$BM$6,'Product Eng - MB'!$M$11:$BM$11)))</f>
        <v/>
      </c>
      <c r="JJ39" s="223" t="str">
        <f>IF(JJ$7&gt;$D$3,"",IF($FA37&lt;JJ$7,"OD",_xlfn.XLOOKUP(JJ$7,'Product Eng - MB'!$M$6:$BM$6,'Product Eng - MB'!$M$11:$BM$11)))</f>
        <v/>
      </c>
      <c r="JM39" s="136" t="str">
        <f>+$C39</f>
        <v>KPI D1</v>
      </c>
      <c r="JN39" s="144" t="str">
        <f>+$D39</f>
        <v>Delivery</v>
      </c>
      <c r="JO39" s="144" t="str">
        <f t="shared" si="127"/>
        <v>BOM Lead time</v>
      </c>
      <c r="JP39" s="145" t="str">
        <f t="shared" si="128"/>
        <v>Days</v>
      </c>
      <c r="JQ39" s="145" t="s">
        <v>284</v>
      </c>
      <c r="JR39" s="226" t="str">
        <f>IFERROR(AVERAGE(FC39:$FC39),"")</f>
        <v/>
      </c>
      <c r="JS39" s="226">
        <f>IFERROR(AVERAGE($FC39:FD39),"")</f>
        <v>6</v>
      </c>
      <c r="JT39" s="226">
        <f>IFERROR(AVERAGE($FC39:FE39),"")</f>
        <v>7</v>
      </c>
      <c r="JU39" s="226">
        <f>IFERROR(AVERAGE($FC39:FF39),"")</f>
        <v>8.3333333333333339</v>
      </c>
      <c r="JV39" s="226">
        <f>IFERROR(AVERAGE($FC39:FG39),"")</f>
        <v>7.75</v>
      </c>
      <c r="JW39" s="226">
        <f>IFERROR(AVERAGE($FC39:FH39),"")</f>
        <v>7.2</v>
      </c>
      <c r="JX39" s="226">
        <f>IFERROR(AVERAGE($FC39:FI39),"")</f>
        <v>6.666666666666667</v>
      </c>
      <c r="JY39" s="226">
        <f>IFERROR(AVERAGE($FC39:FJ39),"")</f>
        <v>6.2857142857142856</v>
      </c>
      <c r="JZ39" s="226">
        <f>IFERROR(AVERAGE($FC39:FK39),"")</f>
        <v>6.25</v>
      </c>
      <c r="KA39" s="226">
        <f>IFERROR(AVERAGE($FC39:FL39),"")</f>
        <v>6.1111111111111107</v>
      </c>
      <c r="KB39" s="226">
        <f>IFERROR(AVERAGE($FC39:FM39),"")</f>
        <v>5.7</v>
      </c>
      <c r="KC39" s="226">
        <f>IFERROR(AVERAGE($FC39:FN39),"")</f>
        <v>5.4545454545454541</v>
      </c>
      <c r="KD39" s="226">
        <f>IFERROR(AVERAGE($FC39:FO39),"")</f>
        <v>5.25</v>
      </c>
      <c r="KE39" s="226">
        <f>IFERROR(AVERAGE($FC39:FP39),"")</f>
        <v>5.1538461538461542</v>
      </c>
      <c r="KF39" s="226">
        <f>IFERROR(AVERAGE($FC39:FQ39),"")</f>
        <v>5.1000000000000005</v>
      </c>
      <c r="KG39" s="226">
        <f>IFERROR(AVERAGE($FC39:FR39),"")</f>
        <v>5.1933333333333334</v>
      </c>
      <c r="KH39" s="226">
        <f>IFERROR(AVERAGE($FC39:FS39),"")</f>
        <v>5.0875000000000004</v>
      </c>
      <c r="KI39" s="226">
        <f>IFERROR(AVERAGE($FC39:FT39),"")</f>
        <v>4.9529411764705884</v>
      </c>
      <c r="KJ39" s="226">
        <f>IFERROR(AVERAGE($FC39:FU39),"")</f>
        <v>4.7888888888888888</v>
      </c>
      <c r="KK39" s="226">
        <f>IFERROR(AVERAGE($FC39:FV39),"")</f>
        <v>4.6421052631578945</v>
      </c>
      <c r="KL39" s="226">
        <f>IFERROR(AVERAGE($FC39:FW39),"")</f>
        <v>4.6500000000000004</v>
      </c>
      <c r="KM39" s="226">
        <f>IFERROR(AVERAGE($FC39:FX39),"")</f>
        <v>4.5714285714285712</v>
      </c>
      <c r="KN39" s="226">
        <f>IFERROR(AVERAGE($FC39:FY39),"")</f>
        <v>4.4772727272727275</v>
      </c>
      <c r="KO39" s="226">
        <f>IFERROR(AVERAGE($FC39:FZ39),"")</f>
        <v>4.3695652173913047</v>
      </c>
      <c r="KP39" s="226">
        <f>IFERROR(AVERAGE($FC39:GA39),"")</f>
        <v>4.333333333333333</v>
      </c>
      <c r="KQ39" s="226">
        <f>IFERROR(AVERAGE($FC39:GB39),"")</f>
        <v>4.32</v>
      </c>
      <c r="KR39" s="226">
        <f>IFERROR(AVERAGE($FC39:GC39),"")</f>
        <v>4.3076923076923075</v>
      </c>
      <c r="KS39" s="226">
        <f>IFERROR(AVERAGE($FC39:GD39),"")</f>
        <v>4.2962962962962967</v>
      </c>
      <c r="KT39" s="226">
        <f>IFERROR(AVERAGE($FC39:GE39),"")</f>
        <v>4.2857142857142856</v>
      </c>
      <c r="KU39" s="226">
        <f>IFERROR(AVERAGE($FC39:GF39),"")</f>
        <v>4.1896551724137927</v>
      </c>
      <c r="KV39" s="226">
        <f>IFERROR(AVERAGE($FC39:GG39),"")</f>
        <v>4.1100000000000003</v>
      </c>
      <c r="KW39" s="226">
        <f>IFERROR(AVERAGE($FC39:GH39),"")</f>
        <v>4.0635483870967741</v>
      </c>
      <c r="KX39" s="226">
        <f>IFERROR(AVERAGE($FC39:GI39),"")</f>
        <v>4.0740625000000001</v>
      </c>
      <c r="KY39" s="226">
        <f>IFERROR(AVERAGE($FC39:GJ39),"")</f>
        <v>4.0718181818181822</v>
      </c>
      <c r="KZ39" s="226">
        <f>IFERROR(AVERAGE($FC39:GK39),"")</f>
        <v>4.0697058823529417</v>
      </c>
      <c r="LA39" s="226">
        <f>IFERROR(AVERAGE($FC39:GL39),"")</f>
        <v>4.0391428571428571</v>
      </c>
      <c r="LB39" s="226">
        <f>IFERROR(AVERAGE($FC39:GM39),"")</f>
        <v>4.0102777777777776</v>
      </c>
      <c r="LC39" s="226">
        <f>IFERROR(AVERAGE($FC39:GN39),"")</f>
        <v>3.982972972972973</v>
      </c>
      <c r="LD39" s="226">
        <f>IFERROR(AVERAGE($FC39:GO39),"")</f>
        <v>3.9571052631578949</v>
      </c>
      <c r="LE39" s="226">
        <f>IFERROR(AVERAGE($FC39:GP39),"")</f>
        <v>3.9069230769230772</v>
      </c>
      <c r="LF39" s="226">
        <f>IFERROR(AVERAGE($FC39:GQ39),"")</f>
        <v>3.8842500000000002</v>
      </c>
      <c r="LG39" s="226">
        <f>IFERROR(AVERAGE($FC39:GR39),"")</f>
        <v>3.7895121951219513</v>
      </c>
      <c r="LH39" s="226">
        <f>IFERROR(AVERAGE($FC39:GS39),"")</f>
        <v>3.7895121951219513</v>
      </c>
      <c r="LI39" s="226">
        <f>IFERROR(AVERAGE($FC39:GT39),"")</f>
        <v>3.7895121951219513</v>
      </c>
      <c r="LJ39" s="226">
        <f>IFERROR(AVERAGE($FC39:GU39),"")</f>
        <v>3.7895121951219513</v>
      </c>
      <c r="LK39" s="226">
        <f>IFERROR(AVERAGE($FC39:GV39),"")</f>
        <v>3.7895121951219513</v>
      </c>
      <c r="LL39" s="226">
        <f>IFERROR(AVERAGE($FC39:GW39),"")</f>
        <v>3.7895121951219513</v>
      </c>
      <c r="LM39" s="226">
        <f>IFERROR(AVERAGE($FC39:GX39),"")</f>
        <v>3.7895121951219513</v>
      </c>
      <c r="LN39" s="226">
        <f>IFERROR(AVERAGE($FC39:GY39),"")</f>
        <v>3.7895121951219513</v>
      </c>
      <c r="LO39" s="226">
        <f>IFERROR(AVERAGE($FC39:GZ39),"")</f>
        <v>3.7895121951219513</v>
      </c>
      <c r="LP39" s="226">
        <f>IFERROR(AVERAGE($FC39:HA39),"")</f>
        <v>3.7895121951219513</v>
      </c>
      <c r="LQ39" s="226">
        <f>IFERROR(AVERAGE($FC39:HB39),"")</f>
        <v>3.7895121951219513</v>
      </c>
      <c r="LR39" s="226">
        <f>IFERROR(AVERAGE($FC39:HC39),"")</f>
        <v>3.7895121951219513</v>
      </c>
      <c r="LT39" s="136" t="str">
        <f>+$C39</f>
        <v>KPI D1</v>
      </c>
      <c r="LU39" s="144" t="str">
        <f>+$D39</f>
        <v>Delivery</v>
      </c>
      <c r="LV39" s="144" t="str">
        <f t="shared" si="131"/>
        <v>BOM Lead time</v>
      </c>
      <c r="LW39" s="145" t="str">
        <f t="shared" si="132"/>
        <v>Days</v>
      </c>
      <c r="LX39" s="145" t="s">
        <v>285</v>
      </c>
      <c r="LY39" s="223" t="str">
        <f>IFERROR(AVERAGE($HJ39:HJ39),"")</f>
        <v/>
      </c>
      <c r="LZ39" s="223">
        <f>IFERROR(IF(LAD$7&gt;$D$3,"",AVERAGE($HJ39:HK39)),"")</f>
        <v>5</v>
      </c>
      <c r="MA39" s="223">
        <f>IFERROR(IF(MA$7&gt;$D$3,"",AVERAGE($HJ39:HL39)),"")</f>
        <v>5</v>
      </c>
      <c r="MB39" s="223">
        <f>IFERROR(IF(MB$7&gt;$D$3,"",AVERAGE($HJ39:HM39)),"")</f>
        <v>5</v>
      </c>
      <c r="MC39" s="223">
        <f>IFERROR(IF(MC$7&gt;$D$3,"",AVERAGE($HJ39:HN39)),"")</f>
        <v>5</v>
      </c>
      <c r="MD39" s="223">
        <f>IFERROR(IF(MD$7&gt;$D$3,"",AVERAGE($HJ39:HO39)),"")</f>
        <v>5</v>
      </c>
      <c r="ME39" s="223">
        <f>IFERROR(IF(ME$7&gt;$D$3,"",AVERAGE($HJ39:HP39)),"")</f>
        <v>5</v>
      </c>
      <c r="MF39" s="223">
        <f>IFERROR(IF(MF$7&gt;$D$3,"",AVERAGE($HJ39:HQ39)),"")</f>
        <v>5</v>
      </c>
      <c r="MG39" s="223">
        <f>IFERROR(IF(MG$7&gt;$D$3,"",AVERAGE($HJ39:HR39)),"")</f>
        <v>5</v>
      </c>
      <c r="MH39" s="223">
        <f>IFERROR(IF(MH$7&gt;$D$3,"",AVERAGE($HJ39:HS39)),"")</f>
        <v>5</v>
      </c>
      <c r="MI39" s="223">
        <f>IFERROR(IF(MI$7&gt;$D$3,"",AVERAGE($HJ39:HT39)),"")</f>
        <v>5</v>
      </c>
      <c r="MJ39" s="223">
        <f>IFERROR(IF(MJ$7&gt;$D$3,"",AVERAGE($HJ39:HU39)),"")</f>
        <v>5</v>
      </c>
      <c r="MK39" s="223">
        <f>IFERROR(IF(MK$7&gt;$D$3,"",AVERAGE($HJ39:HV39)),"")</f>
        <v>5</v>
      </c>
      <c r="ML39" s="223">
        <f>IFERROR(IF(ML$7&gt;$D$3,"",AVERAGE($HJ39:HW39)),"")</f>
        <v>5</v>
      </c>
      <c r="MM39" s="223">
        <f>IFERROR(IF(MM$7&gt;$D$3,"",AVERAGE($HJ39:HX39)),"")</f>
        <v>5</v>
      </c>
      <c r="MN39" s="223">
        <f>IFERROR(IF(MN$7&gt;$D$3,"",AVERAGE($HJ39:HY39)),"")</f>
        <v>5</v>
      </c>
      <c r="MO39" s="223">
        <f>IFERROR(IF(MO$7&gt;$D$3,"",AVERAGE($HJ39:HZ39)),"")</f>
        <v>5</v>
      </c>
      <c r="MP39" s="223">
        <f>IFERROR(IF(MP$7&gt;$D$3,"",AVERAGE($HJ39:IA39)),"")</f>
        <v>5</v>
      </c>
      <c r="MQ39" s="223">
        <f>IFERROR(IF(MQ$7&gt;$D$3,"",AVERAGE($HJ39:IB39)),"")</f>
        <v>5</v>
      </c>
      <c r="MR39" s="223">
        <f>IFERROR(IF(MR$7&gt;$D$3,"",AVERAGE($HJ39:IC39)),"")</f>
        <v>5</v>
      </c>
      <c r="MS39" s="223">
        <f>IFERROR(IF(MS$7&gt;$D$3,"",AVERAGE($HJ39:ID39)),"")</f>
        <v>5</v>
      </c>
      <c r="MT39" s="223">
        <f>IFERROR(IF(MT$7&gt;$D$3,"",AVERAGE($HJ39:IE39)),"")</f>
        <v>5</v>
      </c>
      <c r="MU39" s="223">
        <f>IFERROR(IF(MU$7&gt;$D$3,"",AVERAGE($HJ39:IF39)),"")</f>
        <v>5</v>
      </c>
      <c r="MV39" s="223">
        <f>IFERROR(IF(MV$7&gt;$D$3,"",AVERAGE($HJ39:IG39)),"")</f>
        <v>5</v>
      </c>
      <c r="MW39" s="223">
        <f>IFERROR(IF(MW$7&gt;$D$3,"",AVERAGE($HJ39:IH39)),"")</f>
        <v>5</v>
      </c>
      <c r="MX39" s="223">
        <f>IFERROR(IF(MX$7&gt;$D$3,"",AVERAGE($HJ39:II39)),"")</f>
        <v>5</v>
      </c>
      <c r="MY39" s="223">
        <f>IFERROR(IF(MY$7&gt;$D$3,"",AVERAGE($HJ39:IJ39)),"")</f>
        <v>5</v>
      </c>
      <c r="MZ39" s="223">
        <f>IFERROR(IF(MZ$7&gt;$D$3,"",AVERAGE($HJ39:IK39)),"")</f>
        <v>5</v>
      </c>
      <c r="NA39" s="223">
        <f>IFERROR(IF(NA$7&gt;$D$3,"",AVERAGE($HJ39:IL39)),"")</f>
        <v>5</v>
      </c>
      <c r="NB39" s="223">
        <f>IFERROR(IF(NB$7&gt;$D$3,"",AVERAGE($HJ39:IM39)),"")</f>
        <v>5</v>
      </c>
      <c r="NC39" s="223">
        <f>IFERROR(IF(NC$7&gt;$D$3,"",AVERAGE($HJ39:IN39)),"")</f>
        <v>5</v>
      </c>
      <c r="ND39" s="223">
        <f>IFERROR(IF(ND$7&gt;$D$3,"",AVERAGE($HJ39:IO39)),"")</f>
        <v>5</v>
      </c>
      <c r="NE39" s="223">
        <f>IFERROR(IF(NE$7&gt;$D$3,"",AVERAGE($HJ39:IP39)),"")</f>
        <v>5</v>
      </c>
      <c r="NF39" s="223">
        <f>IFERROR(IF(NF$7&gt;$D$3,"",AVERAGE($HJ39:IQ39)),"")</f>
        <v>5</v>
      </c>
      <c r="NG39" s="223">
        <f>IFERROR(IF(NG$7&gt;$D$3,"",AVERAGE($HJ39:IR39)),"")</f>
        <v>5</v>
      </c>
      <c r="NH39" s="223">
        <f>IFERROR(IF(NH$7&gt;$D$3,"",AVERAGE($HJ39:IS39)),"")</f>
        <v>5</v>
      </c>
      <c r="NI39" s="223">
        <f>IFERROR(IF(NI$7&gt;$D$3,"",AVERAGE($HJ39:IT39)),"")</f>
        <v>5</v>
      </c>
      <c r="NJ39" s="223">
        <f>IFERROR(IF(NJ$7&gt;$D$3,"",AVERAGE($HJ39:IU39)),"")</f>
        <v>5</v>
      </c>
      <c r="NK39" s="223">
        <f>IFERROR(IF(NK$7&gt;$D$3,"",AVERAGE($HJ39:IV39)),"")</f>
        <v>5</v>
      </c>
      <c r="NL39" s="223">
        <f>IFERROR(IF(NL$7&gt;$D$3,"",AVERAGE($HJ39:IW39)),"")</f>
        <v>5</v>
      </c>
      <c r="NM39" s="223">
        <f>IFERROR(IF(NM$7&gt;$D$3,"",AVERAGE($HJ39:IX39)),"")</f>
        <v>5</v>
      </c>
      <c r="NN39" s="223">
        <f>IFERROR(IF(NN$7&gt;$D$3,"",AVERAGE($HJ39:IY39)),"")</f>
        <v>5</v>
      </c>
      <c r="NO39" s="223" t="str">
        <f>IFERROR(IF(NO$7&gt;$D$3,"",AVERAGE($HJ39:IZ39)),"")</f>
        <v/>
      </c>
      <c r="NP39" s="223" t="str">
        <f>IFERROR(IF(NP$7&gt;$D$3,"",AVERAGE($HJ39:JA39)),"")</f>
        <v/>
      </c>
      <c r="NQ39" s="223" t="str">
        <f>IFERROR(IF(NQ$7&gt;$D$3,"",AVERAGE($HJ39:JB39)),"")</f>
        <v/>
      </c>
      <c r="NR39" s="223" t="str">
        <f>IFERROR(IF(NR$7&gt;$D$3,"",AVERAGE($HJ39:JC39)),"")</f>
        <v/>
      </c>
      <c r="NS39" s="223" t="str">
        <f>IFERROR(IF(NS$7&gt;$D$3,"",AVERAGE($HJ39:JD39)),"")</f>
        <v/>
      </c>
      <c r="NT39" s="223" t="str">
        <f>IFERROR(IF(NT$7&gt;$D$3,"",AVERAGE($HJ39:JE39)),"")</f>
        <v/>
      </c>
      <c r="NU39" s="223" t="str">
        <f>IFERROR(IF(NU$7&gt;$D$3,"",AVERAGE($HJ39:JF39)),"")</f>
        <v/>
      </c>
      <c r="NV39" s="223" t="str">
        <f>IFERROR(IF(NV$7&gt;$D$3,"",AVERAGE($HJ39:JG39)),"")</f>
        <v/>
      </c>
      <c r="NW39" s="223" t="str">
        <f>IFERROR(IF(NW$7&gt;$D$3,"",AVERAGE($HJ39:JH39)),"")</f>
        <v/>
      </c>
      <c r="NX39" s="223" t="str">
        <f>IFERROR(IF(NX$7&gt;$D$3,"",AVERAGE($HJ39:JI39)),"")</f>
        <v/>
      </c>
      <c r="NY39" s="223" t="str">
        <f>IFERROR(IF(NY$7&gt;$D$3,"",AVERAGE($HJ39:JJ39)),"")</f>
        <v/>
      </c>
    </row>
    <row r="40" spans="1:389" x14ac:dyDescent="0.3">
      <c r="A40" t="str">
        <f>$B$37&amp;"-"&amp;C40</f>
        <v>Product Eng - MB-KPI D2</v>
      </c>
      <c r="B40" s="918">
        <f>+'KPI Stats'!B45</f>
        <v>0</v>
      </c>
      <c r="C40" s="136" t="str">
        <f>+'KPI Stats'!C45</f>
        <v>KPI D2</v>
      </c>
      <c r="D40" s="144" t="str">
        <f>+'KPI Stats'!D45</f>
        <v>Delivery</v>
      </c>
      <c r="E40" s="144" t="str">
        <f>+'KPI Stats'!E45</f>
        <v>Lead Time for full order conversion</v>
      </c>
      <c r="F40" s="145" t="str">
        <f>+'KPI Stats'!F45</f>
        <v>Days</v>
      </c>
      <c r="G40" s="169" t="str">
        <f>+'KPI Stats'!G45</f>
        <v>Over</v>
      </c>
      <c r="J40" s="69" t="str">
        <f>_xlfn.XLOOKUP(J$7,$AM$7:$CM$7,$AM40:$CM40,,FALSE)</f>
        <v>OD</v>
      </c>
      <c r="K40" s="264">
        <f>_xlfn.XLOOKUP(K$7,$FC$7:$HC$7,$FC40:$HC40,,FALSE)</f>
        <v>0</v>
      </c>
      <c r="L40" s="278">
        <f>_xlfn.XLOOKUP(L$7,$HJ$7:$JJ$7,$HJ40:$JJ40,,FALSE)</f>
        <v>10</v>
      </c>
      <c r="M40" s="285" t="str">
        <f>_xlfn.XLOOKUP(M$7,$CU$7:$EU$7,$CU40:$EU40,,FALSE)</f>
        <v>OD</v>
      </c>
      <c r="P40" s="69" t="str">
        <f>_xlfn.XLOOKUP(P$7,$AM$7:$CM$7,$AM40:$CM40,,FALSE)</f>
        <v>OD</v>
      </c>
      <c r="Q40" s="264">
        <f t="shared" si="135"/>
        <v>0</v>
      </c>
      <c r="R40" s="278">
        <f t="shared" si="135"/>
        <v>12</v>
      </c>
      <c r="S40" s="301" t="str">
        <f t="shared" si="136"/>
        <v>OD</v>
      </c>
      <c r="T40" s="302">
        <f t="shared" si="136"/>
        <v>0.83333333333333337</v>
      </c>
      <c r="U40" s="295" t="str">
        <f>IF(F37&lt;$R$2,"Not Complete",IF(Q40=R40,"Same −",IF($G40="Over",IF(Q40&lt;R40,"Better ↑","Worse ↓"),IF($G40="Under",IF(Q40&gt;R40,"Better ↑","Worse ↓"),"err"))))</f>
        <v>Better ↑</v>
      </c>
      <c r="X40" s="69" t="str">
        <f t="shared" si="137"/>
        <v>R</v>
      </c>
      <c r="Y40" s="114">
        <f>_xlfn.XLOOKUP(Y$7,$JR$7:$LR$7,$JR40:$LR40,FALSE)</f>
        <v>12.414634146341463</v>
      </c>
      <c r="Z40" s="114">
        <f>_xlfn.XLOOKUP(Z$7,$LY$7:$NY$7,$LY40:$NY40,FALSE)</f>
        <v>10</v>
      </c>
      <c r="AA40" s="254">
        <f>IF(G40="under",Y40/Z40,IF(G40="over",Z40/Y40,"err"))</f>
        <v>0.80550098231827116</v>
      </c>
      <c r="AB40" s="295" t="str">
        <f>IF(F37&lt;$R$2,"TBC",IF(Y40=Z40,"Same −",IF($G40="Over",IF(Z40&lt;Y40,"Better ↑ ","Worse ↓ "),IF($G40="Under",IF(Y40&gt;Z40,"Better ↑ ","Worse ↓ "),"err"))))</f>
        <v xml:space="preserve">Better ↑ </v>
      </c>
      <c r="AC40" s="69" t="str">
        <f>IF(AND(G40="above adero",AD40&gt;0),"R",IF(AF40&gt;1,"G",IF(AF40&gt;0.95,"A","R")))</f>
        <v>R</v>
      </c>
      <c r="AD40" s="114">
        <f>_xlfn.XLOOKUP(AD$7,$JR$7:$LR$7,$JR40:$LR40,FALSE)</f>
        <v>12.725</v>
      </c>
      <c r="AE40" s="114">
        <f>_xlfn.XLOOKUP(AE$7,$LY$7:$NY$7,$LY40:$NY40,FALSE)</f>
        <v>10</v>
      </c>
      <c r="AF40" s="254">
        <f>IF(G40="under",AD40/AE40,IF(G40="over",AE40/AD40,"err"))</f>
        <v>0.78585461689587432</v>
      </c>
      <c r="AH40" s="465" t="str">
        <f>+$A40</f>
        <v>Product Eng - MB-KPI D2</v>
      </c>
      <c r="AI40" s="136" t="str">
        <f t="shared" si="138"/>
        <v>KPI D2</v>
      </c>
      <c r="AJ40" s="144" t="str">
        <f t="shared" si="138"/>
        <v>Delivery</v>
      </c>
      <c r="AK40" s="144" t="str">
        <f t="shared" si="114"/>
        <v>Lead Time for full order conversion</v>
      </c>
      <c r="AL40" s="145" t="str">
        <f t="shared" si="114"/>
        <v>Days</v>
      </c>
      <c r="AM40" s="69" t="str">
        <f>IF(AM$7&gt;$D$3,"",_xlfn.XLOOKUP(AM$7,'Product Eng - MB'!$M$6:$BM$6,'Product Eng - MB'!$M$16:$BM$16))</f>
        <v>Blank</v>
      </c>
      <c r="AN40" s="199" t="str">
        <f>IF(AN$7&gt;$D$3,"",_xlfn.XLOOKUP(AN$7,'Product Eng - MB'!$M$6:$BM$6,'Product Eng - MB'!$M$16:$BM$16))</f>
        <v>R</v>
      </c>
      <c r="AO40" s="69" t="str">
        <f>IF(AO$7&gt;$D$3,"",_xlfn.XLOOKUP(AO$7,'Product Eng - MB'!$M$6:$BM$6,'Product Eng - MB'!$M$16:$BM$16))</f>
        <v>R</v>
      </c>
      <c r="AP40" s="69" t="str">
        <f>IF(AP$7&gt;$D$3,"",_xlfn.XLOOKUP(AP$7,'Product Eng - MB'!$M$6:$BM$6,'Product Eng - MB'!$M$16:$BM$16))</f>
        <v>R</v>
      </c>
      <c r="AQ40" s="69" t="str">
        <f>IF(AQ$7&gt;$D$3,"",_xlfn.XLOOKUP(AQ$7,'Product Eng - MB'!$M$6:$BM$6,'Product Eng - MB'!$M$16:$BM$16))</f>
        <v>R</v>
      </c>
      <c r="AR40" s="69" t="str">
        <f>IF(AR$7&gt;$D$3,"",_xlfn.XLOOKUP(AR$7,'Product Eng - MB'!$M$6:$BM$6,'Product Eng - MB'!$M$16:$BM$16))</f>
        <v>R</v>
      </c>
      <c r="AS40" s="69" t="str">
        <f>IF(AS$7&gt;$D$3,"",_xlfn.XLOOKUP(AS$7,'Product Eng - MB'!$M$6:$BM$6,'Product Eng - MB'!$M$16:$BM$16))</f>
        <v>G</v>
      </c>
      <c r="AT40" s="69" t="str">
        <f>IF(AT$7&gt;$D$3,"",_xlfn.XLOOKUP(AT$7,'Product Eng - MB'!$M$6:$BM$6,'Product Eng - MB'!$M$16:$BM$16))</f>
        <v>G</v>
      </c>
      <c r="AU40" s="69" t="str">
        <f>IF(AU$7&gt;$D$3,"",_xlfn.XLOOKUP(AU$7,'Product Eng - MB'!$M$6:$BM$6,'Product Eng - MB'!$M$16:$BM$16))</f>
        <v>G</v>
      </c>
      <c r="AV40" s="69" t="str">
        <f>IF(AV$7&gt;$D$3,"",_xlfn.XLOOKUP(AV$7,'Product Eng - MB'!$M$6:$BM$6,'Product Eng - MB'!$M$16:$BM$16))</f>
        <v>R</v>
      </c>
      <c r="AW40" s="69" t="str">
        <f>IF(AW$7&gt;$D$3,"",_xlfn.XLOOKUP(AW$7,'Product Eng - MB'!$M$6:$BM$6,'Product Eng - MB'!$M$16:$BM$16))</f>
        <v>G</v>
      </c>
      <c r="AX40" s="69" t="str">
        <f>IF(AX$7&gt;$D$3,"",_xlfn.XLOOKUP(AX$7,'Product Eng - MB'!$M$6:$BM$6,'Product Eng - MB'!$M$16:$BM$16))</f>
        <v>G</v>
      </c>
      <c r="AY40" s="69" t="str">
        <f>IF(AY$7&gt;$D$3,"",_xlfn.XLOOKUP(AY$7,'Product Eng - MB'!$M$6:$BM$6,'Product Eng - MB'!$M$16:$BM$16))</f>
        <v>R</v>
      </c>
      <c r="AZ40" s="69" t="str">
        <f>IF(AZ$7&gt;$D$3,"",_xlfn.XLOOKUP(AZ$7,'Product Eng - MB'!$M$6:$BM$6,'Product Eng - MB'!$M$16:$BM$16))</f>
        <v>R</v>
      </c>
      <c r="BA40" s="69" t="str">
        <f>IF(BA$7&gt;$D$3,"",_xlfn.XLOOKUP(BA$7,'Product Eng - MB'!$M$6:$BM$6,'Product Eng - MB'!$M$16:$BM$16))</f>
        <v>R</v>
      </c>
      <c r="BB40" s="69" t="str">
        <f>IF(BB$7&gt;$D$3,"",_xlfn.XLOOKUP(BB$7,'Product Eng - MB'!$M$6:$BM$6,'Product Eng - MB'!$M$16:$BM$16))</f>
        <v>R</v>
      </c>
      <c r="BC40" s="69" t="str">
        <f>IF(BC$7&gt;$D$3,"",_xlfn.XLOOKUP(BC$7,'Product Eng - MB'!$M$6:$BM$6,'Product Eng - MB'!$M$16:$BM$16))</f>
        <v>R</v>
      </c>
      <c r="BD40" s="69" t="str">
        <f>IF(BD$7&gt;$D$3,"",_xlfn.XLOOKUP(BD$7,'Product Eng - MB'!$M$6:$BM$6,'Product Eng - MB'!$M$16:$BM$16))</f>
        <v>R</v>
      </c>
      <c r="BE40" s="69" t="str">
        <f>IF(BE$7&gt;$D$3,"",_xlfn.XLOOKUP(BE$7,'Product Eng - MB'!$M$6:$BM$6,'Product Eng - MB'!$M$16:$BM$16))</f>
        <v>G</v>
      </c>
      <c r="BF40" s="69" t="str">
        <f>IF(BF$7&gt;$D$3,"",_xlfn.XLOOKUP(BF$7,'Product Eng - MB'!$M$6:$BM$6,'Product Eng - MB'!$M$16:$BM$16))</f>
        <v>G</v>
      </c>
      <c r="BG40" s="69" t="str">
        <f>IF(BG$7&gt;$D$3,"",_xlfn.XLOOKUP(BG$7,'Product Eng - MB'!$M$6:$BM$6,'Product Eng - MB'!$M$16:$BM$16))</f>
        <v>R</v>
      </c>
      <c r="BH40" s="69" t="str">
        <f>IF(BH$7&gt;$D$3,"",_xlfn.XLOOKUP(BH$7,'Product Eng - MB'!$M$6:$BM$6,'Product Eng - MB'!$M$16:$BM$16))</f>
        <v>R</v>
      </c>
      <c r="BI40" s="69" t="str">
        <f>IF(BI$7&gt;$D$3,"",_xlfn.XLOOKUP(BI$7,'Product Eng - MB'!$M$6:$BM$6,'Product Eng - MB'!$M$16:$BM$16))</f>
        <v>G</v>
      </c>
      <c r="BJ40" s="69" t="str">
        <f>IF(BJ$7&gt;$D$3,"",_xlfn.XLOOKUP(BJ$7,'Product Eng - MB'!$M$6:$BM$6,'Product Eng - MB'!$M$16:$BM$16))</f>
        <v>G</v>
      </c>
      <c r="BK40" s="69" t="str">
        <f>IF(BK$7&gt;$D$3,"",_xlfn.XLOOKUP(BK$7,'Product Eng - MB'!$M$6:$BM$6,'Product Eng - MB'!$M$16:$BM$16))</f>
        <v>G</v>
      </c>
      <c r="BL40" s="69" t="str">
        <f>IF(BL$7&gt;$D$3,"",_xlfn.XLOOKUP(BL$7,'Product Eng - MB'!$M$6:$BM$6,'Product Eng - MB'!$M$16:$BM$16))</f>
        <v>G</v>
      </c>
      <c r="BM40" s="69" t="str">
        <f>IF(BM$7&gt;$D$3,"",_xlfn.XLOOKUP(BM$7,'Product Eng - MB'!$M$6:$BM$6,'Product Eng - MB'!$M$16:$BM$16))</f>
        <v>R</v>
      </c>
      <c r="BN40" s="69" t="str">
        <f>IF(BN$7&gt;$D$3,"",_xlfn.XLOOKUP(BN$7,'Product Eng - MB'!$M$6:$BM$6,'Product Eng - MB'!$M$16:$BM$16))</f>
        <v>R</v>
      </c>
      <c r="BO40" s="69" t="str">
        <f>IF(BO$7&gt;$D$3,"",_xlfn.XLOOKUP(BO$7,'Product Eng - MB'!$M$6:$BM$6,'Product Eng - MB'!$M$16:$BM$16))</f>
        <v>R</v>
      </c>
      <c r="BP40" s="69" t="str">
        <f>IF(BP$7&gt;$D$3,"",_xlfn.XLOOKUP(BP$7,'Product Eng - MB'!$M$6:$BM$6,'Product Eng - MB'!$M$16:$BM$16))</f>
        <v>G</v>
      </c>
      <c r="BQ40" s="69" t="str">
        <f>IF(BQ$7&gt;$D$3,"",_xlfn.XLOOKUP(BQ$7,'Product Eng - MB'!$M$6:$BM$6,'Product Eng - MB'!$M$16:$BM$16))</f>
        <v>G</v>
      </c>
      <c r="BR40" s="69" t="str">
        <f>IF(BR$7&gt;$D$3,"",_xlfn.XLOOKUP(BR$7,'Product Eng - MB'!$M$6:$BM$6,'Product Eng - MB'!$M$16:$BM$16))</f>
        <v>R</v>
      </c>
      <c r="BS40" s="69" t="str">
        <f>IF(BS$7&gt;$D$3,"",_xlfn.XLOOKUP(BS$7,'Product Eng - MB'!$M$6:$BM$6,'Product Eng - MB'!$M$16:$BM$16))</f>
        <v>R</v>
      </c>
      <c r="BT40" s="69" t="str">
        <f>IF(BT$7&gt;$D$3,"",_xlfn.XLOOKUP(BT$7,'Product Eng - MB'!$M$6:$BM$6,'Product Eng - MB'!$M$16:$BM$16))</f>
        <v>R</v>
      </c>
      <c r="BU40" s="69" t="str">
        <f>IF(BU$7&gt;$D$3,"",_xlfn.XLOOKUP(BU$7,'Product Eng - MB'!$M$6:$BM$6,'Product Eng - MB'!$M$16:$BM$16))</f>
        <v>R</v>
      </c>
      <c r="BV40" s="69" t="str">
        <f>IF(BV$7&gt;$D$3,"",_xlfn.XLOOKUP(BV$7,'Product Eng - MB'!$M$6:$BM$6,'Product Eng - MB'!$M$16:$BM$16))</f>
        <v>G</v>
      </c>
      <c r="BW40" s="69" t="str">
        <f>IF(BW$7&gt;$D$3,"",_xlfn.XLOOKUP(BW$7,'Product Eng - MB'!$M$6:$BM$6,'Product Eng - MB'!$M$16:$BM$16))</f>
        <v>G</v>
      </c>
      <c r="BX40" s="69" t="str">
        <f>IF(BX$7&gt;$D$3,"",_xlfn.XLOOKUP(BX$7,'Product Eng - MB'!$M$6:$BM$6,'Product Eng - MB'!$M$16:$BM$16))</f>
        <v>G</v>
      </c>
      <c r="BY40" s="69" t="str">
        <f>IF(BY$7&gt;$D$3,"",_xlfn.XLOOKUP(BY$7,'Product Eng - MB'!$M$6:$BM$6,'Product Eng - MB'!$M$16:$BM$16))</f>
        <v>R</v>
      </c>
      <c r="BZ40" s="69" t="str">
        <f>IF(BZ$7&gt;$D$3,"",_xlfn.XLOOKUP(BZ$7,'Product Eng - MB'!$M$6:$BM$6,'Product Eng - MB'!$M$16:$BM$16))</f>
        <v>R</v>
      </c>
      <c r="CA40" s="69" t="str">
        <f>IF(CA$7&gt;$D$3,"",_xlfn.XLOOKUP(CA$7,'Product Eng - MB'!$M$6:$BM$6,'Product Eng - MB'!$M$16:$BM$16))</f>
        <v>R</v>
      </c>
      <c r="CB40" s="69" t="str">
        <f>IF(CB$7&gt;$D$3,"",_xlfn.XLOOKUP(CB$7,'Product Eng - MB'!$M$6:$BM$6,'Product Eng - MB'!$M$16:$BM$16))</f>
        <v>OD</v>
      </c>
      <c r="CC40" s="69" t="str">
        <f>IF(CC$7&gt;$D$3,"",_xlfn.XLOOKUP(CC$7,'Product Eng - MB'!$M$6:$BM$6,'Product Eng - MB'!$M$16:$BM$16))</f>
        <v/>
      </c>
      <c r="CD40" s="69" t="str">
        <f>IF(CD$7&gt;$D$3,"",_xlfn.XLOOKUP(CD$7,'Product Eng - MB'!$M$6:$BM$6,'Product Eng - MB'!$M$16:$BM$16))</f>
        <v/>
      </c>
      <c r="CE40" s="69" t="str">
        <f>IF(CE$7&gt;$D$3,"",_xlfn.XLOOKUP(CE$7,'Product Eng - MB'!$M$6:$BM$6,'Product Eng - MB'!$M$16:$BM$16))</f>
        <v/>
      </c>
      <c r="CF40" s="69" t="str">
        <f>IF(CF$7&gt;$D$3,"",_xlfn.XLOOKUP(CF$7,'Product Eng - MB'!$M$6:$BM$6,'Product Eng - MB'!$M$16:$BM$16))</f>
        <v/>
      </c>
      <c r="CG40" s="69" t="str">
        <f>IF(CG$7&gt;$D$3,"",_xlfn.XLOOKUP(CG$7,'Product Eng - MB'!$M$6:$BM$6,'Product Eng - MB'!$M$16:$BM$16))</f>
        <v/>
      </c>
      <c r="CH40" s="69" t="str">
        <f>IF(CH$7&gt;$D$3,"",_xlfn.XLOOKUP(CH$7,'Product Eng - MB'!$M$6:$BM$6,'Product Eng - MB'!$M$16:$BM$16))</f>
        <v/>
      </c>
      <c r="CI40" s="69" t="str">
        <f>IF(CI$7&gt;$D$3,"",_xlfn.XLOOKUP(CI$7,'Product Eng - MB'!$M$6:$BM$6,'Product Eng - MB'!$M$16:$BM$16))</f>
        <v/>
      </c>
      <c r="CJ40" s="69" t="str">
        <f>IF(CJ$7&gt;$D$3,"",_xlfn.XLOOKUP(CJ$7,'Product Eng - MB'!$M$6:$BM$6,'Product Eng - MB'!$M$16:$BM$16))</f>
        <v/>
      </c>
      <c r="CK40" s="69" t="str">
        <f>IF(CK$7&gt;$D$3,"",_xlfn.XLOOKUP(CK$7,'Product Eng - MB'!$M$6:$BM$6,'Product Eng - MB'!$M$16:$BM$16))</f>
        <v/>
      </c>
      <c r="CL40" s="69" t="str">
        <f>IF(CL$7&gt;$D$3,"",_xlfn.XLOOKUP(CL$7,'Product Eng - MB'!$M$6:$BM$6,'Product Eng - MB'!$M$16:$BM$16))</f>
        <v/>
      </c>
      <c r="CM40" s="69" t="str">
        <f>IF(CM$7&gt;$D$3,"",_xlfn.XLOOKUP(CM$7,'Product Eng - MB'!$M$6:$BM$6,'Product Eng - MB'!$M$16:$BM$16))</f>
        <v/>
      </c>
      <c r="CO40" s="465" t="str">
        <f>+$A40</f>
        <v>Product Eng - MB-KPI D2</v>
      </c>
      <c r="CP40" s="136" t="str">
        <f t="shared" si="139"/>
        <v>KPI D2</v>
      </c>
      <c r="CQ40" s="144" t="str">
        <f t="shared" si="139"/>
        <v>Delivery</v>
      </c>
      <c r="CR40" s="144" t="str">
        <f t="shared" si="139"/>
        <v>Lead Time for full order conversion</v>
      </c>
      <c r="CS40" s="145" t="str">
        <f t="shared" si="139"/>
        <v>Days</v>
      </c>
      <c r="CT40" s="207" t="s">
        <v>246</v>
      </c>
      <c r="CU40" s="69" t="str">
        <f>IF(CU$7&gt;$D$3,"",_xlfn.XLOOKUP(CU$7,'Product Eng - MB'!$M$6:$BM$6,'Product Eng - MB'!$M$16:$BM$16))</f>
        <v>Blank</v>
      </c>
      <c r="CV40" s="323">
        <f>IFERROR(IF(CV$7&gt;$D$3,"",IF(AN40="OD","OD",IF(AN40="Missed","Missed",IF(AN40="TBC","TBC",IF(AN40="Undefined","Undefined",_xlfn.XLOOKUP(CV$7,'Product Eng - MB'!$M$6:$BM$6,'Product Eng - MB'!$M$14:$BM$14)/_xlfn.XLOOKUP(CV$7,'Product Eng - MB'!$M$6:$BM$6,'Product Eng - MB'!$M$15:$BM$15)))))),"")</f>
        <v>0.37037037037037035</v>
      </c>
      <c r="CW40" s="315">
        <f>IFERROR(IF(CW$7&gt;$D$3,"",IF(AO40="OD","OD",IF(AO40="Missed","Missed",IF(AO40="TBC","TBC",IF(AO40="Undefined","Undefined",_xlfn.XLOOKUP(CW$7,'Product Eng - MB'!$M$6:$BM$6,'Product Eng - MB'!$M$14:$BM$14)/_xlfn.XLOOKUP(CW$7,'Product Eng - MB'!$M$6:$BM$6,'Product Eng - MB'!$M$15:$BM$15)))))),"")</f>
        <v>0.33333333333333331</v>
      </c>
      <c r="CX40" s="315">
        <f>IFERROR(IF(CX$7&gt;$D$3,"",IF(AP40="OD","OD",IF(AP40="Missed","Missed",IF(AP40="TBC","TBC",IF(AP40="Undefined","Undefined",_xlfn.XLOOKUP(CX$7,'Product Eng - MB'!$M$6:$BM$6,'Product Eng - MB'!$M$14:$BM$14)/_xlfn.XLOOKUP(CX$7,'Product Eng - MB'!$M$6:$BM$6,'Product Eng - MB'!$M$15:$BM$15)))))),"")</f>
        <v>0.45454545454545453</v>
      </c>
      <c r="CY40" s="315">
        <f>IFERROR(IF(CY$7&gt;$D$3,"",IF(AQ40="OD","OD",IF(AQ40="Missed","Missed",IF(AQ40="TBC","TBC",IF(AQ40="Undefined","Undefined",_xlfn.XLOOKUP(CY$7,'Product Eng - MB'!$M$6:$BM$6,'Product Eng - MB'!$M$14:$BM$14)/_xlfn.XLOOKUP(CY$7,'Product Eng - MB'!$M$6:$BM$6,'Product Eng - MB'!$M$15:$BM$15)))))),"")</f>
        <v>0.47619047619047616</v>
      </c>
      <c r="CZ40" s="315">
        <f>IFERROR(IF(CZ$7&gt;$D$3,"",IF(AR40="OD","OD",IF(AR40="Missed","Missed",IF(AR40="TBC","TBC",IF(AR40="Undefined","Undefined",_xlfn.XLOOKUP(CZ$7,'Product Eng - MB'!$M$6:$BM$6,'Product Eng - MB'!$M$14:$BM$14)/_xlfn.XLOOKUP(CZ$7,'Product Eng - MB'!$M$6:$BM$6,'Product Eng - MB'!$M$15:$BM$15)))))),"")</f>
        <v>0.76923076923076927</v>
      </c>
      <c r="DA40" s="315">
        <f>IFERROR(IF(DA$7&gt;$D$3,"",IF(AS40="OD","OD",IF(AS40="Missed","Missed",IF(AS40="TBC","TBC",IF(AS40="Undefined","Undefined",_xlfn.XLOOKUP(DA$7,'Product Eng - MB'!$M$6:$BM$6,'Product Eng - MB'!$M$14:$BM$14)/_xlfn.XLOOKUP(DA$7,'Product Eng - MB'!$M$6:$BM$6,'Product Eng - MB'!$M$15:$BM$15)))))),"")</f>
        <v>1.1111111111111112</v>
      </c>
      <c r="DB40" s="315">
        <f>IFERROR(IF(DB$7&gt;$D$3,"",IF(AT40="OD","OD",IF(AT40="Missed","Missed",IF(AT40="TBC","TBC",IF(AT40="Undefined","Undefined",_xlfn.XLOOKUP(DB$7,'Product Eng - MB'!$M$6:$BM$6,'Product Eng - MB'!$M$14:$BM$14)/_xlfn.XLOOKUP(DB$7,'Product Eng - MB'!$M$6:$BM$6,'Product Eng - MB'!$M$15:$BM$15)))))),"")</f>
        <v>1.25</v>
      </c>
      <c r="DC40" s="315">
        <f>IFERROR(IF(DC$7&gt;$D$3,"",IF(AU40="OD","OD",IF(AU40="Missed","Missed",IF(AU40="TBC","TBC",IF(AU40="Undefined","Undefined",_xlfn.XLOOKUP(DC$7,'Product Eng - MB'!$M$6:$BM$6,'Product Eng - MB'!$M$14:$BM$14)/_xlfn.XLOOKUP(DC$7,'Product Eng - MB'!$M$6:$BM$6,'Product Eng - MB'!$M$15:$BM$15)))))),"")</f>
        <v>1.1111111111111112</v>
      </c>
      <c r="DD40" s="315">
        <f>IFERROR(IF(DD$7&gt;$D$3,"",IF(AV40="OD","OD",IF(AV40="Missed","Missed",IF(AV40="TBC","TBC",IF(AV40="Undefined","Undefined",_xlfn.XLOOKUP(DD$7,'Product Eng - MB'!$M$6:$BM$6,'Product Eng - MB'!$M$14:$BM$14)/_xlfn.XLOOKUP(DD$7,'Product Eng - MB'!$M$6:$BM$6,'Product Eng - MB'!$M$15:$BM$15)))))),"")</f>
        <v>0.90909090909090906</v>
      </c>
      <c r="DE40" s="315">
        <f>IFERROR(IF(DE$7&gt;$D$3,"",IF(AW40="OD","OD",IF(AW40="Missed","Missed",IF(AW40="TBC","TBC",IF(AW40="Undefined","Undefined",_xlfn.XLOOKUP(DE$7,'Product Eng - MB'!$M$6:$BM$6,'Product Eng - MB'!$M$14:$BM$14)/_xlfn.XLOOKUP(DE$7,'Product Eng - MB'!$M$6:$BM$6,'Product Eng - MB'!$M$15:$BM$15)))))),"")</f>
        <v>1</v>
      </c>
      <c r="DF40" s="315">
        <f>IFERROR(IF(DF$7&gt;$D$3,"",IF(AX40="OD","OD",IF(AX40="Missed","Missed",IF(AX40="TBC","TBC",IF(AX40="Undefined","Undefined",_xlfn.XLOOKUP(DF$7,'Product Eng - MB'!$M$6:$BM$6,'Product Eng - MB'!$M$14:$BM$14)/_xlfn.XLOOKUP(DF$7,'Product Eng - MB'!$M$6:$BM$6,'Product Eng - MB'!$M$15:$BM$15)))))),"")</f>
        <v>2.5</v>
      </c>
      <c r="DG40" s="315">
        <f>IFERROR(IF(DG$7&gt;$D$3,"",IF(AY40="OD","OD",IF(AY40="Missed","Missed",IF(AY40="TBC","TBC",IF(AY40="Undefined","Undefined",_xlfn.XLOOKUP(DG$7,'Product Eng - MB'!$M$6:$BM$6,'Product Eng - MB'!$M$14:$BM$14)/_xlfn.XLOOKUP(DG$7,'Product Eng - MB'!$M$6:$BM$6,'Product Eng - MB'!$M$15:$BM$15)))))),"")</f>
        <v>0.90909090909090906</v>
      </c>
      <c r="DH40" s="315">
        <f>IFERROR(IF(DH$7&gt;$D$3,"",IF(AZ40="OD","OD",IF(AZ40="Missed","Missed",IF(AZ40="TBC","TBC",IF(AZ40="Undefined","Undefined",_xlfn.XLOOKUP(DH$7,'Product Eng - MB'!$M$6:$BM$6,'Product Eng - MB'!$M$14:$BM$14)/_xlfn.XLOOKUP(DH$7,'Product Eng - MB'!$M$6:$BM$6,'Product Eng - MB'!$M$15:$BM$15)))))),"")</f>
        <v>0.90909090909090906</v>
      </c>
      <c r="DI40" s="315">
        <f>IFERROR(IF(DI$7&gt;$D$3,"",IF(BA40="OD","OD",IF(BA40="Missed","Missed",IF(BA40="TBC","TBC",IF(BA40="Undefined","Undefined",_xlfn.XLOOKUP(DI$7,'Product Eng - MB'!$M$6:$BM$6,'Product Eng - MB'!$M$14:$BM$14)/_xlfn.XLOOKUP(DI$7,'Product Eng - MB'!$M$6:$BM$6,'Product Eng - MB'!$M$15:$BM$15)))))),"")</f>
        <v>0.66666666666666663</v>
      </c>
      <c r="DJ40" s="315">
        <f>IFERROR(IF(DJ$7&gt;$D$3,"",IF(BB40="OD","OD",IF(BB40="Missed","Missed",IF(BB40="TBC","TBC",IF(BB40="Undefined","Undefined",_xlfn.XLOOKUP(DJ$7,'Product Eng - MB'!$M$6:$BM$6,'Product Eng - MB'!$M$14:$BM$14)/_xlfn.XLOOKUP(DJ$7,'Product Eng - MB'!$M$6:$BM$6,'Product Eng - MB'!$M$15:$BM$15)))))),"")</f>
        <v>0.625</v>
      </c>
      <c r="DK40" s="315">
        <f>IFERROR(IF(DK$7&gt;$D$3,"",IF(BC40="OD","OD",IF(BC40="Missed","Missed",IF(BC40="TBC","TBC",IF(BC40="Undefined","Undefined",_xlfn.XLOOKUP(DK$7,'Product Eng - MB'!$M$6:$BM$6,'Product Eng - MB'!$M$14:$BM$14)/_xlfn.XLOOKUP(DK$7,'Product Eng - MB'!$M$6:$BM$6,'Product Eng - MB'!$M$15:$BM$15)))))),"")</f>
        <v>0.625</v>
      </c>
      <c r="DL40" s="315">
        <f>IFERROR(IF(DL$7&gt;$D$3,"",IF(BD40="OD","OD",IF(BD40="Missed","Missed",IF(BD40="TBC","TBC",IF(BD40="Undefined","Undefined",_xlfn.XLOOKUP(DL$7,'Product Eng - MB'!$M$6:$BM$6,'Product Eng - MB'!$M$14:$BM$14)/_xlfn.XLOOKUP(DL$7,'Product Eng - MB'!$M$6:$BM$6,'Product Eng - MB'!$M$15:$BM$15)))))),"")</f>
        <v>0.76923076923076927</v>
      </c>
      <c r="DM40" s="315">
        <f>IFERROR(IF(DM$7&gt;$D$3,"",IF(BE40="OD","OD",IF(BE40="Missed","Missed",IF(BE40="TBC","TBC",IF(BE40="Undefined","Undefined",_xlfn.XLOOKUP(DM$7,'Product Eng - MB'!$M$6:$BM$6,'Product Eng - MB'!$M$14:$BM$14)/_xlfn.XLOOKUP(DM$7,'Product Eng - MB'!$M$6:$BM$6,'Product Eng - MB'!$M$15:$BM$15)))))),"")</f>
        <v>1.4285714285714286</v>
      </c>
      <c r="DN40" s="315">
        <f>IFERROR(IF(DN$7&gt;$D$3,"",IF(BF40="OD","OD",IF(BF40="Missed","Missed",IF(BF40="TBC","TBC",IF(BF40="Undefined","Undefined",_xlfn.XLOOKUP(DN$7,'Product Eng - MB'!$M$6:$BM$6,'Product Eng - MB'!$M$14:$BM$14)/_xlfn.XLOOKUP(DN$7,'Product Eng - MB'!$M$6:$BM$6,'Product Eng - MB'!$M$15:$BM$15)))))),"")</f>
        <v>1.1111111111111112</v>
      </c>
      <c r="DO40" s="315">
        <f>IFERROR(IF(DO$7&gt;$D$3,"",IF(BG40="OD","OD",IF(BG40="Missed","Missed",IF(BG40="TBC","TBC",IF(BG40="Undefined","Undefined",_xlfn.XLOOKUP(DO$7,'Product Eng - MB'!$M$6:$BM$6,'Product Eng - MB'!$M$14:$BM$14)/_xlfn.XLOOKUP(DO$7,'Product Eng - MB'!$M$6:$BM$6,'Product Eng - MB'!$M$15:$BM$15)))))),"")</f>
        <v>0.90909090909090906</v>
      </c>
      <c r="DP40" s="315">
        <f>IFERROR(IF(DP$7&gt;$D$3,"",IF(BH40="OD","OD",IF(BH40="Missed","Missed",IF(BH40="TBC","TBC",IF(BH40="Undefined","Undefined",_xlfn.XLOOKUP(DP$7,'Product Eng - MB'!$M$6:$BM$6,'Product Eng - MB'!$M$14:$BM$14)/_xlfn.XLOOKUP(DP$7,'Product Eng - MB'!$M$6:$BM$6,'Product Eng - MB'!$M$15:$BM$15)))))),"")</f>
        <v>0.76923076923076927</v>
      </c>
      <c r="DQ40" s="315">
        <f>IFERROR(IF(DQ$7&gt;$D$3,"",IF(BI40="OD","OD",IF(BI40="Missed","Missed",IF(BI40="TBC","TBC",IF(BI40="Undefined","Undefined",_xlfn.XLOOKUP(DQ$7,'Product Eng - MB'!$M$6:$BM$6,'Product Eng - MB'!$M$14:$BM$14)/_xlfn.XLOOKUP(DQ$7,'Product Eng - MB'!$M$6:$BM$6,'Product Eng - MB'!$M$15:$BM$15)))))),"")</f>
        <v>1.25</v>
      </c>
      <c r="DR40" s="315">
        <f>IFERROR(IF(DR$7&gt;$D$3,"",IF(BJ40="OD","OD",IF(BJ40="Missed","Missed",IF(BJ40="TBC","TBC",IF(BJ40="Undefined","Undefined",_xlfn.XLOOKUP(DR$7,'Product Eng - MB'!$M$6:$BM$6,'Product Eng - MB'!$M$14:$BM$14)/_xlfn.XLOOKUP(DR$7,'Product Eng - MB'!$M$6:$BM$6,'Product Eng - MB'!$M$15:$BM$15)))))),"")</f>
        <v>1.1111111111111112</v>
      </c>
      <c r="DS40" s="315">
        <f>IFERROR(IF(DS$7&gt;$D$3,"",IF(BK40="OD","OD",IF(BK40="Missed","Missed",IF(BK40="TBC","TBC",IF(BK40="Undefined","Undefined",_xlfn.XLOOKUP(DS$7,'Product Eng - MB'!$M$6:$BM$6,'Product Eng - MB'!$M$14:$BM$14)/_xlfn.XLOOKUP(DS$7,'Product Eng - MB'!$M$6:$BM$6,'Product Eng - MB'!$M$15:$BM$15)))))),"")</f>
        <v>1.1111111111111112</v>
      </c>
      <c r="DT40" s="315">
        <f>IFERROR(IF(DT$7&gt;$D$3,"",IF(BL40="OD","OD",IF(BL40="Missed","Missed",IF(BL40="TBC","TBC",IF(BL40="Undefined","Undefined",_xlfn.XLOOKUP(DT$7,'Product Eng - MB'!$M$6:$BM$6,'Product Eng - MB'!$M$14:$BM$14)/_xlfn.XLOOKUP(DT$7,'Product Eng - MB'!$M$6:$BM$6,'Product Eng - MB'!$M$15:$BM$15)))))),"")</f>
        <v>1</v>
      </c>
      <c r="DU40" s="315">
        <f>IFERROR(IF(DU$7&gt;$D$3,"",IF(BM40="OD","OD",IF(BM40="Missed","Missed",IF(BM40="TBC","TBC",IF(BM40="Undefined","Undefined",_xlfn.XLOOKUP(DU$7,'Product Eng - MB'!$M$6:$BM$6,'Product Eng - MB'!$M$14:$BM$14)/_xlfn.XLOOKUP(DU$7,'Product Eng - MB'!$M$6:$BM$6,'Product Eng - MB'!$M$15:$BM$15)))))),"")</f>
        <v>0.90909090909090906</v>
      </c>
      <c r="DV40" s="315">
        <f>IFERROR(IF(DV$7&gt;$D$3,"",IF(BN40="OD","OD",IF(BN40="Missed","Missed",IF(BN40="TBC","TBC",IF(BN40="Undefined","Undefined",_xlfn.XLOOKUP(DV$7,'Product Eng - MB'!$M$6:$BM$6,'Product Eng - MB'!$M$14:$BM$14)/_xlfn.XLOOKUP(DV$7,'Product Eng - MB'!$M$6:$BM$6,'Product Eng - MB'!$M$15:$BM$15)))))),"")</f>
        <v>0.625</v>
      </c>
      <c r="DW40" s="315">
        <f>IFERROR(IF(DW$7&gt;$D$3,"",IF(BO40="OD","OD",IF(BO40="Missed","Missed",IF(BO40="TBC","TBC",IF(BO40="Undefined","Undefined",_xlfn.XLOOKUP(DW$7,'Product Eng - MB'!$M$6:$BM$6,'Product Eng - MB'!$M$14:$BM$14)/_xlfn.XLOOKUP(DW$7,'Product Eng - MB'!$M$6:$BM$6,'Product Eng - MB'!$M$15:$BM$15)))))),"")</f>
        <v>0.58823529411764708</v>
      </c>
      <c r="DX40" s="315">
        <f>IFERROR(IF(DX$7&gt;$D$3,"",IF(BP40="OD","OD",IF(BP40="Missed","Missed",IF(BP40="TBC","TBC",IF(BP40="Undefined","Undefined",_xlfn.XLOOKUP(DX$7,'Product Eng - MB'!$M$6:$BM$6,'Product Eng - MB'!$M$14:$BM$14)/_xlfn.XLOOKUP(DX$7,'Product Eng - MB'!$M$6:$BM$6,'Product Eng - MB'!$M$15:$BM$15)))))),"")</f>
        <v>1</v>
      </c>
      <c r="DY40" s="315">
        <f>IFERROR(IF(DY$7&gt;$D$3,"",IF(BQ40="OD","OD",IF(BQ40="Missed","Missed",IF(BQ40="TBC","TBC",IF(BQ40="Undefined","Undefined",_xlfn.XLOOKUP(DY$7,'Product Eng - MB'!$M$6:$BM$6,'Product Eng - MB'!$M$14:$BM$14)/_xlfn.XLOOKUP(DY$7,'Product Eng - MB'!$M$6:$BM$6,'Product Eng - MB'!$M$15:$BM$15)))))),"")</f>
        <v>1.1111111111111112</v>
      </c>
      <c r="DZ40" s="315">
        <f>IFERROR(IF(DZ$7&gt;$D$3,"",IF(BR40="OD","OD",IF(BR40="Missed","Missed",IF(BR40="TBC","TBC",IF(BR40="Undefined","Undefined",_xlfn.XLOOKUP(DZ$7,'Product Eng - MB'!$M$6:$BM$6,'Product Eng - MB'!$M$14:$BM$14)/_xlfn.XLOOKUP(DZ$7,'Product Eng - MB'!$M$6:$BM$6,'Product Eng - MB'!$M$15:$BM$15)))))),"")</f>
        <v>0.76923076923076927</v>
      </c>
      <c r="EA40" s="315">
        <f>IFERROR(IF(EA$7&gt;$D$3,"",IF(BS40="OD","OD",IF(BS40="Missed","Missed",IF(BS40="TBC","TBC",IF(BS40="Undefined","Undefined",_xlfn.XLOOKUP(EA$7,'Product Eng - MB'!$M$6:$BM$6,'Product Eng - MB'!$M$14:$BM$14)/_xlfn.XLOOKUP(EA$7,'Product Eng - MB'!$M$6:$BM$6,'Product Eng - MB'!$M$15:$BM$15)))))),"")</f>
        <v>0.90909090909090906</v>
      </c>
      <c r="EB40" s="315">
        <f>IFERROR(IF(EB$7&gt;$D$3,"",IF(BT40="OD","OD",IF(BT40="Missed","Missed",IF(BT40="TBC","TBC",IF(BT40="Undefined","Undefined",_xlfn.XLOOKUP(EB$7,'Product Eng - MB'!$M$6:$BM$6,'Product Eng - MB'!$M$14:$BM$14)/_xlfn.XLOOKUP(EB$7,'Product Eng - MB'!$M$6:$BM$6,'Product Eng - MB'!$M$15:$BM$15)))))),"")</f>
        <v>0.76923076923076927</v>
      </c>
      <c r="EC40" s="315">
        <f>IFERROR(IF(EC$7&gt;$D$3,"",IF(BU40="OD","OD",IF(BU40="Missed","Missed",IF(BU40="TBC","TBC",IF(BU40="Undefined","Undefined",_xlfn.XLOOKUP(EC$7,'Product Eng - MB'!$M$6:$BM$6,'Product Eng - MB'!$M$14:$BM$14)/_xlfn.XLOOKUP(EC$7,'Product Eng - MB'!$M$6:$BM$6,'Product Eng - MB'!$M$15:$BM$15)))))),"")</f>
        <v>0.83333333333333337</v>
      </c>
      <c r="ED40" s="315">
        <f>IFERROR(IF(ED$7&gt;$D$3,"",IF(BV40="OD","OD",IF(BV40="Missed","Missed",IF(BV40="TBC","TBC",IF(BV40="Undefined","Undefined",_xlfn.XLOOKUP(ED$7,'Product Eng - MB'!$M$6:$BM$6,'Product Eng - MB'!$M$14:$BM$14)/_xlfn.XLOOKUP(ED$7,'Product Eng - MB'!$M$6:$BM$6,'Product Eng - MB'!$M$15:$BM$15)))))),"")</f>
        <v>1.1111111111111112</v>
      </c>
      <c r="EE40" s="315">
        <f>IFERROR(IF(EE$7&gt;$D$3,"",IF(BW40="OD","OD",IF(BW40="Missed","Missed",IF(BW40="TBC","TBC",IF(BW40="Undefined","Undefined",_xlfn.XLOOKUP(EE$7,'Product Eng - MB'!$M$6:$BM$6,'Product Eng - MB'!$M$14:$BM$14)/_xlfn.XLOOKUP(EE$7,'Product Eng - MB'!$M$6:$BM$6,'Product Eng - MB'!$M$15:$BM$15)))))),"")</f>
        <v>1.25</v>
      </c>
      <c r="EF40" s="315">
        <f>IFERROR(IF(EF$7&gt;$D$3,"",IF(BX40="OD","OD",IF(BX40="Missed","Missed",IF(BX40="TBC","TBC",IF(BX40="Undefined","Undefined",_xlfn.XLOOKUP(EF$7,'Product Eng - MB'!$M$6:$BM$6,'Product Eng - MB'!$M$14:$BM$14)/_xlfn.XLOOKUP(EF$7,'Product Eng - MB'!$M$6:$BM$6,'Product Eng - MB'!$M$15:$BM$15)))))),"")</f>
        <v>1.6666666666666667</v>
      </c>
      <c r="EG40" s="315">
        <f>IFERROR(IF(EG$7&gt;$D$3,"",IF(BY40="OD","OD",IF(BY40="Missed","Missed",IF(BY40="TBC","TBC",IF(BY40="Undefined","Undefined",_xlfn.XLOOKUP(EG$7,'Product Eng - MB'!$M$6:$BM$6,'Product Eng - MB'!$M$14:$BM$14)/_xlfn.XLOOKUP(EG$7,'Product Eng - MB'!$M$6:$BM$6,'Product Eng - MB'!$M$15:$BM$15)))))),"")</f>
        <v>0.7142857142857143</v>
      </c>
      <c r="EH40" s="315">
        <f>IFERROR(IF(EH$7&gt;$D$3,"",IF(BZ40="OD","OD",IF(BZ40="Missed","Missed",IF(BZ40="TBC","TBC",IF(BZ40="Undefined","Undefined",_xlfn.XLOOKUP(EH$7,'Product Eng - MB'!$M$6:$BM$6,'Product Eng - MB'!$M$14:$BM$14)/_xlfn.XLOOKUP(EH$7,'Product Eng - MB'!$M$6:$BM$6,'Product Eng - MB'!$M$15:$BM$15)))))),"")</f>
        <v>0.38461538461538464</v>
      </c>
      <c r="EI40" s="315">
        <f>IFERROR(IF(EI$7&gt;$D$3,"",IF(CA40="OD","OD",IF(CA40="Missed","Missed",IF(CA40="TBC","TBC",IF(CA40="Undefined","Undefined",_xlfn.XLOOKUP(EI$7,'Product Eng - MB'!$M$6:$BM$6,'Product Eng - MB'!$M$14:$BM$14)/_xlfn.XLOOKUP(EI$7,'Product Eng - MB'!$M$6:$BM$6,'Product Eng - MB'!$M$15:$BM$15)))))),"")</f>
        <v>0.83333333333333337</v>
      </c>
      <c r="EJ40" s="315" t="str">
        <f>IFERROR(IF(EJ$7&gt;$D$3,"",IF(CB40="OD","OD",IF(CB40="Missed","Missed",IF(CB40="TBC","TBC",IF(CB40="Undefined","Undefined",_xlfn.XLOOKUP(EJ$7,'Product Eng - MB'!$M$6:$BM$6,'Product Eng - MB'!$M$14:$BM$14)/_xlfn.XLOOKUP(EJ$7,'Product Eng - MB'!$M$6:$BM$6,'Product Eng - MB'!$M$15:$BM$15)))))),"")</f>
        <v>OD</v>
      </c>
      <c r="EK40" s="315" t="str">
        <f>IFERROR(IF(EK$7&gt;$D$3,"",IF(CC40="OD","OD",IF(CC40="Missed","Missed",IF(CC40="TBC","TBC",IF(CC40="Undefined","Undefined",_xlfn.XLOOKUP(EK$7,'Product Eng - MB'!$M$6:$BM$6,'Product Eng - MB'!$M$14:$BM$14)/_xlfn.XLOOKUP(EK$7,'Product Eng - MB'!$M$6:$BM$6,'Product Eng - MB'!$M$15:$BM$15)))))),"")</f>
        <v/>
      </c>
      <c r="EL40" s="315" t="str">
        <f>IFERROR(IF(EL$7&gt;$D$3,"",IF(CD40="OD","OD",IF(CD40="Missed","Missed",IF(CD40="TBC","TBC",IF(CD40="Undefined","Undefined",_xlfn.XLOOKUP(EL$7,'Product Eng - MB'!$M$6:$BM$6,'Product Eng - MB'!$M$14:$BM$14)/_xlfn.XLOOKUP(EL$7,'Product Eng - MB'!$M$6:$BM$6,'Product Eng - MB'!$M$15:$BM$15)))))),"")</f>
        <v/>
      </c>
      <c r="EM40" s="315" t="str">
        <f>IFERROR(IF(EM$7&gt;$D$3,"",IF(CE40="OD","OD",IF(CE40="Missed","Missed",IF(CE40="TBC","TBC",IF(CE40="Undefined","Undefined",_xlfn.XLOOKUP(EM$7,'Product Eng - MB'!$M$6:$BM$6,'Product Eng - MB'!$M$14:$BM$14)/_xlfn.XLOOKUP(EM$7,'Product Eng - MB'!$M$6:$BM$6,'Product Eng - MB'!$M$15:$BM$15)))))),"")</f>
        <v/>
      </c>
      <c r="EN40" s="315" t="str">
        <f>IFERROR(IF(EN$7&gt;$D$3,"",IF(CF40="OD","OD",IF(CF40="Missed","Missed",IF(CF40="TBC","TBC",IF(CF40="Undefined","Undefined",_xlfn.XLOOKUP(EN$7,'Product Eng - MB'!$M$6:$BM$6,'Product Eng - MB'!$M$14:$BM$14)/_xlfn.XLOOKUP(EN$7,'Product Eng - MB'!$M$6:$BM$6,'Product Eng - MB'!$M$15:$BM$15)))))),"")</f>
        <v/>
      </c>
      <c r="EO40" s="315" t="str">
        <f>IFERROR(IF(EO$7&gt;$D$3,"",IF(CG40="OD","OD",IF(CG40="Missed","Missed",IF(CG40="TBC","TBC",IF(CG40="Undefined","Undefined",_xlfn.XLOOKUP(EO$7,'Product Eng - MB'!$M$6:$BM$6,'Product Eng - MB'!$M$14:$BM$14)/_xlfn.XLOOKUP(EO$7,'Product Eng - MB'!$M$6:$BM$6,'Product Eng - MB'!$M$15:$BM$15)))))),"")</f>
        <v/>
      </c>
      <c r="EP40" s="315" t="str">
        <f>IFERROR(IF(EP$7&gt;$D$3,"",IF(CH40="OD","OD",IF(CH40="Missed","Missed",IF(CH40="TBC","TBC",IF(CH40="Undefined","Undefined",_xlfn.XLOOKUP(EP$7,'Product Eng - MB'!$M$6:$BM$6,'Product Eng - MB'!$M$14:$BM$14)/_xlfn.XLOOKUP(EP$7,'Product Eng - MB'!$M$6:$BM$6,'Product Eng - MB'!$M$15:$BM$15)))))),"")</f>
        <v/>
      </c>
      <c r="EQ40" s="315" t="str">
        <f>IFERROR(IF(EQ$7&gt;$D$3,"",IF(CI40="OD","OD",IF(CI40="Missed","Missed",IF(CI40="TBC","TBC",IF(CI40="Undefined","Undefined",_xlfn.XLOOKUP(EQ$7,'Product Eng - MB'!$M$6:$BM$6,'Product Eng - MB'!$M$14:$BM$14)/_xlfn.XLOOKUP(EQ$7,'Product Eng - MB'!$M$6:$BM$6,'Product Eng - MB'!$M$15:$BM$15)))))),"")</f>
        <v/>
      </c>
      <c r="ER40" s="315" t="str">
        <f>IFERROR(IF(ER$7&gt;$D$3,"",IF(CJ40="OD","OD",IF(CJ40="Missed","Missed",IF(CJ40="TBC","TBC",IF(CJ40="Undefined","Undefined",_xlfn.XLOOKUP(ER$7,'Product Eng - MB'!$M$6:$BM$6,'Product Eng - MB'!$M$14:$BM$14)/_xlfn.XLOOKUP(ER$7,'Product Eng - MB'!$M$6:$BM$6,'Product Eng - MB'!$M$15:$BM$15)))))),"")</f>
        <v/>
      </c>
      <c r="ES40" s="315" t="str">
        <f>IFERROR(IF(ES$7&gt;$D$3,"",IF(CK40="OD","OD",IF(CK40="Missed","Missed",IF(CK40="TBC","TBC",IF(CK40="Undefined","Undefined",_xlfn.XLOOKUP(ES$7,'Product Eng - MB'!$M$6:$BM$6,'Product Eng - MB'!$M$14:$BM$14)/_xlfn.XLOOKUP(ES$7,'Product Eng - MB'!$M$6:$BM$6,'Product Eng - MB'!$M$15:$BM$15)))))),"")</f>
        <v/>
      </c>
      <c r="ET40" s="315" t="str">
        <f>IFERROR(IF(ET$7&gt;$D$3,"",IF(CL40="OD","OD",IF(CL40="Missed","Missed",IF(CL40="TBC","TBC",IF(CL40="Undefined","Undefined",_xlfn.XLOOKUP(ET$7,'Product Eng - MB'!$M$6:$BM$6,'Product Eng - MB'!$M$14:$BM$14)/_xlfn.XLOOKUP(ET$7,'Product Eng - MB'!$M$6:$BM$6,'Product Eng - MB'!$M$15:$BM$15)))))),"")</f>
        <v/>
      </c>
      <c r="EU40" s="315" t="str">
        <f>IFERROR(IF(EU$7&gt;$D$3,"",IF(CM40="OD","OD",IF(CM40="Missed","Missed",IF(CM40="TBC","TBC",IF(CM40="Undefined","Undefined",_xlfn.XLOOKUP(EU$7,'Product Eng - MB'!$M$6:$BM$6,'Product Eng - MB'!$M$14:$BM$14)/_xlfn.XLOOKUP(EU$7,'Product Eng - MB'!$M$6:$BM$6,'Product Eng - MB'!$M$15:$BM$15)))))),"")</f>
        <v/>
      </c>
      <c r="EW40" s="465" t="str">
        <f>+$A40</f>
        <v>Product Eng - MB-KPI D2</v>
      </c>
      <c r="EX40" s="136" t="str">
        <f>+$C40</f>
        <v>KPI D2</v>
      </c>
      <c r="EY40" s="144" t="str">
        <f>+$D40</f>
        <v>Delivery</v>
      </c>
      <c r="EZ40" s="144" t="str">
        <f t="shared" si="118"/>
        <v>Lead Time for full order conversion</v>
      </c>
      <c r="FA40" s="145" t="str">
        <f t="shared" si="119"/>
        <v>Days</v>
      </c>
      <c r="FB40" s="145" t="s">
        <v>251</v>
      </c>
      <c r="FC40" s="223" t="str">
        <f>IF(FC$7&gt;$D$3,"",IF($FA37&lt;FC$7,"OD",_xlfn.XLOOKUP(FC$7,'Product Eng - MB'!$M$6:$BM$6,'Product Eng - MB'!$M$15:$BM$15)))</f>
        <v>Blank</v>
      </c>
      <c r="FD40" s="223">
        <f>IF(FD$7&gt;$D$3,"",IF($FA37&lt;FD$7,"OD",_xlfn.XLOOKUP(FD$7,'Product Eng - MB'!$M$6:$BM$6,'Product Eng - MB'!$M$15:$BM$15)))</f>
        <v>27</v>
      </c>
      <c r="FE40" s="223">
        <f>IF(FE$7&gt;$D$3,"",IF($FA37&lt;FE$7,"OD",_xlfn.XLOOKUP(FE$7,'Product Eng - MB'!$M$6:$BM$6,'Product Eng - MB'!$M$15:$BM$15)))</f>
        <v>30</v>
      </c>
      <c r="FF40" s="223">
        <f>IF(FF$7&gt;$D$3,"",IF($FA37&lt;FF$7,"OD",_xlfn.XLOOKUP(FF$7,'Product Eng - MB'!$M$6:$BM$6,'Product Eng - MB'!$M$15:$BM$15)))</f>
        <v>22</v>
      </c>
      <c r="FG40" s="223">
        <f>IF(FG$7&gt;$D$3,"",IF($FA37&lt;FG$7,"OD",_xlfn.XLOOKUP(FG$7,'Product Eng - MB'!$M$6:$BM$6,'Product Eng - MB'!$M$15:$BM$15)))</f>
        <v>21</v>
      </c>
      <c r="FH40" s="223">
        <f>IF(FH$7&gt;$D$3,"",IF($FA37&lt;FH$7,"OD",_xlfn.XLOOKUP(FH$7,'Product Eng - MB'!$M$6:$BM$6,'Product Eng - MB'!$M$15:$BM$15)))</f>
        <v>13</v>
      </c>
      <c r="FI40" s="223">
        <f>IF(FI$7&gt;$D$3,"",IF($FA37&lt;FI$7,"OD",_xlfn.XLOOKUP(FI$7,'Product Eng - MB'!$M$6:$BM$6,'Product Eng - MB'!$M$15:$BM$15)))</f>
        <v>9</v>
      </c>
      <c r="FJ40" s="223">
        <f>IF(FJ$7&gt;$D$3,"",IF($FA37&lt;FJ$7,"OD",_xlfn.XLOOKUP(FJ$7,'Product Eng - MB'!$M$6:$BM$6,'Product Eng - MB'!$M$15:$BM$15)))</f>
        <v>8</v>
      </c>
      <c r="FK40" s="223">
        <f>IF(FK$7&gt;$D$3,"",IF($FA37&lt;FK$7,"OD",_xlfn.XLOOKUP(FK$7,'Product Eng - MB'!$M$6:$BM$6,'Product Eng - MB'!$M$15:$BM$15)))</f>
        <v>9</v>
      </c>
      <c r="FL40" s="223">
        <f>IF(FL$7&gt;$D$3,"",IF($FA37&lt;FL$7,"OD",_xlfn.XLOOKUP(FL$7,'Product Eng - MB'!$M$6:$BM$6,'Product Eng - MB'!$M$15:$BM$15)))</f>
        <v>11</v>
      </c>
      <c r="FM40" s="223">
        <f>IF(FM$7&gt;$D$3,"",IF($FA37&lt;FM$7,"OD",_xlfn.XLOOKUP(FM$7,'Product Eng - MB'!$M$6:$BM$6,'Product Eng - MB'!$M$15:$BM$15)))</f>
        <v>10</v>
      </c>
      <c r="FN40" s="223">
        <f>IF(FN$7&gt;$D$3,"",IF($FA37&lt;FN$7,"OD",_xlfn.XLOOKUP(FN$7,'Product Eng - MB'!$M$6:$BM$6,'Product Eng - MB'!$M$15:$BM$15)))</f>
        <v>4</v>
      </c>
      <c r="FO40" s="223">
        <f>IF(FO$7&gt;$D$3,"",IF($FA37&lt;FO$7,"OD",_xlfn.XLOOKUP(FO$7,'Product Eng - MB'!$M$6:$BM$6,'Product Eng - MB'!$M$15:$BM$15)))</f>
        <v>11</v>
      </c>
      <c r="FP40" s="223">
        <f>IF(FP$7&gt;$D$3,"",IF($FA37&lt;FP$7,"OD",_xlfn.XLOOKUP(FP$7,'Product Eng - MB'!$M$6:$BM$6,'Product Eng - MB'!$M$15:$BM$15)))</f>
        <v>11</v>
      </c>
      <c r="FQ40" s="223">
        <f>IF(FQ$7&gt;$D$3,"",IF($FA37&lt;FQ$7,"OD",_xlfn.XLOOKUP(FQ$7,'Product Eng - MB'!$M$6:$BM$6,'Product Eng - MB'!$M$15:$BM$15)))</f>
        <v>15</v>
      </c>
      <c r="FR40" s="223">
        <f>IF(FR$7&gt;$D$3,"",IF($FA37&lt;FR$7,"OD",_xlfn.XLOOKUP(FR$7,'Product Eng - MB'!$M$6:$BM$6,'Product Eng - MB'!$M$15:$BM$15)))</f>
        <v>16</v>
      </c>
      <c r="FS40" s="223">
        <f>IF(FS$7&gt;$D$3,"",IF($FA37&lt;FS$7,"OD",_xlfn.XLOOKUP(FS$7,'Product Eng - MB'!$M$6:$BM$6,'Product Eng - MB'!$M$15:$BM$15)))</f>
        <v>16</v>
      </c>
      <c r="FT40" s="223">
        <f>IF(FT$7&gt;$D$3,"",IF($FA37&lt;FT$7,"OD",_xlfn.XLOOKUP(FT$7,'Product Eng - MB'!$M$6:$BM$6,'Product Eng - MB'!$M$15:$BM$15)))</f>
        <v>13</v>
      </c>
      <c r="FU40" s="223">
        <f>IF(FU$7&gt;$D$3,"",IF($FA37&lt;FU$7,"OD",_xlfn.XLOOKUP(FU$7,'Product Eng - MB'!$M$6:$BM$6,'Product Eng - MB'!$M$15:$BM$15)))</f>
        <v>7</v>
      </c>
      <c r="FV40" s="223">
        <f>IF(FV$7&gt;$D$3,"",IF($FA37&lt;FV$7,"OD",_xlfn.XLOOKUP(FV$7,'Product Eng - MB'!$M$6:$BM$6,'Product Eng - MB'!$M$15:$BM$15)))</f>
        <v>9</v>
      </c>
      <c r="FW40" s="223">
        <f>IF(FW$7&gt;$D$3,"",IF($FA37&lt;FW$7,"OD",_xlfn.XLOOKUP(FW$7,'Product Eng - MB'!$M$6:$BM$6,'Product Eng - MB'!$M$15:$BM$15)))</f>
        <v>11</v>
      </c>
      <c r="FX40" s="223">
        <f>IF(FX$7&gt;$D$3,"",IF($FA37&lt;FX$7,"OD",_xlfn.XLOOKUP(FX$7,'Product Eng - MB'!$M$6:$BM$6,'Product Eng - MB'!$M$15:$BM$15)))</f>
        <v>13</v>
      </c>
      <c r="FY40" s="223">
        <f>IF(FY$7&gt;$D$3,"",IF($FA37&lt;FY$7,"OD",_xlfn.XLOOKUP(FY$7,'Product Eng - MB'!$M$6:$BM$6,'Product Eng - MB'!$M$15:$BM$15)))</f>
        <v>8</v>
      </c>
      <c r="FZ40" s="223">
        <f>IF(FZ$7&gt;$D$3,"",IF($FA37&lt;FZ$7,"OD",_xlfn.XLOOKUP(FZ$7,'Product Eng - MB'!$M$6:$BM$6,'Product Eng - MB'!$M$15:$BM$15)))</f>
        <v>9</v>
      </c>
      <c r="GA40" s="223">
        <f>IF(GA$7&gt;$D$3,"",IF($FA37&lt;GA$7,"OD",_xlfn.XLOOKUP(GA$7,'Product Eng - MB'!$M$6:$BM$6,'Product Eng - MB'!$M$15:$BM$15)))</f>
        <v>9</v>
      </c>
      <c r="GB40" s="223">
        <f>IF(GB$7&gt;$D$3,"",IF($FA37&lt;GB$7,"OD",_xlfn.XLOOKUP(GB$7,'Product Eng - MB'!$M$6:$BM$6,'Product Eng - MB'!$M$15:$BM$15)))</f>
        <v>10</v>
      </c>
      <c r="GC40" s="223">
        <f>IF(GC$7&gt;$D$3,"",IF($FA37&lt;GC$7,"OD",_xlfn.XLOOKUP(GC$7,'Product Eng - MB'!$M$6:$BM$6,'Product Eng - MB'!$M$15:$BM$15)))</f>
        <v>11</v>
      </c>
      <c r="GD40" s="223">
        <f>IF(GD$7&gt;$D$3,"",IF($FA37&lt;GD$7,"OD",_xlfn.XLOOKUP(GD$7,'Product Eng - MB'!$M$6:$BM$6,'Product Eng - MB'!$M$15:$BM$15)))</f>
        <v>16</v>
      </c>
      <c r="GE40" s="223">
        <f>IF(GE$7&gt;$D$3,"",IF($FA37&lt;GE$7,"OD",_xlfn.XLOOKUP(GE$7,'Product Eng - MB'!$M$6:$BM$6,'Product Eng - MB'!$M$15:$BM$15)))</f>
        <v>17</v>
      </c>
      <c r="GF40" s="223">
        <f>IF(GF$7&gt;$D$3,"",IF($FA37&lt;GF$7,"OD",_xlfn.XLOOKUP(GF$7,'Product Eng - MB'!$M$6:$BM$6,'Product Eng - MB'!$M$15:$BM$15)))</f>
        <v>10</v>
      </c>
      <c r="GG40" s="223">
        <f>IF(GG$7&gt;$D$3,"",IF($FA37&lt;GG$7,"OD",_xlfn.XLOOKUP(GG$7,'Product Eng - MB'!$M$6:$BM$6,'Product Eng - MB'!$M$15:$BM$15)))</f>
        <v>9</v>
      </c>
      <c r="GH40" s="223">
        <f>IF(GH$7&gt;$D$3,"",IF($FA37&lt;GH$7,"OD",_xlfn.XLOOKUP(GH$7,'Product Eng - MB'!$M$6:$BM$6,'Product Eng - MB'!$M$15:$BM$15)))</f>
        <v>13</v>
      </c>
      <c r="GI40" s="223">
        <f>IF(GI$7&gt;$D$3,"",IF($FA37&lt;GI$7,"OD",_xlfn.XLOOKUP(GI$7,'Product Eng - MB'!$M$6:$BM$6,'Product Eng - MB'!$M$15:$BM$15)))</f>
        <v>11</v>
      </c>
      <c r="GJ40" s="223">
        <f>IF(GJ$7&gt;$D$3,"",IF($FA37&lt;GJ$7,"OD",_xlfn.XLOOKUP(GJ$7,'Product Eng - MB'!$M$6:$BM$6,'Product Eng - MB'!$M$15:$BM$15)))</f>
        <v>13</v>
      </c>
      <c r="GK40" s="223">
        <f>IF(GK$7&gt;$D$3,"",IF($FA37&lt;GK$7,"OD",_xlfn.XLOOKUP(GK$7,'Product Eng - MB'!$M$6:$BM$6,'Product Eng - MB'!$M$15:$BM$15)))</f>
        <v>12</v>
      </c>
      <c r="GL40" s="223">
        <f>IF(GL$7&gt;$D$3,"",IF($FA37&lt;GL$7,"OD",_xlfn.XLOOKUP(GL$7,'Product Eng - MB'!$M$6:$BM$6,'Product Eng - MB'!$M$15:$BM$15)))</f>
        <v>9</v>
      </c>
      <c r="GM40" s="223">
        <f>IF(GM$7&gt;$D$3,"",IF($FA37&lt;GM$7,"OD",_xlfn.XLOOKUP(GM$7,'Product Eng - MB'!$M$6:$BM$6,'Product Eng - MB'!$M$15:$BM$15)))</f>
        <v>8</v>
      </c>
      <c r="GN40" s="223">
        <f>IF(GN$7&gt;$D$3,"",IF($FA37&lt;GN$7,"OD",_xlfn.XLOOKUP(GN$7,'Product Eng - MB'!$M$6:$BM$6,'Product Eng - MB'!$M$15:$BM$15)))</f>
        <v>6</v>
      </c>
      <c r="GO40" s="223">
        <f>IF(GO$7&gt;$D$3,"",IF($FA37&lt;GO$7,"OD",_xlfn.XLOOKUP(GO$7,'Product Eng - MB'!$M$6:$BM$6,'Product Eng - MB'!$M$15:$BM$15)))</f>
        <v>14</v>
      </c>
      <c r="GP40" s="223">
        <f>IF(GP$7&gt;$D$3,"",IF($FA37&lt;GP$7,"OD",_xlfn.XLOOKUP(GP$7,'Product Eng - MB'!$M$6:$BM$6,'Product Eng - MB'!$M$15:$BM$15)))</f>
        <v>26</v>
      </c>
      <c r="GQ40" s="223">
        <f>IF(GQ$7&gt;$D$3,"",IF($FA37&lt;GQ$7,"OD",_xlfn.XLOOKUP(GQ$7,'Product Eng - MB'!$M$6:$BM$6,'Product Eng - MB'!$M$15:$BM$15)))</f>
        <v>12</v>
      </c>
      <c r="GR40" s="223">
        <f>IF(GR$7&gt;$D$3,"",IF($FA37&lt;GR$7,"OD",_xlfn.XLOOKUP(GR$7,'Product Eng - MB'!$M$6:$BM$6,'Product Eng - MB'!$M$15:$BM$15)))</f>
        <v>0</v>
      </c>
      <c r="GS40" s="223" t="str">
        <f>IF(GS$7&gt;$D$3,"",IF($FA37&lt;GS$7,"OD",_xlfn.XLOOKUP(GS$7,'Product Eng - MB'!$M$6:$BM$6,'Product Eng - MB'!$M$15:$BM$15)))</f>
        <v/>
      </c>
      <c r="GT40" s="223" t="str">
        <f>IF(GT$7&gt;$D$3,"",IF($FA37&lt;GT$7,"OD",_xlfn.XLOOKUP(GT$7,'Product Eng - MB'!$M$6:$BM$6,'Product Eng - MB'!$M$15:$BM$15)))</f>
        <v/>
      </c>
      <c r="GU40" s="223" t="str">
        <f>IF(GU$7&gt;$D$3,"",IF($FA37&lt;GU$7,"OD",_xlfn.XLOOKUP(GU$7,'Product Eng - MB'!$M$6:$BM$6,'Product Eng - MB'!$M$15:$BM$15)))</f>
        <v/>
      </c>
      <c r="GV40" s="223" t="str">
        <f>IF(GV$7&gt;$D$3,"",IF($FA37&lt;GV$7,"OD",_xlfn.XLOOKUP(GV$7,'Product Eng - MB'!$M$6:$BM$6,'Product Eng - MB'!$M$15:$BM$15)))</f>
        <v/>
      </c>
      <c r="GW40" s="223" t="str">
        <f>IF(GW$7&gt;$D$3,"",IF($FA37&lt;GW$7,"OD",_xlfn.XLOOKUP(GW$7,'Product Eng - MB'!$M$6:$BM$6,'Product Eng - MB'!$M$15:$BM$15)))</f>
        <v/>
      </c>
      <c r="GX40" s="223" t="str">
        <f>IF(GX$7&gt;$D$3,"",IF($FA37&lt;GX$7,"OD",_xlfn.XLOOKUP(GX$7,'Product Eng - MB'!$M$6:$BM$6,'Product Eng - MB'!$M$15:$BM$15)))</f>
        <v/>
      </c>
      <c r="GY40" s="223" t="str">
        <f>IF(GY$7&gt;$D$3,"",IF($FA37&lt;GY$7,"OD",_xlfn.XLOOKUP(GY$7,'Product Eng - MB'!$M$6:$BM$6,'Product Eng - MB'!$M$15:$BM$15)))</f>
        <v/>
      </c>
      <c r="GZ40" s="223" t="str">
        <f>IF(GZ$7&gt;$D$3,"",IF($FA37&lt;GZ$7,"OD",_xlfn.XLOOKUP(GZ$7,'Product Eng - MB'!$M$6:$BM$6,'Product Eng - MB'!$M$15:$BM$15)))</f>
        <v/>
      </c>
      <c r="HA40" s="223" t="str">
        <f>IF(HA$7&gt;$D$3,"",IF($FA37&lt;HA$7,"OD",_xlfn.XLOOKUP(HA$7,'Product Eng - MB'!$M$6:$BM$6,'Product Eng - MB'!$M$15:$BM$15)))</f>
        <v/>
      </c>
      <c r="HB40" s="223" t="str">
        <f>IF(HB$7&gt;$D$3,"",IF($FA37&lt;HB$7,"OD",_xlfn.XLOOKUP(HB$7,'Product Eng - MB'!$M$6:$BM$6,'Product Eng - MB'!$M$15:$BM$15)))</f>
        <v/>
      </c>
      <c r="HC40" s="223" t="str">
        <f>IF(HC$7&gt;$D$3,"",IF($FA37&lt;HC$7,"OD",_xlfn.XLOOKUP(HC$7,'Product Eng - MB'!$M$6:$BM$6,'Product Eng - MB'!$M$15:$BM$15)))</f>
        <v/>
      </c>
      <c r="HE40" s="136" t="str">
        <f>+$C40</f>
        <v>KPI D2</v>
      </c>
      <c r="HF40" s="144" t="str">
        <f>+$D40</f>
        <v>Delivery</v>
      </c>
      <c r="HG40" s="144" t="str">
        <f t="shared" si="122"/>
        <v>Lead Time for full order conversion</v>
      </c>
      <c r="HH40" s="145" t="str">
        <f t="shared" si="123"/>
        <v>Days</v>
      </c>
      <c r="HI40" s="145" t="s">
        <v>44</v>
      </c>
      <c r="HJ40" s="223" t="s">
        <v>122</v>
      </c>
      <c r="HK40" s="223">
        <f>IF(HK$7&gt;$D$3,"",IF($FA37&lt;HK$7,"OD",_xlfn.XLOOKUP(HK$7,'Product Eng - MB'!$M$6:$BM$6,'Product Eng - MB'!$M$14:$BM$14)))</f>
        <v>10</v>
      </c>
      <c r="HL40" s="223">
        <f>IF(HL$7&gt;$D$3,"",IF($FA37&lt;HL$7,"OD",_xlfn.XLOOKUP(HL$7,'Product Eng - MB'!$M$6:$BM$6,'Product Eng - MB'!$M$14:$BM$14)))</f>
        <v>10</v>
      </c>
      <c r="HM40" s="223">
        <f>IF(HM$7&gt;$D$3,"",IF($FA37&lt;HM$7,"OD",_xlfn.XLOOKUP(HM$7,'Product Eng - MB'!$M$6:$BM$6,'Product Eng - MB'!$M$14:$BM$14)))</f>
        <v>10</v>
      </c>
      <c r="HN40" s="223">
        <f>IF(HN$7&gt;$D$3,"",IF($FA37&lt;HN$7,"OD",_xlfn.XLOOKUP(HN$7,'Product Eng - MB'!$M$6:$BM$6,'Product Eng - MB'!$M$14:$BM$14)))</f>
        <v>10</v>
      </c>
      <c r="HO40" s="223">
        <f>IF(HO$7&gt;$D$3,"",IF($FA37&lt;HO$7,"OD",_xlfn.XLOOKUP(HO$7,'Product Eng - MB'!$M$6:$BM$6,'Product Eng - MB'!$M$14:$BM$14)))</f>
        <v>10</v>
      </c>
      <c r="HP40" s="223">
        <f>IF(HP$7&gt;$D$3,"",IF($FA37&lt;HP$7,"OD",_xlfn.XLOOKUP(HP$7,'Product Eng - MB'!$M$6:$BM$6,'Product Eng - MB'!$M$14:$BM$14)))</f>
        <v>10</v>
      </c>
      <c r="HQ40" s="223">
        <f>IF(HQ$7&gt;$D$3,"",IF($FA37&lt;HQ$7,"OD",_xlfn.XLOOKUP(HQ$7,'Product Eng - MB'!$M$6:$BM$6,'Product Eng - MB'!$M$14:$BM$14)))</f>
        <v>10</v>
      </c>
      <c r="HR40" s="223">
        <f>IF(HR$7&gt;$D$3,"",IF($FA37&lt;HR$7,"OD",_xlfn.XLOOKUP(HR$7,'Product Eng - MB'!$M$6:$BM$6,'Product Eng - MB'!$M$14:$BM$14)))</f>
        <v>10</v>
      </c>
      <c r="HS40" s="223">
        <f>IF(HS$7&gt;$D$3,"",IF($FA37&lt;HS$7,"OD",_xlfn.XLOOKUP(HS$7,'Product Eng - MB'!$M$6:$BM$6,'Product Eng - MB'!$M$14:$BM$14)))</f>
        <v>10</v>
      </c>
      <c r="HT40" s="223">
        <f>IF(HT$7&gt;$D$3,"",IF($FA37&lt;HT$7,"OD",_xlfn.XLOOKUP(HT$7,'Product Eng - MB'!$M$6:$BM$6,'Product Eng - MB'!$M$14:$BM$14)))</f>
        <v>10</v>
      </c>
      <c r="HU40" s="223">
        <f>IF(HU$7&gt;$D$3,"",IF($FA37&lt;HU$7,"OD",_xlfn.XLOOKUP(HU$7,'Product Eng - MB'!$M$6:$BM$6,'Product Eng - MB'!$M$14:$BM$14)))</f>
        <v>10</v>
      </c>
      <c r="HV40" s="223">
        <f>IF(HV$7&gt;$D$3,"",IF($FA37&lt;HV$7,"OD",_xlfn.XLOOKUP(HV$7,'Product Eng - MB'!$M$6:$BM$6,'Product Eng - MB'!$M$14:$BM$14)))</f>
        <v>10</v>
      </c>
      <c r="HW40" s="223">
        <f>IF(HW$7&gt;$D$3,"",IF($FA37&lt;HW$7,"OD",_xlfn.XLOOKUP(HW$7,'Product Eng - MB'!$M$6:$BM$6,'Product Eng - MB'!$M$14:$BM$14)))</f>
        <v>10</v>
      </c>
      <c r="HX40" s="223">
        <f>IF(HX$7&gt;$D$3,"",IF($FA37&lt;HX$7,"OD",_xlfn.XLOOKUP(HX$7,'Product Eng - MB'!$M$6:$BM$6,'Product Eng - MB'!$M$14:$BM$14)))</f>
        <v>10</v>
      </c>
      <c r="HY40" s="223">
        <f>IF(HY$7&gt;$D$3,"",IF($FA37&lt;HY$7,"OD",_xlfn.XLOOKUP(HY$7,'Product Eng - MB'!$M$6:$BM$6,'Product Eng - MB'!$M$14:$BM$14)))</f>
        <v>10</v>
      </c>
      <c r="HZ40" s="223">
        <f>IF(HZ$7&gt;$D$3,"",IF($FA37&lt;HZ$7,"OD",_xlfn.XLOOKUP(HZ$7,'Product Eng - MB'!$M$6:$BM$6,'Product Eng - MB'!$M$14:$BM$14)))</f>
        <v>10</v>
      </c>
      <c r="IA40" s="223">
        <f>IF(IA$7&gt;$D$3,"",IF($FA37&lt;IA$7,"OD",_xlfn.XLOOKUP(IA$7,'Product Eng - MB'!$M$6:$BM$6,'Product Eng - MB'!$M$14:$BM$14)))</f>
        <v>10</v>
      </c>
      <c r="IB40" s="223">
        <f>IF(IB$7&gt;$D$3,"",IF($FA37&lt;IB$7,"OD",_xlfn.XLOOKUP(IB$7,'Product Eng - MB'!$M$6:$BM$6,'Product Eng - MB'!$M$14:$BM$14)))</f>
        <v>10</v>
      </c>
      <c r="IC40" s="223">
        <f>IF(IC$7&gt;$D$3,"",IF($FA37&lt;IC$7,"OD",_xlfn.XLOOKUP(IC$7,'Product Eng - MB'!$M$6:$BM$6,'Product Eng - MB'!$M$14:$BM$14)))</f>
        <v>10</v>
      </c>
      <c r="ID40" s="223">
        <f>IF(ID$7&gt;$D$3,"",IF($FA37&lt;ID$7,"OD",_xlfn.XLOOKUP(ID$7,'Product Eng - MB'!$M$6:$BM$6,'Product Eng - MB'!$M$14:$BM$14)))</f>
        <v>10</v>
      </c>
      <c r="IE40" s="223">
        <f>IF(IE$7&gt;$D$3,"",IF($FA37&lt;IE$7,"OD",_xlfn.XLOOKUP(IE$7,'Product Eng - MB'!$M$6:$BM$6,'Product Eng - MB'!$M$14:$BM$14)))</f>
        <v>10</v>
      </c>
      <c r="IF40" s="223">
        <f>IF(IF$7&gt;$D$3,"",IF($FA37&lt;IF$7,"OD",_xlfn.XLOOKUP(IF$7,'Product Eng - MB'!$M$6:$BM$6,'Product Eng - MB'!$M$14:$BM$14)))</f>
        <v>10</v>
      </c>
      <c r="IG40" s="223">
        <f>IF(IG$7&gt;$D$3,"",IF($FA37&lt;IG$7,"OD",_xlfn.XLOOKUP(IG$7,'Product Eng - MB'!$M$6:$BM$6,'Product Eng - MB'!$M$14:$BM$14)))</f>
        <v>10</v>
      </c>
      <c r="IH40" s="223">
        <f>IF(IH$7&gt;$D$3,"",IF($FA37&lt;IH$7,"OD",_xlfn.XLOOKUP(IH$7,'Product Eng - MB'!$M$6:$BM$6,'Product Eng - MB'!$M$14:$BM$14)))</f>
        <v>10</v>
      </c>
      <c r="II40" s="223">
        <f>IF(II$7&gt;$D$3,"",IF($FA37&lt;II$7,"OD",_xlfn.XLOOKUP(II$7,'Product Eng - MB'!$M$6:$BM$6,'Product Eng - MB'!$M$14:$BM$14)))</f>
        <v>10</v>
      </c>
      <c r="IJ40" s="223">
        <f>IF(IJ$7&gt;$D$3,"",IF($FA37&lt;IJ$7,"OD",_xlfn.XLOOKUP(IJ$7,'Product Eng - MB'!$M$6:$BM$6,'Product Eng - MB'!$M$14:$BM$14)))</f>
        <v>10</v>
      </c>
      <c r="IK40" s="223">
        <f>IF(IK$7&gt;$D$3,"",IF($FA37&lt;IK$7,"OD",_xlfn.XLOOKUP(IK$7,'Product Eng - MB'!$M$6:$BM$6,'Product Eng - MB'!$M$14:$BM$14)))</f>
        <v>10</v>
      </c>
      <c r="IL40" s="223">
        <f>IF(IL$7&gt;$D$3,"",IF($FA37&lt;IL$7,"OD",_xlfn.XLOOKUP(IL$7,'Product Eng - MB'!$M$6:$BM$6,'Product Eng - MB'!$M$14:$BM$14)))</f>
        <v>10</v>
      </c>
      <c r="IM40" s="223">
        <f>IF(IM$7&gt;$D$3,"",IF($FA37&lt;IM$7,"OD",_xlfn.XLOOKUP(IM$7,'Product Eng - MB'!$M$6:$BM$6,'Product Eng - MB'!$M$14:$BM$14)))</f>
        <v>10</v>
      </c>
      <c r="IN40" s="223">
        <f>IF(IN$7&gt;$D$3,"",IF($FA37&lt;IN$7,"OD",_xlfn.XLOOKUP(IN$7,'Product Eng - MB'!$M$6:$BM$6,'Product Eng - MB'!$M$14:$BM$14)))</f>
        <v>10</v>
      </c>
      <c r="IO40" s="223">
        <f>IF(IO$7&gt;$D$3,"",IF($FA37&lt;IO$7,"OD",_xlfn.XLOOKUP(IO$7,'Product Eng - MB'!$M$6:$BM$6,'Product Eng - MB'!$M$14:$BM$14)))</f>
        <v>10</v>
      </c>
      <c r="IP40" s="223">
        <f>IF(IP$7&gt;$D$3,"",IF($FA37&lt;IP$7,"OD",_xlfn.XLOOKUP(IP$7,'Product Eng - MB'!$M$6:$BM$6,'Product Eng - MB'!$M$14:$BM$14)))</f>
        <v>10</v>
      </c>
      <c r="IQ40" s="223">
        <f>IF(IQ$7&gt;$D$3,"",IF($FA37&lt;IQ$7,"OD",_xlfn.XLOOKUP(IQ$7,'Product Eng - MB'!$M$6:$BM$6,'Product Eng - MB'!$M$14:$BM$14)))</f>
        <v>10</v>
      </c>
      <c r="IR40" s="223">
        <f>IF(IR$7&gt;$D$3,"",IF($FA37&lt;IR$7,"OD",_xlfn.XLOOKUP(IR$7,'Product Eng - MB'!$M$6:$BM$6,'Product Eng - MB'!$M$14:$BM$14)))</f>
        <v>10</v>
      </c>
      <c r="IS40" s="223">
        <f>IF(IS$7&gt;$D$3,"",IF($FA37&lt;IS$7,"OD",_xlfn.XLOOKUP(IS$7,'Product Eng - MB'!$M$6:$BM$6,'Product Eng - MB'!$M$14:$BM$14)))</f>
        <v>10</v>
      </c>
      <c r="IT40" s="223">
        <f>IF(IT$7&gt;$D$3,"",IF($FA37&lt;IT$7,"OD",_xlfn.XLOOKUP(IT$7,'Product Eng - MB'!$M$6:$BM$6,'Product Eng - MB'!$M$14:$BM$14)))</f>
        <v>10</v>
      </c>
      <c r="IU40" s="223">
        <f>IF(IU$7&gt;$D$3,"",IF($FA37&lt;IU$7,"OD",_xlfn.XLOOKUP(IU$7,'Product Eng - MB'!$M$6:$BM$6,'Product Eng - MB'!$M$14:$BM$14)))</f>
        <v>10</v>
      </c>
      <c r="IV40" s="223">
        <f>IF(IV$7&gt;$D$3,"",IF($FA37&lt;IV$7,"OD",_xlfn.XLOOKUP(IV$7,'Product Eng - MB'!$M$6:$BM$6,'Product Eng - MB'!$M$14:$BM$14)))</f>
        <v>10</v>
      </c>
      <c r="IW40" s="223">
        <f>IF(IW$7&gt;$D$3,"",IF($FA37&lt;IW$7,"OD",_xlfn.XLOOKUP(IW$7,'Product Eng - MB'!$M$6:$BM$6,'Product Eng - MB'!$M$14:$BM$14)))</f>
        <v>10</v>
      </c>
      <c r="IX40" s="223">
        <f>IF(IX$7&gt;$D$3,"",IF($FA37&lt;IX$7,"OD",_xlfn.XLOOKUP(IX$7,'Product Eng - MB'!$M$6:$BM$6,'Product Eng - MB'!$M$14:$BM$14)))</f>
        <v>10</v>
      </c>
      <c r="IY40" s="223">
        <f>IF(IY$7&gt;$D$3,"",IF($FA37&lt;IY$7,"OD",_xlfn.XLOOKUP(IY$7,'Product Eng - MB'!$M$6:$BM$6,'Product Eng - MB'!$M$14:$BM$14)))</f>
        <v>10</v>
      </c>
      <c r="IZ40" s="223" t="str">
        <f>IF(IZ$7&gt;$D$3,"",IF($FA37&lt;IZ$7,"OD",_xlfn.XLOOKUP(IZ$7,'Product Eng - MB'!$M$6:$BM$6,'Product Eng - MB'!$M$14:$BM$14)))</f>
        <v/>
      </c>
      <c r="JA40" s="223" t="str">
        <f>IF(JA$7&gt;$D$3,"",IF($FA37&lt;JA$7,"OD",_xlfn.XLOOKUP(JA$7,'Product Eng - MB'!$M$6:$BM$6,'Product Eng - MB'!$M$14:$BM$14)))</f>
        <v/>
      </c>
      <c r="JB40" s="223" t="str">
        <f>IF(JB$7&gt;$D$3,"",IF($FA37&lt;JB$7,"OD",_xlfn.XLOOKUP(JB$7,'Product Eng - MB'!$M$6:$BM$6,'Product Eng - MB'!$M$14:$BM$14)))</f>
        <v/>
      </c>
      <c r="JC40" s="223" t="str">
        <f>IF(JC$7&gt;$D$3,"",IF($FA37&lt;JC$7,"OD",_xlfn.XLOOKUP(JC$7,'Product Eng - MB'!$M$6:$BM$6,'Product Eng - MB'!$M$14:$BM$14)))</f>
        <v/>
      </c>
      <c r="JD40" s="223" t="str">
        <f>IF(JD$7&gt;$D$3,"",IF($FA37&lt;JD$7,"OD",_xlfn.XLOOKUP(JD$7,'Product Eng - MB'!$M$6:$BM$6,'Product Eng - MB'!$M$14:$BM$14)))</f>
        <v/>
      </c>
      <c r="JE40" s="223" t="str">
        <f>IF(JE$7&gt;$D$3,"",IF($FA37&lt;JE$7,"OD",_xlfn.XLOOKUP(JE$7,'Product Eng - MB'!$M$6:$BM$6,'Product Eng - MB'!$M$14:$BM$14)))</f>
        <v/>
      </c>
      <c r="JF40" s="223" t="str">
        <f>IF(JF$7&gt;$D$3,"",IF($FA37&lt;JF$7,"OD",_xlfn.XLOOKUP(JF$7,'Product Eng - MB'!$M$6:$BM$6,'Product Eng - MB'!$M$14:$BM$14)))</f>
        <v/>
      </c>
      <c r="JG40" s="223" t="str">
        <f>IF(JG$7&gt;$D$3,"",IF($FA37&lt;JG$7,"OD",_xlfn.XLOOKUP(JG$7,'Product Eng - MB'!$M$6:$BM$6,'Product Eng - MB'!$M$14:$BM$14)))</f>
        <v/>
      </c>
      <c r="JH40" s="223" t="str">
        <f>IF(JH$7&gt;$D$3,"",IF($FA37&lt;JH$7,"OD",_xlfn.XLOOKUP(JH$7,'Product Eng - MB'!$M$6:$BM$6,'Product Eng - MB'!$M$14:$BM$14)))</f>
        <v/>
      </c>
      <c r="JI40" s="223" t="str">
        <f>IF(JI$7&gt;$D$3,"",IF($FA37&lt;JI$7,"OD",_xlfn.XLOOKUP(JI$7,'Product Eng - MB'!$M$6:$BM$6,'Product Eng - MB'!$M$14:$BM$14)))</f>
        <v/>
      </c>
      <c r="JJ40" s="223" t="str">
        <f>IF(JJ$7&gt;$D$3,"",IF($FA37&lt;JJ$7,"OD",_xlfn.XLOOKUP(JJ$7,'Product Eng - MB'!$M$6:$BM$6,'Product Eng - MB'!$M$14:$BM$14)))</f>
        <v/>
      </c>
      <c r="JM40" s="136" t="str">
        <f>+$C40</f>
        <v>KPI D2</v>
      </c>
      <c r="JN40" s="144" t="str">
        <f>+$D40</f>
        <v>Delivery</v>
      </c>
      <c r="JO40" s="144" t="str">
        <f t="shared" si="127"/>
        <v>Lead Time for full order conversion</v>
      </c>
      <c r="JP40" s="145" t="str">
        <f t="shared" si="128"/>
        <v>Days</v>
      </c>
      <c r="JQ40" s="145" t="s">
        <v>284</v>
      </c>
      <c r="JR40" s="226" t="str">
        <f>IFERROR(AVERAGE(FC40:$FC40),"")</f>
        <v/>
      </c>
      <c r="JS40" s="226">
        <f>IFERROR(AVERAGE($FC40:FD40),"")</f>
        <v>27</v>
      </c>
      <c r="JT40" s="226">
        <f>IFERROR(AVERAGE($FC40:FE40),"")</f>
        <v>28.5</v>
      </c>
      <c r="JU40" s="226">
        <f>IFERROR(AVERAGE($FC40:FF40),"")</f>
        <v>26.333333333333332</v>
      </c>
      <c r="JV40" s="226">
        <f>IFERROR(AVERAGE($FC40:FG40),"")</f>
        <v>25</v>
      </c>
      <c r="JW40" s="226">
        <f>IFERROR(AVERAGE($FC40:FH40),"")</f>
        <v>22.6</v>
      </c>
      <c r="JX40" s="226">
        <f>IFERROR(AVERAGE($FC40:FI40),"")</f>
        <v>20.333333333333332</v>
      </c>
      <c r="JY40" s="226">
        <f>IFERROR(AVERAGE($FC40:FJ40),"")</f>
        <v>18.571428571428573</v>
      </c>
      <c r="JZ40" s="226">
        <f>IFERROR(AVERAGE($FC40:FK40),"")</f>
        <v>17.375</v>
      </c>
      <c r="KA40" s="226">
        <f>IFERROR(AVERAGE($FC40:FL40),"")</f>
        <v>16.666666666666668</v>
      </c>
      <c r="KB40" s="226">
        <f>IFERROR(AVERAGE($FC40:FM40),"")</f>
        <v>16</v>
      </c>
      <c r="KC40" s="226">
        <f>IFERROR(AVERAGE($FC40:FN40),"")</f>
        <v>14.909090909090908</v>
      </c>
      <c r="KD40" s="226">
        <f>IFERROR(AVERAGE($FC40:FO40),"")</f>
        <v>14.583333333333334</v>
      </c>
      <c r="KE40" s="226">
        <f>IFERROR(AVERAGE($FC40:FP40),"")</f>
        <v>14.307692307692308</v>
      </c>
      <c r="KF40" s="226">
        <f>IFERROR(AVERAGE($FC40:FQ40),"")</f>
        <v>14.357142857142858</v>
      </c>
      <c r="KG40" s="226">
        <f>IFERROR(AVERAGE($FC40:FR40),"")</f>
        <v>14.466666666666667</v>
      </c>
      <c r="KH40" s="226">
        <f>IFERROR(AVERAGE($FC40:FS40),"")</f>
        <v>14.5625</v>
      </c>
      <c r="KI40" s="226">
        <f>IFERROR(AVERAGE($FC40:FT40),"")</f>
        <v>14.470588235294118</v>
      </c>
      <c r="KJ40" s="226">
        <f>IFERROR(AVERAGE($FC40:FU40),"")</f>
        <v>14.055555555555555</v>
      </c>
      <c r="KK40" s="226">
        <f>IFERROR(AVERAGE($FC40:FV40),"")</f>
        <v>13.789473684210526</v>
      </c>
      <c r="KL40" s="226">
        <f>IFERROR(AVERAGE($FC40:FW40),"")</f>
        <v>13.65</v>
      </c>
      <c r="KM40" s="226">
        <f>IFERROR(AVERAGE($FC40:FX40),"")</f>
        <v>13.619047619047619</v>
      </c>
      <c r="KN40" s="226">
        <f>IFERROR(AVERAGE($FC40:FY40),"")</f>
        <v>13.363636363636363</v>
      </c>
      <c r="KO40" s="226">
        <f>IFERROR(AVERAGE($FC40:FZ40),"")</f>
        <v>13.173913043478262</v>
      </c>
      <c r="KP40" s="226">
        <f>IFERROR(AVERAGE($FC40:GA40),"")</f>
        <v>13</v>
      </c>
      <c r="KQ40" s="226">
        <f>IFERROR(AVERAGE($FC40:GB40),"")</f>
        <v>12.88</v>
      </c>
      <c r="KR40" s="226">
        <f>IFERROR(AVERAGE($FC40:GC40),"")</f>
        <v>12.807692307692308</v>
      </c>
      <c r="KS40" s="226">
        <f>IFERROR(AVERAGE($FC40:GD40),"")</f>
        <v>12.925925925925926</v>
      </c>
      <c r="KT40" s="226">
        <f>IFERROR(AVERAGE($FC40:GE40),"")</f>
        <v>13.071428571428571</v>
      </c>
      <c r="KU40" s="226">
        <f>IFERROR(AVERAGE($FC40:GF40),"")</f>
        <v>12.96551724137931</v>
      </c>
      <c r="KV40" s="226">
        <f>IFERROR(AVERAGE($FC40:GG40),"")</f>
        <v>12.833333333333334</v>
      </c>
      <c r="KW40" s="226">
        <f>IFERROR(AVERAGE($FC40:GH40),"")</f>
        <v>12.838709677419354</v>
      </c>
      <c r="KX40" s="226">
        <f>IFERROR(AVERAGE($FC40:GI40),"")</f>
        <v>12.78125</v>
      </c>
      <c r="KY40" s="226">
        <f>IFERROR(AVERAGE($FC40:GJ40),"")</f>
        <v>12.787878787878787</v>
      </c>
      <c r="KZ40" s="226">
        <f>IFERROR(AVERAGE($FC40:GK40),"")</f>
        <v>12.764705882352942</v>
      </c>
      <c r="LA40" s="226">
        <f>IFERROR(AVERAGE($FC40:GL40),"")</f>
        <v>12.657142857142857</v>
      </c>
      <c r="LB40" s="226">
        <f>IFERROR(AVERAGE($FC40:GM40),"")</f>
        <v>12.527777777777779</v>
      </c>
      <c r="LC40" s="226">
        <f>IFERROR(AVERAGE($FC40:GN40),"")</f>
        <v>12.351351351351351</v>
      </c>
      <c r="LD40" s="226">
        <f>IFERROR(AVERAGE($FC40:GO40),"")</f>
        <v>12.394736842105264</v>
      </c>
      <c r="LE40" s="226">
        <f>IFERROR(AVERAGE($FC40:GP40),"")</f>
        <v>12.743589743589743</v>
      </c>
      <c r="LF40" s="226">
        <f>IFERROR(AVERAGE($FC40:GQ40),"")</f>
        <v>12.725</v>
      </c>
      <c r="LG40" s="226">
        <f>IFERROR(AVERAGE($FC40:GR40),"")</f>
        <v>12.414634146341463</v>
      </c>
      <c r="LH40" s="226">
        <f>IFERROR(AVERAGE($FC40:GS40),"")</f>
        <v>12.414634146341463</v>
      </c>
      <c r="LI40" s="226">
        <f>IFERROR(AVERAGE($FC40:GT40),"")</f>
        <v>12.414634146341463</v>
      </c>
      <c r="LJ40" s="226">
        <f>IFERROR(AVERAGE($FC40:GU40),"")</f>
        <v>12.414634146341463</v>
      </c>
      <c r="LK40" s="226">
        <f>IFERROR(AVERAGE($FC40:GV40),"")</f>
        <v>12.414634146341463</v>
      </c>
      <c r="LL40" s="226">
        <f>IFERROR(AVERAGE($FC40:GW40),"")</f>
        <v>12.414634146341463</v>
      </c>
      <c r="LM40" s="226">
        <f>IFERROR(AVERAGE($FC40:GX40),"")</f>
        <v>12.414634146341463</v>
      </c>
      <c r="LN40" s="226">
        <f>IFERROR(AVERAGE($FC40:GY40),"")</f>
        <v>12.414634146341463</v>
      </c>
      <c r="LO40" s="226">
        <f>IFERROR(AVERAGE($FC40:GZ40),"")</f>
        <v>12.414634146341463</v>
      </c>
      <c r="LP40" s="226">
        <f>IFERROR(AVERAGE($FC40:HA40),"")</f>
        <v>12.414634146341463</v>
      </c>
      <c r="LQ40" s="226">
        <f>IFERROR(AVERAGE($FC40:HB40),"")</f>
        <v>12.414634146341463</v>
      </c>
      <c r="LR40" s="226">
        <f>IFERROR(AVERAGE($FC40:HC40),"")</f>
        <v>12.414634146341463</v>
      </c>
      <c r="LT40" s="136" t="str">
        <f>+$C40</f>
        <v>KPI D2</v>
      </c>
      <c r="LU40" s="144" t="str">
        <f>+$D40</f>
        <v>Delivery</v>
      </c>
      <c r="LV40" s="144" t="str">
        <f t="shared" si="131"/>
        <v>Lead Time for full order conversion</v>
      </c>
      <c r="LW40" s="145" t="str">
        <f t="shared" si="132"/>
        <v>Days</v>
      </c>
      <c r="LX40" s="145" t="s">
        <v>285</v>
      </c>
      <c r="LY40" s="223" t="str">
        <f>IFERROR(AVERAGE($HJ40:HJ40),"")</f>
        <v/>
      </c>
      <c r="LZ40" s="223">
        <f>IFERROR(IF(LAD$7&gt;$D$3,"",AVERAGE($HJ40:HK40)),"")</f>
        <v>10</v>
      </c>
      <c r="MA40" s="223">
        <f>IFERROR(IF(MA$7&gt;$D$3,"",AVERAGE($HJ40:HL40)),"")</f>
        <v>10</v>
      </c>
      <c r="MB40" s="223">
        <f>IFERROR(IF(MB$7&gt;$D$3,"",AVERAGE($HJ40:HM40)),"")</f>
        <v>10</v>
      </c>
      <c r="MC40" s="223">
        <f>IFERROR(IF(MC$7&gt;$D$3,"",AVERAGE($HJ40:HN40)),"")</f>
        <v>10</v>
      </c>
      <c r="MD40" s="223">
        <f>IFERROR(IF(MD$7&gt;$D$3,"",AVERAGE($HJ40:HO40)),"")</f>
        <v>10</v>
      </c>
      <c r="ME40" s="223">
        <f>IFERROR(IF(ME$7&gt;$D$3,"",AVERAGE($HJ40:HP40)),"")</f>
        <v>10</v>
      </c>
      <c r="MF40" s="223">
        <f>IFERROR(IF(MF$7&gt;$D$3,"",AVERAGE($HJ40:HQ40)),"")</f>
        <v>10</v>
      </c>
      <c r="MG40" s="223">
        <f>IFERROR(IF(MG$7&gt;$D$3,"",AVERAGE($HJ40:HR40)),"")</f>
        <v>10</v>
      </c>
      <c r="MH40" s="223">
        <f>IFERROR(IF(MH$7&gt;$D$3,"",AVERAGE($HJ40:HS40)),"")</f>
        <v>10</v>
      </c>
      <c r="MI40" s="223">
        <f>IFERROR(IF(MI$7&gt;$D$3,"",AVERAGE($HJ40:HT40)),"")</f>
        <v>10</v>
      </c>
      <c r="MJ40" s="223">
        <f>IFERROR(IF(MJ$7&gt;$D$3,"",AVERAGE($HJ40:HU40)),"")</f>
        <v>10</v>
      </c>
      <c r="MK40" s="223">
        <f>IFERROR(IF(MK$7&gt;$D$3,"",AVERAGE($HJ40:HV40)),"")</f>
        <v>10</v>
      </c>
      <c r="ML40" s="223">
        <f>IFERROR(IF(ML$7&gt;$D$3,"",AVERAGE($HJ40:HW40)),"")</f>
        <v>10</v>
      </c>
      <c r="MM40" s="223">
        <f>IFERROR(IF(MM$7&gt;$D$3,"",AVERAGE($HJ40:HX40)),"")</f>
        <v>10</v>
      </c>
      <c r="MN40" s="223">
        <f>IFERROR(IF(MN$7&gt;$D$3,"",AVERAGE($HJ40:HY40)),"")</f>
        <v>10</v>
      </c>
      <c r="MO40" s="223">
        <f>IFERROR(IF(MO$7&gt;$D$3,"",AVERAGE($HJ40:HZ40)),"")</f>
        <v>10</v>
      </c>
      <c r="MP40" s="223">
        <f>IFERROR(IF(MP$7&gt;$D$3,"",AVERAGE($HJ40:IA40)),"")</f>
        <v>10</v>
      </c>
      <c r="MQ40" s="223">
        <f>IFERROR(IF(MQ$7&gt;$D$3,"",AVERAGE($HJ40:IB40)),"")</f>
        <v>10</v>
      </c>
      <c r="MR40" s="223">
        <f>IFERROR(IF(MR$7&gt;$D$3,"",AVERAGE($HJ40:IC40)),"")</f>
        <v>10</v>
      </c>
      <c r="MS40" s="223">
        <f>IFERROR(IF(MS$7&gt;$D$3,"",AVERAGE($HJ40:ID40)),"")</f>
        <v>10</v>
      </c>
      <c r="MT40" s="223">
        <f>IFERROR(IF(MT$7&gt;$D$3,"",AVERAGE($HJ40:IE40)),"")</f>
        <v>10</v>
      </c>
      <c r="MU40" s="223">
        <f>IFERROR(IF(MU$7&gt;$D$3,"",AVERAGE($HJ40:IF40)),"")</f>
        <v>10</v>
      </c>
      <c r="MV40" s="223">
        <f>IFERROR(IF(MV$7&gt;$D$3,"",AVERAGE($HJ40:IG40)),"")</f>
        <v>10</v>
      </c>
      <c r="MW40" s="223">
        <f>IFERROR(IF(MW$7&gt;$D$3,"",AVERAGE($HJ40:IH40)),"")</f>
        <v>10</v>
      </c>
      <c r="MX40" s="223">
        <f>IFERROR(IF(MX$7&gt;$D$3,"",AVERAGE($HJ40:II40)),"")</f>
        <v>10</v>
      </c>
      <c r="MY40" s="223">
        <f>IFERROR(IF(MY$7&gt;$D$3,"",AVERAGE($HJ40:IJ40)),"")</f>
        <v>10</v>
      </c>
      <c r="MZ40" s="223">
        <f>IFERROR(IF(MZ$7&gt;$D$3,"",AVERAGE($HJ40:IK40)),"")</f>
        <v>10</v>
      </c>
      <c r="NA40" s="223">
        <f>IFERROR(IF(NA$7&gt;$D$3,"",AVERAGE($HJ40:IL40)),"")</f>
        <v>10</v>
      </c>
      <c r="NB40" s="223">
        <f>IFERROR(IF(NB$7&gt;$D$3,"",AVERAGE($HJ40:IM40)),"")</f>
        <v>10</v>
      </c>
      <c r="NC40" s="223">
        <f>IFERROR(IF(NC$7&gt;$D$3,"",AVERAGE($HJ40:IN40)),"")</f>
        <v>10</v>
      </c>
      <c r="ND40" s="223">
        <f>IFERROR(IF(ND$7&gt;$D$3,"",AVERAGE($HJ40:IO40)),"")</f>
        <v>10</v>
      </c>
      <c r="NE40" s="223">
        <f>IFERROR(IF(NE$7&gt;$D$3,"",AVERAGE($HJ40:IP40)),"")</f>
        <v>10</v>
      </c>
      <c r="NF40" s="223">
        <f>IFERROR(IF(NF$7&gt;$D$3,"",AVERAGE($HJ40:IQ40)),"")</f>
        <v>10</v>
      </c>
      <c r="NG40" s="223">
        <f>IFERROR(IF(NG$7&gt;$D$3,"",AVERAGE($HJ40:IR40)),"")</f>
        <v>10</v>
      </c>
      <c r="NH40" s="223">
        <f>IFERROR(IF(NH$7&gt;$D$3,"",AVERAGE($HJ40:IS40)),"")</f>
        <v>10</v>
      </c>
      <c r="NI40" s="223">
        <f>IFERROR(IF(NI$7&gt;$D$3,"",AVERAGE($HJ40:IT40)),"")</f>
        <v>10</v>
      </c>
      <c r="NJ40" s="223">
        <f>IFERROR(IF(NJ$7&gt;$D$3,"",AVERAGE($HJ40:IU40)),"")</f>
        <v>10</v>
      </c>
      <c r="NK40" s="223">
        <f>IFERROR(IF(NK$7&gt;$D$3,"",AVERAGE($HJ40:IV40)),"")</f>
        <v>10</v>
      </c>
      <c r="NL40" s="223">
        <f>IFERROR(IF(NL$7&gt;$D$3,"",AVERAGE($HJ40:IW40)),"")</f>
        <v>10</v>
      </c>
      <c r="NM40" s="223">
        <f>IFERROR(IF(NM$7&gt;$D$3,"",AVERAGE($HJ40:IX40)),"")</f>
        <v>10</v>
      </c>
      <c r="NN40" s="223">
        <f>IFERROR(IF(NN$7&gt;$D$3,"",AVERAGE($HJ40:IY40)),"")</f>
        <v>10</v>
      </c>
      <c r="NO40" s="223" t="str">
        <f>IFERROR(IF(NO$7&gt;$D$3,"",AVERAGE($HJ40:IZ40)),"")</f>
        <v/>
      </c>
      <c r="NP40" s="223" t="str">
        <f>IFERROR(IF(NP$7&gt;$D$3,"",AVERAGE($HJ40:JA40)),"")</f>
        <v/>
      </c>
      <c r="NQ40" s="223" t="str">
        <f>IFERROR(IF(NQ$7&gt;$D$3,"",AVERAGE($HJ40:JB40)),"")</f>
        <v/>
      </c>
      <c r="NR40" s="223" t="str">
        <f>IFERROR(IF(NR$7&gt;$D$3,"",AVERAGE($HJ40:JC40)),"")</f>
        <v/>
      </c>
      <c r="NS40" s="223" t="str">
        <f>IFERROR(IF(NS$7&gt;$D$3,"",AVERAGE($HJ40:JD40)),"")</f>
        <v/>
      </c>
      <c r="NT40" s="223" t="str">
        <f>IFERROR(IF(NT$7&gt;$D$3,"",AVERAGE($HJ40:JE40)),"")</f>
        <v/>
      </c>
      <c r="NU40" s="223" t="str">
        <f>IFERROR(IF(NU$7&gt;$D$3,"",AVERAGE($HJ40:JF40)),"")</f>
        <v/>
      </c>
      <c r="NV40" s="223" t="str">
        <f>IFERROR(IF(NV$7&gt;$D$3,"",AVERAGE($HJ40:JG40)),"")</f>
        <v/>
      </c>
      <c r="NW40" s="223" t="str">
        <f>IFERROR(IF(NW$7&gt;$D$3,"",AVERAGE($HJ40:JH40)),"")</f>
        <v/>
      </c>
      <c r="NX40" s="223" t="str">
        <f>IFERROR(IF(NX$7&gt;$D$3,"",AVERAGE($HJ40:JI40)),"")</f>
        <v/>
      </c>
      <c r="NY40" s="223" t="str">
        <f>IFERROR(IF(NY$7&gt;$D$3,"",AVERAGE($HJ40:JJ40)),"")</f>
        <v/>
      </c>
    </row>
    <row r="41" spans="1:389" x14ac:dyDescent="0.3">
      <c r="A41" t="str">
        <f>$B$37&amp;"-"&amp;C41</f>
        <v>Product Eng - MB-KPI Q1</v>
      </c>
      <c r="B41" s="918">
        <f>+'KPI Stats'!B46</f>
        <v>0</v>
      </c>
      <c r="C41" s="136" t="str">
        <f>+'KPI Stats'!C46</f>
        <v>KPI Q1</v>
      </c>
      <c r="D41" s="144" t="str">
        <f>+'KPI Stats'!D46</f>
        <v>Quality</v>
      </c>
      <c r="E41" s="144" t="str">
        <f>+'KPI Stats'!E46</f>
        <v>Quality Defects / Items Output as a percentage</v>
      </c>
      <c r="F41" s="145" t="str">
        <f>+'KPI Stats'!F46</f>
        <v>Percentage</v>
      </c>
      <c r="G41" s="178" t="str">
        <f>+'KPI Stats'!G46</f>
        <v>Over</v>
      </c>
      <c r="J41" s="69" t="str">
        <f>_xlfn.XLOOKUP(J$7,$AM$7:$CM$7,$AM41:$CM41,,FALSE)</f>
        <v>OD</v>
      </c>
      <c r="K41" s="264">
        <f>_xlfn.XLOOKUP(K$7,$FC$7:$HC$7,$FC41:$HC41,,FALSE)</f>
        <v>0</v>
      </c>
      <c r="L41" s="278">
        <f>_xlfn.XLOOKUP(L$7,$HJ$7:$JJ$7,$HJ41:$JJ41,,FALSE)</f>
        <v>2.5</v>
      </c>
      <c r="M41" s="115" t="str">
        <f>_xlfn.XLOOKUP(M$7,$CU$7:$EU$7,$CU41:$EU41,,FALSE)</f>
        <v>OD</v>
      </c>
      <c r="P41" s="69" t="str">
        <f>_xlfn.XLOOKUP(P$7,$AM$7:$CM$7,$AM41:$CM41,,FALSE)</f>
        <v>OD</v>
      </c>
      <c r="Q41" s="264">
        <f t="shared" si="135"/>
        <v>0</v>
      </c>
      <c r="R41" s="278">
        <f t="shared" si="135"/>
        <v>0.2</v>
      </c>
      <c r="S41" s="264" t="str">
        <f t="shared" si="136"/>
        <v>OD</v>
      </c>
      <c r="T41" s="278">
        <f t="shared" si="136"/>
        <v>12.5</v>
      </c>
      <c r="U41" s="295" t="str">
        <f>IF(F37&lt;$R$2,"Not Complete",IF(Q41=R41,"Same −",IF($G41="Over",IF(Q41&lt;R41,"Better ↑","Worse ↓"),IF($G41="Under",IF(Q41&gt;R41,"Better ↑","Worse ↓"),"err"))))</f>
        <v>Better ↑</v>
      </c>
      <c r="X41" s="69" t="str">
        <f t="shared" si="137"/>
        <v>G</v>
      </c>
      <c r="Y41" s="114">
        <f>_xlfn.XLOOKUP(Y$7,$JR$7:$LR$7,$JR41:$LR41,FALSE)</f>
        <v>1.037037037037037</v>
      </c>
      <c r="Z41" s="114">
        <f>_xlfn.XLOOKUP(Z$7,$LY$7:$NY$7,$LY41:$NY41,FALSE)</f>
        <v>2.5</v>
      </c>
      <c r="AA41" s="163">
        <f>IF(G41="Undefined","",IF(G41="under",Y41/Z41,IF(G41="over",Z41/Y41,"err")))</f>
        <v>2.410714285714286</v>
      </c>
      <c r="AB41" s="295" t="str">
        <f>IF(F37&lt;$R$2,"TBC",IF(Y41=Z41,"Same −",IF($G41="Over",IF(Z41&lt;Y41,"Better ↑ ","Worse ↓ "),IF($G41="Under",IF(Y41&gt;Z41,"Better ↑ ","Worse ↓ "),"err"))))</f>
        <v xml:space="preserve">Worse ↓ </v>
      </c>
      <c r="AC41" s="69" t="str">
        <f>IF(AND(G41="above adero",AD41&gt;0),"R",IF(AF41&gt;1,"G",IF(AF41&gt;0.95,"A","R")))</f>
        <v>G</v>
      </c>
      <c r="AD41" s="114">
        <f>_xlfn.XLOOKUP(AD$7,$JR$7:$LR$7,$JR41:$LR41,FALSE)</f>
        <v>1.0769230769230769</v>
      </c>
      <c r="AE41" s="114">
        <f>_xlfn.XLOOKUP(AE$7,$LY$7:$NY$7,$LY41:$NY41,FALSE)</f>
        <v>2.5</v>
      </c>
      <c r="AF41" s="163">
        <f t="shared" ref="AF41:AF42" si="140">IF(G41="Undefined","",IF(G41="under",AD41/AE41,IF(G41="over",AE41/AD41,"err")))</f>
        <v>2.3214285714285716</v>
      </c>
      <c r="AH41" s="465" t="str">
        <f>+$A41</f>
        <v>Product Eng - MB-KPI Q1</v>
      </c>
      <c r="AI41" s="136" t="str">
        <f t="shared" si="138"/>
        <v>KPI Q1</v>
      </c>
      <c r="AJ41" s="144" t="str">
        <f t="shared" si="138"/>
        <v>Quality</v>
      </c>
      <c r="AK41" s="144" t="str">
        <f t="shared" si="114"/>
        <v>Quality Defects / Items Output as a percentage</v>
      </c>
      <c r="AL41" s="145" t="str">
        <f t="shared" si="114"/>
        <v>Percentage</v>
      </c>
      <c r="AM41" s="69" t="str">
        <f>IF(AM$7&gt;$D$3,"",_xlfn.XLOOKUP(AM$7,'Product Eng - MB'!$M$6:$BM$6,'Product Eng - MB'!$M$19:$BM$19))</f>
        <v>Blank</v>
      </c>
      <c r="AN41" s="199" t="str">
        <f>IF(AN$7&gt;$D$3,"",_xlfn.XLOOKUP(AN$7,'Product Eng - MB'!$M$6:$BM$6,'Product Eng - MB'!$M$19:$BM$19))</f>
        <v>Missed</v>
      </c>
      <c r="AO41" s="69" t="str">
        <f>IF(AO$7&gt;$D$3,"",_xlfn.XLOOKUP(AO$7,'Product Eng - MB'!$M$6:$BM$6,'Product Eng - MB'!$M$19:$BM$19))</f>
        <v>Missed</v>
      </c>
      <c r="AP41" s="69" t="str">
        <f>IF(AP$7&gt;$D$3,"",_xlfn.XLOOKUP(AP$7,'Product Eng - MB'!$M$6:$BM$6,'Product Eng - MB'!$M$19:$BM$19))</f>
        <v>Missed</v>
      </c>
      <c r="AQ41" s="69" t="str">
        <f>IF(AQ$7&gt;$D$3,"",_xlfn.XLOOKUP(AQ$7,'Product Eng - MB'!$M$6:$BM$6,'Product Eng - MB'!$M$19:$BM$19))</f>
        <v>Missed</v>
      </c>
      <c r="AR41" s="69" t="str">
        <f>IF(AR$7&gt;$D$3,"",_xlfn.XLOOKUP(AR$7,'Product Eng - MB'!$M$6:$BM$6,'Product Eng - MB'!$M$19:$BM$19))</f>
        <v>Missed</v>
      </c>
      <c r="AS41" s="69" t="str">
        <f>IF(AS$7&gt;$D$3,"",_xlfn.XLOOKUP(AS$7,'Product Eng - MB'!$M$6:$BM$6,'Product Eng - MB'!$M$19:$BM$19))</f>
        <v>Missed</v>
      </c>
      <c r="AT41" s="69" t="str">
        <f>IF(AT$7&gt;$D$3,"",_xlfn.XLOOKUP(AT$7,'Product Eng - MB'!$M$6:$BM$6,'Product Eng - MB'!$M$19:$BM$19))</f>
        <v>Missed</v>
      </c>
      <c r="AU41" s="69" t="str">
        <f>IF(AU$7&gt;$D$3,"",_xlfn.XLOOKUP(AU$7,'Product Eng - MB'!$M$6:$BM$6,'Product Eng - MB'!$M$19:$BM$19))</f>
        <v>Missed</v>
      </c>
      <c r="AV41" s="69" t="str">
        <f>IF(AV$7&gt;$D$3,"",_xlfn.XLOOKUP(AV$7,'Product Eng - MB'!$M$6:$BM$6,'Product Eng - MB'!$M$19:$BM$19))</f>
        <v>Missed</v>
      </c>
      <c r="AW41" s="69" t="str">
        <f>IF(AW$7&gt;$D$3,"",_xlfn.XLOOKUP(AW$7,'Product Eng - MB'!$M$6:$BM$6,'Product Eng - MB'!$M$19:$BM$19))</f>
        <v>Missed</v>
      </c>
      <c r="AX41" s="69" t="str">
        <f>IF(AX$7&gt;$D$3,"",_xlfn.XLOOKUP(AX$7,'Product Eng - MB'!$M$6:$BM$6,'Product Eng - MB'!$M$19:$BM$19))</f>
        <v>Missed</v>
      </c>
      <c r="AY41" s="69" t="str">
        <f>IF(AY$7&gt;$D$3,"",_xlfn.XLOOKUP(AY$7,'Product Eng - MB'!$M$6:$BM$6,'Product Eng - MB'!$M$19:$BM$19))</f>
        <v>Missed</v>
      </c>
      <c r="AZ41" s="69" t="str">
        <f>IF(AZ$7&gt;$D$3,"",_xlfn.XLOOKUP(AZ$7,'Product Eng - MB'!$M$6:$BM$6,'Product Eng - MB'!$M$19:$BM$19))</f>
        <v>Missed</v>
      </c>
      <c r="BA41" s="69" t="str">
        <f>IF(BA$7&gt;$D$3,"",_xlfn.XLOOKUP(BA$7,'Product Eng - MB'!$M$6:$BM$6,'Product Eng - MB'!$M$19:$BM$19))</f>
        <v>Missed</v>
      </c>
      <c r="BB41" s="69" t="str">
        <f>IF(BB$7&gt;$D$3,"",_xlfn.XLOOKUP(BB$7,'Product Eng - MB'!$M$6:$BM$6,'Product Eng - MB'!$M$19:$BM$19))</f>
        <v>R</v>
      </c>
      <c r="BC41" s="69" t="str">
        <f>IF(BC$7&gt;$D$3,"",_xlfn.XLOOKUP(BC$7,'Product Eng - MB'!$M$6:$BM$6,'Product Eng - MB'!$M$19:$BM$19))</f>
        <v>G</v>
      </c>
      <c r="BD41" s="69" t="str">
        <f>IF(BD$7&gt;$D$3,"",_xlfn.XLOOKUP(BD$7,'Product Eng - MB'!$M$6:$BM$6,'Product Eng - MB'!$M$19:$BM$19))</f>
        <v>G</v>
      </c>
      <c r="BE41" s="69" t="str">
        <f>IF(BE$7&gt;$D$3,"",_xlfn.XLOOKUP(BE$7,'Product Eng - MB'!$M$6:$BM$6,'Product Eng - MB'!$M$19:$BM$19))</f>
        <v>G</v>
      </c>
      <c r="BF41" s="69" t="str">
        <f>IF(BF$7&gt;$D$3,"",_xlfn.XLOOKUP(BF$7,'Product Eng - MB'!$M$6:$BM$6,'Product Eng - MB'!$M$19:$BM$19))</f>
        <v>G</v>
      </c>
      <c r="BG41" s="69" t="str">
        <f>IF(BG$7&gt;$D$3,"",_xlfn.XLOOKUP(BG$7,'Product Eng - MB'!$M$6:$BM$6,'Product Eng - MB'!$M$19:$BM$19))</f>
        <v>G</v>
      </c>
      <c r="BH41" s="69" t="str">
        <f>IF(BH$7&gt;$D$3,"",_xlfn.XLOOKUP(BH$7,'Product Eng - MB'!$M$6:$BM$6,'Product Eng - MB'!$M$19:$BM$19))</f>
        <v>R</v>
      </c>
      <c r="BI41" s="69" t="str">
        <f>IF(BI$7&gt;$D$3,"",_xlfn.XLOOKUP(BI$7,'Product Eng - MB'!$M$6:$BM$6,'Product Eng - MB'!$M$19:$BM$19))</f>
        <v>G</v>
      </c>
      <c r="BJ41" s="69" t="str">
        <f>IF(BJ$7&gt;$D$3,"",_xlfn.XLOOKUP(BJ$7,'Product Eng - MB'!$M$6:$BM$6,'Product Eng - MB'!$M$19:$BM$19))</f>
        <v>G</v>
      </c>
      <c r="BK41" s="69" t="str">
        <f>IF(BK$7&gt;$D$3,"",_xlfn.XLOOKUP(BK$7,'Product Eng - MB'!$M$6:$BM$6,'Product Eng - MB'!$M$19:$BM$19))</f>
        <v>G</v>
      </c>
      <c r="BL41" s="69" t="str">
        <f>IF(BL$7&gt;$D$3,"",_xlfn.XLOOKUP(BL$7,'Product Eng - MB'!$M$6:$BM$6,'Product Eng - MB'!$M$19:$BM$19))</f>
        <v>G</v>
      </c>
      <c r="BM41" s="69" t="str">
        <f>IF(BM$7&gt;$D$3,"",_xlfn.XLOOKUP(BM$7,'Product Eng - MB'!$M$6:$BM$6,'Product Eng - MB'!$M$19:$BM$19))</f>
        <v>G</v>
      </c>
      <c r="BN41" s="69" t="str">
        <f>IF(BN$7&gt;$D$3,"",_xlfn.XLOOKUP(BN$7,'Product Eng - MB'!$M$6:$BM$6,'Product Eng - MB'!$M$19:$BM$19))</f>
        <v>G</v>
      </c>
      <c r="BO41" s="69" t="str">
        <f>IF(BO$7&gt;$D$3,"",_xlfn.XLOOKUP(BO$7,'Product Eng - MB'!$M$6:$BM$6,'Product Eng - MB'!$M$19:$BM$19))</f>
        <v>G</v>
      </c>
      <c r="BP41" s="69" t="str">
        <f>IF(BP$7&gt;$D$3,"",_xlfn.XLOOKUP(BP$7,'Product Eng - MB'!$M$6:$BM$6,'Product Eng - MB'!$M$19:$BM$19))</f>
        <v>G</v>
      </c>
      <c r="BQ41" s="69" t="str">
        <f>IF(BQ$7&gt;$D$3,"",_xlfn.XLOOKUP(BQ$7,'Product Eng - MB'!$M$6:$BM$6,'Product Eng - MB'!$M$19:$BM$19))</f>
        <v>G</v>
      </c>
      <c r="BR41" s="69" t="str">
        <f>IF(BR$7&gt;$D$3,"",_xlfn.XLOOKUP(BR$7,'Product Eng - MB'!$M$6:$BM$6,'Product Eng - MB'!$M$19:$BM$19))</f>
        <v>G</v>
      </c>
      <c r="BS41" s="69" t="str">
        <f>IF(BS$7&gt;$D$3,"",_xlfn.XLOOKUP(BS$7,'Product Eng - MB'!$M$6:$BM$6,'Product Eng - MB'!$M$19:$BM$19))</f>
        <v>G</v>
      </c>
      <c r="BT41" s="69" t="str">
        <f>IF(BT$7&gt;$D$3,"",_xlfn.XLOOKUP(BT$7,'Product Eng - MB'!$M$6:$BM$6,'Product Eng - MB'!$M$19:$BM$19))</f>
        <v>G</v>
      </c>
      <c r="BU41" s="69" t="str">
        <f>IF(BU$7&gt;$D$3,"",_xlfn.XLOOKUP(BU$7,'Product Eng - MB'!$M$6:$BM$6,'Product Eng - MB'!$M$19:$BM$19))</f>
        <v>G</v>
      </c>
      <c r="BV41" s="69" t="str">
        <f>IF(BV$7&gt;$D$3,"",_xlfn.XLOOKUP(BV$7,'Product Eng - MB'!$M$6:$BM$6,'Product Eng - MB'!$M$19:$BM$19))</f>
        <v>R</v>
      </c>
      <c r="BW41" s="69" t="str">
        <f>IF(BW$7&gt;$D$3,"",_xlfn.XLOOKUP(BW$7,'Product Eng - MB'!$M$6:$BM$6,'Product Eng - MB'!$M$19:$BM$19))</f>
        <v>R</v>
      </c>
      <c r="BX41" s="69" t="str">
        <f>IF(BX$7&gt;$D$3,"",_xlfn.XLOOKUP(BX$7,'Product Eng - MB'!$M$6:$BM$6,'Product Eng - MB'!$M$19:$BM$19))</f>
        <v>G</v>
      </c>
      <c r="BY41" s="69" t="str">
        <f>IF(BY$7&gt;$D$3,"",_xlfn.XLOOKUP(BY$7,'Product Eng - MB'!$M$6:$BM$6,'Product Eng - MB'!$M$19:$BM$19))</f>
        <v>G</v>
      </c>
      <c r="BZ41" s="69" t="str">
        <f>IF(BZ$7&gt;$D$3,"",_xlfn.XLOOKUP(BZ$7,'Product Eng - MB'!$M$6:$BM$6,'Product Eng - MB'!$M$19:$BM$19))</f>
        <v>G</v>
      </c>
      <c r="CA41" s="69" t="str">
        <f>IF(CA$7&gt;$D$3,"",_xlfn.XLOOKUP(CA$7,'Product Eng - MB'!$M$6:$BM$6,'Product Eng - MB'!$M$19:$BM$19))</f>
        <v>G</v>
      </c>
      <c r="CB41" s="69" t="str">
        <f>IF(CB$7&gt;$D$3,"",_xlfn.XLOOKUP(CB$7,'Product Eng - MB'!$M$6:$BM$6,'Product Eng - MB'!$M$19:$BM$19))</f>
        <v>OD</v>
      </c>
      <c r="CC41" s="69" t="str">
        <f>IF(CC$7&gt;$D$3,"",_xlfn.XLOOKUP(CC$7,'Product Eng - MB'!$M$6:$BM$6,'Product Eng - MB'!$M$19:$BM$19))</f>
        <v/>
      </c>
      <c r="CD41" s="69" t="str">
        <f>IF(CD$7&gt;$D$3,"",_xlfn.XLOOKUP(CD$7,'Product Eng - MB'!$M$6:$BM$6,'Product Eng - MB'!$M$19:$BM$19))</f>
        <v/>
      </c>
      <c r="CE41" s="69" t="str">
        <f>IF(CE$7&gt;$D$3,"",_xlfn.XLOOKUP(CE$7,'Product Eng - MB'!$M$6:$BM$6,'Product Eng - MB'!$M$19:$BM$19))</f>
        <v/>
      </c>
      <c r="CF41" s="69" t="str">
        <f>IF(CF$7&gt;$D$3,"",_xlfn.XLOOKUP(CF$7,'Product Eng - MB'!$M$6:$BM$6,'Product Eng - MB'!$M$19:$BM$19))</f>
        <v/>
      </c>
      <c r="CG41" s="69" t="str">
        <f>IF(CG$7&gt;$D$3,"",_xlfn.XLOOKUP(CG$7,'Product Eng - MB'!$M$6:$BM$6,'Product Eng - MB'!$M$19:$BM$19))</f>
        <v/>
      </c>
      <c r="CH41" s="69" t="str">
        <f>IF(CH$7&gt;$D$3,"",_xlfn.XLOOKUP(CH$7,'Product Eng - MB'!$M$6:$BM$6,'Product Eng - MB'!$M$19:$BM$19))</f>
        <v/>
      </c>
      <c r="CI41" s="69" t="str">
        <f>IF(CI$7&gt;$D$3,"",_xlfn.XLOOKUP(CI$7,'Product Eng - MB'!$M$6:$BM$6,'Product Eng - MB'!$M$19:$BM$19))</f>
        <v/>
      </c>
      <c r="CJ41" s="69" t="str">
        <f>IF(CJ$7&gt;$D$3,"",_xlfn.XLOOKUP(CJ$7,'Product Eng - MB'!$M$6:$BM$6,'Product Eng - MB'!$M$19:$BM$19))</f>
        <v/>
      </c>
      <c r="CK41" s="69" t="str">
        <f>IF(CK$7&gt;$D$3,"",_xlfn.XLOOKUP(CK$7,'Product Eng - MB'!$M$6:$BM$6,'Product Eng - MB'!$M$19:$BM$19))</f>
        <v/>
      </c>
      <c r="CL41" s="69" t="str">
        <f>IF(CL$7&gt;$D$3,"",_xlfn.XLOOKUP(CL$7,'Product Eng - MB'!$M$6:$BM$6,'Product Eng - MB'!$M$19:$BM$19))</f>
        <v/>
      </c>
      <c r="CM41" s="69" t="str">
        <f>IF(CM$7&gt;$D$3,"",_xlfn.XLOOKUP(CM$7,'Product Eng - MB'!$M$6:$BM$6,'Product Eng - MB'!$M$19:$BM$19))</f>
        <v/>
      </c>
      <c r="CO41" s="465" t="str">
        <f>+$A41</f>
        <v>Product Eng - MB-KPI Q1</v>
      </c>
      <c r="CP41" s="136" t="str">
        <f t="shared" si="139"/>
        <v>KPI Q1</v>
      </c>
      <c r="CQ41" s="144" t="str">
        <f t="shared" si="139"/>
        <v>Quality</v>
      </c>
      <c r="CR41" s="144" t="str">
        <f t="shared" si="139"/>
        <v>Quality Defects / Items Output as a percentage</v>
      </c>
      <c r="CS41" s="145" t="str">
        <f t="shared" si="139"/>
        <v>Percentage</v>
      </c>
      <c r="CT41" s="207" t="s">
        <v>246</v>
      </c>
      <c r="CU41" s="69" t="str">
        <f>IF(CU$7&gt;$D$3,"",_xlfn.XLOOKUP(CU$7,'Product Eng - MB'!$M$6:$BM$6,'Product Eng - MB'!$M$19:$BM$19))</f>
        <v>Blank</v>
      </c>
      <c r="CV41" s="323" t="str">
        <f>IFERROR(IF(CV$7&gt;$D$3,"",IF(AN41="OD","OD",IF(AN41="Missed","Missed",IF(AN41="TBC","TBC",IF(AN41="Undefined","Undefined",IF(_xlfn.XLOOKUP(CV$7,'Product Eng - MB'!$M$6:$BM$6,'Product Eng - MB'!$M$18:$BM$18)=0,100%,_xlfn.XLOOKUP(CV$7,'Product Eng - MB'!$M$6:$BM$6,'Product Eng - MB'!$M$17:$BM$17)/_xlfn.XLOOKUP(CV$7,'Product Eng - MB'!$M$6:$BM$6,'Product Eng - MB'!$M$18:$BM$18))))))),"")</f>
        <v>Missed</v>
      </c>
      <c r="CW41" s="315" t="str">
        <f>IFERROR(IF(CW$7&gt;$D$3,"",IF(AO41="OD","OD",IF(AO41="Missed","Missed",IF(AO41="TBC","TBC",IF(AO41="Undefined","Undefined",IF(_xlfn.XLOOKUP(CW$7,'Product Eng - MB'!$M$6:$BM$6,'Product Eng - MB'!$M$18:$BM$18)=0,100%,_xlfn.XLOOKUP(CW$7,'Product Eng - MB'!$M$6:$BM$6,'Product Eng - MB'!$M$17:$BM$17)/_xlfn.XLOOKUP(CW$7,'Product Eng - MB'!$M$6:$BM$6,'Product Eng - MB'!$M$18:$BM$18))))))),"")</f>
        <v>Missed</v>
      </c>
      <c r="CX41" s="315" t="str">
        <f>IFERROR(IF(CX$7&gt;$D$3,"",IF(AP41="OD","OD",IF(AP41="Missed","Missed",IF(AP41="TBC","TBC",IF(AP41="Undefined","Undefined",IF(_xlfn.XLOOKUP(CX$7,'Product Eng - MB'!$M$6:$BM$6,'Product Eng - MB'!$M$18:$BM$18)=0,100%,_xlfn.XLOOKUP(CX$7,'Product Eng - MB'!$M$6:$BM$6,'Product Eng - MB'!$M$17:$BM$17)/_xlfn.XLOOKUP(CX$7,'Product Eng - MB'!$M$6:$BM$6,'Product Eng - MB'!$M$18:$BM$18))))))),"")</f>
        <v>Missed</v>
      </c>
      <c r="CY41" s="315" t="str">
        <f>IFERROR(IF(CY$7&gt;$D$3,"",IF(AQ41="OD","OD",IF(AQ41="Missed","Missed",IF(AQ41="TBC","TBC",IF(AQ41="Undefined","Undefined",IF(_xlfn.XLOOKUP(CY$7,'Product Eng - MB'!$M$6:$BM$6,'Product Eng - MB'!$M$18:$BM$18)=0,100%,_xlfn.XLOOKUP(CY$7,'Product Eng - MB'!$M$6:$BM$6,'Product Eng - MB'!$M$17:$BM$17)/_xlfn.XLOOKUP(CY$7,'Product Eng - MB'!$M$6:$BM$6,'Product Eng - MB'!$M$18:$BM$18))))))),"")</f>
        <v>Missed</v>
      </c>
      <c r="CZ41" s="315" t="str">
        <f>IFERROR(IF(CZ$7&gt;$D$3,"",IF(AR41="OD","OD",IF(AR41="Missed","Missed",IF(AR41="TBC","TBC",IF(AR41="Undefined","Undefined",IF(_xlfn.XLOOKUP(CZ$7,'Product Eng - MB'!$M$6:$BM$6,'Product Eng - MB'!$M$18:$BM$18)=0,100%,_xlfn.XLOOKUP(CZ$7,'Product Eng - MB'!$M$6:$BM$6,'Product Eng - MB'!$M$17:$BM$17)/_xlfn.XLOOKUP(CZ$7,'Product Eng - MB'!$M$6:$BM$6,'Product Eng - MB'!$M$18:$BM$18))))))),"")</f>
        <v>Missed</v>
      </c>
      <c r="DA41" s="315" t="str">
        <f>IFERROR(IF(DA$7&gt;$D$3,"",IF(AS41="OD","OD",IF(AS41="Missed","Missed",IF(AS41="TBC","TBC",IF(AS41="Undefined","Undefined",IF(_xlfn.XLOOKUP(DA$7,'Product Eng - MB'!$M$6:$BM$6,'Product Eng - MB'!$M$18:$BM$18)=0,100%,_xlfn.XLOOKUP(DA$7,'Product Eng - MB'!$M$6:$BM$6,'Product Eng - MB'!$M$17:$BM$17)/_xlfn.XLOOKUP(DA$7,'Product Eng - MB'!$M$6:$BM$6,'Product Eng - MB'!$M$18:$BM$18))))))),"")</f>
        <v>Missed</v>
      </c>
      <c r="DB41" s="315" t="str">
        <f>IFERROR(IF(DB$7&gt;$D$3,"",IF(AT41="OD","OD",IF(AT41="Missed","Missed",IF(AT41="TBC","TBC",IF(AT41="Undefined","Undefined",IF(_xlfn.XLOOKUP(DB$7,'Product Eng - MB'!$M$6:$BM$6,'Product Eng - MB'!$M$18:$BM$18)=0,100%,_xlfn.XLOOKUP(DB$7,'Product Eng - MB'!$M$6:$BM$6,'Product Eng - MB'!$M$17:$BM$17)/_xlfn.XLOOKUP(DB$7,'Product Eng - MB'!$M$6:$BM$6,'Product Eng - MB'!$M$18:$BM$18))))))),"")</f>
        <v>Missed</v>
      </c>
      <c r="DC41" s="315" t="str">
        <f>IFERROR(IF(DC$7&gt;$D$3,"",IF(AU41="OD","OD",IF(AU41="Missed","Missed",IF(AU41="TBC","TBC",IF(AU41="Undefined","Undefined",IF(_xlfn.XLOOKUP(DC$7,'Product Eng - MB'!$M$6:$BM$6,'Product Eng - MB'!$M$18:$BM$18)=0,100%,_xlfn.XLOOKUP(DC$7,'Product Eng - MB'!$M$6:$BM$6,'Product Eng - MB'!$M$17:$BM$17)/_xlfn.XLOOKUP(DC$7,'Product Eng - MB'!$M$6:$BM$6,'Product Eng - MB'!$M$18:$BM$18))))))),"")</f>
        <v>Missed</v>
      </c>
      <c r="DD41" s="315" t="str">
        <f>IFERROR(IF(DD$7&gt;$D$3,"",IF(AV41="OD","OD",IF(AV41="Missed","Missed",IF(AV41="TBC","TBC",IF(AV41="Undefined","Undefined",IF(_xlfn.XLOOKUP(DD$7,'Product Eng - MB'!$M$6:$BM$6,'Product Eng - MB'!$M$18:$BM$18)=0,100%,_xlfn.XLOOKUP(DD$7,'Product Eng - MB'!$M$6:$BM$6,'Product Eng - MB'!$M$17:$BM$17)/_xlfn.XLOOKUP(DD$7,'Product Eng - MB'!$M$6:$BM$6,'Product Eng - MB'!$M$18:$BM$18))))))),"")</f>
        <v>Missed</v>
      </c>
      <c r="DE41" s="315" t="str">
        <f>IFERROR(IF(DE$7&gt;$D$3,"",IF(AW41="OD","OD",IF(AW41="Missed","Missed",IF(AW41="TBC","TBC",IF(AW41="Undefined","Undefined",IF(_xlfn.XLOOKUP(DE$7,'Product Eng - MB'!$M$6:$BM$6,'Product Eng - MB'!$M$18:$BM$18)=0,100%,_xlfn.XLOOKUP(DE$7,'Product Eng - MB'!$M$6:$BM$6,'Product Eng - MB'!$M$17:$BM$17)/_xlfn.XLOOKUP(DE$7,'Product Eng - MB'!$M$6:$BM$6,'Product Eng - MB'!$M$18:$BM$18))))))),"")</f>
        <v>Missed</v>
      </c>
      <c r="DF41" s="315" t="str">
        <f>IFERROR(IF(DF$7&gt;$D$3,"",IF(AX41="OD","OD",IF(AX41="Missed","Missed",IF(AX41="TBC","TBC",IF(AX41="Undefined","Undefined",IF(_xlfn.XLOOKUP(DF$7,'Product Eng - MB'!$M$6:$BM$6,'Product Eng - MB'!$M$18:$BM$18)=0,100%,_xlfn.XLOOKUP(DF$7,'Product Eng - MB'!$M$6:$BM$6,'Product Eng - MB'!$M$17:$BM$17)/_xlfn.XLOOKUP(DF$7,'Product Eng - MB'!$M$6:$BM$6,'Product Eng - MB'!$M$18:$BM$18))))))),"")</f>
        <v>Missed</v>
      </c>
      <c r="DG41" s="315" t="str">
        <f>IFERROR(IF(DG$7&gt;$D$3,"",IF(AY41="OD","OD",IF(AY41="Missed","Missed",IF(AY41="TBC","TBC",IF(AY41="Undefined","Undefined",IF(_xlfn.XLOOKUP(DG$7,'Product Eng - MB'!$M$6:$BM$6,'Product Eng - MB'!$M$18:$BM$18)=0,100%,_xlfn.XLOOKUP(DG$7,'Product Eng - MB'!$M$6:$BM$6,'Product Eng - MB'!$M$17:$BM$17)/_xlfn.XLOOKUP(DG$7,'Product Eng - MB'!$M$6:$BM$6,'Product Eng - MB'!$M$18:$BM$18))))))),"")</f>
        <v>Missed</v>
      </c>
      <c r="DH41" s="315" t="str">
        <f>IFERROR(IF(DH$7&gt;$D$3,"",IF(AZ41="OD","OD",IF(AZ41="Missed","Missed",IF(AZ41="TBC","TBC",IF(AZ41="Undefined","Undefined",IF(_xlfn.XLOOKUP(DH$7,'Product Eng - MB'!$M$6:$BM$6,'Product Eng - MB'!$M$18:$BM$18)=0,100%,_xlfn.XLOOKUP(DH$7,'Product Eng - MB'!$M$6:$BM$6,'Product Eng - MB'!$M$17:$BM$17)/_xlfn.XLOOKUP(DH$7,'Product Eng - MB'!$M$6:$BM$6,'Product Eng - MB'!$M$18:$BM$18))))))),"")</f>
        <v>Missed</v>
      </c>
      <c r="DI41" s="315" t="str">
        <f>IFERROR(IF(DI$7&gt;$D$3,"",IF(BA41="OD","OD",IF(BA41="Missed","Missed",IF(BA41="TBC","TBC",IF(BA41="Undefined","Undefined",IF(_xlfn.XLOOKUP(DI$7,'Product Eng - MB'!$M$6:$BM$6,'Product Eng - MB'!$M$18:$BM$18)=0,100%,_xlfn.XLOOKUP(DI$7,'Product Eng - MB'!$M$6:$BM$6,'Product Eng - MB'!$M$17:$BM$17)/_xlfn.XLOOKUP(DI$7,'Product Eng - MB'!$M$6:$BM$6,'Product Eng - MB'!$M$18:$BM$18))))))),"")</f>
        <v>Missed</v>
      </c>
      <c r="DJ41" s="315">
        <f>IFERROR(IF(DJ$7&gt;$D$3,"",IF(BB41="OD","OD",IF(BB41="Missed","Missed",IF(BB41="TBC","TBC",IF(BB41="Undefined","Undefined",IF(_xlfn.XLOOKUP(DJ$7,'Product Eng - MB'!$M$6:$BM$6,'Product Eng - MB'!$M$18:$BM$18)=0,100%,_xlfn.XLOOKUP(DJ$7,'Product Eng - MB'!$M$6:$BM$6,'Product Eng - MB'!$M$17:$BM$17)/_xlfn.XLOOKUP(DJ$7,'Product Eng - MB'!$M$6:$BM$6,'Product Eng - MB'!$M$18:$BM$18))))))),"")</f>
        <v>0.8928571428571429</v>
      </c>
      <c r="DK41" s="315">
        <f>IFERROR(IF(DK$7&gt;$D$3,"",IF(BC41="OD","OD",IF(BC41="Missed","Missed",IF(BC41="TBC","TBC",IF(BC41="Undefined","Undefined",IF(_xlfn.XLOOKUP(DK$7,'Product Eng - MB'!$M$6:$BM$6,'Product Eng - MB'!$M$18:$BM$18)=0,100%,_xlfn.XLOOKUP(DK$7,'Product Eng - MB'!$M$6:$BM$6,'Product Eng - MB'!$M$17:$BM$17)/_xlfn.XLOOKUP(DK$7,'Product Eng - MB'!$M$6:$BM$6,'Product Eng - MB'!$M$18:$BM$18))))))),"")</f>
        <v>1</v>
      </c>
      <c r="DL41" s="315">
        <f>IFERROR(IF(DL$7&gt;$D$3,"",IF(BD41="OD","OD",IF(BD41="Missed","Missed",IF(BD41="TBC","TBC",IF(BD41="Undefined","Undefined",IF(_xlfn.XLOOKUP(DL$7,'Product Eng - MB'!$M$6:$BM$6,'Product Eng - MB'!$M$18:$BM$18)=0,100%,_xlfn.XLOOKUP(DL$7,'Product Eng - MB'!$M$6:$BM$6,'Product Eng - MB'!$M$17:$BM$17)/_xlfn.XLOOKUP(DL$7,'Product Eng - MB'!$M$6:$BM$6,'Product Eng - MB'!$M$18:$BM$18))))))),"")</f>
        <v>1</v>
      </c>
      <c r="DM41" s="315">
        <f>IFERROR(IF(DM$7&gt;$D$3,"",IF(BE41="OD","OD",IF(BE41="Missed","Missed",IF(BE41="TBC","TBC",IF(BE41="Undefined","Undefined",IF(_xlfn.XLOOKUP(DM$7,'Product Eng - MB'!$M$6:$BM$6,'Product Eng - MB'!$M$18:$BM$18)=0,100%,_xlfn.XLOOKUP(DM$7,'Product Eng - MB'!$M$6:$BM$6,'Product Eng - MB'!$M$17:$BM$17)/_xlfn.XLOOKUP(DM$7,'Product Eng - MB'!$M$6:$BM$6,'Product Eng - MB'!$M$18:$BM$18))))))),"")</f>
        <v>5</v>
      </c>
      <c r="DN41" s="315">
        <f>IFERROR(IF(DN$7&gt;$D$3,"",IF(BF41="OD","OD",IF(BF41="Missed","Missed",IF(BF41="TBC","TBC",IF(BF41="Undefined","Undefined",IF(_xlfn.XLOOKUP(DN$7,'Product Eng - MB'!$M$6:$BM$6,'Product Eng - MB'!$M$18:$BM$18)=0,100%,_xlfn.XLOOKUP(DN$7,'Product Eng - MB'!$M$6:$BM$6,'Product Eng - MB'!$M$17:$BM$17)/_xlfn.XLOOKUP(DN$7,'Product Eng - MB'!$M$6:$BM$6,'Product Eng - MB'!$M$18:$BM$18))))))),"")</f>
        <v>1.1904761904761905</v>
      </c>
      <c r="DO41" s="315">
        <f>IFERROR(IF(DO$7&gt;$D$3,"",IF(BG41="OD","OD",IF(BG41="Missed","Missed",IF(BG41="TBC","TBC",IF(BG41="Undefined","Undefined",IF(_xlfn.XLOOKUP(DO$7,'Product Eng - MB'!$M$6:$BM$6,'Product Eng - MB'!$M$18:$BM$18)=0,100%,_xlfn.XLOOKUP(DO$7,'Product Eng - MB'!$M$6:$BM$6,'Product Eng - MB'!$M$17:$BM$17)/_xlfn.XLOOKUP(DO$7,'Product Eng - MB'!$M$6:$BM$6,'Product Eng - MB'!$M$18:$BM$18))))))),"")</f>
        <v>4.166666666666667</v>
      </c>
      <c r="DP41" s="315">
        <f>IFERROR(IF(DP$7&gt;$D$3,"",IF(BH41="OD","OD",IF(BH41="Missed","Missed",IF(BH41="TBC","TBC",IF(BH41="Undefined","Undefined",IF(_xlfn.XLOOKUP(DP$7,'Product Eng - MB'!$M$6:$BM$6,'Product Eng - MB'!$M$18:$BM$18)=0,100%,_xlfn.XLOOKUP(DP$7,'Product Eng - MB'!$M$6:$BM$6,'Product Eng - MB'!$M$17:$BM$17)/_xlfn.XLOOKUP(DP$7,'Product Eng - MB'!$M$6:$BM$6,'Product Eng - MB'!$M$18:$BM$18))))))),"")</f>
        <v>0.625</v>
      </c>
      <c r="DQ41" s="315">
        <f>IFERROR(IF(DQ$7&gt;$D$3,"",IF(BI41="OD","OD",IF(BI41="Missed","Missed",IF(BI41="TBC","TBC",IF(BI41="Undefined","Undefined",IF(_xlfn.XLOOKUP(DQ$7,'Product Eng - MB'!$M$6:$BM$6,'Product Eng - MB'!$M$18:$BM$18)=0,100%,_xlfn.XLOOKUP(DQ$7,'Product Eng - MB'!$M$6:$BM$6,'Product Eng - MB'!$M$17:$BM$17)/_xlfn.XLOOKUP(DQ$7,'Product Eng - MB'!$M$6:$BM$6,'Product Eng - MB'!$M$18:$BM$18))))))),"")</f>
        <v>5</v>
      </c>
      <c r="DR41" s="315">
        <f>IFERROR(IF(DR$7&gt;$D$3,"",IF(BJ41="OD","OD",IF(BJ41="Missed","Missed",IF(BJ41="TBC","TBC",IF(BJ41="Undefined","Undefined",IF(_xlfn.XLOOKUP(DR$7,'Product Eng - MB'!$M$6:$BM$6,'Product Eng - MB'!$M$18:$BM$18)=0,100%,_xlfn.XLOOKUP(DR$7,'Product Eng - MB'!$M$6:$BM$6,'Product Eng - MB'!$M$17:$BM$17)/_xlfn.XLOOKUP(DR$7,'Product Eng - MB'!$M$6:$BM$6,'Product Eng - MB'!$M$18:$BM$18))))))),"")</f>
        <v>1.0416666666666667</v>
      </c>
      <c r="DS41" s="315">
        <f>IFERROR(IF(DS$7&gt;$D$3,"",IF(BK41="OD","OD",IF(BK41="Missed","Missed",IF(BK41="TBC","TBC",IF(BK41="Undefined","Undefined",IF(_xlfn.XLOOKUP(DS$7,'Product Eng - MB'!$M$6:$BM$6,'Product Eng - MB'!$M$18:$BM$18)=0,100%,_xlfn.XLOOKUP(DS$7,'Product Eng - MB'!$M$6:$BM$6,'Product Eng - MB'!$M$17:$BM$17)/_xlfn.XLOOKUP(DS$7,'Product Eng - MB'!$M$6:$BM$6,'Product Eng - MB'!$M$18:$BM$18))))))),"")</f>
        <v>1</v>
      </c>
      <c r="DT41" s="315">
        <f>IFERROR(IF(DT$7&gt;$D$3,"",IF(BL41="OD","OD",IF(BL41="Missed","Missed",IF(BL41="TBC","TBC",IF(BL41="Undefined","Undefined",IF(_xlfn.XLOOKUP(DT$7,'Product Eng - MB'!$M$6:$BM$6,'Product Eng - MB'!$M$18:$BM$18)=0,100%,_xlfn.XLOOKUP(DT$7,'Product Eng - MB'!$M$6:$BM$6,'Product Eng - MB'!$M$17:$BM$17)/_xlfn.XLOOKUP(DT$7,'Product Eng - MB'!$M$6:$BM$6,'Product Eng - MB'!$M$18:$BM$18))))))),"")</f>
        <v>3.125</v>
      </c>
      <c r="DU41" s="315">
        <f>IFERROR(IF(DU$7&gt;$D$3,"",IF(BM41="OD","OD",IF(BM41="Missed","Missed",IF(BM41="TBC","TBC",IF(BM41="Undefined","Undefined",IF(_xlfn.XLOOKUP(DU$7,'Product Eng - MB'!$M$6:$BM$6,'Product Eng - MB'!$M$18:$BM$18)=0,100%,_xlfn.XLOOKUP(DU$7,'Product Eng - MB'!$M$6:$BM$6,'Product Eng - MB'!$M$17:$BM$17)/_xlfn.XLOOKUP(DU$7,'Product Eng - MB'!$M$6:$BM$6,'Product Eng - MB'!$M$18:$BM$18))))))),"")</f>
        <v>1</v>
      </c>
      <c r="DV41" s="315">
        <f>IFERROR(IF(DV$7&gt;$D$3,"",IF(BN41="OD","OD",IF(BN41="Missed","Missed",IF(BN41="TBC","TBC",IF(BN41="Undefined","Undefined",IF(_xlfn.XLOOKUP(DV$7,'Product Eng - MB'!$M$6:$BM$6,'Product Eng - MB'!$M$18:$BM$18)=0,100%,_xlfn.XLOOKUP(DV$7,'Product Eng - MB'!$M$6:$BM$6,'Product Eng - MB'!$M$17:$BM$17)/_xlfn.XLOOKUP(DV$7,'Product Eng - MB'!$M$6:$BM$6,'Product Eng - MB'!$M$18:$BM$18))))))),"")</f>
        <v>1</v>
      </c>
      <c r="DW41" s="315">
        <f>IFERROR(IF(DW$7&gt;$D$3,"",IF(BO41="OD","OD",IF(BO41="Missed","Missed",IF(BO41="TBC","TBC",IF(BO41="Undefined","Undefined",IF(_xlfn.XLOOKUP(DW$7,'Product Eng - MB'!$M$6:$BM$6,'Product Eng - MB'!$M$18:$BM$18)=0,100%,_xlfn.XLOOKUP(DW$7,'Product Eng - MB'!$M$6:$BM$6,'Product Eng - MB'!$M$17:$BM$17)/_xlfn.XLOOKUP(DW$7,'Product Eng - MB'!$M$6:$BM$6,'Product Eng - MB'!$M$18:$BM$18))))))),"")</f>
        <v>5</v>
      </c>
      <c r="DX41" s="315">
        <f>IFERROR(IF(DX$7&gt;$D$3,"",IF(BP41="OD","OD",IF(BP41="Missed","Missed",IF(BP41="TBC","TBC",IF(BP41="Undefined","Undefined",IF(_xlfn.XLOOKUP(DX$7,'Product Eng - MB'!$M$6:$BM$6,'Product Eng - MB'!$M$18:$BM$18)=0,100%,_xlfn.XLOOKUP(DX$7,'Product Eng - MB'!$M$6:$BM$6,'Product Eng - MB'!$M$17:$BM$17)/_xlfn.XLOOKUP(DX$7,'Product Eng - MB'!$M$6:$BM$6,'Product Eng - MB'!$M$18:$BM$18))))))),"")</f>
        <v>3.125</v>
      </c>
      <c r="DY41" s="315">
        <f>IFERROR(IF(DY$7&gt;$D$3,"",IF(BQ41="OD","OD",IF(BQ41="Missed","Missed",IF(BQ41="TBC","TBC",IF(BQ41="Undefined","Undefined",IF(_xlfn.XLOOKUP(DY$7,'Product Eng - MB'!$M$6:$BM$6,'Product Eng - MB'!$M$18:$BM$18)=0,100%,_xlfn.XLOOKUP(DY$7,'Product Eng - MB'!$M$6:$BM$6,'Product Eng - MB'!$M$17:$BM$17)/_xlfn.XLOOKUP(DY$7,'Product Eng - MB'!$M$6:$BM$6,'Product Eng - MB'!$M$18:$BM$18))))))),"")</f>
        <v>1.1904761904761905</v>
      </c>
      <c r="DZ41" s="315">
        <f>IFERROR(IF(DZ$7&gt;$D$3,"",IF(BR41="OD","OD",IF(BR41="Missed","Missed",IF(BR41="TBC","TBC",IF(BR41="Undefined","Undefined",IF(_xlfn.XLOOKUP(DZ$7,'Product Eng - MB'!$M$6:$BM$6,'Product Eng - MB'!$M$18:$BM$18)=0,100%,_xlfn.XLOOKUP(DZ$7,'Product Eng - MB'!$M$6:$BM$6,'Product Eng - MB'!$M$17:$BM$17)/_xlfn.XLOOKUP(DZ$7,'Product Eng - MB'!$M$6:$BM$6,'Product Eng - MB'!$M$18:$BM$18))))))),"")</f>
        <v>1</v>
      </c>
      <c r="EA41" s="315">
        <f>IFERROR(IF(EA$7&gt;$D$3,"",IF(BS41="OD","OD",IF(BS41="Missed","Missed",IF(BS41="TBC","TBC",IF(BS41="Undefined","Undefined",IF(_xlfn.XLOOKUP(EA$7,'Product Eng - MB'!$M$6:$BM$6,'Product Eng - MB'!$M$18:$BM$18)=0,100%,_xlfn.XLOOKUP(EA$7,'Product Eng - MB'!$M$6:$BM$6,'Product Eng - MB'!$M$17:$BM$17)/_xlfn.XLOOKUP(EA$7,'Product Eng - MB'!$M$6:$BM$6,'Product Eng - MB'!$M$18:$BM$18))))))),"")</f>
        <v>1</v>
      </c>
      <c r="EB41" s="315">
        <f>IFERROR(IF(EB$7&gt;$D$3,"",IF(BT41="OD","OD",IF(BT41="Missed","Missed",IF(BT41="TBC","TBC",IF(BT41="Undefined","Undefined",IF(_xlfn.XLOOKUP(EB$7,'Product Eng - MB'!$M$6:$BM$6,'Product Eng - MB'!$M$18:$BM$18)=0,100%,_xlfn.XLOOKUP(EB$7,'Product Eng - MB'!$M$6:$BM$6,'Product Eng - MB'!$M$17:$BM$17)/_xlfn.XLOOKUP(EB$7,'Product Eng - MB'!$M$6:$BM$6,'Product Eng - MB'!$M$18:$BM$18))))))),"")</f>
        <v>1</v>
      </c>
      <c r="EC41" s="315">
        <f>IFERROR(IF(EC$7&gt;$D$3,"",IF(BU41="OD","OD",IF(BU41="Missed","Missed",IF(BU41="TBC","TBC",IF(BU41="Undefined","Undefined",IF(_xlfn.XLOOKUP(EC$7,'Product Eng - MB'!$M$6:$BM$6,'Product Eng - MB'!$M$18:$BM$18)=0,100%,_xlfn.XLOOKUP(EC$7,'Product Eng - MB'!$M$6:$BM$6,'Product Eng - MB'!$M$17:$BM$17)/_xlfn.XLOOKUP(EC$7,'Product Eng - MB'!$M$6:$BM$6,'Product Eng - MB'!$M$18:$BM$18))))))),"")</f>
        <v>1</v>
      </c>
      <c r="ED41" s="315">
        <f>IFERROR(IF(ED$7&gt;$D$3,"",IF(BV41="OD","OD",IF(BV41="Missed","Missed",IF(BV41="TBC","TBC",IF(BV41="Undefined","Undefined",IF(_xlfn.XLOOKUP(ED$7,'Product Eng - MB'!$M$6:$BM$6,'Product Eng - MB'!$M$18:$BM$18)=0,100%,_xlfn.XLOOKUP(ED$7,'Product Eng - MB'!$M$6:$BM$6,'Product Eng - MB'!$M$17:$BM$17)/_xlfn.XLOOKUP(ED$7,'Product Eng - MB'!$M$6:$BM$6,'Product Eng - MB'!$M$18:$BM$18))))))),"")</f>
        <v>0.53191489361702127</v>
      </c>
      <c r="EE41" s="315">
        <f>IFERROR(IF(EE$7&gt;$D$3,"",IF(BW41="OD","OD",IF(BW41="Missed","Missed",IF(BW41="TBC","TBC",IF(BW41="Undefined","Undefined",IF(_xlfn.XLOOKUP(EE$7,'Product Eng - MB'!$M$6:$BM$6,'Product Eng - MB'!$M$18:$BM$18)=0,100%,_xlfn.XLOOKUP(EE$7,'Product Eng - MB'!$M$6:$BM$6,'Product Eng - MB'!$M$17:$BM$17)/_xlfn.XLOOKUP(EE$7,'Product Eng - MB'!$M$6:$BM$6,'Product Eng - MB'!$M$18:$BM$18))))))),"")</f>
        <v>0.92592592592592582</v>
      </c>
      <c r="EF41" s="315">
        <f>IFERROR(IF(EF$7&gt;$D$3,"",IF(BX41="OD","OD",IF(BX41="Missed","Missed",IF(BX41="TBC","TBC",IF(BX41="Undefined","Undefined",IF(_xlfn.XLOOKUP(EF$7,'Product Eng - MB'!$M$6:$BM$6,'Product Eng - MB'!$M$18:$BM$18)=0,100%,_xlfn.XLOOKUP(EF$7,'Product Eng - MB'!$M$6:$BM$6,'Product Eng - MB'!$M$17:$BM$17)/_xlfn.XLOOKUP(EF$7,'Product Eng - MB'!$M$6:$BM$6,'Product Eng - MB'!$M$18:$BM$18))))))),"")</f>
        <v>3.125</v>
      </c>
      <c r="EG41" s="315">
        <f>IFERROR(IF(EG$7&gt;$D$3,"",IF(BY41="OD","OD",IF(BY41="Missed","Missed",IF(BY41="TBC","TBC",IF(BY41="Undefined","Undefined",IF(_xlfn.XLOOKUP(EG$7,'Product Eng - MB'!$M$6:$BM$6,'Product Eng - MB'!$M$18:$BM$18)=0,100%,_xlfn.XLOOKUP(EG$7,'Product Eng - MB'!$M$6:$BM$6,'Product Eng - MB'!$M$17:$BM$17)/_xlfn.XLOOKUP(EG$7,'Product Eng - MB'!$M$6:$BM$6,'Product Eng - MB'!$M$18:$BM$18))))))),"")</f>
        <v>1</v>
      </c>
      <c r="EH41" s="315">
        <f>IFERROR(IF(EH$7&gt;$D$3,"",IF(BZ41="OD","OD",IF(BZ41="Missed","Missed",IF(BZ41="TBC","TBC",IF(BZ41="Undefined","Undefined",IF(_xlfn.XLOOKUP(EH$7,'Product Eng - MB'!$M$6:$BM$6,'Product Eng - MB'!$M$18:$BM$18)=0,100%,_xlfn.XLOOKUP(EH$7,'Product Eng - MB'!$M$6:$BM$6,'Product Eng - MB'!$M$17:$BM$17)/_xlfn.XLOOKUP(EH$7,'Product Eng - MB'!$M$6:$BM$6,'Product Eng - MB'!$M$18:$BM$18))))))),"")</f>
        <v>1</v>
      </c>
      <c r="EI41" s="315">
        <f>IFERROR(IF(EI$7&gt;$D$3,"",IF(CA41="OD","OD",IF(CA41="Missed","Missed",IF(CA41="TBC","TBC",IF(CA41="Undefined","Undefined",IF(_xlfn.XLOOKUP(EI$7,'Product Eng - MB'!$M$6:$BM$6,'Product Eng - MB'!$M$18:$BM$18)=0,100%,_xlfn.XLOOKUP(EI$7,'Product Eng - MB'!$M$6:$BM$6,'Product Eng - MB'!$M$17:$BM$17)/_xlfn.XLOOKUP(EI$7,'Product Eng - MB'!$M$6:$BM$6,'Product Eng - MB'!$M$18:$BM$18))))))),"")</f>
        <v>12.5</v>
      </c>
      <c r="EJ41" s="315" t="str">
        <f>IFERROR(IF(EJ$7&gt;$D$3,"",IF(CB41="OD","OD",IF(CB41="Missed","Missed",IF(CB41="TBC","TBC",IF(CB41="Undefined","Undefined",IF(_xlfn.XLOOKUP(EJ$7,'Product Eng - MB'!$M$6:$BM$6,'Product Eng - MB'!$M$18:$BM$18)=0,100%,_xlfn.XLOOKUP(EJ$7,'Product Eng - MB'!$M$6:$BM$6,'Product Eng - MB'!$M$17:$BM$17)/_xlfn.XLOOKUP(EJ$7,'Product Eng - MB'!$M$6:$BM$6,'Product Eng - MB'!$M$18:$BM$18))))))),"")</f>
        <v>OD</v>
      </c>
      <c r="EK41" s="315" t="str">
        <f>IFERROR(IF(EK$7&gt;$D$3,"",IF(CC41="OD","OD",IF(CC41="Missed","Missed",IF(CC41="TBC","TBC",IF(CC41="Undefined","Undefined",IF(_xlfn.XLOOKUP(EK$7,'Product Eng - MB'!$M$6:$BM$6,'Product Eng - MB'!$M$18:$BM$18)=0,100%,_xlfn.XLOOKUP(EK$7,'Product Eng - MB'!$M$6:$BM$6,'Product Eng - MB'!$M$17:$BM$17)/_xlfn.XLOOKUP(EK$7,'Product Eng - MB'!$M$6:$BM$6,'Product Eng - MB'!$M$18:$BM$18))))))),"")</f>
        <v/>
      </c>
      <c r="EL41" s="315" t="str">
        <f>IFERROR(IF(EL$7&gt;$D$3,"",IF(CD41="OD","OD",IF(CD41="Missed","Missed",IF(CD41="TBC","TBC",IF(CD41="Undefined","Undefined",IF(_xlfn.XLOOKUP(EL$7,'Product Eng - MB'!$M$6:$BM$6,'Product Eng - MB'!$M$18:$BM$18)=0,100%,_xlfn.XLOOKUP(EL$7,'Product Eng - MB'!$M$6:$BM$6,'Product Eng - MB'!$M$17:$BM$17)/_xlfn.XLOOKUP(EL$7,'Product Eng - MB'!$M$6:$BM$6,'Product Eng - MB'!$M$18:$BM$18))))))),"")</f>
        <v/>
      </c>
      <c r="EM41" s="315" t="str">
        <f>IFERROR(IF(EM$7&gt;$D$3,"",IF(CE41="OD","OD",IF(CE41="Missed","Missed",IF(CE41="TBC","TBC",IF(CE41="Undefined","Undefined",IF(_xlfn.XLOOKUP(EM$7,'Product Eng - MB'!$M$6:$BM$6,'Product Eng - MB'!$M$18:$BM$18)=0,100%,_xlfn.XLOOKUP(EM$7,'Product Eng - MB'!$M$6:$BM$6,'Product Eng - MB'!$M$17:$BM$17)/_xlfn.XLOOKUP(EM$7,'Product Eng - MB'!$M$6:$BM$6,'Product Eng - MB'!$M$18:$BM$18))))))),"")</f>
        <v/>
      </c>
      <c r="EN41" s="315" t="str">
        <f>IFERROR(IF(EN$7&gt;$D$3,"",IF(CF41="OD","OD",IF(CF41="Missed","Missed",IF(CF41="TBC","TBC",IF(CF41="Undefined","Undefined",IF(_xlfn.XLOOKUP(EN$7,'Product Eng - MB'!$M$6:$BM$6,'Product Eng - MB'!$M$18:$BM$18)=0,100%,_xlfn.XLOOKUP(EN$7,'Product Eng - MB'!$M$6:$BM$6,'Product Eng - MB'!$M$17:$BM$17)/_xlfn.XLOOKUP(EN$7,'Product Eng - MB'!$M$6:$BM$6,'Product Eng - MB'!$M$18:$BM$18))))))),"")</f>
        <v/>
      </c>
      <c r="EO41" s="315" t="str">
        <f>IFERROR(IF(EO$7&gt;$D$3,"",IF(CG41="OD","OD",IF(CG41="Missed","Missed",IF(CG41="TBC","TBC",IF(CG41="Undefined","Undefined",IF(_xlfn.XLOOKUP(EO$7,'Product Eng - MB'!$M$6:$BM$6,'Product Eng - MB'!$M$18:$BM$18)=0,100%,_xlfn.XLOOKUP(EO$7,'Product Eng - MB'!$M$6:$BM$6,'Product Eng - MB'!$M$17:$BM$17)/_xlfn.XLOOKUP(EO$7,'Product Eng - MB'!$M$6:$BM$6,'Product Eng - MB'!$M$18:$BM$18))))))),"")</f>
        <v/>
      </c>
      <c r="EP41" s="315" t="str">
        <f>IFERROR(IF(EP$7&gt;$D$3,"",IF(CH41="OD","OD",IF(CH41="Missed","Missed",IF(CH41="TBC","TBC",IF(CH41="Undefined","Undefined",IF(_xlfn.XLOOKUP(EP$7,'Product Eng - MB'!$M$6:$BM$6,'Product Eng - MB'!$M$18:$BM$18)=0,100%,_xlfn.XLOOKUP(EP$7,'Product Eng - MB'!$M$6:$BM$6,'Product Eng - MB'!$M$17:$BM$17)/_xlfn.XLOOKUP(EP$7,'Product Eng - MB'!$M$6:$BM$6,'Product Eng - MB'!$M$18:$BM$18))))))),"")</f>
        <v/>
      </c>
      <c r="EQ41" s="315" t="str">
        <f>IFERROR(IF(EQ$7&gt;$D$3,"",IF(CI41="OD","OD",IF(CI41="Missed","Missed",IF(CI41="TBC","TBC",IF(CI41="Undefined","Undefined",IF(_xlfn.XLOOKUP(EQ$7,'Product Eng - MB'!$M$6:$BM$6,'Product Eng - MB'!$M$18:$BM$18)=0,100%,_xlfn.XLOOKUP(EQ$7,'Product Eng - MB'!$M$6:$BM$6,'Product Eng - MB'!$M$17:$BM$17)/_xlfn.XLOOKUP(EQ$7,'Product Eng - MB'!$M$6:$BM$6,'Product Eng - MB'!$M$18:$BM$18))))))),"")</f>
        <v/>
      </c>
      <c r="ER41" s="315" t="str">
        <f>IFERROR(IF(ER$7&gt;$D$3,"",IF(CJ41="OD","OD",IF(CJ41="Missed","Missed",IF(CJ41="TBC","TBC",IF(CJ41="Undefined","Undefined",IF(_xlfn.XLOOKUP(ER$7,'Product Eng - MB'!$M$6:$BM$6,'Product Eng - MB'!$M$18:$BM$18)=0,100%,_xlfn.XLOOKUP(ER$7,'Product Eng - MB'!$M$6:$BM$6,'Product Eng - MB'!$M$17:$BM$17)/_xlfn.XLOOKUP(ER$7,'Product Eng - MB'!$M$6:$BM$6,'Product Eng - MB'!$M$18:$BM$18))))))),"")</f>
        <v/>
      </c>
      <c r="ES41" s="315" t="str">
        <f>IFERROR(IF(ES$7&gt;$D$3,"",IF(CK41="OD","OD",IF(CK41="Missed","Missed",IF(CK41="TBC","TBC",IF(CK41="Undefined","Undefined",IF(_xlfn.XLOOKUP(ES$7,'Product Eng - MB'!$M$6:$BM$6,'Product Eng - MB'!$M$18:$BM$18)=0,100%,_xlfn.XLOOKUP(ES$7,'Product Eng - MB'!$M$6:$BM$6,'Product Eng - MB'!$M$17:$BM$17)/_xlfn.XLOOKUP(ES$7,'Product Eng - MB'!$M$6:$BM$6,'Product Eng - MB'!$M$18:$BM$18))))))),"")</f>
        <v/>
      </c>
      <c r="ET41" s="315" t="str">
        <f>IFERROR(IF(ET$7&gt;$D$3,"",IF(CL41="OD","OD",IF(CL41="Missed","Missed",IF(CL41="TBC","TBC",IF(CL41="Undefined","Undefined",IF(_xlfn.XLOOKUP(ET$7,'Product Eng - MB'!$M$6:$BM$6,'Product Eng - MB'!$M$18:$BM$18)=0,100%,_xlfn.XLOOKUP(ET$7,'Product Eng - MB'!$M$6:$BM$6,'Product Eng - MB'!$M$17:$BM$17)/_xlfn.XLOOKUP(ET$7,'Product Eng - MB'!$M$6:$BM$6,'Product Eng - MB'!$M$18:$BM$18))))))),"")</f>
        <v/>
      </c>
      <c r="EU41" s="315" t="str">
        <f>IFERROR(IF(EU$7&gt;$D$3,"",IF(CM41="OD","OD",IF(CM41="Missed","Missed",IF(CM41="TBC","TBC",IF(CM41="Undefined","Undefined",IF(_xlfn.XLOOKUP(EU$7,'Product Eng - MB'!$M$6:$BM$6,'Product Eng - MB'!$M$18:$BM$18)=0,100%,_xlfn.XLOOKUP(EU$7,'Product Eng - MB'!$M$6:$BM$6,'Product Eng - MB'!$M$17:$BM$17)/_xlfn.XLOOKUP(EU$7,'Product Eng - MB'!$M$6:$BM$6,'Product Eng - MB'!$M$18:$BM$18))))))),"")</f>
        <v/>
      </c>
      <c r="EW41" s="465" t="str">
        <f>+$A41</f>
        <v>Product Eng - MB-KPI Q1</v>
      </c>
      <c r="EX41" s="136" t="str">
        <f>+$C41</f>
        <v>KPI Q1</v>
      </c>
      <c r="EY41" s="144" t="str">
        <f>+$D41</f>
        <v>Quality</v>
      </c>
      <c r="EZ41" s="144" t="str">
        <f t="shared" si="118"/>
        <v>Quality Defects / Items Output as a percentage</v>
      </c>
      <c r="FA41" s="145" t="str">
        <f t="shared" si="119"/>
        <v>Percentage</v>
      </c>
      <c r="FB41" s="145" t="s">
        <v>251</v>
      </c>
      <c r="FC41" s="214" t="str">
        <f>IF(FC$7&gt;$D$3,"",IF($FA37&lt;FC$7,"OD",_xlfn.XLOOKUP(FC$7,'Product Eng - MB'!$M$6:$BM$6,'Product Eng - MB'!$M$18:$BM$18)))</f>
        <v>Blank</v>
      </c>
      <c r="FD41" s="214" t="str">
        <f>IF(FD$7&gt;$D$3,"",IF($FA37&lt;FD$7,"OD",_xlfn.XLOOKUP(FD$7,'Product Eng - MB'!$M$6:$BM$6,'Product Eng - MB'!$M$18:$BM$18)))</f>
        <v>Missed</v>
      </c>
      <c r="FE41" s="214" t="str">
        <f>IF(FE$7&gt;$D$3,"",IF($FA37&lt;FE$7,"OD",_xlfn.XLOOKUP(FE$7,'Product Eng - MB'!$M$6:$BM$6,'Product Eng - MB'!$M$18:$BM$18)))</f>
        <v>Missed</v>
      </c>
      <c r="FF41" s="214" t="str">
        <f>IF(FF$7&gt;$D$3,"",IF($FA37&lt;FF$7,"OD",_xlfn.XLOOKUP(FF$7,'Product Eng - MB'!$M$6:$BM$6,'Product Eng - MB'!$M$18:$BM$18)))</f>
        <v>Missed</v>
      </c>
      <c r="FG41" s="214" t="str">
        <f>IF(FG$7&gt;$D$3,"",IF($FA37&lt;FG$7,"OD",_xlfn.XLOOKUP(FG$7,'Product Eng - MB'!$M$6:$BM$6,'Product Eng - MB'!$M$18:$BM$18)))</f>
        <v>Missed</v>
      </c>
      <c r="FH41" s="214" t="str">
        <f>IF(FH$7&gt;$D$3,"",IF($FA37&lt;FH$7,"OD",_xlfn.XLOOKUP(FH$7,'Product Eng - MB'!$M$6:$BM$6,'Product Eng - MB'!$M$18:$BM$18)))</f>
        <v>Missed</v>
      </c>
      <c r="FI41" s="214" t="str">
        <f>IF(FI$7&gt;$D$3,"",IF($FA37&lt;FI$7,"OD",_xlfn.XLOOKUP(FI$7,'Product Eng - MB'!$M$6:$BM$6,'Product Eng - MB'!$M$18:$BM$18)))</f>
        <v>Missed</v>
      </c>
      <c r="FJ41" s="214" t="str">
        <f>IF(FJ$7&gt;$D$3,"",IF($FA37&lt;FJ$7,"OD",_xlfn.XLOOKUP(FJ$7,'Product Eng - MB'!$M$6:$BM$6,'Product Eng - MB'!$M$18:$BM$18)))</f>
        <v>Missed</v>
      </c>
      <c r="FK41" s="214" t="str">
        <f>IF(FK$7&gt;$D$3,"",IF($FA37&lt;FK$7,"OD",_xlfn.XLOOKUP(FK$7,'Product Eng - MB'!$M$6:$BM$6,'Product Eng - MB'!$M$18:$BM$18)))</f>
        <v>Missed</v>
      </c>
      <c r="FL41" s="214" t="str">
        <f>IF(FL$7&gt;$D$3,"",IF($FA37&lt;FL$7,"OD",_xlfn.XLOOKUP(FL$7,'Product Eng - MB'!$M$6:$BM$6,'Product Eng - MB'!$M$18:$BM$18)))</f>
        <v>Missed</v>
      </c>
      <c r="FM41" s="214" t="str">
        <f>IF(FM$7&gt;$D$3,"",IF($FA37&lt;FM$7,"OD",_xlfn.XLOOKUP(FM$7,'Product Eng - MB'!$M$6:$BM$6,'Product Eng - MB'!$M$18:$BM$18)))</f>
        <v>Missed</v>
      </c>
      <c r="FN41" s="214" t="str">
        <f>IF(FN$7&gt;$D$3,"",IF($FA37&lt;FN$7,"OD",_xlfn.XLOOKUP(FN$7,'Product Eng - MB'!$M$6:$BM$6,'Product Eng - MB'!$M$18:$BM$18)))</f>
        <v>Missed</v>
      </c>
      <c r="FO41" s="214" t="str">
        <f>IF(FO$7&gt;$D$3,"",IF($FA37&lt;FO$7,"OD",_xlfn.XLOOKUP(FO$7,'Product Eng - MB'!$M$6:$BM$6,'Product Eng - MB'!$M$18:$BM$18)))</f>
        <v>Missed</v>
      </c>
      <c r="FP41" s="214" t="str">
        <f>IF(FP$7&gt;$D$3,"",IF($FA37&lt;FP$7,"OD",_xlfn.XLOOKUP(FP$7,'Product Eng - MB'!$M$6:$BM$6,'Product Eng - MB'!$M$18:$BM$18)))</f>
        <v>Missed</v>
      </c>
      <c r="FQ41" s="214" t="str">
        <f>IF(FQ$7&gt;$D$3,"",IF($FA37&lt;FQ$7,"OD",_xlfn.XLOOKUP(FQ$7,'Product Eng - MB'!$M$6:$BM$6,'Product Eng - MB'!$M$18:$BM$18)))</f>
        <v>Missed</v>
      </c>
      <c r="FR41" s="214">
        <f>IF(FR$7&gt;$D$3,"",IF($FA37&lt;FR$7,"OD",_xlfn.XLOOKUP(FR$7,'Product Eng - MB'!$M$6:$BM$6,'Product Eng - MB'!$M$18:$BM$18)))</f>
        <v>2.8</v>
      </c>
      <c r="FS41" s="214">
        <f>IF(FS$7&gt;$D$3,"",IF($FA37&lt;FS$7,"OD",_xlfn.XLOOKUP(FS$7,'Product Eng - MB'!$M$6:$BM$6,'Product Eng - MB'!$M$18:$BM$18)))</f>
        <v>0</v>
      </c>
      <c r="FT41" s="214">
        <f>IF(FT$7&gt;$D$3,"",IF($FA37&lt;FT$7,"OD",_xlfn.XLOOKUP(FT$7,'Product Eng - MB'!$M$6:$BM$6,'Product Eng - MB'!$M$18:$BM$18)))</f>
        <v>0</v>
      </c>
      <c r="FU41" s="214">
        <f>IF(FU$7&gt;$D$3,"",IF($FA37&lt;FU$7,"OD",_xlfn.XLOOKUP(FU$7,'Product Eng - MB'!$M$6:$BM$6,'Product Eng - MB'!$M$18:$BM$18)))</f>
        <v>0.5</v>
      </c>
      <c r="FV41" s="214">
        <f>IF(FV$7&gt;$D$3,"",IF($FA37&lt;FV$7,"OD",_xlfn.XLOOKUP(FV$7,'Product Eng - MB'!$M$6:$BM$6,'Product Eng - MB'!$M$18:$BM$18)))</f>
        <v>2.1</v>
      </c>
      <c r="FW41" s="214">
        <f>IF(FW$7&gt;$D$3,"",IF($FA37&lt;FW$7,"OD",_xlfn.XLOOKUP(FW$7,'Product Eng - MB'!$M$6:$BM$6,'Product Eng - MB'!$M$18:$BM$18)))</f>
        <v>0.6</v>
      </c>
      <c r="FX41" s="214">
        <f>IF(FX$7&gt;$D$3,"",IF($FA37&lt;FX$7,"OD",_xlfn.XLOOKUP(FX$7,'Product Eng - MB'!$M$6:$BM$6,'Product Eng - MB'!$M$18:$BM$18)))</f>
        <v>4</v>
      </c>
      <c r="FY41" s="214">
        <f>IF(FY$7&gt;$D$3,"",IF($FA37&lt;FY$7,"OD",_xlfn.XLOOKUP(FY$7,'Product Eng - MB'!$M$6:$BM$6,'Product Eng - MB'!$M$18:$BM$18)))</f>
        <v>0.5</v>
      </c>
      <c r="FZ41" s="214">
        <f>IF(FZ$7&gt;$D$3,"",IF($FA37&lt;FZ$7,"OD",_xlfn.XLOOKUP(FZ$7,'Product Eng - MB'!$M$6:$BM$6,'Product Eng - MB'!$M$18:$BM$18)))</f>
        <v>2.4</v>
      </c>
      <c r="GA41" s="214">
        <f>IF(GA$7&gt;$D$3,"",IF($FA37&lt;GA$7,"OD",_xlfn.XLOOKUP(GA$7,'Product Eng - MB'!$M$6:$BM$6,'Product Eng - MB'!$M$18:$BM$18)))</f>
        <v>2.5</v>
      </c>
      <c r="GB41" s="214">
        <f>IF(GB$7&gt;$D$3,"",IF($FA37&lt;GB$7,"OD",_xlfn.XLOOKUP(GB$7,'Product Eng - MB'!$M$6:$BM$6,'Product Eng - MB'!$M$18:$BM$18)))</f>
        <v>0.8</v>
      </c>
      <c r="GC41" s="214">
        <f>IF(GC$7&gt;$D$3,"",IF($FA37&lt;GC$7,"OD",_xlfn.XLOOKUP(GC$7,'Product Eng - MB'!$M$6:$BM$6,'Product Eng - MB'!$M$18:$BM$18)))</f>
        <v>0</v>
      </c>
      <c r="GD41" s="214">
        <f>IF(GD$7&gt;$D$3,"",IF($FA37&lt;GD$7,"OD",_xlfn.XLOOKUP(GD$7,'Product Eng - MB'!$M$6:$BM$6,'Product Eng - MB'!$M$18:$BM$18)))</f>
        <v>0</v>
      </c>
      <c r="GE41" s="214">
        <f>IF(GE$7&gt;$D$3,"",IF($FA37&lt;GE$7,"OD",_xlfn.XLOOKUP(GE$7,'Product Eng - MB'!$M$6:$BM$6,'Product Eng - MB'!$M$18:$BM$18)))</f>
        <v>0.5</v>
      </c>
      <c r="GF41" s="214">
        <f>IF(GF$7&gt;$D$3,"",IF($FA37&lt;GF$7,"OD",_xlfn.XLOOKUP(GF$7,'Product Eng - MB'!$M$6:$BM$6,'Product Eng - MB'!$M$18:$BM$18)))</f>
        <v>0.8</v>
      </c>
      <c r="GG41" s="214">
        <f>IF(GG$7&gt;$D$3,"",IF($FA37&lt;GG$7,"OD",_xlfn.XLOOKUP(GG$7,'Product Eng - MB'!$M$6:$BM$6,'Product Eng - MB'!$M$18:$BM$18)))</f>
        <v>2.1</v>
      </c>
      <c r="GH41" s="214">
        <f>IF(GH$7&gt;$D$3,"",IF($FA37&lt;GH$7,"OD",_xlfn.XLOOKUP(GH$7,'Product Eng - MB'!$M$6:$BM$6,'Product Eng - MB'!$M$18:$BM$18)))</f>
        <v>0</v>
      </c>
      <c r="GI41" s="214">
        <f>IF(GI$7&gt;$D$3,"",IF($FA37&lt;GI$7,"OD",_xlfn.XLOOKUP(GI$7,'Product Eng - MB'!$M$6:$BM$6,'Product Eng - MB'!$M$18:$BM$18)))</f>
        <v>0</v>
      </c>
      <c r="GJ41" s="214">
        <f>IF(GJ$7&gt;$D$3,"",IF($FA37&lt;GJ$7,"OD",_xlfn.XLOOKUP(GJ$7,'Product Eng - MB'!$M$6:$BM$6,'Product Eng - MB'!$M$18:$BM$18)))</f>
        <v>0</v>
      </c>
      <c r="GK41" s="214">
        <f>IF(GK$7&gt;$D$3,"",IF($FA37&lt;GK$7,"OD",_xlfn.XLOOKUP(GK$7,'Product Eng - MB'!$M$6:$BM$6,'Product Eng - MB'!$M$18:$BM$18)))</f>
        <v>0</v>
      </c>
      <c r="GL41" s="214">
        <f>IF(GL$7&gt;$D$3,"",IF($FA37&lt;GL$7,"OD",_xlfn.XLOOKUP(GL$7,'Product Eng - MB'!$M$6:$BM$6,'Product Eng - MB'!$M$18:$BM$18)))</f>
        <v>4.7</v>
      </c>
      <c r="GM41" s="214">
        <f>IF(GM$7&gt;$D$3,"",IF($FA37&lt;GM$7,"OD",_xlfn.XLOOKUP(GM$7,'Product Eng - MB'!$M$6:$BM$6,'Product Eng - MB'!$M$18:$BM$18)))</f>
        <v>2.7</v>
      </c>
      <c r="GN41" s="214">
        <f>IF(GN$7&gt;$D$3,"",IF($FA37&lt;GN$7,"OD",_xlfn.XLOOKUP(GN$7,'Product Eng - MB'!$M$6:$BM$6,'Product Eng - MB'!$M$18:$BM$18)))</f>
        <v>0.8</v>
      </c>
      <c r="GO41" s="214">
        <f>IF(GO$7&gt;$D$3,"",IF($FA37&lt;GO$7,"OD",_xlfn.XLOOKUP(GO$7,'Product Eng - MB'!$M$6:$BM$6,'Product Eng - MB'!$M$18:$BM$18)))</f>
        <v>0</v>
      </c>
      <c r="GP41" s="214">
        <f>IF(GP$7&gt;$D$3,"",IF($FA37&lt;GP$7,"OD",_xlfn.XLOOKUP(GP$7,'Product Eng - MB'!$M$6:$BM$6,'Product Eng - MB'!$M$18:$BM$18)))</f>
        <v>0</v>
      </c>
      <c r="GQ41" s="214">
        <f>IF(GQ$7&gt;$D$3,"",IF($FA37&lt;GQ$7,"OD",_xlfn.XLOOKUP(GQ$7,'Product Eng - MB'!$M$6:$BM$6,'Product Eng - MB'!$M$18:$BM$18)))</f>
        <v>0.2</v>
      </c>
      <c r="GR41" s="214">
        <f>IF(GR$7&gt;$D$3,"",IF($FA37&lt;GR$7,"OD",_xlfn.XLOOKUP(GR$7,'Product Eng - MB'!$M$6:$BM$6,'Product Eng - MB'!$M$18:$BM$18)))</f>
        <v>0</v>
      </c>
      <c r="GS41" s="214" t="str">
        <f>IF(GS$7&gt;$D$3,"",IF($FA37&lt;GS$7,"OD",_xlfn.XLOOKUP(GS$7,'Product Eng - MB'!$M$6:$BM$6,'Product Eng - MB'!$M$18:$BM$18)))</f>
        <v/>
      </c>
      <c r="GT41" s="214" t="str">
        <f>IF(GT$7&gt;$D$3,"",IF($FA37&lt;GT$7,"OD",_xlfn.XLOOKUP(GT$7,'Product Eng - MB'!$M$6:$BM$6,'Product Eng - MB'!$M$18:$BM$18)))</f>
        <v/>
      </c>
      <c r="GU41" s="214" t="str">
        <f>IF(GU$7&gt;$D$3,"",IF($FA37&lt;GU$7,"OD",_xlfn.XLOOKUP(GU$7,'Product Eng - MB'!$M$6:$BM$6,'Product Eng - MB'!$M$18:$BM$18)))</f>
        <v/>
      </c>
      <c r="GV41" s="214" t="str">
        <f>IF(GV$7&gt;$D$3,"",IF($FA37&lt;GV$7,"OD",_xlfn.XLOOKUP(GV$7,'Product Eng - MB'!$M$6:$BM$6,'Product Eng - MB'!$M$18:$BM$18)))</f>
        <v/>
      </c>
      <c r="GW41" s="214" t="str">
        <f>IF(GW$7&gt;$D$3,"",IF($FA37&lt;GW$7,"OD",_xlfn.XLOOKUP(GW$7,'Product Eng - MB'!$M$6:$BM$6,'Product Eng - MB'!$M$18:$BM$18)))</f>
        <v/>
      </c>
      <c r="GX41" s="214" t="str">
        <f>IF(GX$7&gt;$D$3,"",IF($FA37&lt;GX$7,"OD",_xlfn.XLOOKUP(GX$7,'Product Eng - MB'!$M$6:$BM$6,'Product Eng - MB'!$M$18:$BM$18)))</f>
        <v/>
      </c>
      <c r="GY41" s="214" t="str">
        <f>IF(GY$7&gt;$D$3,"",IF($FA37&lt;GY$7,"OD",_xlfn.XLOOKUP(GY$7,'Product Eng - MB'!$M$6:$BM$6,'Product Eng - MB'!$M$18:$BM$18)))</f>
        <v/>
      </c>
      <c r="GZ41" s="214" t="str">
        <f>IF(GZ$7&gt;$D$3,"",IF($FA37&lt;GZ$7,"OD",_xlfn.XLOOKUP(GZ$7,'Product Eng - MB'!$M$6:$BM$6,'Product Eng - MB'!$M$18:$BM$18)))</f>
        <v/>
      </c>
      <c r="HA41" s="214" t="str">
        <f>IF(HA$7&gt;$D$3,"",IF($FA37&lt;HA$7,"OD",_xlfn.XLOOKUP(HA$7,'Product Eng - MB'!$M$6:$BM$6,'Product Eng - MB'!$M$18:$BM$18)))</f>
        <v/>
      </c>
      <c r="HB41" s="214" t="str">
        <f>IF(HB$7&gt;$D$3,"",IF($FA37&lt;HB$7,"OD",_xlfn.XLOOKUP(HB$7,'Product Eng - MB'!$M$6:$BM$6,'Product Eng - MB'!$M$18:$BM$18)))</f>
        <v/>
      </c>
      <c r="HC41" s="214" t="str">
        <f>IF(HC$7&gt;$D$3,"",IF($FA37&lt;HC$7,"OD",_xlfn.XLOOKUP(HC$7,'Product Eng - MB'!$M$6:$BM$6,'Product Eng - MB'!$M$18:$BM$18)))</f>
        <v/>
      </c>
      <c r="HE41" s="136" t="str">
        <f>+$C41</f>
        <v>KPI Q1</v>
      </c>
      <c r="HF41" s="144" t="str">
        <f>+$D41</f>
        <v>Quality</v>
      </c>
      <c r="HG41" s="144" t="str">
        <f t="shared" si="122"/>
        <v>Quality Defects / Items Output as a percentage</v>
      </c>
      <c r="HH41" s="145" t="str">
        <f t="shared" si="123"/>
        <v>Percentage</v>
      </c>
      <c r="HI41" s="145" t="s">
        <v>44</v>
      </c>
      <c r="HJ41" s="223" t="s">
        <v>122</v>
      </c>
      <c r="HK41" s="214">
        <f>IF(HK$7&gt;$D$3,"",IF($FA37&lt;HK$7,"OD",_xlfn.XLOOKUP(HK$7,'Product Eng - MB'!$M$6:$BM$6,'Product Eng - MB'!$M$17:$BM$17)))</f>
        <v>2.5</v>
      </c>
      <c r="HL41" s="214">
        <f>IF(HL$7&gt;$D$3,"",IF($FA37&lt;HL$7,"OD",_xlfn.XLOOKUP(HL$7,'Product Eng - MB'!$M$6:$BM$6,'Product Eng - MB'!$M$17:$BM$17)))</f>
        <v>2.5</v>
      </c>
      <c r="HM41" s="214">
        <f>IF(HM$7&gt;$D$3,"",IF($FA37&lt;HM$7,"OD",_xlfn.XLOOKUP(HM$7,'Product Eng - MB'!$M$6:$BM$6,'Product Eng - MB'!$M$17:$BM$17)))</f>
        <v>2.5</v>
      </c>
      <c r="HN41" s="214">
        <f>IF(HN$7&gt;$D$3,"",IF($FA37&lt;HN$7,"OD",_xlfn.XLOOKUP(HN$7,'Product Eng - MB'!$M$6:$BM$6,'Product Eng - MB'!$M$17:$BM$17)))</f>
        <v>2.5</v>
      </c>
      <c r="HO41" s="214">
        <f>IF(HO$7&gt;$D$3,"",IF($FA37&lt;HO$7,"OD",_xlfn.XLOOKUP(HO$7,'Product Eng - MB'!$M$6:$BM$6,'Product Eng - MB'!$M$17:$BM$17)))</f>
        <v>2.5</v>
      </c>
      <c r="HP41" s="214">
        <f>IF(HP$7&gt;$D$3,"",IF($FA37&lt;HP$7,"OD",_xlfn.XLOOKUP(HP$7,'Product Eng - MB'!$M$6:$BM$6,'Product Eng - MB'!$M$17:$BM$17)))</f>
        <v>2.5</v>
      </c>
      <c r="HQ41" s="214">
        <f>IF(HQ$7&gt;$D$3,"",IF($FA37&lt;HQ$7,"OD",_xlfn.XLOOKUP(HQ$7,'Product Eng - MB'!$M$6:$BM$6,'Product Eng - MB'!$M$17:$BM$17)))</f>
        <v>2.5</v>
      </c>
      <c r="HR41" s="214">
        <f>IF(HR$7&gt;$D$3,"",IF($FA37&lt;HR$7,"OD",_xlfn.XLOOKUP(HR$7,'Product Eng - MB'!$M$6:$BM$6,'Product Eng - MB'!$M$17:$BM$17)))</f>
        <v>2.5</v>
      </c>
      <c r="HS41" s="214">
        <f>IF(HS$7&gt;$D$3,"",IF($FA37&lt;HS$7,"OD",_xlfn.XLOOKUP(HS$7,'Product Eng - MB'!$M$6:$BM$6,'Product Eng - MB'!$M$17:$BM$17)))</f>
        <v>2.5</v>
      </c>
      <c r="HT41" s="214">
        <f>IF(HT$7&gt;$D$3,"",IF($FA37&lt;HT$7,"OD",_xlfn.XLOOKUP(HT$7,'Product Eng - MB'!$M$6:$BM$6,'Product Eng - MB'!$M$17:$BM$17)))</f>
        <v>2.5</v>
      </c>
      <c r="HU41" s="214">
        <f>IF(HU$7&gt;$D$3,"",IF($FA37&lt;HU$7,"OD",_xlfn.XLOOKUP(HU$7,'Product Eng - MB'!$M$6:$BM$6,'Product Eng - MB'!$M$17:$BM$17)))</f>
        <v>2.5</v>
      </c>
      <c r="HV41" s="214">
        <f>IF(HV$7&gt;$D$3,"",IF($FA37&lt;HV$7,"OD",_xlfn.XLOOKUP(HV$7,'Product Eng - MB'!$M$6:$BM$6,'Product Eng - MB'!$M$17:$BM$17)))</f>
        <v>2.5</v>
      </c>
      <c r="HW41" s="214">
        <f>IF(HW$7&gt;$D$3,"",IF($FA37&lt;HW$7,"OD",_xlfn.XLOOKUP(HW$7,'Product Eng - MB'!$M$6:$BM$6,'Product Eng - MB'!$M$17:$BM$17)))</f>
        <v>2.5</v>
      </c>
      <c r="HX41" s="214">
        <f>IF(HX$7&gt;$D$3,"",IF($FA37&lt;HX$7,"OD",_xlfn.XLOOKUP(HX$7,'Product Eng - MB'!$M$6:$BM$6,'Product Eng - MB'!$M$17:$BM$17)))</f>
        <v>2.5</v>
      </c>
      <c r="HY41" s="214">
        <f>IF(HY$7&gt;$D$3,"",IF($FA37&lt;HY$7,"OD",_xlfn.XLOOKUP(HY$7,'Product Eng - MB'!$M$6:$BM$6,'Product Eng - MB'!$M$17:$BM$17)))</f>
        <v>2.5</v>
      </c>
      <c r="HZ41" s="214">
        <f>IF(HZ$7&gt;$D$3,"",IF($FA37&lt;HZ$7,"OD",_xlfn.XLOOKUP(HZ$7,'Product Eng - MB'!$M$6:$BM$6,'Product Eng - MB'!$M$17:$BM$17)))</f>
        <v>2.5</v>
      </c>
      <c r="IA41" s="214">
        <f>IF(IA$7&gt;$D$3,"",IF($FA37&lt;IA$7,"OD",_xlfn.XLOOKUP(IA$7,'Product Eng - MB'!$M$6:$BM$6,'Product Eng - MB'!$M$17:$BM$17)))</f>
        <v>2.5</v>
      </c>
      <c r="IB41" s="214">
        <f>IF(IB$7&gt;$D$3,"",IF($FA37&lt;IB$7,"OD",_xlfn.XLOOKUP(IB$7,'Product Eng - MB'!$M$6:$BM$6,'Product Eng - MB'!$M$17:$BM$17)))</f>
        <v>2.5</v>
      </c>
      <c r="IC41" s="214">
        <f>IF(IC$7&gt;$D$3,"",IF($FA37&lt;IC$7,"OD",_xlfn.XLOOKUP(IC$7,'Product Eng - MB'!$M$6:$BM$6,'Product Eng - MB'!$M$17:$BM$17)))</f>
        <v>2.5</v>
      </c>
      <c r="ID41" s="214">
        <f>IF(ID$7&gt;$D$3,"",IF($FA37&lt;ID$7,"OD",_xlfn.XLOOKUP(ID$7,'Product Eng - MB'!$M$6:$BM$6,'Product Eng - MB'!$M$17:$BM$17)))</f>
        <v>2.5</v>
      </c>
      <c r="IE41" s="214">
        <f>IF(IE$7&gt;$D$3,"",IF($FA37&lt;IE$7,"OD",_xlfn.XLOOKUP(IE$7,'Product Eng - MB'!$M$6:$BM$6,'Product Eng - MB'!$M$17:$BM$17)))</f>
        <v>2.5</v>
      </c>
      <c r="IF41" s="214">
        <f>IF(IF$7&gt;$D$3,"",IF($FA37&lt;IF$7,"OD",_xlfn.XLOOKUP(IF$7,'Product Eng - MB'!$M$6:$BM$6,'Product Eng - MB'!$M$17:$BM$17)))</f>
        <v>2.5</v>
      </c>
      <c r="IG41" s="214">
        <f>IF(IG$7&gt;$D$3,"",IF($FA37&lt;IG$7,"OD",_xlfn.XLOOKUP(IG$7,'Product Eng - MB'!$M$6:$BM$6,'Product Eng - MB'!$M$17:$BM$17)))</f>
        <v>2.5</v>
      </c>
      <c r="IH41" s="214">
        <f>IF(IH$7&gt;$D$3,"",IF($FA37&lt;IH$7,"OD",_xlfn.XLOOKUP(IH$7,'Product Eng - MB'!$M$6:$BM$6,'Product Eng - MB'!$M$17:$BM$17)))</f>
        <v>2.5</v>
      </c>
      <c r="II41" s="214">
        <f>IF(II$7&gt;$D$3,"",IF($FA37&lt;II$7,"OD",_xlfn.XLOOKUP(II$7,'Product Eng - MB'!$M$6:$BM$6,'Product Eng - MB'!$M$17:$BM$17)))</f>
        <v>2.5</v>
      </c>
      <c r="IJ41" s="214">
        <f>IF(IJ$7&gt;$D$3,"",IF($FA37&lt;IJ$7,"OD",_xlfn.XLOOKUP(IJ$7,'Product Eng - MB'!$M$6:$BM$6,'Product Eng - MB'!$M$17:$BM$17)))</f>
        <v>2.5</v>
      </c>
      <c r="IK41" s="214">
        <f>IF(IK$7&gt;$D$3,"",IF($FA37&lt;IK$7,"OD",_xlfn.XLOOKUP(IK$7,'Product Eng - MB'!$M$6:$BM$6,'Product Eng - MB'!$M$17:$BM$17)))</f>
        <v>2.5</v>
      </c>
      <c r="IL41" s="214">
        <f>IF(IL$7&gt;$D$3,"",IF($FA37&lt;IL$7,"OD",_xlfn.XLOOKUP(IL$7,'Product Eng - MB'!$M$6:$BM$6,'Product Eng - MB'!$M$17:$BM$17)))</f>
        <v>2.5</v>
      </c>
      <c r="IM41" s="214">
        <f>IF(IM$7&gt;$D$3,"",IF($FA37&lt;IM$7,"OD",_xlfn.XLOOKUP(IM$7,'Product Eng - MB'!$M$6:$BM$6,'Product Eng - MB'!$M$17:$BM$17)))</f>
        <v>2.5</v>
      </c>
      <c r="IN41" s="214">
        <f>IF(IN$7&gt;$D$3,"",IF($FA37&lt;IN$7,"OD",_xlfn.XLOOKUP(IN$7,'Product Eng - MB'!$M$6:$BM$6,'Product Eng - MB'!$M$17:$BM$17)))</f>
        <v>2.5</v>
      </c>
      <c r="IO41" s="214">
        <f>IF(IO$7&gt;$D$3,"",IF($FA37&lt;IO$7,"OD",_xlfn.XLOOKUP(IO$7,'Product Eng - MB'!$M$6:$BM$6,'Product Eng - MB'!$M$17:$BM$17)))</f>
        <v>2.5</v>
      </c>
      <c r="IP41" s="214">
        <f>IF(IP$7&gt;$D$3,"",IF($FA37&lt;IP$7,"OD",_xlfn.XLOOKUP(IP$7,'Product Eng - MB'!$M$6:$BM$6,'Product Eng - MB'!$M$17:$BM$17)))</f>
        <v>2.5</v>
      </c>
      <c r="IQ41" s="214">
        <f>IF(IQ$7&gt;$D$3,"",IF($FA37&lt;IQ$7,"OD",_xlfn.XLOOKUP(IQ$7,'Product Eng - MB'!$M$6:$BM$6,'Product Eng - MB'!$M$17:$BM$17)))</f>
        <v>2.5</v>
      </c>
      <c r="IR41" s="214">
        <f>IF(IR$7&gt;$D$3,"",IF($FA37&lt;IR$7,"OD",_xlfn.XLOOKUP(IR$7,'Product Eng - MB'!$M$6:$BM$6,'Product Eng - MB'!$M$17:$BM$17)))</f>
        <v>2.5</v>
      </c>
      <c r="IS41" s="214">
        <f>IF(IS$7&gt;$D$3,"",IF($FA37&lt;IS$7,"OD",_xlfn.XLOOKUP(IS$7,'Product Eng - MB'!$M$6:$BM$6,'Product Eng - MB'!$M$17:$BM$17)))</f>
        <v>2.5</v>
      </c>
      <c r="IT41" s="214">
        <f>IF(IT$7&gt;$D$3,"",IF($FA37&lt;IT$7,"OD",_xlfn.XLOOKUP(IT$7,'Product Eng - MB'!$M$6:$BM$6,'Product Eng - MB'!$M$17:$BM$17)))</f>
        <v>2.5</v>
      </c>
      <c r="IU41" s="214">
        <f>IF(IU$7&gt;$D$3,"",IF($FA37&lt;IU$7,"OD",_xlfn.XLOOKUP(IU$7,'Product Eng - MB'!$M$6:$BM$6,'Product Eng - MB'!$M$17:$BM$17)))</f>
        <v>2.5</v>
      </c>
      <c r="IV41" s="214">
        <f>IF(IV$7&gt;$D$3,"",IF($FA37&lt;IV$7,"OD",_xlfn.XLOOKUP(IV$7,'Product Eng - MB'!$M$6:$BM$6,'Product Eng - MB'!$M$17:$BM$17)))</f>
        <v>2.5</v>
      </c>
      <c r="IW41" s="214">
        <f>IF(IW$7&gt;$D$3,"",IF($FA37&lt;IW$7,"OD",_xlfn.XLOOKUP(IW$7,'Product Eng - MB'!$M$6:$BM$6,'Product Eng - MB'!$M$17:$BM$17)))</f>
        <v>2.5</v>
      </c>
      <c r="IX41" s="214">
        <f>IF(IX$7&gt;$D$3,"",IF($FA37&lt;IX$7,"OD",_xlfn.XLOOKUP(IX$7,'Product Eng - MB'!$M$6:$BM$6,'Product Eng - MB'!$M$17:$BM$17)))</f>
        <v>2.5</v>
      </c>
      <c r="IY41" s="214">
        <f>IF(IY$7&gt;$D$3,"",IF($FA37&lt;IY$7,"OD",_xlfn.XLOOKUP(IY$7,'Product Eng - MB'!$M$6:$BM$6,'Product Eng - MB'!$M$17:$BM$17)))</f>
        <v>2.5</v>
      </c>
      <c r="IZ41" s="214" t="str">
        <f>IF(IZ$7&gt;$D$3,"",IF($FA37&lt;IZ$7,"OD",_xlfn.XLOOKUP(IZ$7,'Product Eng - MB'!$M$6:$BM$6,'Product Eng - MB'!$M$17:$BM$17)))</f>
        <v/>
      </c>
      <c r="JA41" s="214" t="str">
        <f>IF(JA$7&gt;$D$3,"",IF($FA37&lt;JA$7,"OD",_xlfn.XLOOKUP(JA$7,'Product Eng - MB'!$M$6:$BM$6,'Product Eng - MB'!$M$17:$BM$17)))</f>
        <v/>
      </c>
      <c r="JB41" s="214" t="str">
        <f>IF(JB$7&gt;$D$3,"",IF($FA37&lt;JB$7,"OD",_xlfn.XLOOKUP(JB$7,'Product Eng - MB'!$M$6:$BM$6,'Product Eng - MB'!$M$17:$BM$17)))</f>
        <v/>
      </c>
      <c r="JC41" s="214" t="str">
        <f>IF(JC$7&gt;$D$3,"",IF($FA37&lt;JC$7,"OD",_xlfn.XLOOKUP(JC$7,'Product Eng - MB'!$M$6:$BM$6,'Product Eng - MB'!$M$17:$BM$17)))</f>
        <v/>
      </c>
      <c r="JD41" s="214" t="str">
        <f>IF(JD$7&gt;$D$3,"",IF($FA37&lt;JD$7,"OD",_xlfn.XLOOKUP(JD$7,'Product Eng - MB'!$M$6:$BM$6,'Product Eng - MB'!$M$17:$BM$17)))</f>
        <v/>
      </c>
      <c r="JE41" s="214" t="str">
        <f>IF(JE$7&gt;$D$3,"",IF($FA37&lt;JE$7,"OD",_xlfn.XLOOKUP(JE$7,'Product Eng - MB'!$M$6:$BM$6,'Product Eng - MB'!$M$17:$BM$17)))</f>
        <v/>
      </c>
      <c r="JF41" s="214" t="str">
        <f>IF(JF$7&gt;$D$3,"",IF($FA37&lt;JF$7,"OD",_xlfn.XLOOKUP(JF$7,'Product Eng - MB'!$M$6:$BM$6,'Product Eng - MB'!$M$17:$BM$17)))</f>
        <v/>
      </c>
      <c r="JG41" s="214" t="str">
        <f>IF(JG$7&gt;$D$3,"",IF($FA37&lt;JG$7,"OD",_xlfn.XLOOKUP(JG$7,'Product Eng - MB'!$M$6:$BM$6,'Product Eng - MB'!$M$17:$BM$17)))</f>
        <v/>
      </c>
      <c r="JH41" s="214" t="str">
        <f>IF(JH$7&gt;$D$3,"",IF($FA37&lt;JH$7,"OD",_xlfn.XLOOKUP(JH$7,'Product Eng - MB'!$M$6:$BM$6,'Product Eng - MB'!$M$17:$BM$17)))</f>
        <v/>
      </c>
      <c r="JI41" s="214" t="str">
        <f>IF(JI$7&gt;$D$3,"",IF($FA37&lt;JI$7,"OD",_xlfn.XLOOKUP(JI$7,'Product Eng - MB'!$M$6:$BM$6,'Product Eng - MB'!$M$17:$BM$17)))</f>
        <v/>
      </c>
      <c r="JJ41" s="214" t="str">
        <f>IF(JJ$7&gt;$D$3,"",IF($FA37&lt;JJ$7,"OD",_xlfn.XLOOKUP(JJ$7,'Product Eng - MB'!$M$6:$BM$6,'Product Eng - MB'!$M$17:$BM$17)))</f>
        <v/>
      </c>
      <c r="JM41" s="136" t="str">
        <f>+$C41</f>
        <v>KPI Q1</v>
      </c>
      <c r="JN41" s="144" t="str">
        <f>+$D41</f>
        <v>Quality</v>
      </c>
      <c r="JO41" s="144" t="str">
        <f t="shared" si="127"/>
        <v>Quality Defects / Items Output as a percentage</v>
      </c>
      <c r="JP41" s="145" t="str">
        <f t="shared" si="128"/>
        <v>Percentage</v>
      </c>
      <c r="JQ41" s="145" t="s">
        <v>284</v>
      </c>
      <c r="JR41" s="226" t="str">
        <f>IFERROR(AVERAGE(FC41:$FC41),"")</f>
        <v/>
      </c>
      <c r="JS41" s="226" t="str">
        <f>IFERROR(AVERAGE($FC41:FD41),"")</f>
        <v/>
      </c>
      <c r="JT41" s="226" t="str">
        <f>IFERROR(AVERAGE($FC41:FE41),"")</f>
        <v/>
      </c>
      <c r="JU41" s="226" t="str">
        <f>IFERROR(AVERAGE($FC41:FF41),"")</f>
        <v/>
      </c>
      <c r="JV41" s="226" t="str">
        <f>IFERROR(AVERAGE($FC41:FG41),"")</f>
        <v/>
      </c>
      <c r="JW41" s="226" t="str">
        <f>IFERROR(AVERAGE($FC41:FH41),"")</f>
        <v/>
      </c>
      <c r="JX41" s="226" t="str">
        <f>IFERROR(AVERAGE($FC41:FI41),"")</f>
        <v/>
      </c>
      <c r="JY41" s="226" t="str">
        <f>IFERROR(AVERAGE($FC41:FJ41),"")</f>
        <v/>
      </c>
      <c r="JZ41" s="226" t="str">
        <f>IFERROR(AVERAGE($FC41:FK41),"")</f>
        <v/>
      </c>
      <c r="KA41" s="226" t="str">
        <f>IFERROR(AVERAGE($FC41:FL41),"")</f>
        <v/>
      </c>
      <c r="KB41" s="226" t="str">
        <f>IFERROR(AVERAGE($FC41:FM41),"")</f>
        <v/>
      </c>
      <c r="KC41" s="226" t="str">
        <f>IFERROR(AVERAGE($FC41:FN41),"")</f>
        <v/>
      </c>
      <c r="KD41" s="226" t="str">
        <f>IFERROR(AVERAGE($FC41:FO41),"")</f>
        <v/>
      </c>
      <c r="KE41" s="226" t="str">
        <f>IFERROR(AVERAGE($FC41:FP41),"")</f>
        <v/>
      </c>
      <c r="KF41" s="226" t="str">
        <f>IFERROR(AVERAGE($FC41:FQ41),"")</f>
        <v/>
      </c>
      <c r="KG41" s="226">
        <f>IFERROR(AVERAGE($FC41:FR41),"")</f>
        <v>2.8</v>
      </c>
      <c r="KH41" s="226">
        <f>IFERROR(AVERAGE($FC41:FS41),"")</f>
        <v>1.4</v>
      </c>
      <c r="KI41" s="226">
        <f>IFERROR(AVERAGE($FC41:FT41),"")</f>
        <v>0.93333333333333324</v>
      </c>
      <c r="KJ41" s="226">
        <f>IFERROR(AVERAGE($FC41:FU41),"")</f>
        <v>0.82499999999999996</v>
      </c>
      <c r="KK41" s="226">
        <f>IFERROR(AVERAGE($FC41:FV41),"")</f>
        <v>1.08</v>
      </c>
      <c r="KL41" s="226">
        <f>IFERROR(AVERAGE($FC41:FW41),"")</f>
        <v>1</v>
      </c>
      <c r="KM41" s="226">
        <f>IFERROR(AVERAGE($FC41:FX41),"")</f>
        <v>1.4285714285714286</v>
      </c>
      <c r="KN41" s="226">
        <f>IFERROR(AVERAGE($FC41:FY41),"")</f>
        <v>1.3125</v>
      </c>
      <c r="KO41" s="226">
        <f>IFERROR(AVERAGE($FC41:FZ41),"")</f>
        <v>1.4333333333333333</v>
      </c>
      <c r="KP41" s="226">
        <f>IFERROR(AVERAGE($FC41:GA41),"")</f>
        <v>1.54</v>
      </c>
      <c r="KQ41" s="226">
        <f>IFERROR(AVERAGE($FC41:GB41),"")</f>
        <v>1.4727272727272727</v>
      </c>
      <c r="KR41" s="226">
        <f>IFERROR(AVERAGE($FC41:GC41),"")</f>
        <v>1.3499999999999999</v>
      </c>
      <c r="KS41" s="226">
        <f>IFERROR(AVERAGE($FC41:GD41),"")</f>
        <v>1.2461538461538462</v>
      </c>
      <c r="KT41" s="226">
        <f>IFERROR(AVERAGE($FC41:GE41),"")</f>
        <v>1.1928571428571428</v>
      </c>
      <c r="KU41" s="226">
        <f>IFERROR(AVERAGE($FC41:GF41),"")</f>
        <v>1.1666666666666667</v>
      </c>
      <c r="KV41" s="226">
        <f>IFERROR(AVERAGE($FC41:GG41),"")</f>
        <v>1.2250000000000001</v>
      </c>
      <c r="KW41" s="226">
        <f>IFERROR(AVERAGE($FC41:GH41),"")</f>
        <v>1.1529411764705884</v>
      </c>
      <c r="KX41" s="226">
        <f>IFERROR(AVERAGE($FC41:GI41),"")</f>
        <v>1.088888888888889</v>
      </c>
      <c r="KY41" s="226">
        <f>IFERROR(AVERAGE($FC41:GJ41),"")</f>
        <v>1.0315789473684212</v>
      </c>
      <c r="KZ41" s="226">
        <f>IFERROR(AVERAGE($FC41:GK41),"")</f>
        <v>0.98000000000000009</v>
      </c>
      <c r="LA41" s="226">
        <f>IFERROR(AVERAGE($FC41:GL41),"")</f>
        <v>1.1571428571428573</v>
      </c>
      <c r="LB41" s="226">
        <f>IFERROR(AVERAGE($FC41:GM41),"")</f>
        <v>1.2272727272727273</v>
      </c>
      <c r="LC41" s="226">
        <f>IFERROR(AVERAGE($FC41:GN41),"")</f>
        <v>1.2086956521739132</v>
      </c>
      <c r="LD41" s="226">
        <f>IFERROR(AVERAGE($FC41:GO41),"")</f>
        <v>1.1583333333333334</v>
      </c>
      <c r="LE41" s="226">
        <f>IFERROR(AVERAGE($FC41:GP41),"")</f>
        <v>1.1120000000000001</v>
      </c>
      <c r="LF41" s="226">
        <f>IFERROR(AVERAGE($FC41:GQ41),"")</f>
        <v>1.0769230769230769</v>
      </c>
      <c r="LG41" s="226">
        <f>IFERROR(AVERAGE($FC41:GR41),"")</f>
        <v>1.037037037037037</v>
      </c>
      <c r="LH41" s="226">
        <f>IFERROR(AVERAGE($FC41:GS41),"")</f>
        <v>1.037037037037037</v>
      </c>
      <c r="LI41" s="226">
        <f>IFERROR(AVERAGE($FC41:GT41),"")</f>
        <v>1.037037037037037</v>
      </c>
      <c r="LJ41" s="226">
        <f>IFERROR(AVERAGE($FC41:GU41),"")</f>
        <v>1.037037037037037</v>
      </c>
      <c r="LK41" s="226">
        <f>IFERROR(AVERAGE($FC41:GV41),"")</f>
        <v>1.037037037037037</v>
      </c>
      <c r="LL41" s="226">
        <f>IFERROR(AVERAGE($FC41:GW41),"")</f>
        <v>1.037037037037037</v>
      </c>
      <c r="LM41" s="226">
        <f>IFERROR(AVERAGE($FC41:GX41),"")</f>
        <v>1.037037037037037</v>
      </c>
      <c r="LN41" s="226">
        <f>IFERROR(AVERAGE($FC41:GY41),"")</f>
        <v>1.037037037037037</v>
      </c>
      <c r="LO41" s="226">
        <f>IFERROR(AVERAGE($FC41:GZ41),"")</f>
        <v>1.037037037037037</v>
      </c>
      <c r="LP41" s="226">
        <f>IFERROR(AVERAGE($FC41:HA41),"")</f>
        <v>1.037037037037037</v>
      </c>
      <c r="LQ41" s="226">
        <f>IFERROR(AVERAGE($FC41:HB41),"")</f>
        <v>1.037037037037037</v>
      </c>
      <c r="LR41" s="226">
        <f>IFERROR(AVERAGE($FC41:HC41),"")</f>
        <v>1.037037037037037</v>
      </c>
      <c r="LT41" s="136" t="str">
        <f>+$C41</f>
        <v>KPI Q1</v>
      </c>
      <c r="LU41" s="144" t="str">
        <f>+$D41</f>
        <v>Quality</v>
      </c>
      <c r="LV41" s="144" t="str">
        <f t="shared" si="131"/>
        <v>Quality Defects / Items Output as a percentage</v>
      </c>
      <c r="LW41" s="145" t="str">
        <f t="shared" si="132"/>
        <v>Percentage</v>
      </c>
      <c r="LX41" s="145" t="s">
        <v>285</v>
      </c>
      <c r="LY41" s="214" t="str">
        <f>IFERROR(AVERAGE($HJ41:HJ41),"")</f>
        <v/>
      </c>
      <c r="LZ41" s="214">
        <f>IFERROR(IF(LAD$7&gt;$D$3,"",AVERAGE($HJ41:HK41)),"")</f>
        <v>2.5</v>
      </c>
      <c r="MA41" s="214">
        <f>IFERROR(IF(MA$7&gt;$D$3,"",AVERAGE($HJ41:HL41)),"")</f>
        <v>2.5</v>
      </c>
      <c r="MB41" s="214">
        <f>IFERROR(IF(MB$7&gt;$D$3,"",AVERAGE($HJ41:HM41)),"")</f>
        <v>2.5</v>
      </c>
      <c r="MC41" s="214">
        <f>IFERROR(IF(MC$7&gt;$D$3,"",AVERAGE($HJ41:HN41)),"")</f>
        <v>2.5</v>
      </c>
      <c r="MD41" s="214">
        <f>IFERROR(IF(MD$7&gt;$D$3,"",AVERAGE($HJ41:HO41)),"")</f>
        <v>2.5</v>
      </c>
      <c r="ME41" s="214">
        <f>IFERROR(IF(ME$7&gt;$D$3,"",AVERAGE($HJ41:HP41)),"")</f>
        <v>2.5</v>
      </c>
      <c r="MF41" s="214">
        <f>IFERROR(IF(MF$7&gt;$D$3,"",AVERAGE($HJ41:HQ41)),"")</f>
        <v>2.5</v>
      </c>
      <c r="MG41" s="214">
        <f>IFERROR(IF(MG$7&gt;$D$3,"",AVERAGE($HJ41:HR41)),"")</f>
        <v>2.5</v>
      </c>
      <c r="MH41" s="214">
        <f>IFERROR(IF(MH$7&gt;$D$3,"",AVERAGE($HJ41:HS41)),"")</f>
        <v>2.5</v>
      </c>
      <c r="MI41" s="214">
        <f>IFERROR(IF(MI$7&gt;$D$3,"",AVERAGE($HJ41:HT41)),"")</f>
        <v>2.5</v>
      </c>
      <c r="MJ41" s="214">
        <f>IFERROR(IF(MJ$7&gt;$D$3,"",AVERAGE($HJ41:HU41)),"")</f>
        <v>2.5</v>
      </c>
      <c r="MK41" s="214">
        <f>IFERROR(IF(MK$7&gt;$D$3,"",AVERAGE($HJ41:HV41)),"")</f>
        <v>2.5</v>
      </c>
      <c r="ML41" s="214">
        <f>IFERROR(IF(ML$7&gt;$D$3,"",AVERAGE($HJ41:HW41)),"")</f>
        <v>2.5</v>
      </c>
      <c r="MM41" s="214">
        <f>IFERROR(IF(MM$7&gt;$D$3,"",AVERAGE($HJ41:HX41)),"")</f>
        <v>2.5</v>
      </c>
      <c r="MN41" s="214">
        <f>IFERROR(IF(MN$7&gt;$D$3,"",AVERAGE($HJ41:HY41)),"")</f>
        <v>2.5</v>
      </c>
      <c r="MO41" s="214">
        <f>IFERROR(IF(MO$7&gt;$D$3,"",AVERAGE($HJ41:HZ41)),"")</f>
        <v>2.5</v>
      </c>
      <c r="MP41" s="214">
        <f>IFERROR(IF(MP$7&gt;$D$3,"",AVERAGE($HJ41:IA41)),"")</f>
        <v>2.5</v>
      </c>
      <c r="MQ41" s="214">
        <f>IFERROR(IF(MQ$7&gt;$D$3,"",AVERAGE($HJ41:IB41)),"")</f>
        <v>2.5</v>
      </c>
      <c r="MR41" s="214">
        <f>IFERROR(IF(MR$7&gt;$D$3,"",AVERAGE($HJ41:IC41)),"")</f>
        <v>2.5</v>
      </c>
      <c r="MS41" s="214">
        <f>IFERROR(IF(MS$7&gt;$D$3,"",AVERAGE($HJ41:ID41)),"")</f>
        <v>2.5</v>
      </c>
      <c r="MT41" s="214">
        <f>IFERROR(IF(MT$7&gt;$D$3,"",AVERAGE($HJ41:IE41)),"")</f>
        <v>2.5</v>
      </c>
      <c r="MU41" s="214">
        <f>IFERROR(IF(MU$7&gt;$D$3,"",AVERAGE($HJ41:IF41)),"")</f>
        <v>2.5</v>
      </c>
      <c r="MV41" s="214">
        <f>IFERROR(IF(MV$7&gt;$D$3,"",AVERAGE($HJ41:IG41)),"")</f>
        <v>2.5</v>
      </c>
      <c r="MW41" s="214">
        <f>IFERROR(IF(MW$7&gt;$D$3,"",AVERAGE($HJ41:IH41)),"")</f>
        <v>2.5</v>
      </c>
      <c r="MX41" s="214">
        <f>IFERROR(IF(MX$7&gt;$D$3,"",AVERAGE($HJ41:II41)),"")</f>
        <v>2.5</v>
      </c>
      <c r="MY41" s="214">
        <f>IFERROR(IF(MY$7&gt;$D$3,"",AVERAGE($HJ41:IJ41)),"")</f>
        <v>2.5</v>
      </c>
      <c r="MZ41" s="214">
        <f>IFERROR(IF(MZ$7&gt;$D$3,"",AVERAGE($HJ41:IK41)),"")</f>
        <v>2.5</v>
      </c>
      <c r="NA41" s="214">
        <f>IFERROR(IF(NA$7&gt;$D$3,"",AVERAGE($HJ41:IL41)),"")</f>
        <v>2.5</v>
      </c>
      <c r="NB41" s="214">
        <f>IFERROR(IF(NB$7&gt;$D$3,"",AVERAGE($HJ41:IM41)),"")</f>
        <v>2.5</v>
      </c>
      <c r="NC41" s="214">
        <f>IFERROR(IF(NC$7&gt;$D$3,"",AVERAGE($HJ41:IN41)),"")</f>
        <v>2.5</v>
      </c>
      <c r="ND41" s="214">
        <f>IFERROR(IF(ND$7&gt;$D$3,"",AVERAGE($HJ41:IO41)),"")</f>
        <v>2.5</v>
      </c>
      <c r="NE41" s="214">
        <f>IFERROR(IF(NE$7&gt;$D$3,"",AVERAGE($HJ41:IP41)),"")</f>
        <v>2.5</v>
      </c>
      <c r="NF41" s="214">
        <f>IFERROR(IF(NF$7&gt;$D$3,"",AVERAGE($HJ41:IQ41)),"")</f>
        <v>2.5</v>
      </c>
      <c r="NG41" s="214">
        <f>IFERROR(IF(NG$7&gt;$D$3,"",AVERAGE($HJ41:IR41)),"")</f>
        <v>2.5</v>
      </c>
      <c r="NH41" s="214">
        <f>IFERROR(IF(NH$7&gt;$D$3,"",AVERAGE($HJ41:IS41)),"")</f>
        <v>2.5</v>
      </c>
      <c r="NI41" s="214">
        <f>IFERROR(IF(NI$7&gt;$D$3,"",AVERAGE($HJ41:IT41)),"")</f>
        <v>2.5</v>
      </c>
      <c r="NJ41" s="214">
        <f>IFERROR(IF(NJ$7&gt;$D$3,"",AVERAGE($HJ41:IU41)),"")</f>
        <v>2.5</v>
      </c>
      <c r="NK41" s="214">
        <f>IFERROR(IF(NK$7&gt;$D$3,"",AVERAGE($HJ41:IV41)),"")</f>
        <v>2.5</v>
      </c>
      <c r="NL41" s="214">
        <f>IFERROR(IF(NL$7&gt;$D$3,"",AVERAGE($HJ41:IW41)),"")</f>
        <v>2.5</v>
      </c>
      <c r="NM41" s="214">
        <f>IFERROR(IF(NM$7&gt;$D$3,"",AVERAGE($HJ41:IX41)),"")</f>
        <v>2.5</v>
      </c>
      <c r="NN41" s="214">
        <f>IFERROR(IF(NN$7&gt;$D$3,"",AVERAGE($HJ41:IY41)),"")</f>
        <v>2.5</v>
      </c>
      <c r="NO41" s="214" t="str">
        <f>IFERROR(IF(NO$7&gt;$D$3,"",AVERAGE($HJ41:IZ41)),"")</f>
        <v/>
      </c>
      <c r="NP41" s="214" t="str">
        <f>IFERROR(IF(NP$7&gt;$D$3,"",AVERAGE($HJ41:JA41)),"")</f>
        <v/>
      </c>
      <c r="NQ41" s="214" t="str">
        <f>IFERROR(IF(NQ$7&gt;$D$3,"",AVERAGE($HJ41:JB41)),"")</f>
        <v/>
      </c>
      <c r="NR41" s="214" t="str">
        <f>IFERROR(IF(NR$7&gt;$D$3,"",AVERAGE($HJ41:JC41)),"")</f>
        <v/>
      </c>
      <c r="NS41" s="214" t="str">
        <f>IFERROR(IF(NS$7&gt;$D$3,"",AVERAGE($HJ41:JD41)),"")</f>
        <v/>
      </c>
      <c r="NT41" s="214" t="str">
        <f>IFERROR(IF(NT$7&gt;$D$3,"",AVERAGE($HJ41:JE41)),"")</f>
        <v/>
      </c>
      <c r="NU41" s="214" t="str">
        <f>IFERROR(IF(NU$7&gt;$D$3,"",AVERAGE($HJ41:JF41)),"")</f>
        <v/>
      </c>
      <c r="NV41" s="214" t="str">
        <f>IFERROR(IF(NV$7&gt;$D$3,"",AVERAGE($HJ41:JG41)),"")</f>
        <v/>
      </c>
      <c r="NW41" s="214" t="str">
        <f>IFERROR(IF(NW$7&gt;$D$3,"",AVERAGE($HJ41:JH41)),"")</f>
        <v/>
      </c>
      <c r="NX41" s="214" t="str">
        <f>IFERROR(IF(NX$7&gt;$D$3,"",AVERAGE($HJ41:JI41)),"")</f>
        <v/>
      </c>
      <c r="NY41" s="214" t="str">
        <f>IFERROR(IF(NY$7&gt;$D$3,"",AVERAGE($HJ41:JJ41)),"")</f>
        <v/>
      </c>
    </row>
    <row r="42" spans="1:389" ht="15" thickBot="1" x14ac:dyDescent="0.35">
      <c r="A42" t="str">
        <f>$B$37&amp;"-"&amp;C42</f>
        <v>Product Eng - MB-KPI C1</v>
      </c>
      <c r="B42" s="138"/>
      <c r="C42" s="138" t="str">
        <f>+'KPI Stats'!C47</f>
        <v>KPI C1</v>
      </c>
      <c r="D42" s="146" t="str">
        <f>+'KPI Stats'!D47</f>
        <v>Cost</v>
      </c>
      <c r="E42" s="146" t="str">
        <f>+'KPI Stats'!E47</f>
        <v>Cost Transfer Value per Day</v>
      </c>
      <c r="F42" s="147" t="str">
        <f>+'KPI Stats'!F47</f>
        <v>£s</v>
      </c>
      <c r="G42" s="170" t="str">
        <f>+'KPI Stats'!G47</f>
        <v>Over</v>
      </c>
      <c r="J42" s="160" t="str">
        <f>_xlfn.XLOOKUP(J$7,$AM$7:$CM$7,$AM42:$CM42,,FALSE)</f>
        <v>OD</v>
      </c>
      <c r="K42" s="266">
        <f>_xlfn.XLOOKUP(K$7,$FC$7:$HC$7,$FC42:$HC42,,FALSE)</f>
        <v>0</v>
      </c>
      <c r="L42" s="279">
        <f>_xlfn.XLOOKUP(L$7,$HJ$7:$JJ$7,$HJ42:$JJ42,,FALSE)</f>
        <v>40</v>
      </c>
      <c r="M42" s="286" t="str">
        <f>_xlfn.XLOOKUP(M$7,$CU$7:$EU$7,$CU42:$EU42,,FALSE)</f>
        <v>OD</v>
      </c>
      <c r="P42" s="160" t="str">
        <f>_xlfn.XLOOKUP(P$7,$AM$7:$CM$7,$AM42:$CM42,,FALSE)</f>
        <v>OD</v>
      </c>
      <c r="Q42" s="266">
        <f t="shared" si="135"/>
        <v>0</v>
      </c>
      <c r="R42" s="279">
        <f t="shared" si="135"/>
        <v>10</v>
      </c>
      <c r="S42" s="266" t="str">
        <f t="shared" si="136"/>
        <v>OD</v>
      </c>
      <c r="T42" s="279">
        <f t="shared" si="136"/>
        <v>0.25</v>
      </c>
      <c r="U42" s="296" t="str">
        <f>IF(F37&lt;$R$2,"Not Complete",IF(Q42=R42,"Same −",IF($G42="Over",IF(Q42&lt;R42,"Better ↑","Worse ↓"),IF($G42="Under",IF(Q42&gt;R42,"Better ↑","Worse ↓"),"err"))))</f>
        <v>Better ↑</v>
      </c>
      <c r="X42" s="160" t="str">
        <f t="shared" si="137"/>
        <v>G</v>
      </c>
      <c r="Y42" s="164">
        <f>_xlfn.XLOOKUP(Y$7,$JR$7:$LR$7,$JR42:$LR42,FALSE)</f>
        <v>35.614634146341466</v>
      </c>
      <c r="Z42" s="164">
        <f>_xlfn.XLOOKUP(Z$7,$LY$7:$NY$7,$LY42:$NY42,FALSE)</f>
        <v>40</v>
      </c>
      <c r="AA42" s="165">
        <f>IF(G42="Undefined","",IF(G42="under",Y42/Z42,IF(G42="over",Z42/Y42,"err")))</f>
        <v>1.1231338172853034</v>
      </c>
      <c r="AB42" s="296" t="str">
        <f>IF(F37&lt;$R$2,"TBC",IF(Y42=Z42,"Same −",IF($G42="Over",IF(Z42&lt;Y42,"Better ↑ ","Worse ↓ "),IF($G42="Under",IF(Y42&gt;Z42,"Better ↑ ","Worse ↓ "),"err"))))</f>
        <v xml:space="preserve">Worse ↓ </v>
      </c>
      <c r="AC42" s="160" t="str">
        <f>IF(AND(G42="above adero",AD42&gt;0),"R",IF(AF42&gt;1,"G",IF(AF42&gt;0.95,"A","R")))</f>
        <v>G</v>
      </c>
      <c r="AD42" s="164">
        <f>_xlfn.XLOOKUP(AD$7,$JR$7:$LR$7,$JR42:$LR42,FALSE)</f>
        <v>36.505000000000003</v>
      </c>
      <c r="AE42" s="164">
        <f>_xlfn.XLOOKUP(AE$7,$LY$7:$NY$7,$LY42:$NY42,FALSE)</f>
        <v>40</v>
      </c>
      <c r="AF42" s="165">
        <f t="shared" si="140"/>
        <v>1.0957403095466374</v>
      </c>
      <c r="AH42" s="465" t="str">
        <f>+$A42</f>
        <v>Product Eng - MB-KPI C1</v>
      </c>
      <c r="AI42" s="138" t="str">
        <f t="shared" si="138"/>
        <v>KPI C1</v>
      </c>
      <c r="AJ42" s="146" t="str">
        <f t="shared" si="138"/>
        <v>Cost</v>
      </c>
      <c r="AK42" s="146" t="str">
        <f t="shared" si="114"/>
        <v>Cost Transfer Value per Day</v>
      </c>
      <c r="AL42" s="147" t="str">
        <f t="shared" si="114"/>
        <v>£s</v>
      </c>
      <c r="AM42" s="160" t="str">
        <f>IF(AM$7&gt;$D$3,"",_xlfn.XLOOKUP(AM$7,'Product Eng - MB'!$M$6:$BM$6,'Product Eng - MB'!$M$22:$BM$22))</f>
        <v>Blank</v>
      </c>
      <c r="AN42" s="200" t="str">
        <f>IF(AN$7&gt;$D$3,"",_xlfn.XLOOKUP(AN$7,'Product Eng - MB'!$M$6:$BM$6,'Product Eng - MB'!$M$22:$BM$22))</f>
        <v>R</v>
      </c>
      <c r="AO42" s="160" t="str">
        <f>IF(AO$7&gt;$D$3,"",_xlfn.XLOOKUP(AO$7,'Product Eng - MB'!$M$6:$BM$6,'Product Eng - MB'!$M$22:$BM$22))</f>
        <v>G</v>
      </c>
      <c r="AP42" s="160" t="str">
        <f>IF(AP$7&gt;$D$3,"",_xlfn.XLOOKUP(AP$7,'Product Eng - MB'!$M$6:$BM$6,'Product Eng - MB'!$M$22:$BM$22))</f>
        <v>R</v>
      </c>
      <c r="AQ42" s="160" t="str">
        <f>IF(AQ$7&gt;$D$3,"",_xlfn.XLOOKUP(AQ$7,'Product Eng - MB'!$M$6:$BM$6,'Product Eng - MB'!$M$22:$BM$22))</f>
        <v>G</v>
      </c>
      <c r="AR42" s="160" t="str">
        <f>IF(AR$7&gt;$D$3,"",_xlfn.XLOOKUP(AR$7,'Product Eng - MB'!$M$6:$BM$6,'Product Eng - MB'!$M$22:$BM$22))</f>
        <v>G</v>
      </c>
      <c r="AS42" s="160" t="str">
        <f>IF(AS$7&gt;$D$3,"",_xlfn.XLOOKUP(AS$7,'Product Eng - MB'!$M$6:$BM$6,'Product Eng - MB'!$M$22:$BM$22))</f>
        <v>G</v>
      </c>
      <c r="AT42" s="160" t="str">
        <f>IF(AT$7&gt;$D$3,"",_xlfn.XLOOKUP(AT$7,'Product Eng - MB'!$M$6:$BM$6,'Product Eng - MB'!$M$22:$BM$22))</f>
        <v>G</v>
      </c>
      <c r="AU42" s="160" t="str">
        <f>IF(AU$7&gt;$D$3,"",_xlfn.XLOOKUP(AU$7,'Product Eng - MB'!$M$6:$BM$6,'Product Eng - MB'!$M$22:$BM$22))</f>
        <v>G</v>
      </c>
      <c r="AV42" s="160" t="str">
        <f>IF(AV$7&gt;$D$3,"",_xlfn.XLOOKUP(AV$7,'Product Eng - MB'!$M$6:$BM$6,'Product Eng - MB'!$M$22:$BM$22))</f>
        <v>G</v>
      </c>
      <c r="AW42" s="160" t="str">
        <f>IF(AW$7&gt;$D$3,"",_xlfn.XLOOKUP(AW$7,'Product Eng - MB'!$M$6:$BM$6,'Product Eng - MB'!$M$22:$BM$22))</f>
        <v>G</v>
      </c>
      <c r="AX42" s="160" t="str">
        <f>IF(AX$7&gt;$D$3,"",_xlfn.XLOOKUP(AX$7,'Product Eng - MB'!$M$6:$BM$6,'Product Eng - MB'!$M$22:$BM$22))</f>
        <v>G</v>
      </c>
      <c r="AY42" s="160" t="str">
        <f>IF(AY$7&gt;$D$3,"",_xlfn.XLOOKUP(AY$7,'Product Eng - MB'!$M$6:$BM$6,'Product Eng - MB'!$M$22:$BM$22))</f>
        <v>G</v>
      </c>
      <c r="AZ42" s="160" t="str">
        <f>IF(AZ$7&gt;$D$3,"",_xlfn.XLOOKUP(AZ$7,'Product Eng - MB'!$M$6:$BM$6,'Product Eng - MB'!$M$22:$BM$22))</f>
        <v>G</v>
      </c>
      <c r="BA42" s="160" t="str">
        <f>IF(BA$7&gt;$D$3,"",_xlfn.XLOOKUP(BA$7,'Product Eng - MB'!$M$6:$BM$6,'Product Eng - MB'!$M$22:$BM$22))</f>
        <v>G</v>
      </c>
      <c r="BB42" s="160" t="str">
        <f>IF(BB$7&gt;$D$3,"",_xlfn.XLOOKUP(BB$7,'Product Eng - MB'!$M$6:$BM$6,'Product Eng - MB'!$M$22:$BM$22))</f>
        <v>G</v>
      </c>
      <c r="BC42" s="160" t="str">
        <f>IF(BC$7&gt;$D$3,"",_xlfn.XLOOKUP(BC$7,'Product Eng - MB'!$M$6:$BM$6,'Product Eng - MB'!$M$22:$BM$22))</f>
        <v>G</v>
      </c>
      <c r="BD42" s="160" t="str">
        <f>IF(BD$7&gt;$D$3,"",_xlfn.XLOOKUP(BD$7,'Product Eng - MB'!$M$6:$BM$6,'Product Eng - MB'!$M$22:$BM$22))</f>
        <v>G</v>
      </c>
      <c r="BE42" s="160" t="str">
        <f>IF(BE$7&gt;$D$3,"",_xlfn.XLOOKUP(BE$7,'Product Eng - MB'!$M$6:$BM$6,'Product Eng - MB'!$M$22:$BM$22))</f>
        <v>G</v>
      </c>
      <c r="BF42" s="160" t="str">
        <f>IF(BF$7&gt;$D$3,"",_xlfn.XLOOKUP(BF$7,'Product Eng - MB'!$M$6:$BM$6,'Product Eng - MB'!$M$22:$BM$22))</f>
        <v>G</v>
      </c>
      <c r="BG42" s="160" t="str">
        <f>IF(BG$7&gt;$D$3,"",_xlfn.XLOOKUP(BG$7,'Product Eng - MB'!$M$6:$BM$6,'Product Eng - MB'!$M$22:$BM$22))</f>
        <v>G</v>
      </c>
      <c r="BH42" s="160" t="str">
        <f>IF(BH$7&gt;$D$3,"",_xlfn.XLOOKUP(BH$7,'Product Eng - MB'!$M$6:$BM$6,'Product Eng - MB'!$M$22:$BM$22))</f>
        <v>G</v>
      </c>
      <c r="BI42" s="160" t="str">
        <f>IF(BI$7&gt;$D$3,"",_xlfn.XLOOKUP(BI$7,'Product Eng - MB'!$M$6:$BM$6,'Product Eng - MB'!$M$22:$BM$22))</f>
        <v>R</v>
      </c>
      <c r="BJ42" s="160" t="str">
        <f>IF(BJ$7&gt;$D$3,"",_xlfn.XLOOKUP(BJ$7,'Product Eng - MB'!$M$6:$BM$6,'Product Eng - MB'!$M$22:$BM$22))</f>
        <v>R</v>
      </c>
      <c r="BK42" s="160" t="str">
        <f>IF(BK$7&gt;$D$3,"",_xlfn.XLOOKUP(BK$7,'Product Eng - MB'!$M$6:$BM$6,'Product Eng - MB'!$M$22:$BM$22))</f>
        <v>G</v>
      </c>
      <c r="BL42" s="160" t="str">
        <f>IF(BL$7&gt;$D$3,"",_xlfn.XLOOKUP(BL$7,'Product Eng - MB'!$M$6:$BM$6,'Product Eng - MB'!$M$22:$BM$22))</f>
        <v>G</v>
      </c>
      <c r="BM42" s="160" t="str">
        <f>IF(BM$7&gt;$D$3,"",_xlfn.XLOOKUP(BM$7,'Product Eng - MB'!$M$6:$BM$6,'Product Eng - MB'!$M$22:$BM$22))</f>
        <v>G</v>
      </c>
      <c r="BN42" s="160" t="str">
        <f>IF(BN$7&gt;$D$3,"",_xlfn.XLOOKUP(BN$7,'Product Eng - MB'!$M$6:$BM$6,'Product Eng - MB'!$M$22:$BM$22))</f>
        <v>R</v>
      </c>
      <c r="BO42" s="160" t="str">
        <f>IF(BO$7&gt;$D$3,"",_xlfn.XLOOKUP(BO$7,'Product Eng - MB'!$M$6:$BM$6,'Product Eng - MB'!$M$22:$BM$22))</f>
        <v>R</v>
      </c>
      <c r="BP42" s="160" t="str">
        <f>IF(BP$7&gt;$D$3,"",_xlfn.XLOOKUP(BP$7,'Product Eng - MB'!$M$6:$BM$6,'Product Eng - MB'!$M$22:$BM$22))</f>
        <v>R</v>
      </c>
      <c r="BQ42" s="160" t="str">
        <f>IF(BQ$7&gt;$D$3,"",_xlfn.XLOOKUP(BQ$7,'Product Eng - MB'!$M$6:$BM$6,'Product Eng - MB'!$M$22:$BM$22))</f>
        <v>R</v>
      </c>
      <c r="BR42" s="160" t="str">
        <f>IF(BR$7&gt;$D$3,"",_xlfn.XLOOKUP(BR$7,'Product Eng - MB'!$M$6:$BM$6,'Product Eng - MB'!$M$22:$BM$22))</f>
        <v>R</v>
      </c>
      <c r="BS42" s="160" t="str">
        <f>IF(BS$7&gt;$D$3,"",_xlfn.XLOOKUP(BS$7,'Product Eng - MB'!$M$6:$BM$6,'Product Eng - MB'!$M$22:$BM$22))</f>
        <v>G</v>
      </c>
      <c r="BT42" s="160" t="str">
        <f>IF(BT$7&gt;$D$3,"",_xlfn.XLOOKUP(BT$7,'Product Eng - MB'!$M$6:$BM$6,'Product Eng - MB'!$M$22:$BM$22))</f>
        <v>G</v>
      </c>
      <c r="BU42" s="160" t="str">
        <f>IF(BU$7&gt;$D$3,"",_xlfn.XLOOKUP(BU$7,'Product Eng - MB'!$M$6:$BM$6,'Product Eng - MB'!$M$22:$BM$22))</f>
        <v>G</v>
      </c>
      <c r="BV42" s="160" t="str">
        <f>IF(BV$7&gt;$D$3,"",_xlfn.XLOOKUP(BV$7,'Product Eng - MB'!$M$6:$BM$6,'Product Eng - MB'!$M$22:$BM$22))</f>
        <v>G</v>
      </c>
      <c r="BW42" s="160" t="str">
        <f>IF(BW$7&gt;$D$3,"",_xlfn.XLOOKUP(BW$7,'Product Eng - MB'!$M$6:$BM$6,'Product Eng - MB'!$M$22:$BM$22))</f>
        <v>G</v>
      </c>
      <c r="BX42" s="160" t="str">
        <f>IF(BX$7&gt;$D$3,"",_xlfn.XLOOKUP(BX$7,'Product Eng - MB'!$M$6:$BM$6,'Product Eng - MB'!$M$22:$BM$22))</f>
        <v>G</v>
      </c>
      <c r="BY42" s="160" t="str">
        <f>IF(BY$7&gt;$D$3,"",_xlfn.XLOOKUP(BY$7,'Product Eng - MB'!$M$6:$BM$6,'Product Eng - MB'!$M$22:$BM$22))</f>
        <v>G</v>
      </c>
      <c r="BZ42" s="160" t="str">
        <f>IF(BZ$7&gt;$D$3,"",_xlfn.XLOOKUP(BZ$7,'Product Eng - MB'!$M$6:$BM$6,'Product Eng - MB'!$M$22:$BM$22))</f>
        <v>R</v>
      </c>
      <c r="CA42" s="160" t="str">
        <f>IF(CA$7&gt;$D$3,"",_xlfn.XLOOKUP(CA$7,'Product Eng - MB'!$M$6:$BM$6,'Product Eng - MB'!$M$22:$BM$22))</f>
        <v>G</v>
      </c>
      <c r="CB42" s="160" t="str">
        <f>IF(CB$7&gt;$D$3,"",_xlfn.XLOOKUP(CB$7,'Product Eng - MB'!$M$6:$BM$6,'Product Eng - MB'!$M$22:$BM$22))</f>
        <v>OD</v>
      </c>
      <c r="CC42" s="160" t="str">
        <f>IF(CC$7&gt;$D$3,"",_xlfn.XLOOKUP(CC$7,'Product Eng - MB'!$M$6:$BM$6,'Product Eng - MB'!$M$22:$BM$22))</f>
        <v/>
      </c>
      <c r="CD42" s="160" t="str">
        <f>IF(CD$7&gt;$D$3,"",_xlfn.XLOOKUP(CD$7,'Product Eng - MB'!$M$6:$BM$6,'Product Eng - MB'!$M$22:$BM$22))</f>
        <v/>
      </c>
      <c r="CE42" s="160" t="str">
        <f>IF(CE$7&gt;$D$3,"",_xlfn.XLOOKUP(CE$7,'Product Eng - MB'!$M$6:$BM$6,'Product Eng - MB'!$M$22:$BM$22))</f>
        <v/>
      </c>
      <c r="CF42" s="160" t="str">
        <f>IF(CF$7&gt;$D$3,"",_xlfn.XLOOKUP(CF$7,'Product Eng - MB'!$M$6:$BM$6,'Product Eng - MB'!$M$22:$BM$22))</f>
        <v/>
      </c>
      <c r="CG42" s="160" t="str">
        <f>IF(CG$7&gt;$D$3,"",_xlfn.XLOOKUP(CG$7,'Product Eng - MB'!$M$6:$BM$6,'Product Eng - MB'!$M$22:$BM$22))</f>
        <v/>
      </c>
      <c r="CH42" s="160" t="str">
        <f>IF(CH$7&gt;$D$3,"",_xlfn.XLOOKUP(CH$7,'Product Eng - MB'!$M$6:$BM$6,'Product Eng - MB'!$M$22:$BM$22))</f>
        <v/>
      </c>
      <c r="CI42" s="160" t="str">
        <f>IF(CI$7&gt;$D$3,"",_xlfn.XLOOKUP(CI$7,'Product Eng - MB'!$M$6:$BM$6,'Product Eng - MB'!$M$22:$BM$22))</f>
        <v/>
      </c>
      <c r="CJ42" s="160" t="str">
        <f>IF(CJ$7&gt;$D$3,"",_xlfn.XLOOKUP(CJ$7,'Product Eng - MB'!$M$6:$BM$6,'Product Eng - MB'!$M$22:$BM$22))</f>
        <v/>
      </c>
      <c r="CK42" s="160" t="str">
        <f>IF(CK$7&gt;$D$3,"",_xlfn.XLOOKUP(CK$7,'Product Eng - MB'!$M$6:$BM$6,'Product Eng - MB'!$M$22:$BM$22))</f>
        <v/>
      </c>
      <c r="CL42" s="160" t="str">
        <f>IF(CL$7&gt;$D$3,"",_xlfn.XLOOKUP(CL$7,'Product Eng - MB'!$M$6:$BM$6,'Product Eng - MB'!$M$22:$BM$22))</f>
        <v/>
      </c>
      <c r="CM42" s="160" t="str">
        <f>IF(CM$7&gt;$D$3,"",_xlfn.XLOOKUP(CM$7,'Product Eng - MB'!$M$6:$BM$6,'Product Eng - MB'!$M$22:$BM$22))</f>
        <v/>
      </c>
      <c r="CO42" s="465" t="str">
        <f>+$A42</f>
        <v>Product Eng - MB-KPI C1</v>
      </c>
      <c r="CP42" s="138" t="str">
        <f t="shared" si="139"/>
        <v>KPI C1</v>
      </c>
      <c r="CQ42" s="146" t="str">
        <f t="shared" si="139"/>
        <v>Cost</v>
      </c>
      <c r="CR42" s="146" t="str">
        <f t="shared" si="139"/>
        <v>Cost Transfer Value per Day</v>
      </c>
      <c r="CS42" s="147" t="str">
        <f t="shared" si="139"/>
        <v>£s</v>
      </c>
      <c r="CT42" s="208" t="s">
        <v>246</v>
      </c>
      <c r="CU42" s="160" t="str">
        <f>IF(CU$7&gt;$D$3,"",_xlfn.XLOOKUP(CU$7,'Product Eng - MB'!$M$6:$BM$6,'Product Eng - MB'!$M$22:$BM$22))</f>
        <v>Blank</v>
      </c>
      <c r="CV42" s="324" t="str">
        <f>IFERROR(IF(CV$7&gt;$D$3,"",IF(AN42="OD","OD",IF(AN41="Missed","Missed",IF(AN41="TBC","TBC",IF(AN41="Undefined","Undefined",_xlfn.XLOOKUP(CV$7,'Product Eng - MB'!$M$6:$BM$6,'Product Eng - MB'!$M$21:$BM$21)/_xlfn.XLOOKUP(CV$7,'Product Eng - MB'!$M$6:$BM$6,'Product Eng - MB'!$M$20:$BM$20)))))),"")</f>
        <v>Missed</v>
      </c>
      <c r="CW42" s="325" t="str">
        <f>IFERROR(IF(CW$7&gt;$D$3,"",IF(AO42="OD","OD",IF(AO41="Missed","Missed",IF(AO41="TBC","TBC",IF(AO41="Undefined","Undefined",_xlfn.XLOOKUP(CW$7,'Product Eng - MB'!$M$6:$BM$6,'Product Eng - MB'!$M$21:$BM$21)/_xlfn.XLOOKUP(CW$7,'Product Eng - MB'!$M$6:$BM$6,'Product Eng - MB'!$M$20:$BM$20)))))),"")</f>
        <v>Missed</v>
      </c>
      <c r="CX42" s="325" t="str">
        <f>IFERROR(IF(CX$7&gt;$D$3,"",IF(AP42="OD","OD",IF(AP41="Missed","Missed",IF(AP41="TBC","TBC",IF(AP41="Undefined","Undefined",_xlfn.XLOOKUP(CX$7,'Product Eng - MB'!$M$6:$BM$6,'Product Eng - MB'!$M$21:$BM$21)/_xlfn.XLOOKUP(CX$7,'Product Eng - MB'!$M$6:$BM$6,'Product Eng - MB'!$M$20:$BM$20)))))),"")</f>
        <v>Missed</v>
      </c>
      <c r="CY42" s="325" t="str">
        <f>IFERROR(IF(CY$7&gt;$D$3,"",IF(AQ42="OD","OD",IF(AQ41="Missed","Missed",IF(AQ41="TBC","TBC",IF(AQ41="Undefined","Undefined",_xlfn.XLOOKUP(CY$7,'Product Eng - MB'!$M$6:$BM$6,'Product Eng - MB'!$M$21:$BM$21)/_xlfn.XLOOKUP(CY$7,'Product Eng - MB'!$M$6:$BM$6,'Product Eng - MB'!$M$20:$BM$20)))))),"")</f>
        <v>Missed</v>
      </c>
      <c r="CZ42" s="325" t="str">
        <f>IFERROR(IF(CZ$7&gt;$D$3,"",IF(AR42="OD","OD",IF(AR41="Missed","Missed",IF(AR41="TBC","TBC",IF(AR41="Undefined","Undefined",_xlfn.XLOOKUP(CZ$7,'Product Eng - MB'!$M$6:$BM$6,'Product Eng - MB'!$M$21:$BM$21)/_xlfn.XLOOKUP(CZ$7,'Product Eng - MB'!$M$6:$BM$6,'Product Eng - MB'!$M$20:$BM$20)))))),"")</f>
        <v>Missed</v>
      </c>
      <c r="DA42" s="325" t="str">
        <f>IFERROR(IF(DA$7&gt;$D$3,"",IF(AS42="OD","OD",IF(AS41="Missed","Missed",IF(AS41="TBC","TBC",IF(AS41="Undefined","Undefined",_xlfn.XLOOKUP(DA$7,'Product Eng - MB'!$M$6:$BM$6,'Product Eng - MB'!$M$21:$BM$21)/_xlfn.XLOOKUP(DA$7,'Product Eng - MB'!$M$6:$BM$6,'Product Eng - MB'!$M$20:$BM$20)))))),"")</f>
        <v>Missed</v>
      </c>
      <c r="DB42" s="325" t="str">
        <f>IFERROR(IF(DB$7&gt;$D$3,"",IF(AT42="OD","OD",IF(AT41="Missed","Missed",IF(AT41="TBC","TBC",IF(AT41="Undefined","Undefined",_xlfn.XLOOKUP(DB$7,'Product Eng - MB'!$M$6:$BM$6,'Product Eng - MB'!$M$21:$BM$21)/_xlfn.XLOOKUP(DB$7,'Product Eng - MB'!$M$6:$BM$6,'Product Eng - MB'!$M$20:$BM$20)))))),"")</f>
        <v>Missed</v>
      </c>
      <c r="DC42" s="325" t="str">
        <f>IFERROR(IF(DC$7&gt;$D$3,"",IF(AU42="OD","OD",IF(AU41="Missed","Missed",IF(AU41="TBC","TBC",IF(AU41="Undefined","Undefined",_xlfn.XLOOKUP(DC$7,'Product Eng - MB'!$M$6:$BM$6,'Product Eng - MB'!$M$21:$BM$21)/_xlfn.XLOOKUP(DC$7,'Product Eng - MB'!$M$6:$BM$6,'Product Eng - MB'!$M$20:$BM$20)))))),"")</f>
        <v>Missed</v>
      </c>
      <c r="DD42" s="325" t="str">
        <f>IFERROR(IF(DD$7&gt;$D$3,"",IF(AV42="OD","OD",IF(AV41="Missed","Missed",IF(AV41="TBC","TBC",IF(AV41="Undefined","Undefined",_xlfn.XLOOKUP(DD$7,'Product Eng - MB'!$M$6:$BM$6,'Product Eng - MB'!$M$21:$BM$21)/_xlfn.XLOOKUP(DD$7,'Product Eng - MB'!$M$6:$BM$6,'Product Eng - MB'!$M$20:$BM$20)))))),"")</f>
        <v>Missed</v>
      </c>
      <c r="DE42" s="325" t="str">
        <f>IFERROR(IF(DE$7&gt;$D$3,"",IF(AW42="OD","OD",IF(AW41="Missed","Missed",IF(AW41="TBC","TBC",IF(AW41="Undefined","Undefined",_xlfn.XLOOKUP(DE$7,'Product Eng - MB'!$M$6:$BM$6,'Product Eng - MB'!$M$21:$BM$21)/_xlfn.XLOOKUP(DE$7,'Product Eng - MB'!$M$6:$BM$6,'Product Eng - MB'!$M$20:$BM$20)))))),"")</f>
        <v>Missed</v>
      </c>
      <c r="DF42" s="325" t="str">
        <f>IFERROR(IF(DF$7&gt;$D$3,"",IF(AX42="OD","OD",IF(AX41="Missed","Missed",IF(AX41="TBC","TBC",IF(AX41="Undefined","Undefined",_xlfn.XLOOKUP(DF$7,'Product Eng - MB'!$M$6:$BM$6,'Product Eng - MB'!$M$21:$BM$21)/_xlfn.XLOOKUP(DF$7,'Product Eng - MB'!$M$6:$BM$6,'Product Eng - MB'!$M$20:$BM$20)))))),"")</f>
        <v>Missed</v>
      </c>
      <c r="DG42" s="325" t="str">
        <f>IFERROR(IF(DG$7&gt;$D$3,"",IF(AY42="OD","OD",IF(AY41="Missed","Missed",IF(AY41="TBC","TBC",IF(AY41="Undefined","Undefined",_xlfn.XLOOKUP(DG$7,'Product Eng - MB'!$M$6:$BM$6,'Product Eng - MB'!$M$21:$BM$21)/_xlfn.XLOOKUP(DG$7,'Product Eng - MB'!$M$6:$BM$6,'Product Eng - MB'!$M$20:$BM$20)))))),"")</f>
        <v>Missed</v>
      </c>
      <c r="DH42" s="325" t="str">
        <f>IFERROR(IF(DH$7&gt;$D$3,"",IF(AZ42="OD","OD",IF(AZ41="Missed","Missed",IF(AZ41="TBC","TBC",IF(AZ41="Undefined","Undefined",_xlfn.XLOOKUP(DH$7,'Product Eng - MB'!$M$6:$BM$6,'Product Eng - MB'!$M$21:$BM$21)/_xlfn.XLOOKUP(DH$7,'Product Eng - MB'!$M$6:$BM$6,'Product Eng - MB'!$M$20:$BM$20)))))),"")</f>
        <v>Missed</v>
      </c>
      <c r="DI42" s="325" t="str">
        <f>IFERROR(IF(DI$7&gt;$D$3,"",IF(BA42="OD","OD",IF(BA41="Missed","Missed",IF(BA41="TBC","TBC",IF(BA41="Undefined","Undefined",_xlfn.XLOOKUP(DI$7,'Product Eng - MB'!$M$6:$BM$6,'Product Eng - MB'!$M$21:$BM$21)/_xlfn.XLOOKUP(DI$7,'Product Eng - MB'!$M$6:$BM$6,'Product Eng - MB'!$M$20:$BM$20)))))),"")</f>
        <v>Missed</v>
      </c>
      <c r="DJ42" s="325">
        <f>IFERROR(IF(DJ$7&gt;$D$3,"",IF(BB42="OD","OD",IF(BB41="Missed","Missed",IF(BB41="TBC","TBC",IF(BB41="Undefined","Undefined",_xlfn.XLOOKUP(DJ$7,'Product Eng - MB'!$M$6:$BM$6,'Product Eng - MB'!$M$21:$BM$21)/_xlfn.XLOOKUP(DJ$7,'Product Eng - MB'!$M$6:$BM$6,'Product Eng - MB'!$M$20:$BM$20)))))),"")</f>
        <v>0.77500000000000002</v>
      </c>
      <c r="DK42" s="325">
        <f>IFERROR(IF(DK$7&gt;$D$3,"",IF(BC42="OD","OD",IF(BC41="Missed","Missed",IF(BC41="TBC","TBC",IF(BC41="Undefined","Undefined",_xlfn.XLOOKUP(DK$7,'Product Eng - MB'!$M$6:$BM$6,'Product Eng - MB'!$M$21:$BM$21)/_xlfn.XLOOKUP(DK$7,'Product Eng - MB'!$M$6:$BM$6,'Product Eng - MB'!$M$20:$BM$20)))))),"")</f>
        <v>0.32500000000000001</v>
      </c>
      <c r="DL42" s="325">
        <f>IFERROR(IF(DL$7&gt;$D$3,"",IF(BD42="OD","OD",IF(BD41="Missed","Missed",IF(BD41="TBC","TBC",IF(BD41="Undefined","Undefined",_xlfn.XLOOKUP(DL$7,'Product Eng - MB'!$M$6:$BM$6,'Product Eng - MB'!$M$21:$BM$21)/_xlfn.XLOOKUP(DL$7,'Product Eng - MB'!$M$6:$BM$6,'Product Eng - MB'!$M$20:$BM$20)))))),"")</f>
        <v>0.55000000000000004</v>
      </c>
      <c r="DM42" s="325">
        <f>IFERROR(IF(DM$7&gt;$D$3,"",IF(BE42="OD","OD",IF(BE41="Missed","Missed",IF(BE41="TBC","TBC",IF(BE41="Undefined","Undefined",_xlfn.XLOOKUP(DM$7,'Product Eng - MB'!$M$6:$BM$6,'Product Eng - MB'!$M$21:$BM$21)/_xlfn.XLOOKUP(DM$7,'Product Eng - MB'!$M$6:$BM$6,'Product Eng - MB'!$M$20:$BM$20)))))),"")</f>
        <v>0.67500000000000004</v>
      </c>
      <c r="DN42" s="325">
        <f>IFERROR(IF(DN$7&gt;$D$3,"",IF(BF42="OD","OD",IF(BF41="Missed","Missed",IF(BF41="TBC","TBC",IF(BF41="Undefined","Undefined",_xlfn.XLOOKUP(DN$7,'Product Eng - MB'!$M$6:$BM$6,'Product Eng - MB'!$M$21:$BM$21)/_xlfn.XLOOKUP(DN$7,'Product Eng - MB'!$M$6:$BM$6,'Product Eng - MB'!$M$20:$BM$20)))))),"")</f>
        <v>1</v>
      </c>
      <c r="DO42" s="325">
        <f>IFERROR(IF(DO$7&gt;$D$3,"",IF(BG42="OD","OD",IF(BG41="Missed","Missed",IF(BG41="TBC","TBC",IF(BG41="Undefined","Undefined",_xlfn.XLOOKUP(DO$7,'Product Eng - MB'!$M$6:$BM$6,'Product Eng - MB'!$M$21:$BM$21)/_xlfn.XLOOKUP(DO$7,'Product Eng - MB'!$M$6:$BM$6,'Product Eng - MB'!$M$20:$BM$20)))))),"")</f>
        <v>0.82499999999999996</v>
      </c>
      <c r="DP42" s="325">
        <f>IFERROR(IF(DP$7&gt;$D$3,"",IF(BH42="OD","OD",IF(BH41="Missed","Missed",IF(BH41="TBC","TBC",IF(BH41="Undefined","Undefined",_xlfn.XLOOKUP(DP$7,'Product Eng - MB'!$M$6:$BM$6,'Product Eng - MB'!$M$21:$BM$21)/_xlfn.XLOOKUP(DP$7,'Product Eng - MB'!$M$6:$BM$6,'Product Eng - MB'!$M$20:$BM$20)))))),"")</f>
        <v>7.4999999999999997E-2</v>
      </c>
      <c r="DQ42" s="325">
        <f>IFERROR(IF(DQ$7&gt;$D$3,"",IF(BI42="OD","OD",IF(BI41="Missed","Missed",IF(BI41="TBC","TBC",IF(BI41="Undefined","Undefined",_xlfn.XLOOKUP(DQ$7,'Product Eng - MB'!$M$6:$BM$6,'Product Eng - MB'!$M$21:$BM$21)/_xlfn.XLOOKUP(DQ$7,'Product Eng - MB'!$M$6:$BM$6,'Product Eng - MB'!$M$20:$BM$20)))))),"")</f>
        <v>4.0999999999999996</v>
      </c>
      <c r="DR42" s="325">
        <f>IFERROR(IF(DR$7&gt;$D$3,"",IF(BJ42="OD","OD",IF(BJ41="Missed","Missed",IF(BJ41="TBC","TBC",IF(BJ41="Undefined","Undefined",_xlfn.XLOOKUP(DR$7,'Product Eng - MB'!$M$6:$BM$6,'Product Eng - MB'!$M$21:$BM$21)/_xlfn.XLOOKUP(DR$7,'Product Eng - MB'!$M$6:$BM$6,'Product Eng - MB'!$M$20:$BM$20)))))),"")</f>
        <v>2.7749999999999999</v>
      </c>
      <c r="DS42" s="325">
        <f>IFERROR(IF(DS$7&gt;$D$3,"",IF(BK42="OD","OD",IF(BK41="Missed","Missed",IF(BK41="TBC","TBC",IF(BK41="Undefined","Undefined",_xlfn.XLOOKUP(DS$7,'Product Eng - MB'!$M$6:$BM$6,'Product Eng - MB'!$M$21:$BM$21)/_xlfn.XLOOKUP(DS$7,'Product Eng - MB'!$M$6:$BM$6,'Product Eng - MB'!$M$20:$BM$20)))))),"")</f>
        <v>0.52500000000000002</v>
      </c>
      <c r="DT42" s="325">
        <f>IFERROR(IF(DT$7&gt;$D$3,"",IF(BL42="OD","OD",IF(BL41="Missed","Missed",IF(BL41="TBC","TBC",IF(BL41="Undefined","Undefined",_xlfn.XLOOKUP(DT$7,'Product Eng - MB'!$M$6:$BM$6,'Product Eng - MB'!$M$21:$BM$21)/_xlfn.XLOOKUP(DT$7,'Product Eng - MB'!$M$6:$BM$6,'Product Eng - MB'!$M$20:$BM$20)))))),"")</f>
        <v>0.95</v>
      </c>
      <c r="DU42" s="325">
        <f>IFERROR(IF(DU$7&gt;$D$3,"",IF(BM42="OD","OD",IF(BM41="Missed","Missed",IF(BM41="TBC","TBC",IF(BM41="Undefined","Undefined",_xlfn.XLOOKUP(DU$7,'Product Eng - MB'!$M$6:$BM$6,'Product Eng - MB'!$M$21:$BM$21)/_xlfn.XLOOKUP(DU$7,'Product Eng - MB'!$M$6:$BM$6,'Product Eng - MB'!$M$20:$BM$20)))))),"")</f>
        <v>0.85</v>
      </c>
      <c r="DV42" s="325">
        <f>IFERROR(IF(DV$7&gt;$D$3,"",IF(BN42="OD","OD",IF(BN41="Missed","Missed",IF(BN41="TBC","TBC",IF(BN41="Undefined","Undefined",_xlfn.XLOOKUP(DV$7,'Product Eng - MB'!$M$6:$BM$6,'Product Eng - MB'!$M$21:$BM$21)/_xlfn.XLOOKUP(DV$7,'Product Eng - MB'!$M$6:$BM$6,'Product Eng - MB'!$M$20:$BM$20)))))),"")</f>
        <v>1.125</v>
      </c>
      <c r="DW42" s="325">
        <f>IFERROR(IF(DW$7&gt;$D$3,"",IF(BO42="OD","OD",IF(BO41="Missed","Missed",IF(BO41="TBC","TBC",IF(BO41="Undefined","Undefined",_xlfn.XLOOKUP(DW$7,'Product Eng - MB'!$M$6:$BM$6,'Product Eng - MB'!$M$21:$BM$21)/_xlfn.XLOOKUP(DW$7,'Product Eng - MB'!$M$6:$BM$6,'Product Eng - MB'!$M$20:$BM$20)))))),"")</f>
        <v>3.95</v>
      </c>
      <c r="DX42" s="325">
        <f>IFERROR(IF(DX$7&gt;$D$3,"",IF(BP42="OD","OD",IF(BP41="Missed","Missed",IF(BP41="TBC","TBC",IF(BP41="Undefined","Undefined",_xlfn.XLOOKUP(DX$7,'Product Eng - MB'!$M$6:$BM$6,'Product Eng - MB'!$M$21:$BM$21)/_xlfn.XLOOKUP(DX$7,'Product Eng - MB'!$M$6:$BM$6,'Product Eng - MB'!$M$20:$BM$20)))))),"")</f>
        <v>1.375</v>
      </c>
      <c r="DY42" s="325">
        <f>IFERROR(IF(DY$7&gt;$D$3,"",IF(BQ42="OD","OD",IF(BQ41="Missed","Missed",IF(BQ41="TBC","TBC",IF(BQ41="Undefined","Undefined",_xlfn.XLOOKUP(DY$7,'Product Eng - MB'!$M$6:$BM$6,'Product Eng - MB'!$M$21:$BM$21)/_xlfn.XLOOKUP(DY$7,'Product Eng - MB'!$M$6:$BM$6,'Product Eng - MB'!$M$20:$BM$20)))))),"")</f>
        <v>1.1000000000000001</v>
      </c>
      <c r="DZ42" s="325">
        <f>IFERROR(IF(DZ$7&gt;$D$3,"",IF(BR42="OD","OD",IF(BR41="Missed","Missed",IF(BR41="TBC","TBC",IF(BR41="Undefined","Undefined",_xlfn.XLOOKUP(DZ$7,'Product Eng - MB'!$M$6:$BM$6,'Product Eng - MB'!$M$21:$BM$21)/_xlfn.XLOOKUP(DZ$7,'Product Eng - MB'!$M$6:$BM$6,'Product Eng - MB'!$M$20:$BM$20)))))),"")</f>
        <v>1.2250000000000001</v>
      </c>
      <c r="EA42" s="325">
        <f>IFERROR(IF(EA$7&gt;$D$3,"",IF(BS42="OD","OD",IF(BS41="Missed","Missed",IF(BS41="TBC","TBC",IF(BS41="Undefined","Undefined",_xlfn.XLOOKUP(EA$7,'Product Eng - MB'!$M$6:$BM$6,'Product Eng - MB'!$M$21:$BM$21)/_xlfn.XLOOKUP(EA$7,'Product Eng - MB'!$M$6:$BM$6,'Product Eng - MB'!$M$20:$BM$20)))))),"")</f>
        <v>0.92500000000000004</v>
      </c>
      <c r="EB42" s="325">
        <f>IFERROR(IF(EB$7&gt;$D$3,"",IF(BT42="OD","OD",IF(BT41="Missed","Missed",IF(BT41="TBC","TBC",IF(BT41="Undefined","Undefined",_xlfn.XLOOKUP(EB$7,'Product Eng - MB'!$M$6:$BM$6,'Product Eng - MB'!$M$21:$BM$21)/_xlfn.XLOOKUP(EB$7,'Product Eng - MB'!$M$6:$BM$6,'Product Eng - MB'!$M$20:$BM$20)))))),"")</f>
        <v>0.35</v>
      </c>
      <c r="EC42" s="325">
        <f>IFERROR(IF(EC$7&gt;$D$3,"",IF(BU42="OD","OD",IF(BU41="Missed","Missed",IF(BU41="TBC","TBC",IF(BU41="Undefined","Undefined",_xlfn.XLOOKUP(EC$7,'Product Eng - MB'!$M$6:$BM$6,'Product Eng - MB'!$M$21:$BM$21)/_xlfn.XLOOKUP(EC$7,'Product Eng - MB'!$M$6:$BM$6,'Product Eng - MB'!$M$20:$BM$20)))))),"")</f>
        <v>0.7</v>
      </c>
      <c r="ED42" s="325">
        <f>IFERROR(IF(ED$7&gt;$D$3,"",IF(BV42="OD","OD",IF(BV41="Missed","Missed",IF(BV41="TBC","TBC",IF(BV41="Undefined","Undefined",_xlfn.XLOOKUP(ED$7,'Product Eng - MB'!$M$6:$BM$6,'Product Eng - MB'!$M$21:$BM$21)/_xlfn.XLOOKUP(ED$7,'Product Eng - MB'!$M$6:$BM$6,'Product Eng - MB'!$M$20:$BM$20)))))),"")</f>
        <v>0.1</v>
      </c>
      <c r="EE42" s="325">
        <f>IFERROR(IF(EE$7&gt;$D$3,"",IF(BW42="OD","OD",IF(BW41="Missed","Missed",IF(BW41="TBC","TBC",IF(BW41="Undefined","Undefined",_xlfn.XLOOKUP(EE$7,'Product Eng - MB'!$M$6:$BM$6,'Product Eng - MB'!$M$21:$BM$21)/_xlfn.XLOOKUP(EE$7,'Product Eng - MB'!$M$6:$BM$6,'Product Eng - MB'!$M$20:$BM$20)))))),"")</f>
        <v>0.05</v>
      </c>
      <c r="EF42" s="325">
        <f>IFERROR(IF(EF$7&gt;$D$3,"",IF(BX42="OD","OD",IF(BX41="Missed","Missed",IF(BX41="TBC","TBC",IF(BX41="Undefined","Undefined",_xlfn.XLOOKUP(EF$7,'Product Eng - MB'!$M$6:$BM$6,'Product Eng - MB'!$M$21:$BM$21)/_xlfn.XLOOKUP(EF$7,'Product Eng - MB'!$M$6:$BM$6,'Product Eng - MB'!$M$20:$BM$20)))))),"")</f>
        <v>0.03</v>
      </c>
      <c r="EG42" s="325">
        <f>IFERROR(IF(EG$7&gt;$D$3,"",IF(BY42="OD","OD",IF(BY41="Missed","Missed",IF(BY41="TBC","TBC",IF(BY41="Undefined","Undefined",_xlfn.XLOOKUP(EG$7,'Product Eng - MB'!$M$6:$BM$6,'Product Eng - MB'!$M$21:$BM$21)/_xlfn.XLOOKUP(EG$7,'Product Eng - MB'!$M$6:$BM$6,'Product Eng - MB'!$M$20:$BM$20)))))),"")</f>
        <v>0.92500000000000004</v>
      </c>
      <c r="EH42" s="325">
        <f>IFERROR(IF(EH$7&gt;$D$3,"",IF(BZ42="OD","OD",IF(BZ41="Missed","Missed",IF(BZ41="TBC","TBC",IF(BZ41="Undefined","Undefined",_xlfn.XLOOKUP(EH$7,'Product Eng - MB'!$M$6:$BM$6,'Product Eng - MB'!$M$21:$BM$21)/_xlfn.XLOOKUP(EH$7,'Product Eng - MB'!$M$6:$BM$6,'Product Eng - MB'!$M$20:$BM$20)))))),"")</f>
        <v>1.2250000000000001</v>
      </c>
      <c r="EI42" s="325">
        <f>IFERROR(IF(EI$7&gt;$D$3,"",IF(CA42="OD","OD",IF(CA41="Missed","Missed",IF(CA41="TBC","TBC",IF(CA41="Undefined","Undefined",_xlfn.XLOOKUP(EI$7,'Product Eng - MB'!$M$6:$BM$6,'Product Eng - MB'!$M$21:$BM$21)/_xlfn.XLOOKUP(EI$7,'Product Eng - MB'!$M$6:$BM$6,'Product Eng - MB'!$M$20:$BM$20)))))),"")</f>
        <v>0.25</v>
      </c>
      <c r="EJ42" s="325" t="str">
        <f>IFERROR(IF(EJ$7&gt;$D$3,"",IF(CB42="OD","OD",IF(CB41="Missed","Missed",IF(CB41="TBC","TBC",IF(CB41="Undefined","Undefined",_xlfn.XLOOKUP(EJ$7,'Product Eng - MB'!$M$6:$BM$6,'Product Eng - MB'!$M$21:$BM$21)/_xlfn.XLOOKUP(EJ$7,'Product Eng - MB'!$M$6:$BM$6,'Product Eng - MB'!$M$20:$BM$20)))))),"")</f>
        <v>OD</v>
      </c>
      <c r="EK42" s="325" t="str">
        <f>IFERROR(IF(EK$7&gt;$D$3,"",IF(CC42="OD","OD",IF(CC41="Missed","Missed",IF(CC41="TBC","TBC",IF(CC41="Undefined","Undefined",_xlfn.XLOOKUP(EK$7,'Product Eng - MB'!$M$6:$BM$6,'Product Eng - MB'!$M$21:$BM$21)/_xlfn.XLOOKUP(EK$7,'Product Eng - MB'!$M$6:$BM$6,'Product Eng - MB'!$M$20:$BM$20)))))),"")</f>
        <v/>
      </c>
      <c r="EL42" s="325" t="str">
        <f>IFERROR(IF(EL$7&gt;$D$3,"",IF(CD42="OD","OD",IF(CD41="Missed","Missed",IF(CD41="TBC","TBC",IF(CD41="Undefined","Undefined",_xlfn.XLOOKUP(EL$7,'Product Eng - MB'!$M$6:$BM$6,'Product Eng - MB'!$M$21:$BM$21)/_xlfn.XLOOKUP(EL$7,'Product Eng - MB'!$M$6:$BM$6,'Product Eng - MB'!$M$20:$BM$20)))))),"")</f>
        <v/>
      </c>
      <c r="EM42" s="325" t="str">
        <f>IFERROR(IF(EM$7&gt;$D$3,"",IF(CE42="OD","OD",IF(CE41="Missed","Missed",IF(CE41="TBC","TBC",IF(CE41="Undefined","Undefined",_xlfn.XLOOKUP(EM$7,'Product Eng - MB'!$M$6:$BM$6,'Product Eng - MB'!$M$21:$BM$21)/_xlfn.XLOOKUP(EM$7,'Product Eng - MB'!$M$6:$BM$6,'Product Eng - MB'!$M$20:$BM$20)))))),"")</f>
        <v/>
      </c>
      <c r="EN42" s="325" t="str">
        <f>IFERROR(IF(EN$7&gt;$D$3,"",IF(CF42="OD","OD",IF(CF41="Missed","Missed",IF(CF41="TBC","TBC",IF(CF41="Undefined","Undefined",_xlfn.XLOOKUP(EN$7,'Product Eng - MB'!$M$6:$BM$6,'Product Eng - MB'!$M$21:$BM$21)/_xlfn.XLOOKUP(EN$7,'Product Eng - MB'!$M$6:$BM$6,'Product Eng - MB'!$M$20:$BM$20)))))),"")</f>
        <v/>
      </c>
      <c r="EO42" s="325" t="str">
        <f>IFERROR(IF(EO$7&gt;$D$3,"",IF(CG42="OD","OD",IF(CG41="Missed","Missed",IF(CG41="TBC","TBC",IF(CG41="Undefined","Undefined",_xlfn.XLOOKUP(EO$7,'Product Eng - MB'!$M$6:$BM$6,'Product Eng - MB'!$M$21:$BM$21)/_xlfn.XLOOKUP(EO$7,'Product Eng - MB'!$M$6:$BM$6,'Product Eng - MB'!$M$20:$BM$20)))))),"")</f>
        <v/>
      </c>
      <c r="EP42" s="325" t="str">
        <f>IFERROR(IF(EP$7&gt;$D$3,"",IF(CH42="OD","OD",IF(CH41="Missed","Missed",IF(CH41="TBC","TBC",IF(CH41="Undefined","Undefined",_xlfn.XLOOKUP(EP$7,'Product Eng - MB'!$M$6:$BM$6,'Product Eng - MB'!$M$21:$BM$21)/_xlfn.XLOOKUP(EP$7,'Product Eng - MB'!$M$6:$BM$6,'Product Eng - MB'!$M$20:$BM$20)))))),"")</f>
        <v/>
      </c>
      <c r="EQ42" s="325" t="str">
        <f>IFERROR(IF(EQ$7&gt;$D$3,"",IF(CI42="OD","OD",IF(CI41="Missed","Missed",IF(CI41="TBC","TBC",IF(CI41="Undefined","Undefined",_xlfn.XLOOKUP(EQ$7,'Product Eng - MB'!$M$6:$BM$6,'Product Eng - MB'!$M$21:$BM$21)/_xlfn.XLOOKUP(EQ$7,'Product Eng - MB'!$M$6:$BM$6,'Product Eng - MB'!$M$20:$BM$20)))))),"")</f>
        <v/>
      </c>
      <c r="ER42" s="325" t="str">
        <f>IFERROR(IF(ER$7&gt;$D$3,"",IF(CJ42="OD","OD",IF(CJ41="Missed","Missed",IF(CJ41="TBC","TBC",IF(CJ41="Undefined","Undefined",_xlfn.XLOOKUP(ER$7,'Product Eng - MB'!$M$6:$BM$6,'Product Eng - MB'!$M$21:$BM$21)/_xlfn.XLOOKUP(ER$7,'Product Eng - MB'!$M$6:$BM$6,'Product Eng - MB'!$M$20:$BM$20)))))),"")</f>
        <v/>
      </c>
      <c r="ES42" s="325" t="str">
        <f>IFERROR(IF(ES$7&gt;$D$3,"",IF(CK42="OD","OD",IF(CK41="Missed","Missed",IF(CK41="TBC","TBC",IF(CK41="Undefined","Undefined",_xlfn.XLOOKUP(ES$7,'Product Eng - MB'!$M$6:$BM$6,'Product Eng - MB'!$M$21:$BM$21)/_xlfn.XLOOKUP(ES$7,'Product Eng - MB'!$M$6:$BM$6,'Product Eng - MB'!$M$20:$BM$20)))))),"")</f>
        <v/>
      </c>
      <c r="ET42" s="325" t="str">
        <f>IFERROR(IF(ET$7&gt;$D$3,"",IF(CL42="OD","OD",IF(CL41="Missed","Missed",IF(CL41="TBC","TBC",IF(CL41="Undefined","Undefined",_xlfn.XLOOKUP(ET$7,'Product Eng - MB'!$M$6:$BM$6,'Product Eng - MB'!$M$21:$BM$21)/_xlfn.XLOOKUP(ET$7,'Product Eng - MB'!$M$6:$BM$6,'Product Eng - MB'!$M$20:$BM$20)))))),"")</f>
        <v/>
      </c>
      <c r="EU42" s="325" t="str">
        <f>IFERROR(IF(EU$7&gt;$D$3,"",IF(CM42="OD","OD",IF(CM41="Missed","Missed",IF(CM41="TBC","TBC",IF(CM41="Undefined","Undefined",_xlfn.XLOOKUP(EU$7,'Product Eng - MB'!$M$6:$BM$6,'Product Eng - MB'!$M$21:$BM$21)/_xlfn.XLOOKUP(EU$7,'Product Eng - MB'!$M$6:$BM$6,'Product Eng - MB'!$M$20:$BM$20)))))),"")</f>
        <v/>
      </c>
      <c r="EW42" s="465" t="str">
        <f>+$A42</f>
        <v>Product Eng - MB-KPI C1</v>
      </c>
      <c r="EX42" s="138" t="str">
        <f>+$C42</f>
        <v>KPI C1</v>
      </c>
      <c r="EY42" s="146" t="str">
        <f>+$D42</f>
        <v>Cost</v>
      </c>
      <c r="EZ42" s="146" t="str">
        <f t="shared" si="118"/>
        <v>Cost Transfer Value per Day</v>
      </c>
      <c r="FA42" s="147" t="str">
        <f t="shared" si="119"/>
        <v>£s</v>
      </c>
      <c r="FB42" s="147" t="s">
        <v>251</v>
      </c>
      <c r="FC42" s="213" t="str">
        <f>IF(FC$7&gt;$D$3,"",IF($FA37&lt;FC$7,"OD",_xlfn.XLOOKUP(FC$7,'Product Eng - MB'!$M$6:$BM$6,'Product Eng - MB'!$M$21:$BM$21)))</f>
        <v>Blank</v>
      </c>
      <c r="FD42" s="213">
        <f>IF(FD$7&gt;$D$3,"",IF($FA37&lt;FD$7,"OD",_xlfn.XLOOKUP(FD$7,'Product Eng - MB'!$M$6:$BM$6,'Product Eng - MB'!$M$21:$BM$21)))</f>
        <v>47</v>
      </c>
      <c r="FE42" s="213">
        <f>IF(FE$7&gt;$D$3,"",IF($FA37&lt;FE$7,"OD",_xlfn.XLOOKUP(FE$7,'Product Eng - MB'!$M$6:$BM$6,'Product Eng - MB'!$M$21:$BM$21)))</f>
        <v>38</v>
      </c>
      <c r="FF42" s="213">
        <f>IF(FF$7&gt;$D$3,"",IF($FA37&lt;FF$7,"OD",_xlfn.XLOOKUP(FF$7,'Product Eng - MB'!$M$6:$BM$6,'Product Eng - MB'!$M$21:$BM$21)))</f>
        <v>45</v>
      </c>
      <c r="FG42" s="213">
        <f>IF(FG$7&gt;$D$3,"",IF($FA37&lt;FG$7,"OD",_xlfn.XLOOKUP(FG$7,'Product Eng - MB'!$M$6:$BM$6,'Product Eng - MB'!$M$21:$BM$21)))</f>
        <v>39</v>
      </c>
      <c r="FH42" s="213">
        <f>IF(FH$7&gt;$D$3,"",IF($FA37&lt;FH$7,"OD",_xlfn.XLOOKUP(FH$7,'Product Eng - MB'!$M$6:$BM$6,'Product Eng - MB'!$M$21:$BM$21)))</f>
        <v>34</v>
      </c>
      <c r="FI42" s="213">
        <f>IF(FI$7&gt;$D$3,"",IF($FA37&lt;FI$7,"OD",_xlfn.XLOOKUP(FI$7,'Product Eng - MB'!$M$6:$BM$6,'Product Eng - MB'!$M$21:$BM$21)))</f>
        <v>24</v>
      </c>
      <c r="FJ42" s="213">
        <f>IF(FJ$7&gt;$D$3,"",IF($FA37&lt;FJ$7,"OD",_xlfn.XLOOKUP(FJ$7,'Product Eng - MB'!$M$6:$BM$6,'Product Eng - MB'!$M$21:$BM$21)))</f>
        <v>26</v>
      </c>
      <c r="FK42" s="213">
        <f>IF(FK$7&gt;$D$3,"",IF($FA37&lt;FK$7,"OD",_xlfn.XLOOKUP(FK$7,'Product Eng - MB'!$M$6:$BM$6,'Product Eng - MB'!$M$21:$BM$21)))</f>
        <v>27</v>
      </c>
      <c r="FL42" s="213">
        <f>IF(FL$7&gt;$D$3,"",IF($FA37&lt;FL$7,"OD",_xlfn.XLOOKUP(FL$7,'Product Eng - MB'!$M$6:$BM$6,'Product Eng - MB'!$M$21:$BM$21)))</f>
        <v>23</v>
      </c>
      <c r="FM42" s="213">
        <f>IF(FM$7&gt;$D$3,"",IF($FA37&lt;FM$7,"OD",_xlfn.XLOOKUP(FM$7,'Product Eng - MB'!$M$6:$BM$6,'Product Eng - MB'!$M$21:$BM$21)))</f>
        <v>28</v>
      </c>
      <c r="FN42" s="213">
        <f>IF(FN$7&gt;$D$3,"",IF($FA37&lt;FN$7,"OD",_xlfn.XLOOKUP(FN$7,'Product Eng - MB'!$M$6:$BM$6,'Product Eng - MB'!$M$21:$BM$21)))</f>
        <v>8</v>
      </c>
      <c r="FO42" s="213">
        <f>IF(FO$7&gt;$D$3,"",IF($FA37&lt;FO$7,"OD",_xlfn.XLOOKUP(FO$7,'Product Eng - MB'!$M$6:$BM$6,'Product Eng - MB'!$M$21:$BM$21)))</f>
        <v>8</v>
      </c>
      <c r="FP42" s="213">
        <f>IF(FP$7&gt;$D$3,"",IF($FA37&lt;FP$7,"OD",_xlfn.XLOOKUP(FP$7,'Product Eng - MB'!$M$6:$BM$6,'Product Eng - MB'!$M$21:$BM$21)))</f>
        <v>6</v>
      </c>
      <c r="FQ42" s="213">
        <f>IF(FQ$7&gt;$D$3,"",IF($FA37&lt;FQ$7,"OD",_xlfn.XLOOKUP(FQ$7,'Product Eng - MB'!$M$6:$BM$6,'Product Eng - MB'!$M$21:$BM$21)))</f>
        <v>37</v>
      </c>
      <c r="FR42" s="213">
        <f>IF(FR$7&gt;$D$3,"",IF($FA37&lt;FR$7,"OD",_xlfn.XLOOKUP(FR$7,'Product Eng - MB'!$M$6:$BM$6,'Product Eng - MB'!$M$21:$BM$21)))</f>
        <v>31</v>
      </c>
      <c r="FS42" s="213">
        <f>IF(FS$7&gt;$D$3,"",IF($FA37&lt;FS$7,"OD",_xlfn.XLOOKUP(FS$7,'Product Eng - MB'!$M$6:$BM$6,'Product Eng - MB'!$M$21:$BM$21)))</f>
        <v>13</v>
      </c>
      <c r="FT42" s="213">
        <f>IF(FT$7&gt;$D$3,"",IF($FA37&lt;FT$7,"OD",_xlfn.XLOOKUP(FT$7,'Product Eng - MB'!$M$6:$BM$6,'Product Eng - MB'!$M$21:$BM$21)))</f>
        <v>22</v>
      </c>
      <c r="FU42" s="213">
        <f>IF(FU$7&gt;$D$3,"",IF($FA37&lt;FU$7,"OD",_xlfn.XLOOKUP(FU$7,'Product Eng - MB'!$M$6:$BM$6,'Product Eng - MB'!$M$21:$BM$21)))</f>
        <v>27</v>
      </c>
      <c r="FV42" s="213">
        <f>IF(FV$7&gt;$D$3,"",IF($FA37&lt;FV$7,"OD",_xlfn.XLOOKUP(FV$7,'Product Eng - MB'!$M$6:$BM$6,'Product Eng - MB'!$M$21:$BM$21)))</f>
        <v>40</v>
      </c>
      <c r="FW42" s="213">
        <f>IF(FW$7&gt;$D$3,"",IF($FA37&lt;FW$7,"OD",_xlfn.XLOOKUP(FW$7,'Product Eng - MB'!$M$6:$BM$6,'Product Eng - MB'!$M$21:$BM$21)))</f>
        <v>33</v>
      </c>
      <c r="FX42" s="213">
        <f>IF(FX$7&gt;$D$3,"",IF($FA37&lt;FX$7,"OD",_xlfn.XLOOKUP(FX$7,'Product Eng - MB'!$M$6:$BM$6,'Product Eng - MB'!$M$21:$BM$21)))</f>
        <v>3</v>
      </c>
      <c r="FY42" s="213">
        <f>IF(FY$7&gt;$D$3,"",IF($FA37&lt;FY$7,"OD",_xlfn.XLOOKUP(FY$7,'Product Eng - MB'!$M$6:$BM$6,'Product Eng - MB'!$M$21:$BM$21)))</f>
        <v>164</v>
      </c>
      <c r="FZ42" s="213">
        <f>IF(FZ$7&gt;$D$3,"",IF($FA37&lt;FZ$7,"OD",_xlfn.XLOOKUP(FZ$7,'Product Eng - MB'!$M$6:$BM$6,'Product Eng - MB'!$M$21:$BM$21)))</f>
        <v>111</v>
      </c>
      <c r="GA42" s="213">
        <f>IF(GA$7&gt;$D$3,"",IF($FA37&lt;GA$7,"OD",_xlfn.XLOOKUP(GA$7,'Product Eng - MB'!$M$6:$BM$6,'Product Eng - MB'!$M$21:$BM$21)))</f>
        <v>21</v>
      </c>
      <c r="GB42" s="213">
        <f>IF(GB$7&gt;$D$3,"",IF($FA37&lt;GB$7,"OD",_xlfn.XLOOKUP(GB$7,'Product Eng - MB'!$M$6:$BM$6,'Product Eng - MB'!$M$21:$BM$21)))</f>
        <v>38</v>
      </c>
      <c r="GC42" s="213">
        <f>IF(GC$7&gt;$D$3,"",IF($FA37&lt;GC$7,"OD",_xlfn.XLOOKUP(GC$7,'Product Eng - MB'!$M$6:$BM$6,'Product Eng - MB'!$M$21:$BM$21)))</f>
        <v>34</v>
      </c>
      <c r="GD42" s="213">
        <f>IF(GD$7&gt;$D$3,"",IF($FA37&lt;GD$7,"OD",_xlfn.XLOOKUP(GD$7,'Product Eng - MB'!$M$6:$BM$6,'Product Eng - MB'!$M$21:$BM$21)))</f>
        <v>45</v>
      </c>
      <c r="GE42" s="213">
        <f>IF(GE$7&gt;$D$3,"",IF($FA37&lt;GE$7,"OD",_xlfn.XLOOKUP(GE$7,'Product Eng - MB'!$M$6:$BM$6,'Product Eng - MB'!$M$21:$BM$21)))</f>
        <v>158</v>
      </c>
      <c r="GF42" s="213">
        <f>IF(GF$7&gt;$D$3,"",IF($FA37&lt;GF$7,"OD",_xlfn.XLOOKUP(GF$7,'Product Eng - MB'!$M$6:$BM$6,'Product Eng - MB'!$M$21:$BM$21)))</f>
        <v>55</v>
      </c>
      <c r="GG42" s="213">
        <f>IF(GG$7&gt;$D$3,"",IF($FA37&lt;GG$7,"OD",_xlfn.XLOOKUP(GG$7,'Product Eng - MB'!$M$6:$BM$6,'Product Eng - MB'!$M$21:$BM$21)))</f>
        <v>44</v>
      </c>
      <c r="GH42" s="213">
        <f>IF(GH$7&gt;$D$3,"",IF($FA37&lt;GH$7,"OD",_xlfn.XLOOKUP(GH$7,'Product Eng - MB'!$M$6:$BM$6,'Product Eng - MB'!$M$21:$BM$21)))</f>
        <v>49</v>
      </c>
      <c r="GI42" s="213">
        <f>IF(GI$7&gt;$D$3,"",IF($FA37&lt;GI$7,"OD",_xlfn.XLOOKUP(GI$7,'Product Eng - MB'!$M$6:$BM$6,'Product Eng - MB'!$M$21:$BM$21)))</f>
        <v>37</v>
      </c>
      <c r="GJ42" s="213">
        <f>IF(GJ$7&gt;$D$3,"",IF($FA37&lt;GJ$7,"OD",_xlfn.XLOOKUP(GJ$7,'Product Eng - MB'!$M$6:$BM$6,'Product Eng - MB'!$M$21:$BM$21)))</f>
        <v>14</v>
      </c>
      <c r="GK42" s="213">
        <f>IF(GK$7&gt;$D$3,"",IF($FA37&lt;GK$7,"OD",_xlfn.XLOOKUP(GK$7,'Product Eng - MB'!$M$6:$BM$6,'Product Eng - MB'!$M$21:$BM$21)))</f>
        <v>28</v>
      </c>
      <c r="GL42" s="213">
        <f>IF(GL$7&gt;$D$3,"",IF($FA37&lt;GL$7,"OD",_xlfn.XLOOKUP(GL$7,'Product Eng - MB'!$M$6:$BM$6,'Product Eng - MB'!$M$21:$BM$21)))</f>
        <v>4</v>
      </c>
      <c r="GM42" s="213">
        <f>IF(GM$7&gt;$D$3,"",IF($FA37&lt;GM$7,"OD",_xlfn.XLOOKUP(GM$7,'Product Eng - MB'!$M$6:$BM$6,'Product Eng - MB'!$M$21:$BM$21)))</f>
        <v>2</v>
      </c>
      <c r="GN42" s="213">
        <f>IF(GN$7&gt;$D$3,"",IF($FA37&lt;GN$7,"OD",_xlfn.XLOOKUP(GN$7,'Product Eng - MB'!$M$6:$BM$6,'Product Eng - MB'!$M$21:$BM$21)))</f>
        <v>1.2</v>
      </c>
      <c r="GO42" s="213">
        <f>IF(GO$7&gt;$D$3,"",IF($FA37&lt;GO$7,"OD",_xlfn.XLOOKUP(GO$7,'Product Eng - MB'!$M$6:$BM$6,'Product Eng - MB'!$M$21:$BM$21)))</f>
        <v>37</v>
      </c>
      <c r="GP42" s="213">
        <f>IF(GP$7&gt;$D$3,"",IF($FA37&lt;GP$7,"OD",_xlfn.XLOOKUP(GP$7,'Product Eng - MB'!$M$6:$BM$6,'Product Eng - MB'!$M$21:$BM$21)))</f>
        <v>49</v>
      </c>
      <c r="GQ42" s="213">
        <f>IF(GQ$7&gt;$D$3,"",IF($FA37&lt;GQ$7,"OD",_xlfn.XLOOKUP(GQ$7,'Product Eng - MB'!$M$6:$BM$6,'Product Eng - MB'!$M$21:$BM$21)))</f>
        <v>10</v>
      </c>
      <c r="GR42" s="213">
        <f>IF(GR$7&gt;$D$3,"",IF($FA37&lt;GR$7,"OD",_xlfn.XLOOKUP(GR$7,'Product Eng - MB'!$M$6:$BM$6,'Product Eng - MB'!$M$21:$BM$21)))</f>
        <v>0</v>
      </c>
      <c r="GS42" s="213" t="str">
        <f>IF(GS$7&gt;$D$3,"",IF($FA37&lt;GS$7,"OD",_xlfn.XLOOKUP(GS$7,'Product Eng - MB'!$M$6:$BM$6,'Product Eng - MB'!$M$21:$BM$21)))</f>
        <v/>
      </c>
      <c r="GT42" s="213" t="str">
        <f>IF(GT$7&gt;$D$3,"",IF($FA37&lt;GT$7,"OD",_xlfn.XLOOKUP(GT$7,'Product Eng - MB'!$M$6:$BM$6,'Product Eng - MB'!$M$21:$BM$21)))</f>
        <v/>
      </c>
      <c r="GU42" s="213" t="str">
        <f>IF(GU$7&gt;$D$3,"",IF($FA37&lt;GU$7,"OD",_xlfn.XLOOKUP(GU$7,'Product Eng - MB'!$M$6:$BM$6,'Product Eng - MB'!$M$21:$BM$21)))</f>
        <v/>
      </c>
      <c r="GV42" s="213" t="str">
        <f>IF(GV$7&gt;$D$3,"",IF($FA37&lt;GV$7,"OD",_xlfn.XLOOKUP(GV$7,'Product Eng - MB'!$M$6:$BM$6,'Product Eng - MB'!$M$21:$BM$21)))</f>
        <v/>
      </c>
      <c r="GW42" s="213" t="str">
        <f>IF(GW$7&gt;$D$3,"",IF($FA37&lt;GW$7,"OD",_xlfn.XLOOKUP(GW$7,'Product Eng - MB'!$M$6:$BM$6,'Product Eng - MB'!$M$21:$BM$21)))</f>
        <v/>
      </c>
      <c r="GX42" s="213" t="str">
        <f>IF(GX$7&gt;$D$3,"",IF($FA37&lt;GX$7,"OD",_xlfn.XLOOKUP(GX$7,'Product Eng - MB'!$M$6:$BM$6,'Product Eng - MB'!$M$21:$BM$21)))</f>
        <v/>
      </c>
      <c r="GY42" s="213" t="str">
        <f>IF(GY$7&gt;$D$3,"",IF($FA37&lt;GY$7,"OD",_xlfn.XLOOKUP(GY$7,'Product Eng - MB'!$M$6:$BM$6,'Product Eng - MB'!$M$21:$BM$21)))</f>
        <v/>
      </c>
      <c r="GZ42" s="213" t="str">
        <f>IF(GZ$7&gt;$D$3,"",IF($FA37&lt;GZ$7,"OD",_xlfn.XLOOKUP(GZ$7,'Product Eng - MB'!$M$6:$BM$6,'Product Eng - MB'!$M$21:$BM$21)))</f>
        <v/>
      </c>
      <c r="HA42" s="213" t="str">
        <f>IF(HA$7&gt;$D$3,"",IF($FA37&lt;HA$7,"OD",_xlfn.XLOOKUP(HA$7,'Product Eng - MB'!$M$6:$BM$6,'Product Eng - MB'!$M$21:$BM$21)))</f>
        <v/>
      </c>
      <c r="HB42" s="213" t="str">
        <f>IF(HB$7&gt;$D$3,"",IF($FA37&lt;HB$7,"OD",_xlfn.XLOOKUP(HB$7,'Product Eng - MB'!$M$6:$BM$6,'Product Eng - MB'!$M$21:$BM$21)))</f>
        <v/>
      </c>
      <c r="HC42" s="213" t="str">
        <f>IF(HC$7&gt;$D$3,"",IF($FA37&lt;HC$7,"OD",_xlfn.XLOOKUP(HC$7,'Product Eng - MB'!$M$6:$BM$6,'Product Eng - MB'!$M$21:$BM$21)))</f>
        <v/>
      </c>
      <c r="HE42" s="138" t="str">
        <f>+$C42</f>
        <v>KPI C1</v>
      </c>
      <c r="HF42" s="146" t="str">
        <f>+$D42</f>
        <v>Cost</v>
      </c>
      <c r="HG42" s="146" t="str">
        <f t="shared" si="122"/>
        <v>Cost Transfer Value per Day</v>
      </c>
      <c r="HH42" s="147" t="str">
        <f t="shared" si="123"/>
        <v>£s</v>
      </c>
      <c r="HI42" s="147" t="s">
        <v>44</v>
      </c>
      <c r="HJ42" s="213" t="s">
        <v>122</v>
      </c>
      <c r="HK42" s="213">
        <f>IF(HK$7&gt;$D$3,"",IF($FA37&lt;HK$7,"OD",_xlfn.XLOOKUP(HK$7,'Product Eng - MB'!$M$6:$BM$6,'Product Eng - MB'!$M$20:$BM$20)))</f>
        <v>40</v>
      </c>
      <c r="HL42" s="213">
        <f>IF(HL$7&gt;$D$3,"",IF($FA37&lt;HL$7,"OD",_xlfn.XLOOKUP(HL$7,'Product Eng - MB'!$M$6:$BM$6,'Product Eng - MB'!$M$20:$BM$20)))</f>
        <v>40</v>
      </c>
      <c r="HM42" s="213">
        <f>IF(HM$7&gt;$D$3,"",IF($FA37&lt;HM$7,"OD",_xlfn.XLOOKUP(HM$7,'Product Eng - MB'!$M$6:$BM$6,'Product Eng - MB'!$M$20:$BM$20)))</f>
        <v>40</v>
      </c>
      <c r="HN42" s="213">
        <f>IF(HN$7&gt;$D$3,"",IF($FA37&lt;HN$7,"OD",_xlfn.XLOOKUP(HN$7,'Product Eng - MB'!$M$6:$BM$6,'Product Eng - MB'!$M$20:$BM$20)))</f>
        <v>40</v>
      </c>
      <c r="HO42" s="213">
        <f>IF(HO$7&gt;$D$3,"",IF($FA37&lt;HO$7,"OD",_xlfn.XLOOKUP(HO$7,'Product Eng - MB'!$M$6:$BM$6,'Product Eng - MB'!$M$20:$BM$20)))</f>
        <v>40</v>
      </c>
      <c r="HP42" s="213">
        <f>IF(HP$7&gt;$D$3,"",IF($FA37&lt;HP$7,"OD",_xlfn.XLOOKUP(HP$7,'Product Eng - MB'!$M$6:$BM$6,'Product Eng - MB'!$M$20:$BM$20)))</f>
        <v>40</v>
      </c>
      <c r="HQ42" s="213">
        <f>IF(HQ$7&gt;$D$3,"",IF($FA37&lt;HQ$7,"OD",_xlfn.XLOOKUP(HQ$7,'Product Eng - MB'!$M$6:$BM$6,'Product Eng - MB'!$M$20:$BM$20)))</f>
        <v>40</v>
      </c>
      <c r="HR42" s="213">
        <f>IF(HR$7&gt;$D$3,"",IF($FA37&lt;HR$7,"OD",_xlfn.XLOOKUP(HR$7,'Product Eng - MB'!$M$6:$BM$6,'Product Eng - MB'!$M$20:$BM$20)))</f>
        <v>40</v>
      </c>
      <c r="HS42" s="213">
        <f>IF(HS$7&gt;$D$3,"",IF($FA37&lt;HS$7,"OD",_xlfn.XLOOKUP(HS$7,'Product Eng - MB'!$M$6:$BM$6,'Product Eng - MB'!$M$20:$BM$20)))</f>
        <v>40</v>
      </c>
      <c r="HT42" s="213">
        <f>IF(HT$7&gt;$D$3,"",IF($FA37&lt;HT$7,"OD",_xlfn.XLOOKUP(HT$7,'Product Eng - MB'!$M$6:$BM$6,'Product Eng - MB'!$M$20:$BM$20)))</f>
        <v>40</v>
      </c>
      <c r="HU42" s="213">
        <f>IF(HU$7&gt;$D$3,"",IF($FA37&lt;HU$7,"OD",_xlfn.XLOOKUP(HU$7,'Product Eng - MB'!$M$6:$BM$6,'Product Eng - MB'!$M$20:$BM$20)))</f>
        <v>40</v>
      </c>
      <c r="HV42" s="213">
        <f>IF(HV$7&gt;$D$3,"",IF($FA37&lt;HV$7,"OD",_xlfn.XLOOKUP(HV$7,'Product Eng - MB'!$M$6:$BM$6,'Product Eng - MB'!$M$20:$BM$20)))</f>
        <v>40</v>
      </c>
      <c r="HW42" s="213">
        <f>IF(HW$7&gt;$D$3,"",IF($FA37&lt;HW$7,"OD",_xlfn.XLOOKUP(HW$7,'Product Eng - MB'!$M$6:$BM$6,'Product Eng - MB'!$M$20:$BM$20)))</f>
        <v>40</v>
      </c>
      <c r="HX42" s="213">
        <f>IF(HX$7&gt;$D$3,"",IF($FA37&lt;HX$7,"OD",_xlfn.XLOOKUP(HX$7,'Product Eng - MB'!$M$6:$BM$6,'Product Eng - MB'!$M$20:$BM$20)))</f>
        <v>40</v>
      </c>
      <c r="HY42" s="213">
        <f>IF(HY$7&gt;$D$3,"",IF($FA37&lt;HY$7,"OD",_xlfn.XLOOKUP(HY$7,'Product Eng - MB'!$M$6:$BM$6,'Product Eng - MB'!$M$20:$BM$20)))</f>
        <v>40</v>
      </c>
      <c r="HZ42" s="213">
        <f>IF(HZ$7&gt;$D$3,"",IF($FA37&lt;HZ$7,"OD",_xlfn.XLOOKUP(HZ$7,'Product Eng - MB'!$M$6:$BM$6,'Product Eng - MB'!$M$20:$BM$20)))</f>
        <v>40</v>
      </c>
      <c r="IA42" s="213">
        <f>IF(IA$7&gt;$D$3,"",IF($FA37&lt;IA$7,"OD",_xlfn.XLOOKUP(IA$7,'Product Eng - MB'!$M$6:$BM$6,'Product Eng - MB'!$M$20:$BM$20)))</f>
        <v>40</v>
      </c>
      <c r="IB42" s="213">
        <f>IF(IB$7&gt;$D$3,"",IF($FA37&lt;IB$7,"OD",_xlfn.XLOOKUP(IB$7,'Product Eng - MB'!$M$6:$BM$6,'Product Eng - MB'!$M$20:$BM$20)))</f>
        <v>40</v>
      </c>
      <c r="IC42" s="213">
        <f>IF(IC$7&gt;$D$3,"",IF($FA37&lt;IC$7,"OD",_xlfn.XLOOKUP(IC$7,'Product Eng - MB'!$M$6:$BM$6,'Product Eng - MB'!$M$20:$BM$20)))</f>
        <v>40</v>
      </c>
      <c r="ID42" s="213">
        <f>IF(ID$7&gt;$D$3,"",IF($FA37&lt;ID$7,"OD",_xlfn.XLOOKUP(ID$7,'Product Eng - MB'!$M$6:$BM$6,'Product Eng - MB'!$M$20:$BM$20)))</f>
        <v>40</v>
      </c>
      <c r="IE42" s="213">
        <f>IF(IE$7&gt;$D$3,"",IF($FA37&lt;IE$7,"OD",_xlfn.XLOOKUP(IE$7,'Product Eng - MB'!$M$6:$BM$6,'Product Eng - MB'!$M$20:$BM$20)))</f>
        <v>40</v>
      </c>
      <c r="IF42" s="213">
        <f>IF(IF$7&gt;$D$3,"",IF($FA37&lt;IF$7,"OD",_xlfn.XLOOKUP(IF$7,'Product Eng - MB'!$M$6:$BM$6,'Product Eng - MB'!$M$20:$BM$20)))</f>
        <v>40</v>
      </c>
      <c r="IG42" s="213">
        <f>IF(IG$7&gt;$D$3,"",IF($FA37&lt;IG$7,"OD",_xlfn.XLOOKUP(IG$7,'Product Eng - MB'!$M$6:$BM$6,'Product Eng - MB'!$M$20:$BM$20)))</f>
        <v>40</v>
      </c>
      <c r="IH42" s="213">
        <f>IF(IH$7&gt;$D$3,"",IF($FA37&lt;IH$7,"OD",_xlfn.XLOOKUP(IH$7,'Product Eng - MB'!$M$6:$BM$6,'Product Eng - MB'!$M$20:$BM$20)))</f>
        <v>40</v>
      </c>
      <c r="II42" s="213">
        <f>IF(II$7&gt;$D$3,"",IF($FA37&lt;II$7,"OD",_xlfn.XLOOKUP(II$7,'Product Eng - MB'!$M$6:$BM$6,'Product Eng - MB'!$M$20:$BM$20)))</f>
        <v>40</v>
      </c>
      <c r="IJ42" s="213">
        <f>IF(IJ$7&gt;$D$3,"",IF($FA37&lt;IJ$7,"OD",_xlfn.XLOOKUP(IJ$7,'Product Eng - MB'!$M$6:$BM$6,'Product Eng - MB'!$M$20:$BM$20)))</f>
        <v>40</v>
      </c>
      <c r="IK42" s="213">
        <f>IF(IK$7&gt;$D$3,"",IF($FA37&lt;IK$7,"OD",_xlfn.XLOOKUP(IK$7,'Product Eng - MB'!$M$6:$BM$6,'Product Eng - MB'!$M$20:$BM$20)))</f>
        <v>40</v>
      </c>
      <c r="IL42" s="213">
        <f>IF(IL$7&gt;$D$3,"",IF($FA37&lt;IL$7,"OD",_xlfn.XLOOKUP(IL$7,'Product Eng - MB'!$M$6:$BM$6,'Product Eng - MB'!$M$20:$BM$20)))</f>
        <v>40</v>
      </c>
      <c r="IM42" s="213">
        <f>IF(IM$7&gt;$D$3,"",IF($FA37&lt;IM$7,"OD",_xlfn.XLOOKUP(IM$7,'Product Eng - MB'!$M$6:$BM$6,'Product Eng - MB'!$M$20:$BM$20)))</f>
        <v>40</v>
      </c>
      <c r="IN42" s="213">
        <f>IF(IN$7&gt;$D$3,"",IF($FA37&lt;IN$7,"OD",_xlfn.XLOOKUP(IN$7,'Product Eng - MB'!$M$6:$BM$6,'Product Eng - MB'!$M$20:$BM$20)))</f>
        <v>40</v>
      </c>
      <c r="IO42" s="213">
        <f>IF(IO$7&gt;$D$3,"",IF($FA37&lt;IO$7,"OD",_xlfn.XLOOKUP(IO$7,'Product Eng - MB'!$M$6:$BM$6,'Product Eng - MB'!$M$20:$BM$20)))</f>
        <v>40</v>
      </c>
      <c r="IP42" s="213">
        <f>IF(IP$7&gt;$D$3,"",IF($FA37&lt;IP$7,"OD",_xlfn.XLOOKUP(IP$7,'Product Eng - MB'!$M$6:$BM$6,'Product Eng - MB'!$M$20:$BM$20)))</f>
        <v>40</v>
      </c>
      <c r="IQ42" s="213">
        <f>IF(IQ$7&gt;$D$3,"",IF($FA37&lt;IQ$7,"OD",_xlfn.XLOOKUP(IQ$7,'Product Eng - MB'!$M$6:$BM$6,'Product Eng - MB'!$M$20:$BM$20)))</f>
        <v>40</v>
      </c>
      <c r="IR42" s="213">
        <f>IF(IR$7&gt;$D$3,"",IF($FA37&lt;IR$7,"OD",_xlfn.XLOOKUP(IR$7,'Product Eng - MB'!$M$6:$BM$6,'Product Eng - MB'!$M$20:$BM$20)))</f>
        <v>40</v>
      </c>
      <c r="IS42" s="213">
        <f>IF(IS$7&gt;$D$3,"",IF($FA37&lt;IS$7,"OD",_xlfn.XLOOKUP(IS$7,'Product Eng - MB'!$M$6:$BM$6,'Product Eng - MB'!$M$20:$BM$20)))</f>
        <v>40</v>
      </c>
      <c r="IT42" s="213">
        <f>IF(IT$7&gt;$D$3,"",IF($FA37&lt;IT$7,"OD",_xlfn.XLOOKUP(IT$7,'Product Eng - MB'!$M$6:$BM$6,'Product Eng - MB'!$M$20:$BM$20)))</f>
        <v>40</v>
      </c>
      <c r="IU42" s="213">
        <f>IF(IU$7&gt;$D$3,"",IF($FA37&lt;IU$7,"OD",_xlfn.XLOOKUP(IU$7,'Product Eng - MB'!$M$6:$BM$6,'Product Eng - MB'!$M$20:$BM$20)))</f>
        <v>40</v>
      </c>
      <c r="IV42" s="213">
        <f>IF(IV$7&gt;$D$3,"",IF($FA37&lt;IV$7,"OD",_xlfn.XLOOKUP(IV$7,'Product Eng - MB'!$M$6:$BM$6,'Product Eng - MB'!$M$20:$BM$20)))</f>
        <v>40</v>
      </c>
      <c r="IW42" s="213">
        <f>IF(IW$7&gt;$D$3,"",IF($FA37&lt;IW$7,"OD",_xlfn.XLOOKUP(IW$7,'Product Eng - MB'!$M$6:$BM$6,'Product Eng - MB'!$M$20:$BM$20)))</f>
        <v>40</v>
      </c>
      <c r="IX42" s="213">
        <f>IF(IX$7&gt;$D$3,"",IF($FA37&lt;IX$7,"OD",_xlfn.XLOOKUP(IX$7,'Product Eng - MB'!$M$6:$BM$6,'Product Eng - MB'!$M$20:$BM$20)))</f>
        <v>40</v>
      </c>
      <c r="IY42" s="213">
        <f>IF(IY$7&gt;$D$3,"",IF($FA37&lt;IY$7,"OD",_xlfn.XLOOKUP(IY$7,'Product Eng - MB'!$M$6:$BM$6,'Product Eng - MB'!$M$20:$BM$20)))</f>
        <v>40</v>
      </c>
      <c r="IZ42" s="213" t="str">
        <f>IF(IZ$7&gt;$D$3,"",IF($FA37&lt;IZ$7,"OD",_xlfn.XLOOKUP(IZ$7,'Product Eng - MB'!$M$6:$BM$6,'Product Eng - MB'!$M$20:$BM$20)))</f>
        <v/>
      </c>
      <c r="JA42" s="213" t="str">
        <f>IF(JA$7&gt;$D$3,"",IF($FA37&lt;JA$7,"OD",_xlfn.XLOOKUP(JA$7,'Product Eng - MB'!$M$6:$BM$6,'Product Eng - MB'!$M$20:$BM$20)))</f>
        <v/>
      </c>
      <c r="JB42" s="213" t="str">
        <f>IF(JB$7&gt;$D$3,"",IF($FA37&lt;JB$7,"OD",_xlfn.XLOOKUP(JB$7,'Product Eng - MB'!$M$6:$BM$6,'Product Eng - MB'!$M$20:$BM$20)))</f>
        <v/>
      </c>
      <c r="JC42" s="213" t="str">
        <f>IF(JC$7&gt;$D$3,"",IF($FA37&lt;JC$7,"OD",_xlfn.XLOOKUP(JC$7,'Product Eng - MB'!$M$6:$BM$6,'Product Eng - MB'!$M$20:$BM$20)))</f>
        <v/>
      </c>
      <c r="JD42" s="213" t="str">
        <f>IF(JD$7&gt;$D$3,"",IF($FA37&lt;JD$7,"OD",_xlfn.XLOOKUP(JD$7,'Product Eng - MB'!$M$6:$BM$6,'Product Eng - MB'!$M$20:$BM$20)))</f>
        <v/>
      </c>
      <c r="JE42" s="213" t="str">
        <f>IF(JE$7&gt;$D$3,"",IF($FA37&lt;JE$7,"OD",_xlfn.XLOOKUP(JE$7,'Product Eng - MB'!$M$6:$BM$6,'Product Eng - MB'!$M$20:$BM$20)))</f>
        <v/>
      </c>
      <c r="JF42" s="213" t="str">
        <f>IF(JF$7&gt;$D$3,"",IF($FA37&lt;JF$7,"OD",_xlfn.XLOOKUP(JF$7,'Product Eng - MB'!$M$6:$BM$6,'Product Eng - MB'!$M$20:$BM$20)))</f>
        <v/>
      </c>
      <c r="JG42" s="213" t="str">
        <f>IF(JG$7&gt;$D$3,"",IF($FA37&lt;JG$7,"OD",_xlfn.XLOOKUP(JG$7,'Product Eng - MB'!$M$6:$BM$6,'Product Eng - MB'!$M$20:$BM$20)))</f>
        <v/>
      </c>
      <c r="JH42" s="213" t="str">
        <f>IF(JH$7&gt;$D$3,"",IF($FA37&lt;JH$7,"OD",_xlfn.XLOOKUP(JH$7,'Product Eng - MB'!$M$6:$BM$6,'Product Eng - MB'!$M$20:$BM$20)))</f>
        <v/>
      </c>
      <c r="JI42" s="213" t="str">
        <f>IF(JI$7&gt;$D$3,"",IF($FA37&lt;JI$7,"OD",_xlfn.XLOOKUP(JI$7,'Product Eng - MB'!$M$6:$BM$6,'Product Eng - MB'!$M$20:$BM$20)))</f>
        <v/>
      </c>
      <c r="JJ42" s="213" t="str">
        <f>IF(JJ$7&gt;$D$3,"",IF($FA37&lt;JJ$7,"OD",_xlfn.XLOOKUP(JJ$7,'Product Eng - MB'!$M$6:$BM$6,'Product Eng - MB'!$M$20:$BM$20)))</f>
        <v/>
      </c>
      <c r="JM42" s="138" t="str">
        <f>+$C42</f>
        <v>KPI C1</v>
      </c>
      <c r="JN42" s="146" t="str">
        <f>+$D42</f>
        <v>Cost</v>
      </c>
      <c r="JO42" s="146" t="str">
        <f t="shared" si="127"/>
        <v>Cost Transfer Value per Day</v>
      </c>
      <c r="JP42" s="147" t="str">
        <f t="shared" si="128"/>
        <v>£s</v>
      </c>
      <c r="JQ42" s="147" t="s">
        <v>284</v>
      </c>
      <c r="JR42" s="227" t="str">
        <f>IFERROR(AVERAGE(FC42:$FC42),"")</f>
        <v/>
      </c>
      <c r="JS42" s="227">
        <f>IFERROR(AVERAGE($FC42:FD42),"")</f>
        <v>47</v>
      </c>
      <c r="JT42" s="227">
        <f>IFERROR(AVERAGE($FC42:FE42),"")</f>
        <v>42.5</v>
      </c>
      <c r="JU42" s="227">
        <f>IFERROR(AVERAGE($FC42:FF42),"")</f>
        <v>43.333333333333336</v>
      </c>
      <c r="JV42" s="227">
        <f>IFERROR(AVERAGE($FC42:FG42),"")</f>
        <v>42.25</v>
      </c>
      <c r="JW42" s="227">
        <f>IFERROR(AVERAGE($FC42:FH42),"")</f>
        <v>40.6</v>
      </c>
      <c r="JX42" s="227">
        <f>IFERROR(AVERAGE($FC42:FI42),"")</f>
        <v>37.833333333333336</v>
      </c>
      <c r="JY42" s="227">
        <f>IFERROR(AVERAGE($FC42:FJ42),"")</f>
        <v>36.142857142857146</v>
      </c>
      <c r="JZ42" s="227">
        <f>IFERROR(AVERAGE($FC42:FK42),"")</f>
        <v>35</v>
      </c>
      <c r="KA42" s="227">
        <f>IFERROR(AVERAGE($FC42:FL42),"")</f>
        <v>33.666666666666664</v>
      </c>
      <c r="KB42" s="227">
        <f>IFERROR(AVERAGE($FC42:FM42),"")</f>
        <v>33.1</v>
      </c>
      <c r="KC42" s="227">
        <f>IFERROR(AVERAGE($FC42:FN42),"")</f>
        <v>30.818181818181817</v>
      </c>
      <c r="KD42" s="227">
        <f>IFERROR(AVERAGE($FC42:FO42),"")</f>
        <v>28.916666666666668</v>
      </c>
      <c r="KE42" s="227">
        <f>IFERROR(AVERAGE($FC42:FP42),"")</f>
        <v>27.153846153846153</v>
      </c>
      <c r="KF42" s="227">
        <f>IFERROR(AVERAGE($FC42:FQ42),"")</f>
        <v>27.857142857142858</v>
      </c>
      <c r="KG42" s="227">
        <f>IFERROR(AVERAGE($FC42:FR42),"")</f>
        <v>28.066666666666666</v>
      </c>
      <c r="KH42" s="227">
        <f>IFERROR(AVERAGE($FC42:FS42),"")</f>
        <v>27.125</v>
      </c>
      <c r="KI42" s="227">
        <f>IFERROR(AVERAGE($FC42:FT42),"")</f>
        <v>26.823529411764707</v>
      </c>
      <c r="KJ42" s="227">
        <f>IFERROR(AVERAGE($FC42:FU42),"")</f>
        <v>26.833333333333332</v>
      </c>
      <c r="KK42" s="227">
        <f>IFERROR(AVERAGE($FC42:FV42),"")</f>
        <v>27.526315789473685</v>
      </c>
      <c r="KL42" s="227">
        <f>IFERROR(AVERAGE($FC42:FW42),"")</f>
        <v>27.8</v>
      </c>
      <c r="KM42" s="227">
        <f>IFERROR(AVERAGE($FC42:FX42),"")</f>
        <v>26.61904761904762</v>
      </c>
      <c r="KN42" s="227">
        <f>IFERROR(AVERAGE($FC42:FY42),"")</f>
        <v>32.863636363636367</v>
      </c>
      <c r="KO42" s="227">
        <f>IFERROR(AVERAGE($FC42:FZ42),"")</f>
        <v>36.260869565217391</v>
      </c>
      <c r="KP42" s="227">
        <f>IFERROR(AVERAGE($FC42:GA42),"")</f>
        <v>35.625</v>
      </c>
      <c r="KQ42" s="227">
        <f>IFERROR(AVERAGE($FC42:GB42),"")</f>
        <v>35.72</v>
      </c>
      <c r="KR42" s="227">
        <f>IFERROR(AVERAGE($FC42:GC42),"")</f>
        <v>35.653846153846153</v>
      </c>
      <c r="KS42" s="227">
        <f>IFERROR(AVERAGE($FC42:GD42),"")</f>
        <v>36</v>
      </c>
      <c r="KT42" s="227">
        <f>IFERROR(AVERAGE($FC42:GE42),"")</f>
        <v>40.357142857142854</v>
      </c>
      <c r="KU42" s="227">
        <f>IFERROR(AVERAGE($FC42:GF42),"")</f>
        <v>40.862068965517238</v>
      </c>
      <c r="KV42" s="227">
        <f>IFERROR(AVERAGE($FC42:GG42),"")</f>
        <v>40.966666666666669</v>
      </c>
      <c r="KW42" s="227">
        <f>IFERROR(AVERAGE($FC42:GH42),"")</f>
        <v>41.225806451612904</v>
      </c>
      <c r="KX42" s="227">
        <f>IFERROR(AVERAGE($FC42:GI42),"")</f>
        <v>41.09375</v>
      </c>
      <c r="KY42" s="227">
        <f>IFERROR(AVERAGE($FC42:GJ42),"")</f>
        <v>40.272727272727273</v>
      </c>
      <c r="KZ42" s="227">
        <f>IFERROR(AVERAGE($FC42:GK42),"")</f>
        <v>39.911764705882355</v>
      </c>
      <c r="LA42" s="227">
        <f>IFERROR(AVERAGE($FC42:GL42),"")</f>
        <v>38.885714285714286</v>
      </c>
      <c r="LB42" s="227">
        <f>IFERROR(AVERAGE($FC42:GM42),"")</f>
        <v>37.861111111111114</v>
      </c>
      <c r="LC42" s="227">
        <f>IFERROR(AVERAGE($FC42:GN42),"")</f>
        <v>36.870270270270268</v>
      </c>
      <c r="LD42" s="227">
        <f>IFERROR(AVERAGE($FC42:GO42),"")</f>
        <v>36.873684210526314</v>
      </c>
      <c r="LE42" s="227">
        <f>IFERROR(AVERAGE($FC42:GP42),"")</f>
        <v>37.184615384615384</v>
      </c>
      <c r="LF42" s="227">
        <f>IFERROR(AVERAGE($FC42:GQ42),"")</f>
        <v>36.505000000000003</v>
      </c>
      <c r="LG42" s="227">
        <f>IFERROR(AVERAGE($FC42:GR42),"")</f>
        <v>35.614634146341466</v>
      </c>
      <c r="LH42" s="227">
        <f>IFERROR(AVERAGE($FC42:GS42),"")</f>
        <v>35.614634146341466</v>
      </c>
      <c r="LI42" s="227">
        <f>IFERROR(AVERAGE($FC42:GT42),"")</f>
        <v>35.614634146341466</v>
      </c>
      <c r="LJ42" s="227">
        <f>IFERROR(AVERAGE($FC42:GU42),"")</f>
        <v>35.614634146341466</v>
      </c>
      <c r="LK42" s="227">
        <f>IFERROR(AVERAGE($FC42:GV42),"")</f>
        <v>35.614634146341466</v>
      </c>
      <c r="LL42" s="227">
        <f>IFERROR(AVERAGE($FC42:GW42),"")</f>
        <v>35.614634146341466</v>
      </c>
      <c r="LM42" s="227">
        <f>IFERROR(AVERAGE($FC42:GX42),"")</f>
        <v>35.614634146341466</v>
      </c>
      <c r="LN42" s="227">
        <f>IFERROR(AVERAGE($FC42:GY42),"")</f>
        <v>35.614634146341466</v>
      </c>
      <c r="LO42" s="227">
        <f>IFERROR(AVERAGE($FC42:GZ42),"")</f>
        <v>35.614634146341466</v>
      </c>
      <c r="LP42" s="227">
        <f>IFERROR(AVERAGE($FC42:HA42),"")</f>
        <v>35.614634146341466</v>
      </c>
      <c r="LQ42" s="227">
        <f>IFERROR(AVERAGE($FC42:HB42),"")</f>
        <v>35.614634146341466</v>
      </c>
      <c r="LR42" s="227">
        <f>IFERROR(AVERAGE($FC42:HC42),"")</f>
        <v>35.614634146341466</v>
      </c>
      <c r="LT42" s="138" t="str">
        <f>+$C42</f>
        <v>KPI C1</v>
      </c>
      <c r="LU42" s="146" t="str">
        <f>+$D42</f>
        <v>Cost</v>
      </c>
      <c r="LV42" s="146" t="str">
        <f t="shared" si="131"/>
        <v>Cost Transfer Value per Day</v>
      </c>
      <c r="LW42" s="147" t="str">
        <f t="shared" si="132"/>
        <v>£s</v>
      </c>
      <c r="LX42" s="147" t="s">
        <v>285</v>
      </c>
      <c r="LY42" s="213" t="str">
        <f>IFERROR(AVERAGE($HJ42:HJ42),"")</f>
        <v/>
      </c>
      <c r="LZ42" s="213">
        <f>IFERROR(IF(LAD$7&gt;$D$3,"",AVERAGE($HJ42:HK42)),"")</f>
        <v>40</v>
      </c>
      <c r="MA42" s="213">
        <f>IFERROR(IF(MA$7&gt;$D$3,"",AVERAGE($HJ42:HL42)),"")</f>
        <v>40</v>
      </c>
      <c r="MB42" s="213">
        <f>IFERROR(IF(MB$7&gt;$D$3,"",AVERAGE($HJ42:HM42)),"")</f>
        <v>40</v>
      </c>
      <c r="MC42" s="213">
        <f>IFERROR(IF(MC$7&gt;$D$3,"",AVERAGE($HJ42:HN42)),"")</f>
        <v>40</v>
      </c>
      <c r="MD42" s="213">
        <f>IFERROR(IF(MD$7&gt;$D$3,"",AVERAGE($HJ42:HO42)),"")</f>
        <v>40</v>
      </c>
      <c r="ME42" s="213">
        <f>IFERROR(IF(ME$7&gt;$D$3,"",AVERAGE($HJ42:HP42)),"")</f>
        <v>40</v>
      </c>
      <c r="MF42" s="213">
        <f>IFERROR(IF(MF$7&gt;$D$3,"",AVERAGE($HJ42:HQ42)),"")</f>
        <v>40</v>
      </c>
      <c r="MG42" s="213">
        <f>IFERROR(IF(MG$7&gt;$D$3,"",AVERAGE($HJ42:HR42)),"")</f>
        <v>40</v>
      </c>
      <c r="MH42" s="213">
        <f>IFERROR(IF(MH$7&gt;$D$3,"",AVERAGE($HJ42:HS42)),"")</f>
        <v>40</v>
      </c>
      <c r="MI42" s="213">
        <f>IFERROR(IF(MI$7&gt;$D$3,"",AVERAGE($HJ42:HT42)),"")</f>
        <v>40</v>
      </c>
      <c r="MJ42" s="213">
        <f>IFERROR(IF(MJ$7&gt;$D$3,"",AVERAGE($HJ42:HU42)),"")</f>
        <v>40</v>
      </c>
      <c r="MK42" s="213">
        <f>IFERROR(IF(MK$7&gt;$D$3,"",AVERAGE($HJ42:HV42)),"")</f>
        <v>40</v>
      </c>
      <c r="ML42" s="213">
        <f>IFERROR(IF(ML$7&gt;$D$3,"",AVERAGE($HJ42:HW42)),"")</f>
        <v>40</v>
      </c>
      <c r="MM42" s="213">
        <f>IFERROR(IF(MM$7&gt;$D$3,"",AVERAGE($HJ42:HX42)),"")</f>
        <v>40</v>
      </c>
      <c r="MN42" s="213">
        <f>IFERROR(IF(MN$7&gt;$D$3,"",AVERAGE($HJ42:HY42)),"")</f>
        <v>40</v>
      </c>
      <c r="MO42" s="213">
        <f>IFERROR(IF(MO$7&gt;$D$3,"",AVERAGE($HJ42:HZ42)),"")</f>
        <v>40</v>
      </c>
      <c r="MP42" s="213">
        <f>IFERROR(IF(MP$7&gt;$D$3,"",AVERAGE($HJ42:IA42)),"")</f>
        <v>40</v>
      </c>
      <c r="MQ42" s="213">
        <f>IFERROR(IF(MQ$7&gt;$D$3,"",AVERAGE($HJ42:IB42)),"")</f>
        <v>40</v>
      </c>
      <c r="MR42" s="213">
        <f>IFERROR(IF(MR$7&gt;$D$3,"",AVERAGE($HJ42:IC42)),"")</f>
        <v>40</v>
      </c>
      <c r="MS42" s="213">
        <f>IFERROR(IF(MS$7&gt;$D$3,"",AVERAGE($HJ42:ID42)),"")</f>
        <v>40</v>
      </c>
      <c r="MT42" s="213">
        <f>IFERROR(IF(MT$7&gt;$D$3,"",AVERAGE($HJ42:IE42)),"")</f>
        <v>40</v>
      </c>
      <c r="MU42" s="213">
        <f>IFERROR(IF(MU$7&gt;$D$3,"",AVERAGE($HJ42:IF42)),"")</f>
        <v>40</v>
      </c>
      <c r="MV42" s="213">
        <f>IFERROR(IF(MV$7&gt;$D$3,"",AVERAGE($HJ42:IG42)),"")</f>
        <v>40</v>
      </c>
      <c r="MW42" s="213">
        <f>IFERROR(IF(MW$7&gt;$D$3,"",AVERAGE($HJ42:IH42)),"")</f>
        <v>40</v>
      </c>
      <c r="MX42" s="213">
        <f>IFERROR(IF(MX$7&gt;$D$3,"",AVERAGE($HJ42:II42)),"")</f>
        <v>40</v>
      </c>
      <c r="MY42" s="213">
        <f>IFERROR(IF(MY$7&gt;$D$3,"",AVERAGE($HJ42:IJ42)),"")</f>
        <v>40</v>
      </c>
      <c r="MZ42" s="213">
        <f>IFERROR(IF(MZ$7&gt;$D$3,"",AVERAGE($HJ42:IK42)),"")</f>
        <v>40</v>
      </c>
      <c r="NA42" s="213">
        <f>IFERROR(IF(NA$7&gt;$D$3,"",AVERAGE($HJ42:IL42)),"")</f>
        <v>40</v>
      </c>
      <c r="NB42" s="213">
        <f>IFERROR(IF(NB$7&gt;$D$3,"",AVERAGE($HJ42:IM42)),"")</f>
        <v>40</v>
      </c>
      <c r="NC42" s="213">
        <f>IFERROR(IF(NC$7&gt;$D$3,"",AVERAGE($HJ42:IN42)),"")</f>
        <v>40</v>
      </c>
      <c r="ND42" s="213">
        <f>IFERROR(IF(ND$7&gt;$D$3,"",AVERAGE($HJ42:IO42)),"")</f>
        <v>40</v>
      </c>
      <c r="NE42" s="213">
        <f>IFERROR(IF(NE$7&gt;$D$3,"",AVERAGE($HJ42:IP42)),"")</f>
        <v>40</v>
      </c>
      <c r="NF42" s="213">
        <f>IFERROR(IF(NF$7&gt;$D$3,"",AVERAGE($HJ42:IQ42)),"")</f>
        <v>40</v>
      </c>
      <c r="NG42" s="213">
        <f>IFERROR(IF(NG$7&gt;$D$3,"",AVERAGE($HJ42:IR42)),"")</f>
        <v>40</v>
      </c>
      <c r="NH42" s="213">
        <f>IFERROR(IF(NH$7&gt;$D$3,"",AVERAGE($HJ42:IS42)),"")</f>
        <v>40</v>
      </c>
      <c r="NI42" s="213">
        <f>IFERROR(IF(NI$7&gt;$D$3,"",AVERAGE($HJ42:IT42)),"")</f>
        <v>40</v>
      </c>
      <c r="NJ42" s="213">
        <f>IFERROR(IF(NJ$7&gt;$D$3,"",AVERAGE($HJ42:IU42)),"")</f>
        <v>40</v>
      </c>
      <c r="NK42" s="213">
        <f>IFERROR(IF(NK$7&gt;$D$3,"",AVERAGE($HJ42:IV42)),"")</f>
        <v>40</v>
      </c>
      <c r="NL42" s="213">
        <f>IFERROR(IF(NL$7&gt;$D$3,"",AVERAGE($HJ42:IW42)),"")</f>
        <v>40</v>
      </c>
      <c r="NM42" s="213">
        <f>IFERROR(IF(NM$7&gt;$D$3,"",AVERAGE($HJ42:IX42)),"")</f>
        <v>40</v>
      </c>
      <c r="NN42" s="213">
        <f>IFERROR(IF(NN$7&gt;$D$3,"",AVERAGE($HJ42:IY42)),"")</f>
        <v>40</v>
      </c>
      <c r="NO42" s="213" t="str">
        <f>IFERROR(IF(NO$7&gt;$D$3,"",AVERAGE($HJ42:IZ42)),"")</f>
        <v/>
      </c>
      <c r="NP42" s="213" t="str">
        <f>IFERROR(IF(NP$7&gt;$D$3,"",AVERAGE($HJ42:JA42)),"")</f>
        <v/>
      </c>
      <c r="NQ42" s="213" t="str">
        <f>IFERROR(IF(NQ$7&gt;$D$3,"",AVERAGE($HJ42:JB42)),"")</f>
        <v/>
      </c>
      <c r="NR42" s="213" t="str">
        <f>IFERROR(IF(NR$7&gt;$D$3,"",AVERAGE($HJ42:JC42)),"")</f>
        <v/>
      </c>
      <c r="NS42" s="213" t="str">
        <f>IFERROR(IF(NS$7&gt;$D$3,"",AVERAGE($HJ42:JD42)),"")</f>
        <v/>
      </c>
      <c r="NT42" s="213" t="str">
        <f>IFERROR(IF(NT$7&gt;$D$3,"",AVERAGE($HJ42:JE42)),"")</f>
        <v/>
      </c>
      <c r="NU42" s="213" t="str">
        <f>IFERROR(IF(NU$7&gt;$D$3,"",AVERAGE($HJ42:JF42)),"")</f>
        <v/>
      </c>
      <c r="NV42" s="213" t="str">
        <f>IFERROR(IF(NV$7&gt;$D$3,"",AVERAGE($HJ42:JG42)),"")</f>
        <v/>
      </c>
      <c r="NW42" s="213" t="str">
        <f>IFERROR(IF(NW$7&gt;$D$3,"",AVERAGE($HJ42:JH42)),"")</f>
        <v/>
      </c>
      <c r="NX42" s="213" t="str">
        <f>IFERROR(IF(NX$7&gt;$D$3,"",AVERAGE($HJ42:JI42)),"")</f>
        <v/>
      </c>
      <c r="NY42" s="213" t="str">
        <f>IFERROR(IF(NY$7&gt;$D$3,"",AVERAGE($HJ42:JJ42)),"")</f>
        <v/>
      </c>
    </row>
    <row r="43" spans="1:389" ht="15" thickBot="1" x14ac:dyDescent="0.35">
      <c r="AB43" s="292"/>
      <c r="AH43" s="465"/>
      <c r="AN43" s="201"/>
      <c r="CO43" s="465"/>
      <c r="CV43" s="316"/>
      <c r="CW43" s="316"/>
      <c r="CX43" s="316"/>
      <c r="CY43" s="316"/>
      <c r="CZ43" s="316"/>
      <c r="DA43" s="316"/>
      <c r="DB43" s="316"/>
      <c r="DC43" s="316"/>
      <c r="DD43" s="316"/>
      <c r="DE43" s="316"/>
      <c r="DF43" s="316"/>
      <c r="DG43" s="316"/>
      <c r="DH43" s="316"/>
      <c r="DI43" s="316"/>
      <c r="DJ43" s="316"/>
      <c r="DK43" s="316"/>
      <c r="DL43" s="316"/>
      <c r="DM43" s="316"/>
      <c r="DN43" s="316"/>
      <c r="DO43" s="316"/>
      <c r="DP43" s="316"/>
      <c r="DQ43" s="316"/>
      <c r="DR43" s="316"/>
      <c r="DS43" s="316"/>
      <c r="DT43" s="316"/>
      <c r="DU43" s="316"/>
      <c r="DV43" s="316"/>
      <c r="DW43" s="316"/>
      <c r="DX43" s="316"/>
      <c r="DY43" s="316"/>
      <c r="DZ43" s="316"/>
      <c r="EA43" s="316"/>
      <c r="EB43" s="316"/>
      <c r="EC43" s="316"/>
      <c r="ED43" s="316"/>
      <c r="EE43" s="316"/>
      <c r="EF43" s="316"/>
      <c r="EG43" s="316"/>
      <c r="EH43" s="316"/>
      <c r="EI43" s="316"/>
      <c r="EJ43" s="316"/>
      <c r="EK43" s="316"/>
      <c r="EL43" s="316"/>
      <c r="EM43" s="316"/>
      <c r="EN43" s="316"/>
      <c r="EO43" s="316"/>
      <c r="EP43" s="316"/>
      <c r="EQ43" s="316"/>
      <c r="ER43" s="316"/>
      <c r="ES43" s="316"/>
      <c r="ET43" s="316"/>
      <c r="EU43" s="316"/>
      <c r="EW43" s="465"/>
      <c r="FC43" s="201"/>
      <c r="FD43" s="201"/>
      <c r="FE43" s="201"/>
      <c r="FF43" s="201"/>
      <c r="FG43" s="201"/>
      <c r="FH43" s="201"/>
      <c r="FI43" s="201"/>
      <c r="FJ43" s="201"/>
      <c r="FK43" s="201"/>
      <c r="FL43" s="201"/>
      <c r="FM43" s="201"/>
      <c r="FN43" s="201"/>
      <c r="FO43" s="201"/>
      <c r="FP43" s="201"/>
      <c r="FQ43" s="201"/>
      <c r="FR43" s="201"/>
      <c r="FS43" s="201"/>
      <c r="FT43" s="201"/>
      <c r="FU43" s="201"/>
      <c r="FV43" s="201"/>
      <c r="FW43" s="201"/>
      <c r="FX43" s="201"/>
      <c r="FY43" s="201"/>
      <c r="FZ43" s="201"/>
      <c r="GA43" s="201"/>
      <c r="GB43" s="201"/>
      <c r="GC43" s="201"/>
      <c r="GD43" s="201"/>
      <c r="GE43" s="201"/>
      <c r="GF43" s="201"/>
      <c r="GG43" s="201"/>
      <c r="GH43" s="201"/>
      <c r="GI43" s="201"/>
      <c r="GJ43" s="201"/>
      <c r="GK43" s="201"/>
      <c r="GL43" s="201"/>
      <c r="GM43" s="201"/>
      <c r="GN43" s="201"/>
      <c r="GO43" s="201"/>
      <c r="GP43" s="201"/>
      <c r="GQ43" s="201"/>
      <c r="GR43" s="201"/>
      <c r="GS43" s="201"/>
      <c r="GT43" s="201"/>
      <c r="GU43" s="201"/>
      <c r="GV43" s="201"/>
      <c r="GW43" s="201"/>
      <c r="GX43" s="201"/>
      <c r="GY43" s="201"/>
      <c r="GZ43" s="201"/>
      <c r="HA43" s="201"/>
      <c r="HB43" s="201"/>
      <c r="HC43" s="201"/>
      <c r="HJ43" s="201"/>
      <c r="HK43" s="201"/>
      <c r="HL43" s="249"/>
      <c r="HM43" s="249"/>
      <c r="HN43" s="249"/>
      <c r="HO43" s="249"/>
      <c r="HP43" s="249"/>
      <c r="HQ43" s="249"/>
      <c r="HR43" s="249"/>
      <c r="HS43" s="249"/>
      <c r="HT43" s="249"/>
      <c r="HU43" s="249"/>
      <c r="HV43" s="249"/>
      <c r="HW43" s="249"/>
      <c r="HX43" s="249"/>
      <c r="HY43" s="249"/>
      <c r="HZ43" s="249"/>
      <c r="IA43" s="249"/>
      <c r="IB43" s="249"/>
      <c r="IC43" s="249"/>
      <c r="ID43" s="249"/>
      <c r="IE43" s="249"/>
      <c r="IF43" s="249"/>
      <c r="IG43" s="249"/>
      <c r="IH43" s="249"/>
      <c r="II43" s="249"/>
      <c r="IJ43" s="249"/>
      <c r="IK43" s="249"/>
      <c r="IL43" s="249"/>
      <c r="IM43" s="249"/>
      <c r="IN43" s="249"/>
      <c r="IO43" s="249"/>
      <c r="IP43" s="249"/>
      <c r="IQ43" s="249"/>
      <c r="IR43" s="249"/>
      <c r="IS43" s="249"/>
      <c r="IT43" s="249"/>
      <c r="IU43" s="249"/>
      <c r="IV43" s="249"/>
      <c r="IW43" s="249"/>
      <c r="IX43" s="249"/>
      <c r="IY43" s="249"/>
      <c r="IZ43" s="249"/>
      <c r="JA43" s="249"/>
      <c r="JB43" s="249"/>
      <c r="JC43" s="249"/>
      <c r="JD43" s="249"/>
      <c r="JE43" s="249"/>
      <c r="JF43" s="249"/>
      <c r="JG43" s="249"/>
      <c r="JH43" s="249"/>
      <c r="JI43" s="249"/>
      <c r="JJ43" s="249"/>
      <c r="JR43" s="249"/>
      <c r="JS43" s="249"/>
      <c r="JT43" s="249"/>
      <c r="JU43" s="249"/>
      <c r="JV43" s="249"/>
      <c r="JW43" s="249"/>
      <c r="JX43" s="249"/>
      <c r="JY43" s="249"/>
      <c r="JZ43" s="249"/>
      <c r="KA43" s="249"/>
      <c r="KB43" s="249"/>
      <c r="KC43" s="249"/>
      <c r="KD43" s="249"/>
      <c r="KE43" s="249"/>
      <c r="KF43" s="249"/>
      <c r="KG43" s="249"/>
      <c r="KH43" s="249"/>
      <c r="KI43" s="249"/>
      <c r="KJ43" s="249"/>
      <c r="KK43" s="249"/>
      <c r="KL43" s="249"/>
      <c r="KM43" s="249"/>
      <c r="KN43" s="249"/>
      <c r="KO43" s="249"/>
      <c r="KP43" s="249"/>
      <c r="KQ43" s="249"/>
      <c r="KR43" s="249"/>
      <c r="KS43" s="249"/>
      <c r="KT43" s="249"/>
      <c r="KU43" s="249"/>
      <c r="KV43" s="249"/>
      <c r="KW43" s="249"/>
      <c r="KX43" s="249"/>
      <c r="KY43" s="249"/>
      <c r="KZ43" s="249"/>
      <c r="LA43" s="249"/>
      <c r="LB43" s="249"/>
      <c r="LC43" s="249"/>
      <c r="LD43" s="249"/>
      <c r="LE43" s="249"/>
      <c r="LF43" s="249"/>
      <c r="LG43" s="249"/>
      <c r="LH43" s="249"/>
      <c r="LI43" s="249"/>
      <c r="LJ43" s="249"/>
      <c r="LK43" s="249"/>
      <c r="LL43" s="249"/>
      <c r="LM43" s="249"/>
      <c r="LN43" s="249"/>
      <c r="LO43" s="249"/>
      <c r="LP43" s="249"/>
      <c r="LQ43" s="249"/>
      <c r="LR43" s="249"/>
      <c r="LY43" s="201"/>
      <c r="LZ43" s="201"/>
      <c r="MA43" s="201"/>
      <c r="MB43" s="201"/>
      <c r="MC43" s="201"/>
      <c r="MD43" s="201"/>
      <c r="ME43" s="201"/>
      <c r="MF43" s="201"/>
      <c r="MG43" s="201"/>
      <c r="MH43" s="201"/>
      <c r="MI43" s="201"/>
      <c r="MJ43" s="201"/>
      <c r="MK43" s="201"/>
      <c r="ML43" s="201"/>
      <c r="MM43" s="201"/>
      <c r="MN43" s="201"/>
      <c r="MO43" s="201"/>
      <c r="MP43" s="201"/>
      <c r="MQ43" s="201"/>
      <c r="MR43" s="201"/>
      <c r="MS43" s="201"/>
      <c r="MT43" s="201"/>
      <c r="MU43" s="201"/>
      <c r="MV43" s="201"/>
      <c r="MW43" s="201"/>
      <c r="MX43" s="201"/>
      <c r="MY43" s="201"/>
      <c r="MZ43" s="201"/>
      <c r="NA43" s="201"/>
      <c r="NB43" s="201"/>
      <c r="NC43" s="201"/>
      <c r="ND43" s="201"/>
      <c r="NE43" s="201"/>
      <c r="NF43" s="201"/>
      <c r="NG43" s="201"/>
      <c r="NH43" s="201"/>
      <c r="NI43" s="201"/>
      <c r="NJ43" s="201"/>
      <c r="NK43" s="201"/>
      <c r="NL43" s="201"/>
      <c r="NM43" s="201"/>
      <c r="NN43" s="201"/>
      <c r="NO43" s="201"/>
      <c r="NP43" s="201"/>
      <c r="NQ43" s="201"/>
      <c r="NR43" s="201"/>
      <c r="NS43" s="201"/>
      <c r="NT43" s="201"/>
      <c r="NU43" s="201"/>
      <c r="NV43" s="201"/>
      <c r="NW43" s="201"/>
      <c r="NX43" s="201"/>
      <c r="NY43" s="201"/>
    </row>
    <row r="44" spans="1:389" ht="29.4" thickBot="1" x14ac:dyDescent="0.35">
      <c r="B44" s="180" t="str">
        <f>+'KPI Stats'!B49</f>
        <v>Product Eng - BE</v>
      </c>
      <c r="C44" s="133" t="str">
        <f>+'KPI Stats'!C49</f>
        <v>Paul Dolan</v>
      </c>
      <c r="D44" s="134"/>
      <c r="E44" s="141" t="str">
        <f>+'KPI Stats'!E49</f>
        <v>Completed to Week</v>
      </c>
      <c r="F44" s="141">
        <f>+'KPI Stats'!F49</f>
        <v>42</v>
      </c>
      <c r="G44" s="181" t="s">
        <v>506</v>
      </c>
      <c r="J44" s="181" t="str">
        <f>+$B44</f>
        <v>Product Eng - BE</v>
      </c>
      <c r="K44" s="181"/>
      <c r="L44" s="182"/>
      <c r="M44" s="183"/>
      <c r="P44" s="181" t="str">
        <f>+$B44</f>
        <v>Product Eng - BE</v>
      </c>
      <c r="Q44" s="181"/>
      <c r="R44" s="181"/>
      <c r="S44" s="183"/>
      <c r="T44" s="183"/>
      <c r="U44" s="291"/>
      <c r="X44" s="181" t="str">
        <f>+$B44</f>
        <v>Product Eng - BE</v>
      </c>
      <c r="Y44" s="181"/>
      <c r="Z44" s="181"/>
      <c r="AA44" s="183"/>
      <c r="AB44" s="291"/>
      <c r="AC44" s="181" t="str">
        <f>+$B44</f>
        <v>Product Eng - BE</v>
      </c>
      <c r="AD44" s="181"/>
      <c r="AE44" s="181"/>
      <c r="AF44" s="183"/>
      <c r="AH44" s="465"/>
      <c r="AI44" s="191" t="str">
        <f>+B45</f>
        <v>Product Engineering - Bridgend</v>
      </c>
      <c r="AJ44" s="192"/>
      <c r="AK44" s="141" t="str">
        <f t="shared" ref="AK44:AL49" si="141">+E44</f>
        <v>Completed to Week</v>
      </c>
      <c r="AL44" s="141">
        <f t="shared" si="141"/>
        <v>42</v>
      </c>
      <c r="AM44" s="209" t="str">
        <f t="shared" ref="AM44:BR44" si="142">+$B44</f>
        <v>Product Eng - BE</v>
      </c>
      <c r="AN44" s="210" t="str">
        <f t="shared" si="142"/>
        <v>Product Eng - BE</v>
      </c>
      <c r="AO44" s="209" t="str">
        <f t="shared" si="142"/>
        <v>Product Eng - BE</v>
      </c>
      <c r="AP44" s="209" t="str">
        <f t="shared" si="142"/>
        <v>Product Eng - BE</v>
      </c>
      <c r="AQ44" s="209" t="str">
        <f t="shared" si="142"/>
        <v>Product Eng - BE</v>
      </c>
      <c r="AR44" s="209" t="str">
        <f t="shared" si="142"/>
        <v>Product Eng - BE</v>
      </c>
      <c r="AS44" s="209" t="str">
        <f t="shared" si="142"/>
        <v>Product Eng - BE</v>
      </c>
      <c r="AT44" s="209" t="str">
        <f t="shared" si="142"/>
        <v>Product Eng - BE</v>
      </c>
      <c r="AU44" s="209" t="str">
        <f t="shared" si="142"/>
        <v>Product Eng - BE</v>
      </c>
      <c r="AV44" s="209" t="str">
        <f t="shared" si="142"/>
        <v>Product Eng - BE</v>
      </c>
      <c r="AW44" s="209" t="str">
        <f t="shared" si="142"/>
        <v>Product Eng - BE</v>
      </c>
      <c r="AX44" s="209" t="str">
        <f t="shared" si="142"/>
        <v>Product Eng - BE</v>
      </c>
      <c r="AY44" s="209" t="str">
        <f t="shared" si="142"/>
        <v>Product Eng - BE</v>
      </c>
      <c r="AZ44" s="209" t="str">
        <f t="shared" si="142"/>
        <v>Product Eng - BE</v>
      </c>
      <c r="BA44" s="209" t="str">
        <f t="shared" si="142"/>
        <v>Product Eng - BE</v>
      </c>
      <c r="BB44" s="209" t="str">
        <f t="shared" si="142"/>
        <v>Product Eng - BE</v>
      </c>
      <c r="BC44" s="209" t="str">
        <f t="shared" si="142"/>
        <v>Product Eng - BE</v>
      </c>
      <c r="BD44" s="209" t="str">
        <f t="shared" si="142"/>
        <v>Product Eng - BE</v>
      </c>
      <c r="BE44" s="209" t="str">
        <f t="shared" si="142"/>
        <v>Product Eng - BE</v>
      </c>
      <c r="BF44" s="209" t="str">
        <f t="shared" si="142"/>
        <v>Product Eng - BE</v>
      </c>
      <c r="BG44" s="209" t="str">
        <f t="shared" si="142"/>
        <v>Product Eng - BE</v>
      </c>
      <c r="BH44" s="209" t="str">
        <f t="shared" si="142"/>
        <v>Product Eng - BE</v>
      </c>
      <c r="BI44" s="209" t="str">
        <f t="shared" si="142"/>
        <v>Product Eng - BE</v>
      </c>
      <c r="BJ44" s="209" t="str">
        <f t="shared" si="142"/>
        <v>Product Eng - BE</v>
      </c>
      <c r="BK44" s="209" t="str">
        <f t="shared" si="142"/>
        <v>Product Eng - BE</v>
      </c>
      <c r="BL44" s="209" t="str">
        <f t="shared" si="142"/>
        <v>Product Eng - BE</v>
      </c>
      <c r="BM44" s="209" t="str">
        <f t="shared" si="142"/>
        <v>Product Eng - BE</v>
      </c>
      <c r="BN44" s="209" t="str">
        <f t="shared" si="142"/>
        <v>Product Eng - BE</v>
      </c>
      <c r="BO44" s="209" t="str">
        <f t="shared" si="142"/>
        <v>Product Eng - BE</v>
      </c>
      <c r="BP44" s="209" t="str">
        <f t="shared" si="142"/>
        <v>Product Eng - BE</v>
      </c>
      <c r="BQ44" s="209" t="str">
        <f t="shared" si="142"/>
        <v>Product Eng - BE</v>
      </c>
      <c r="BR44" s="209" t="str">
        <f t="shared" si="142"/>
        <v>Product Eng - BE</v>
      </c>
      <c r="BS44" s="209" t="str">
        <f t="shared" ref="BS44:CM44" si="143">+$B44</f>
        <v>Product Eng - BE</v>
      </c>
      <c r="BT44" s="209" t="str">
        <f t="shared" si="143"/>
        <v>Product Eng - BE</v>
      </c>
      <c r="BU44" s="209" t="str">
        <f t="shared" si="143"/>
        <v>Product Eng - BE</v>
      </c>
      <c r="BV44" s="209" t="str">
        <f t="shared" si="143"/>
        <v>Product Eng - BE</v>
      </c>
      <c r="BW44" s="209" t="str">
        <f t="shared" si="143"/>
        <v>Product Eng - BE</v>
      </c>
      <c r="BX44" s="209" t="str">
        <f t="shared" si="143"/>
        <v>Product Eng - BE</v>
      </c>
      <c r="BY44" s="209" t="str">
        <f t="shared" si="143"/>
        <v>Product Eng - BE</v>
      </c>
      <c r="BZ44" s="209" t="str">
        <f t="shared" si="143"/>
        <v>Product Eng - BE</v>
      </c>
      <c r="CA44" s="209" t="str">
        <f t="shared" si="143"/>
        <v>Product Eng - BE</v>
      </c>
      <c r="CB44" s="209" t="str">
        <f t="shared" si="143"/>
        <v>Product Eng - BE</v>
      </c>
      <c r="CC44" s="209" t="str">
        <f t="shared" si="143"/>
        <v>Product Eng - BE</v>
      </c>
      <c r="CD44" s="209" t="str">
        <f t="shared" si="143"/>
        <v>Product Eng - BE</v>
      </c>
      <c r="CE44" s="209" t="str">
        <f t="shared" si="143"/>
        <v>Product Eng - BE</v>
      </c>
      <c r="CF44" s="209" t="str">
        <f t="shared" si="143"/>
        <v>Product Eng - BE</v>
      </c>
      <c r="CG44" s="209" t="str">
        <f t="shared" si="143"/>
        <v>Product Eng - BE</v>
      </c>
      <c r="CH44" s="209" t="str">
        <f t="shared" si="143"/>
        <v>Product Eng - BE</v>
      </c>
      <c r="CI44" s="209" t="str">
        <f t="shared" si="143"/>
        <v>Product Eng - BE</v>
      </c>
      <c r="CJ44" s="209" t="str">
        <f t="shared" si="143"/>
        <v>Product Eng - BE</v>
      </c>
      <c r="CK44" s="209" t="str">
        <f t="shared" si="143"/>
        <v>Product Eng - BE</v>
      </c>
      <c r="CL44" s="209" t="str">
        <f t="shared" si="143"/>
        <v>Product Eng - BE</v>
      </c>
      <c r="CM44" s="209" t="str">
        <f t="shared" si="143"/>
        <v>Product Eng - BE</v>
      </c>
      <c r="CO44" s="465"/>
      <c r="CP44" s="191" t="str">
        <f>+B45</f>
        <v>Product Engineering - Bridgend</v>
      </c>
      <c r="CQ44" s="192"/>
      <c r="CR44" s="141" t="str">
        <f>+E44</f>
        <v>Completed to Week</v>
      </c>
      <c r="CS44" s="141">
        <f>+F44</f>
        <v>42</v>
      </c>
      <c r="CT44" s="351" t="str">
        <f>+G44</f>
        <v>Weekly KPI</v>
      </c>
      <c r="CU44" s="209" t="str">
        <f t="shared" ref="CU44:EU44" si="144">+$B44</f>
        <v>Product Eng - BE</v>
      </c>
      <c r="CV44" s="321" t="str">
        <f t="shared" si="144"/>
        <v>Product Eng - BE</v>
      </c>
      <c r="CW44" s="321" t="str">
        <f t="shared" si="144"/>
        <v>Product Eng - BE</v>
      </c>
      <c r="CX44" s="321" t="str">
        <f t="shared" si="144"/>
        <v>Product Eng - BE</v>
      </c>
      <c r="CY44" s="321" t="str">
        <f t="shared" si="144"/>
        <v>Product Eng - BE</v>
      </c>
      <c r="CZ44" s="321" t="str">
        <f t="shared" si="144"/>
        <v>Product Eng - BE</v>
      </c>
      <c r="DA44" s="321" t="str">
        <f t="shared" si="144"/>
        <v>Product Eng - BE</v>
      </c>
      <c r="DB44" s="321" t="str">
        <f t="shared" si="144"/>
        <v>Product Eng - BE</v>
      </c>
      <c r="DC44" s="321" t="str">
        <f t="shared" si="144"/>
        <v>Product Eng - BE</v>
      </c>
      <c r="DD44" s="321" t="str">
        <f t="shared" si="144"/>
        <v>Product Eng - BE</v>
      </c>
      <c r="DE44" s="321" t="str">
        <f t="shared" si="144"/>
        <v>Product Eng - BE</v>
      </c>
      <c r="DF44" s="321" t="str">
        <f t="shared" si="144"/>
        <v>Product Eng - BE</v>
      </c>
      <c r="DG44" s="321" t="str">
        <f t="shared" si="144"/>
        <v>Product Eng - BE</v>
      </c>
      <c r="DH44" s="321" t="str">
        <f t="shared" si="144"/>
        <v>Product Eng - BE</v>
      </c>
      <c r="DI44" s="321" t="str">
        <f t="shared" si="144"/>
        <v>Product Eng - BE</v>
      </c>
      <c r="DJ44" s="321" t="str">
        <f t="shared" si="144"/>
        <v>Product Eng - BE</v>
      </c>
      <c r="DK44" s="321" t="str">
        <f t="shared" si="144"/>
        <v>Product Eng - BE</v>
      </c>
      <c r="DL44" s="321" t="str">
        <f t="shared" si="144"/>
        <v>Product Eng - BE</v>
      </c>
      <c r="DM44" s="321" t="str">
        <f t="shared" si="144"/>
        <v>Product Eng - BE</v>
      </c>
      <c r="DN44" s="321" t="str">
        <f t="shared" si="144"/>
        <v>Product Eng - BE</v>
      </c>
      <c r="DO44" s="321" t="str">
        <f t="shared" si="144"/>
        <v>Product Eng - BE</v>
      </c>
      <c r="DP44" s="321" t="str">
        <f t="shared" si="144"/>
        <v>Product Eng - BE</v>
      </c>
      <c r="DQ44" s="321" t="str">
        <f t="shared" si="144"/>
        <v>Product Eng - BE</v>
      </c>
      <c r="DR44" s="321" t="str">
        <f t="shared" si="144"/>
        <v>Product Eng - BE</v>
      </c>
      <c r="DS44" s="321" t="str">
        <f t="shared" si="144"/>
        <v>Product Eng - BE</v>
      </c>
      <c r="DT44" s="321" t="str">
        <f t="shared" si="144"/>
        <v>Product Eng - BE</v>
      </c>
      <c r="DU44" s="321" t="str">
        <f t="shared" si="144"/>
        <v>Product Eng - BE</v>
      </c>
      <c r="DV44" s="321" t="str">
        <f t="shared" si="144"/>
        <v>Product Eng - BE</v>
      </c>
      <c r="DW44" s="321" t="str">
        <f t="shared" si="144"/>
        <v>Product Eng - BE</v>
      </c>
      <c r="DX44" s="321" t="str">
        <f t="shared" si="144"/>
        <v>Product Eng - BE</v>
      </c>
      <c r="DY44" s="321" t="str">
        <f t="shared" si="144"/>
        <v>Product Eng - BE</v>
      </c>
      <c r="DZ44" s="321" t="str">
        <f t="shared" si="144"/>
        <v>Product Eng - BE</v>
      </c>
      <c r="EA44" s="321" t="str">
        <f t="shared" si="144"/>
        <v>Product Eng - BE</v>
      </c>
      <c r="EB44" s="321" t="str">
        <f t="shared" si="144"/>
        <v>Product Eng - BE</v>
      </c>
      <c r="EC44" s="321" t="str">
        <f t="shared" si="144"/>
        <v>Product Eng - BE</v>
      </c>
      <c r="ED44" s="321" t="str">
        <f t="shared" si="144"/>
        <v>Product Eng - BE</v>
      </c>
      <c r="EE44" s="321" t="str">
        <f t="shared" si="144"/>
        <v>Product Eng - BE</v>
      </c>
      <c r="EF44" s="321" t="str">
        <f t="shared" si="144"/>
        <v>Product Eng - BE</v>
      </c>
      <c r="EG44" s="321" t="str">
        <f t="shared" si="144"/>
        <v>Product Eng - BE</v>
      </c>
      <c r="EH44" s="321" t="str">
        <f t="shared" si="144"/>
        <v>Product Eng - BE</v>
      </c>
      <c r="EI44" s="321" t="str">
        <f t="shared" si="144"/>
        <v>Product Eng - BE</v>
      </c>
      <c r="EJ44" s="321" t="str">
        <f t="shared" si="144"/>
        <v>Product Eng - BE</v>
      </c>
      <c r="EK44" s="321" t="str">
        <f t="shared" si="144"/>
        <v>Product Eng - BE</v>
      </c>
      <c r="EL44" s="321" t="str">
        <f t="shared" si="144"/>
        <v>Product Eng - BE</v>
      </c>
      <c r="EM44" s="321" t="str">
        <f t="shared" si="144"/>
        <v>Product Eng - BE</v>
      </c>
      <c r="EN44" s="321" t="str">
        <f t="shared" si="144"/>
        <v>Product Eng - BE</v>
      </c>
      <c r="EO44" s="321" t="str">
        <f t="shared" si="144"/>
        <v>Product Eng - BE</v>
      </c>
      <c r="EP44" s="321" t="str">
        <f t="shared" si="144"/>
        <v>Product Eng - BE</v>
      </c>
      <c r="EQ44" s="321" t="str">
        <f t="shared" si="144"/>
        <v>Product Eng - BE</v>
      </c>
      <c r="ER44" s="321" t="str">
        <f t="shared" si="144"/>
        <v>Product Eng - BE</v>
      </c>
      <c r="ES44" s="321" t="str">
        <f t="shared" si="144"/>
        <v>Product Eng - BE</v>
      </c>
      <c r="ET44" s="321" t="str">
        <f t="shared" si="144"/>
        <v>Product Eng - BE</v>
      </c>
      <c r="EU44" s="321" t="str">
        <f t="shared" si="144"/>
        <v>Product Eng - BE</v>
      </c>
      <c r="EW44" s="465"/>
      <c r="EX44" s="191" t="str">
        <f>+$B44</f>
        <v>Product Eng - BE</v>
      </c>
      <c r="EY44" s="192"/>
      <c r="EZ44" s="141" t="str">
        <f t="shared" ref="EZ44:EZ49" si="145">+$E44</f>
        <v>Completed to Week</v>
      </c>
      <c r="FA44" s="141">
        <f t="shared" ref="FA44:FA49" si="146">+$F44</f>
        <v>42</v>
      </c>
      <c r="FB44" s="141"/>
      <c r="FC44" s="210" t="str">
        <f t="shared" ref="FC44:GH44" si="147">+$B44</f>
        <v>Product Eng - BE</v>
      </c>
      <c r="FD44" s="210" t="str">
        <f t="shared" si="147"/>
        <v>Product Eng - BE</v>
      </c>
      <c r="FE44" s="210" t="str">
        <f t="shared" si="147"/>
        <v>Product Eng - BE</v>
      </c>
      <c r="FF44" s="210" t="str">
        <f t="shared" si="147"/>
        <v>Product Eng - BE</v>
      </c>
      <c r="FG44" s="210" t="str">
        <f t="shared" si="147"/>
        <v>Product Eng - BE</v>
      </c>
      <c r="FH44" s="210" t="str">
        <f t="shared" si="147"/>
        <v>Product Eng - BE</v>
      </c>
      <c r="FI44" s="210" t="str">
        <f t="shared" si="147"/>
        <v>Product Eng - BE</v>
      </c>
      <c r="FJ44" s="210" t="str">
        <f t="shared" si="147"/>
        <v>Product Eng - BE</v>
      </c>
      <c r="FK44" s="210" t="str">
        <f t="shared" si="147"/>
        <v>Product Eng - BE</v>
      </c>
      <c r="FL44" s="210" t="str">
        <f t="shared" si="147"/>
        <v>Product Eng - BE</v>
      </c>
      <c r="FM44" s="210" t="str">
        <f t="shared" si="147"/>
        <v>Product Eng - BE</v>
      </c>
      <c r="FN44" s="210" t="str">
        <f t="shared" si="147"/>
        <v>Product Eng - BE</v>
      </c>
      <c r="FO44" s="210" t="str">
        <f t="shared" si="147"/>
        <v>Product Eng - BE</v>
      </c>
      <c r="FP44" s="210" t="str">
        <f t="shared" si="147"/>
        <v>Product Eng - BE</v>
      </c>
      <c r="FQ44" s="210" t="str">
        <f t="shared" si="147"/>
        <v>Product Eng - BE</v>
      </c>
      <c r="FR44" s="210" t="str">
        <f t="shared" si="147"/>
        <v>Product Eng - BE</v>
      </c>
      <c r="FS44" s="210" t="str">
        <f t="shared" si="147"/>
        <v>Product Eng - BE</v>
      </c>
      <c r="FT44" s="210" t="str">
        <f t="shared" si="147"/>
        <v>Product Eng - BE</v>
      </c>
      <c r="FU44" s="210" t="str">
        <f t="shared" si="147"/>
        <v>Product Eng - BE</v>
      </c>
      <c r="FV44" s="210" t="str">
        <f t="shared" si="147"/>
        <v>Product Eng - BE</v>
      </c>
      <c r="FW44" s="210" t="str">
        <f t="shared" si="147"/>
        <v>Product Eng - BE</v>
      </c>
      <c r="FX44" s="210" t="str">
        <f t="shared" si="147"/>
        <v>Product Eng - BE</v>
      </c>
      <c r="FY44" s="210" t="str">
        <f t="shared" si="147"/>
        <v>Product Eng - BE</v>
      </c>
      <c r="FZ44" s="210" t="str">
        <f t="shared" si="147"/>
        <v>Product Eng - BE</v>
      </c>
      <c r="GA44" s="210" t="str">
        <f t="shared" si="147"/>
        <v>Product Eng - BE</v>
      </c>
      <c r="GB44" s="210" t="str">
        <f t="shared" si="147"/>
        <v>Product Eng - BE</v>
      </c>
      <c r="GC44" s="210" t="str">
        <f t="shared" si="147"/>
        <v>Product Eng - BE</v>
      </c>
      <c r="GD44" s="210" t="str">
        <f t="shared" si="147"/>
        <v>Product Eng - BE</v>
      </c>
      <c r="GE44" s="210" t="str">
        <f t="shared" si="147"/>
        <v>Product Eng - BE</v>
      </c>
      <c r="GF44" s="210" t="str">
        <f t="shared" si="147"/>
        <v>Product Eng - BE</v>
      </c>
      <c r="GG44" s="210" t="str">
        <f t="shared" si="147"/>
        <v>Product Eng - BE</v>
      </c>
      <c r="GH44" s="210" t="str">
        <f t="shared" si="147"/>
        <v>Product Eng - BE</v>
      </c>
      <c r="GI44" s="210" t="str">
        <f t="shared" ref="GI44:HC44" si="148">+$B44</f>
        <v>Product Eng - BE</v>
      </c>
      <c r="GJ44" s="210" t="str">
        <f t="shared" si="148"/>
        <v>Product Eng - BE</v>
      </c>
      <c r="GK44" s="210" t="str">
        <f t="shared" si="148"/>
        <v>Product Eng - BE</v>
      </c>
      <c r="GL44" s="210" t="str">
        <f t="shared" si="148"/>
        <v>Product Eng - BE</v>
      </c>
      <c r="GM44" s="210" t="str">
        <f t="shared" si="148"/>
        <v>Product Eng - BE</v>
      </c>
      <c r="GN44" s="210" t="str">
        <f t="shared" si="148"/>
        <v>Product Eng - BE</v>
      </c>
      <c r="GO44" s="210" t="str">
        <f t="shared" si="148"/>
        <v>Product Eng - BE</v>
      </c>
      <c r="GP44" s="210" t="str">
        <f t="shared" si="148"/>
        <v>Product Eng - BE</v>
      </c>
      <c r="GQ44" s="210" t="str">
        <f t="shared" si="148"/>
        <v>Product Eng - BE</v>
      </c>
      <c r="GR44" s="210" t="str">
        <f t="shared" si="148"/>
        <v>Product Eng - BE</v>
      </c>
      <c r="GS44" s="210" t="str">
        <f t="shared" si="148"/>
        <v>Product Eng - BE</v>
      </c>
      <c r="GT44" s="210" t="str">
        <f t="shared" si="148"/>
        <v>Product Eng - BE</v>
      </c>
      <c r="GU44" s="210" t="str">
        <f t="shared" si="148"/>
        <v>Product Eng - BE</v>
      </c>
      <c r="GV44" s="210" t="str">
        <f t="shared" si="148"/>
        <v>Product Eng - BE</v>
      </c>
      <c r="GW44" s="210" t="str">
        <f t="shared" si="148"/>
        <v>Product Eng - BE</v>
      </c>
      <c r="GX44" s="210" t="str">
        <f t="shared" si="148"/>
        <v>Product Eng - BE</v>
      </c>
      <c r="GY44" s="210" t="str">
        <f t="shared" si="148"/>
        <v>Product Eng - BE</v>
      </c>
      <c r="GZ44" s="210" t="str">
        <f t="shared" si="148"/>
        <v>Product Eng - BE</v>
      </c>
      <c r="HA44" s="210" t="str">
        <f t="shared" si="148"/>
        <v>Product Eng - BE</v>
      </c>
      <c r="HB44" s="210" t="str">
        <f t="shared" si="148"/>
        <v>Product Eng - BE</v>
      </c>
      <c r="HC44" s="210" t="str">
        <f t="shared" si="148"/>
        <v>Product Eng - BE</v>
      </c>
      <c r="HE44" s="191" t="str">
        <f>+$B44</f>
        <v>Product Eng - BE</v>
      </c>
      <c r="HF44" s="192"/>
      <c r="HG44" s="141" t="str">
        <f t="shared" ref="HG44:HG49" si="149">+$E44</f>
        <v>Completed to Week</v>
      </c>
      <c r="HH44" s="141">
        <f t="shared" ref="HH44:HH49" si="150">+$F44</f>
        <v>42</v>
      </c>
      <c r="HI44" s="141" t="str">
        <f t="shared" ref="HI44" si="151">+GJ44</f>
        <v>Product Eng - BE</v>
      </c>
      <c r="HJ44" s="210" t="str">
        <f t="shared" ref="HJ44:IO44" si="152">+$B44</f>
        <v>Product Eng - BE</v>
      </c>
      <c r="HK44" s="210" t="str">
        <f t="shared" si="152"/>
        <v>Product Eng - BE</v>
      </c>
      <c r="HL44" s="251" t="str">
        <f t="shared" si="152"/>
        <v>Product Eng - BE</v>
      </c>
      <c r="HM44" s="251" t="str">
        <f t="shared" si="152"/>
        <v>Product Eng - BE</v>
      </c>
      <c r="HN44" s="251" t="str">
        <f t="shared" si="152"/>
        <v>Product Eng - BE</v>
      </c>
      <c r="HO44" s="251" t="str">
        <f t="shared" si="152"/>
        <v>Product Eng - BE</v>
      </c>
      <c r="HP44" s="251" t="str">
        <f t="shared" si="152"/>
        <v>Product Eng - BE</v>
      </c>
      <c r="HQ44" s="251" t="str">
        <f t="shared" si="152"/>
        <v>Product Eng - BE</v>
      </c>
      <c r="HR44" s="251" t="str">
        <f t="shared" si="152"/>
        <v>Product Eng - BE</v>
      </c>
      <c r="HS44" s="251" t="str">
        <f t="shared" si="152"/>
        <v>Product Eng - BE</v>
      </c>
      <c r="HT44" s="251" t="str">
        <f t="shared" si="152"/>
        <v>Product Eng - BE</v>
      </c>
      <c r="HU44" s="251" t="str">
        <f t="shared" si="152"/>
        <v>Product Eng - BE</v>
      </c>
      <c r="HV44" s="251" t="str">
        <f t="shared" si="152"/>
        <v>Product Eng - BE</v>
      </c>
      <c r="HW44" s="251" t="str">
        <f t="shared" si="152"/>
        <v>Product Eng - BE</v>
      </c>
      <c r="HX44" s="251" t="str">
        <f t="shared" si="152"/>
        <v>Product Eng - BE</v>
      </c>
      <c r="HY44" s="251" t="str">
        <f t="shared" si="152"/>
        <v>Product Eng - BE</v>
      </c>
      <c r="HZ44" s="251" t="str">
        <f t="shared" si="152"/>
        <v>Product Eng - BE</v>
      </c>
      <c r="IA44" s="251" t="str">
        <f t="shared" si="152"/>
        <v>Product Eng - BE</v>
      </c>
      <c r="IB44" s="251" t="str">
        <f t="shared" si="152"/>
        <v>Product Eng - BE</v>
      </c>
      <c r="IC44" s="251" t="str">
        <f t="shared" si="152"/>
        <v>Product Eng - BE</v>
      </c>
      <c r="ID44" s="251" t="str">
        <f t="shared" si="152"/>
        <v>Product Eng - BE</v>
      </c>
      <c r="IE44" s="251" t="str">
        <f t="shared" si="152"/>
        <v>Product Eng - BE</v>
      </c>
      <c r="IF44" s="251" t="str">
        <f t="shared" si="152"/>
        <v>Product Eng - BE</v>
      </c>
      <c r="IG44" s="251" t="str">
        <f t="shared" si="152"/>
        <v>Product Eng - BE</v>
      </c>
      <c r="IH44" s="251" t="str">
        <f t="shared" si="152"/>
        <v>Product Eng - BE</v>
      </c>
      <c r="II44" s="251" t="str">
        <f t="shared" si="152"/>
        <v>Product Eng - BE</v>
      </c>
      <c r="IJ44" s="251" t="str">
        <f t="shared" si="152"/>
        <v>Product Eng - BE</v>
      </c>
      <c r="IK44" s="251" t="str">
        <f t="shared" si="152"/>
        <v>Product Eng - BE</v>
      </c>
      <c r="IL44" s="251" t="str">
        <f t="shared" si="152"/>
        <v>Product Eng - BE</v>
      </c>
      <c r="IM44" s="251" t="str">
        <f t="shared" si="152"/>
        <v>Product Eng - BE</v>
      </c>
      <c r="IN44" s="251" t="str">
        <f t="shared" si="152"/>
        <v>Product Eng - BE</v>
      </c>
      <c r="IO44" s="251" t="str">
        <f t="shared" si="152"/>
        <v>Product Eng - BE</v>
      </c>
      <c r="IP44" s="251" t="str">
        <f t="shared" ref="IP44:JJ44" si="153">+$B44</f>
        <v>Product Eng - BE</v>
      </c>
      <c r="IQ44" s="251" t="str">
        <f t="shared" si="153"/>
        <v>Product Eng - BE</v>
      </c>
      <c r="IR44" s="251" t="str">
        <f t="shared" si="153"/>
        <v>Product Eng - BE</v>
      </c>
      <c r="IS44" s="251" t="str">
        <f t="shared" si="153"/>
        <v>Product Eng - BE</v>
      </c>
      <c r="IT44" s="251" t="str">
        <f t="shared" si="153"/>
        <v>Product Eng - BE</v>
      </c>
      <c r="IU44" s="251" t="str">
        <f t="shared" si="153"/>
        <v>Product Eng - BE</v>
      </c>
      <c r="IV44" s="251" t="str">
        <f t="shared" si="153"/>
        <v>Product Eng - BE</v>
      </c>
      <c r="IW44" s="251" t="str">
        <f t="shared" si="153"/>
        <v>Product Eng - BE</v>
      </c>
      <c r="IX44" s="251" t="str">
        <f t="shared" si="153"/>
        <v>Product Eng - BE</v>
      </c>
      <c r="IY44" s="251" t="str">
        <f t="shared" si="153"/>
        <v>Product Eng - BE</v>
      </c>
      <c r="IZ44" s="251" t="str">
        <f t="shared" si="153"/>
        <v>Product Eng - BE</v>
      </c>
      <c r="JA44" s="251" t="str">
        <f t="shared" si="153"/>
        <v>Product Eng - BE</v>
      </c>
      <c r="JB44" s="251" t="str">
        <f t="shared" si="153"/>
        <v>Product Eng - BE</v>
      </c>
      <c r="JC44" s="251" t="str">
        <f t="shared" si="153"/>
        <v>Product Eng - BE</v>
      </c>
      <c r="JD44" s="251" t="str">
        <f t="shared" si="153"/>
        <v>Product Eng - BE</v>
      </c>
      <c r="JE44" s="251" t="str">
        <f t="shared" si="153"/>
        <v>Product Eng - BE</v>
      </c>
      <c r="JF44" s="251" t="str">
        <f t="shared" si="153"/>
        <v>Product Eng - BE</v>
      </c>
      <c r="JG44" s="251" t="str">
        <f t="shared" si="153"/>
        <v>Product Eng - BE</v>
      </c>
      <c r="JH44" s="251" t="str">
        <f t="shared" si="153"/>
        <v>Product Eng - BE</v>
      </c>
      <c r="JI44" s="251" t="str">
        <f t="shared" si="153"/>
        <v>Product Eng - BE</v>
      </c>
      <c r="JJ44" s="251" t="str">
        <f t="shared" si="153"/>
        <v>Product Eng - BE</v>
      </c>
      <c r="JM44" s="191" t="str">
        <f>+$B44</f>
        <v>Product Eng - BE</v>
      </c>
      <c r="JN44" s="192"/>
      <c r="JO44" s="141" t="str">
        <f t="shared" ref="JO44:JO49" si="154">+$E44</f>
        <v>Completed to Week</v>
      </c>
      <c r="JP44" s="141">
        <f t="shared" ref="JP44:JP49" si="155">+$F44</f>
        <v>42</v>
      </c>
      <c r="JQ44" s="141"/>
      <c r="JR44" s="251" t="str">
        <f t="shared" ref="JR44:KW44" si="156">+$B44</f>
        <v>Product Eng - BE</v>
      </c>
      <c r="JS44" s="251" t="str">
        <f t="shared" si="156"/>
        <v>Product Eng - BE</v>
      </c>
      <c r="JT44" s="251" t="str">
        <f t="shared" si="156"/>
        <v>Product Eng - BE</v>
      </c>
      <c r="JU44" s="251" t="str">
        <f t="shared" si="156"/>
        <v>Product Eng - BE</v>
      </c>
      <c r="JV44" s="251" t="str">
        <f t="shared" si="156"/>
        <v>Product Eng - BE</v>
      </c>
      <c r="JW44" s="251" t="str">
        <f t="shared" si="156"/>
        <v>Product Eng - BE</v>
      </c>
      <c r="JX44" s="251" t="str">
        <f t="shared" si="156"/>
        <v>Product Eng - BE</v>
      </c>
      <c r="JY44" s="251" t="str">
        <f t="shared" si="156"/>
        <v>Product Eng - BE</v>
      </c>
      <c r="JZ44" s="251" t="str">
        <f t="shared" si="156"/>
        <v>Product Eng - BE</v>
      </c>
      <c r="KA44" s="251" t="str">
        <f t="shared" si="156"/>
        <v>Product Eng - BE</v>
      </c>
      <c r="KB44" s="251" t="str">
        <f t="shared" si="156"/>
        <v>Product Eng - BE</v>
      </c>
      <c r="KC44" s="251" t="str">
        <f t="shared" si="156"/>
        <v>Product Eng - BE</v>
      </c>
      <c r="KD44" s="251" t="str">
        <f t="shared" si="156"/>
        <v>Product Eng - BE</v>
      </c>
      <c r="KE44" s="251" t="str">
        <f t="shared" si="156"/>
        <v>Product Eng - BE</v>
      </c>
      <c r="KF44" s="251" t="str">
        <f t="shared" si="156"/>
        <v>Product Eng - BE</v>
      </c>
      <c r="KG44" s="251" t="str">
        <f t="shared" si="156"/>
        <v>Product Eng - BE</v>
      </c>
      <c r="KH44" s="251" t="str">
        <f t="shared" si="156"/>
        <v>Product Eng - BE</v>
      </c>
      <c r="KI44" s="251" t="str">
        <f t="shared" si="156"/>
        <v>Product Eng - BE</v>
      </c>
      <c r="KJ44" s="251" t="str">
        <f t="shared" si="156"/>
        <v>Product Eng - BE</v>
      </c>
      <c r="KK44" s="251" t="str">
        <f t="shared" si="156"/>
        <v>Product Eng - BE</v>
      </c>
      <c r="KL44" s="251" t="str">
        <f t="shared" si="156"/>
        <v>Product Eng - BE</v>
      </c>
      <c r="KM44" s="251" t="str">
        <f t="shared" si="156"/>
        <v>Product Eng - BE</v>
      </c>
      <c r="KN44" s="251" t="str">
        <f t="shared" si="156"/>
        <v>Product Eng - BE</v>
      </c>
      <c r="KO44" s="251" t="str">
        <f t="shared" si="156"/>
        <v>Product Eng - BE</v>
      </c>
      <c r="KP44" s="251" t="str">
        <f t="shared" si="156"/>
        <v>Product Eng - BE</v>
      </c>
      <c r="KQ44" s="251" t="str">
        <f t="shared" si="156"/>
        <v>Product Eng - BE</v>
      </c>
      <c r="KR44" s="251" t="str">
        <f t="shared" si="156"/>
        <v>Product Eng - BE</v>
      </c>
      <c r="KS44" s="251" t="str">
        <f t="shared" si="156"/>
        <v>Product Eng - BE</v>
      </c>
      <c r="KT44" s="251" t="str">
        <f t="shared" si="156"/>
        <v>Product Eng - BE</v>
      </c>
      <c r="KU44" s="251" t="str">
        <f t="shared" si="156"/>
        <v>Product Eng - BE</v>
      </c>
      <c r="KV44" s="251" t="str">
        <f t="shared" si="156"/>
        <v>Product Eng - BE</v>
      </c>
      <c r="KW44" s="251" t="str">
        <f t="shared" si="156"/>
        <v>Product Eng - BE</v>
      </c>
      <c r="KX44" s="251" t="str">
        <f t="shared" ref="KX44:LR44" si="157">+$B44</f>
        <v>Product Eng - BE</v>
      </c>
      <c r="KY44" s="251" t="str">
        <f t="shared" si="157"/>
        <v>Product Eng - BE</v>
      </c>
      <c r="KZ44" s="251" t="str">
        <f t="shared" si="157"/>
        <v>Product Eng - BE</v>
      </c>
      <c r="LA44" s="251" t="str">
        <f t="shared" si="157"/>
        <v>Product Eng - BE</v>
      </c>
      <c r="LB44" s="251" t="str">
        <f t="shared" si="157"/>
        <v>Product Eng - BE</v>
      </c>
      <c r="LC44" s="251" t="str">
        <f t="shared" si="157"/>
        <v>Product Eng - BE</v>
      </c>
      <c r="LD44" s="251" t="str">
        <f t="shared" si="157"/>
        <v>Product Eng - BE</v>
      </c>
      <c r="LE44" s="251" t="str">
        <f t="shared" si="157"/>
        <v>Product Eng - BE</v>
      </c>
      <c r="LF44" s="251" t="str">
        <f t="shared" si="157"/>
        <v>Product Eng - BE</v>
      </c>
      <c r="LG44" s="251" t="str">
        <f t="shared" si="157"/>
        <v>Product Eng - BE</v>
      </c>
      <c r="LH44" s="251" t="str">
        <f t="shared" si="157"/>
        <v>Product Eng - BE</v>
      </c>
      <c r="LI44" s="251" t="str">
        <f t="shared" si="157"/>
        <v>Product Eng - BE</v>
      </c>
      <c r="LJ44" s="251" t="str">
        <f t="shared" si="157"/>
        <v>Product Eng - BE</v>
      </c>
      <c r="LK44" s="251" t="str">
        <f t="shared" si="157"/>
        <v>Product Eng - BE</v>
      </c>
      <c r="LL44" s="251" t="str">
        <f t="shared" si="157"/>
        <v>Product Eng - BE</v>
      </c>
      <c r="LM44" s="251" t="str">
        <f t="shared" si="157"/>
        <v>Product Eng - BE</v>
      </c>
      <c r="LN44" s="251" t="str">
        <f t="shared" si="157"/>
        <v>Product Eng - BE</v>
      </c>
      <c r="LO44" s="251" t="str">
        <f t="shared" si="157"/>
        <v>Product Eng - BE</v>
      </c>
      <c r="LP44" s="251" t="str">
        <f t="shared" si="157"/>
        <v>Product Eng - BE</v>
      </c>
      <c r="LQ44" s="251" t="str">
        <f t="shared" si="157"/>
        <v>Product Eng - BE</v>
      </c>
      <c r="LR44" s="251" t="str">
        <f t="shared" si="157"/>
        <v>Product Eng - BE</v>
      </c>
      <c r="LT44" s="191" t="str">
        <f>+$B44</f>
        <v>Product Eng - BE</v>
      </c>
      <c r="LU44" s="192"/>
      <c r="LV44" s="141" t="str">
        <f t="shared" ref="LV44:LV49" si="158">+$E44</f>
        <v>Completed to Week</v>
      </c>
      <c r="LW44" s="141">
        <f t="shared" ref="LW44:LW49" si="159">+$F44</f>
        <v>42</v>
      </c>
      <c r="LX44" s="141"/>
      <c r="LY44" s="210" t="str">
        <f t="shared" ref="LY44:ND44" si="160">+$B44</f>
        <v>Product Eng - BE</v>
      </c>
      <c r="LZ44" s="210" t="str">
        <f t="shared" si="160"/>
        <v>Product Eng - BE</v>
      </c>
      <c r="MA44" s="210" t="str">
        <f t="shared" si="160"/>
        <v>Product Eng - BE</v>
      </c>
      <c r="MB44" s="210" t="str">
        <f t="shared" si="160"/>
        <v>Product Eng - BE</v>
      </c>
      <c r="MC44" s="210" t="str">
        <f t="shared" si="160"/>
        <v>Product Eng - BE</v>
      </c>
      <c r="MD44" s="210" t="str">
        <f t="shared" si="160"/>
        <v>Product Eng - BE</v>
      </c>
      <c r="ME44" s="210" t="str">
        <f t="shared" si="160"/>
        <v>Product Eng - BE</v>
      </c>
      <c r="MF44" s="210" t="str">
        <f t="shared" si="160"/>
        <v>Product Eng - BE</v>
      </c>
      <c r="MG44" s="210" t="str">
        <f t="shared" si="160"/>
        <v>Product Eng - BE</v>
      </c>
      <c r="MH44" s="210" t="str">
        <f t="shared" si="160"/>
        <v>Product Eng - BE</v>
      </c>
      <c r="MI44" s="210" t="str">
        <f t="shared" si="160"/>
        <v>Product Eng - BE</v>
      </c>
      <c r="MJ44" s="210" t="str">
        <f t="shared" si="160"/>
        <v>Product Eng - BE</v>
      </c>
      <c r="MK44" s="210" t="str">
        <f t="shared" si="160"/>
        <v>Product Eng - BE</v>
      </c>
      <c r="ML44" s="210" t="str">
        <f t="shared" si="160"/>
        <v>Product Eng - BE</v>
      </c>
      <c r="MM44" s="210" t="str">
        <f t="shared" si="160"/>
        <v>Product Eng - BE</v>
      </c>
      <c r="MN44" s="210" t="str">
        <f t="shared" si="160"/>
        <v>Product Eng - BE</v>
      </c>
      <c r="MO44" s="210" t="str">
        <f t="shared" si="160"/>
        <v>Product Eng - BE</v>
      </c>
      <c r="MP44" s="210" t="str">
        <f t="shared" si="160"/>
        <v>Product Eng - BE</v>
      </c>
      <c r="MQ44" s="210" t="str">
        <f t="shared" si="160"/>
        <v>Product Eng - BE</v>
      </c>
      <c r="MR44" s="210" t="str">
        <f t="shared" si="160"/>
        <v>Product Eng - BE</v>
      </c>
      <c r="MS44" s="210" t="str">
        <f t="shared" si="160"/>
        <v>Product Eng - BE</v>
      </c>
      <c r="MT44" s="210" t="str">
        <f t="shared" si="160"/>
        <v>Product Eng - BE</v>
      </c>
      <c r="MU44" s="210" t="str">
        <f t="shared" si="160"/>
        <v>Product Eng - BE</v>
      </c>
      <c r="MV44" s="210" t="str">
        <f t="shared" si="160"/>
        <v>Product Eng - BE</v>
      </c>
      <c r="MW44" s="210" t="str">
        <f t="shared" si="160"/>
        <v>Product Eng - BE</v>
      </c>
      <c r="MX44" s="210" t="str">
        <f t="shared" si="160"/>
        <v>Product Eng - BE</v>
      </c>
      <c r="MY44" s="210" t="str">
        <f t="shared" si="160"/>
        <v>Product Eng - BE</v>
      </c>
      <c r="MZ44" s="210" t="str">
        <f t="shared" si="160"/>
        <v>Product Eng - BE</v>
      </c>
      <c r="NA44" s="210" t="str">
        <f t="shared" si="160"/>
        <v>Product Eng - BE</v>
      </c>
      <c r="NB44" s="210" t="str">
        <f t="shared" si="160"/>
        <v>Product Eng - BE</v>
      </c>
      <c r="NC44" s="210" t="str">
        <f t="shared" si="160"/>
        <v>Product Eng - BE</v>
      </c>
      <c r="ND44" s="210" t="str">
        <f t="shared" si="160"/>
        <v>Product Eng - BE</v>
      </c>
      <c r="NE44" s="210" t="str">
        <f t="shared" ref="NE44:NY44" si="161">+$B44</f>
        <v>Product Eng - BE</v>
      </c>
      <c r="NF44" s="210" t="str">
        <f t="shared" si="161"/>
        <v>Product Eng - BE</v>
      </c>
      <c r="NG44" s="210" t="str">
        <f t="shared" si="161"/>
        <v>Product Eng - BE</v>
      </c>
      <c r="NH44" s="210" t="str">
        <f t="shared" si="161"/>
        <v>Product Eng - BE</v>
      </c>
      <c r="NI44" s="210" t="str">
        <f t="shared" si="161"/>
        <v>Product Eng - BE</v>
      </c>
      <c r="NJ44" s="210" t="str">
        <f t="shared" si="161"/>
        <v>Product Eng - BE</v>
      </c>
      <c r="NK44" s="210" t="str">
        <f t="shared" si="161"/>
        <v>Product Eng - BE</v>
      </c>
      <c r="NL44" s="210" t="str">
        <f t="shared" si="161"/>
        <v>Product Eng - BE</v>
      </c>
      <c r="NM44" s="210" t="str">
        <f t="shared" si="161"/>
        <v>Product Eng - BE</v>
      </c>
      <c r="NN44" s="210" t="str">
        <f t="shared" si="161"/>
        <v>Product Eng - BE</v>
      </c>
      <c r="NO44" s="210" t="str">
        <f t="shared" si="161"/>
        <v>Product Eng - BE</v>
      </c>
      <c r="NP44" s="210" t="str">
        <f t="shared" si="161"/>
        <v>Product Eng - BE</v>
      </c>
      <c r="NQ44" s="210" t="str">
        <f t="shared" si="161"/>
        <v>Product Eng - BE</v>
      </c>
      <c r="NR44" s="210" t="str">
        <f t="shared" si="161"/>
        <v>Product Eng - BE</v>
      </c>
      <c r="NS44" s="210" t="str">
        <f t="shared" si="161"/>
        <v>Product Eng - BE</v>
      </c>
      <c r="NT44" s="210" t="str">
        <f t="shared" si="161"/>
        <v>Product Eng - BE</v>
      </c>
      <c r="NU44" s="210" t="str">
        <f t="shared" si="161"/>
        <v>Product Eng - BE</v>
      </c>
      <c r="NV44" s="210" t="str">
        <f t="shared" si="161"/>
        <v>Product Eng - BE</v>
      </c>
      <c r="NW44" s="210" t="str">
        <f t="shared" si="161"/>
        <v>Product Eng - BE</v>
      </c>
      <c r="NX44" s="210" t="str">
        <f t="shared" si="161"/>
        <v>Product Eng - BE</v>
      </c>
      <c r="NY44" s="210" t="str">
        <f t="shared" si="161"/>
        <v>Product Eng - BE</v>
      </c>
    </row>
    <row r="45" spans="1:389" x14ac:dyDescent="0.3">
      <c r="A45" t="str">
        <f>$B$44&amp;"-"&amp;C45</f>
        <v>Product Eng - BE-KPI P1</v>
      </c>
      <c r="B45" s="917" t="str">
        <f>+'KPI Stats'!B50</f>
        <v>Product Engineering - Bridgend</v>
      </c>
      <c r="C45" s="133" t="str">
        <f>+'KPI Stats'!C50</f>
        <v>KPI P1</v>
      </c>
      <c r="D45" s="142" t="str">
        <f>+'KPI Stats'!D50</f>
        <v>Productivity</v>
      </c>
      <c r="E45" s="142" t="str">
        <f>+'KPI Stats'!E50</f>
        <v>Output lines as a percentage of capacity</v>
      </c>
      <c r="F45" s="143" t="str">
        <f>+'KPI Stats'!F50</f>
        <v>Percentage</v>
      </c>
      <c r="G45" s="168" t="s">
        <v>186</v>
      </c>
      <c r="J45" s="159" t="str">
        <f>_xlfn.XLOOKUP(J$7,$AM$7:$CM$7,$AM45:$CM45,,FALSE)</f>
        <v>OD</v>
      </c>
      <c r="K45" s="262">
        <f>_xlfn.XLOOKUP(K$7,$FC$7:$HC$7,$FC45:$HC45,,FALSE)</f>
        <v>0</v>
      </c>
      <c r="L45" s="277">
        <f>_xlfn.XLOOKUP(L$7,$HJ$7:$JJ$7,$HJ45:$JJ45,,FALSE)</f>
        <v>80</v>
      </c>
      <c r="M45" s="284" t="str">
        <f>_xlfn.XLOOKUP(M$7,$CU$7:$EU$7,$CU45:$EU45,,FALSE)</f>
        <v>OD</v>
      </c>
      <c r="P45" s="159" t="str">
        <f>_xlfn.XLOOKUP(P$7,$AM$7:$CM$7,$AM45:$CM45,,FALSE)</f>
        <v>OD</v>
      </c>
      <c r="Q45" s="262">
        <f t="shared" ref="Q45:R49" si="162">_xlfn.XLOOKUP(Q$7,$FC$7:$HC$7,$FC45:$HC45,FALSE)</f>
        <v>0</v>
      </c>
      <c r="R45" s="277">
        <f t="shared" si="162"/>
        <v>114</v>
      </c>
      <c r="S45" s="299" t="str">
        <f t="shared" ref="S45:T49" si="163">_xlfn.XLOOKUP(S$7,$CU$7:$EU$7,$CU45:$EU45,,FALSE)</f>
        <v>OD</v>
      </c>
      <c r="T45" s="300">
        <f t="shared" si="163"/>
        <v>1.425</v>
      </c>
      <c r="U45" s="294" t="str">
        <f>IF(F44&lt;$R$2,"Not Complete",IF(Q45=R45,"Same −",IF($G45="Over",IF(Q45&lt;R45,"Better ↑","Worse ↓"),IF($G45="Under",IF(Q45&gt;R45,"Better ↑","Worse ↓"),"err"))))</f>
        <v>Worse ↓</v>
      </c>
      <c r="X45" s="159" t="str">
        <f t="shared" ref="X45:X49" si="164">IF(Y45="","",IF(Y45="Blank","",IF(AND(G45="above zero",Y45&gt;0),"R",IF(AA45&gt;1,"G",IF(AA45&gt;0.95,"A","R")))))</f>
        <v>G</v>
      </c>
      <c r="Y45" s="161">
        <f>_xlfn.XLOOKUP(Y$7,$JR$7:$LR$7,$JR45:$LR45,FALSE)</f>
        <v>89.487804878048777</v>
      </c>
      <c r="Z45" s="161">
        <f>_xlfn.XLOOKUP(Z$7,$LY$7:$NY$7,$LY45:$NY45,FALSE)</f>
        <v>80.121951219512198</v>
      </c>
      <c r="AA45" s="253">
        <f>IF(G45="under",Y45/Z45,IF(G45="over",Z45/Y45,"err"))</f>
        <v>1.1168949771689496</v>
      </c>
      <c r="AB45" s="294" t="str">
        <f>IF(F44&lt;$R$2,"TBC",IF(Y45=Z45,"Same −",IF($G45="Over",IF(Z45&lt;Y45,"Better ↑ ","Worse ↓ "),IF($G45="Under",IF(Y45&gt;Z45,"Better ↑ ","Worse ↓ "),"err"))))</f>
        <v xml:space="preserve">Better ↑ </v>
      </c>
      <c r="AC45" s="159" t="str">
        <f>IF(AND(G45="above adero",AD45&gt;0),"R",IF(AF45&gt;1,"G",IF(AF45&gt;0.95,"A","R")))</f>
        <v>G</v>
      </c>
      <c r="AD45" s="161">
        <f>_xlfn.XLOOKUP(AD$7,$JR$7:$LR$7,$JR45:$LR45,FALSE)</f>
        <v>91.724999999999994</v>
      </c>
      <c r="AE45" s="161">
        <f>_xlfn.XLOOKUP(AE$7,$LY$7:$NY$7,$LY45:$NY45,FALSE)</f>
        <v>80.125</v>
      </c>
      <c r="AF45" s="253">
        <f>IF(G45="under",AD45/AE45,IF(G45="over",AE45/AD45,"err"))</f>
        <v>1.144773790951638</v>
      </c>
      <c r="AH45" s="465" t="str">
        <f>+$A45</f>
        <v>Product Eng - BE-KPI P1</v>
      </c>
      <c r="AI45" s="133" t="str">
        <f t="shared" ref="AI45:AJ49" si="165">+C45</f>
        <v>KPI P1</v>
      </c>
      <c r="AJ45" s="142" t="str">
        <f t="shared" si="165"/>
        <v>Productivity</v>
      </c>
      <c r="AK45" s="142" t="str">
        <f t="shared" si="141"/>
        <v>Output lines as a percentage of capacity</v>
      </c>
      <c r="AL45" s="143" t="str">
        <f t="shared" si="141"/>
        <v>Percentage</v>
      </c>
      <c r="AM45" s="159" t="str">
        <f>IF(AM$7&gt;$D$3,"",_xlfn.XLOOKUP(AM$7,'Product Eng - BE'!$M$6:$BM$6,'Product Eng - BE'!$M$10:$BM$10))</f>
        <v>Blank</v>
      </c>
      <c r="AN45" s="198" t="str">
        <f>IF(AN$7&gt;$D$3,"",_xlfn.XLOOKUP(AN$7,'Product Eng - BE'!$M$6:$BM$6,'Product Eng - BE'!$M$10:$BM$10))</f>
        <v>R</v>
      </c>
      <c r="AO45" s="159" t="str">
        <f>IF(AO$7&gt;$D$3,"",_xlfn.XLOOKUP(AO$7,'Product Eng - BE'!$M$6:$BM$6,'Product Eng - BE'!$M$10:$BM$10))</f>
        <v>G</v>
      </c>
      <c r="AP45" s="159" t="str">
        <f>IF(AP$7&gt;$D$3,"",_xlfn.XLOOKUP(AP$7,'Product Eng - BE'!$M$6:$BM$6,'Product Eng - BE'!$M$10:$BM$10))</f>
        <v>R</v>
      </c>
      <c r="AQ45" s="159" t="str">
        <f>IF(AQ$7&gt;$D$3,"",_xlfn.XLOOKUP(AQ$7,'Product Eng - BE'!$M$6:$BM$6,'Product Eng - BE'!$M$10:$BM$10))</f>
        <v>G</v>
      </c>
      <c r="AR45" s="159" t="str">
        <f>IF(AR$7&gt;$D$3,"",_xlfn.XLOOKUP(AR$7,'Product Eng - BE'!$M$6:$BM$6,'Product Eng - BE'!$M$10:$BM$10))</f>
        <v>G</v>
      </c>
      <c r="AS45" s="159" t="str">
        <f>IF(AS$7&gt;$D$3,"",_xlfn.XLOOKUP(AS$7,'Product Eng - BE'!$M$6:$BM$6,'Product Eng - BE'!$M$10:$BM$10))</f>
        <v>R</v>
      </c>
      <c r="AT45" s="159" t="str">
        <f>IF(AT$7&gt;$D$3,"",_xlfn.XLOOKUP(AT$7,'Product Eng - BE'!$M$6:$BM$6,'Product Eng - BE'!$M$10:$BM$10))</f>
        <v>R</v>
      </c>
      <c r="AU45" s="159" t="str">
        <f>IF(AU$7&gt;$D$3,"",_xlfn.XLOOKUP(AU$7,'Product Eng - BE'!$M$6:$BM$6,'Product Eng - BE'!$M$10:$BM$10))</f>
        <v>G</v>
      </c>
      <c r="AV45" s="159" t="str">
        <f>IF(AV$7&gt;$D$3,"",_xlfn.XLOOKUP(AV$7,'Product Eng - BE'!$M$6:$BM$6,'Product Eng - BE'!$M$10:$BM$10))</f>
        <v>A</v>
      </c>
      <c r="AW45" s="159" t="str">
        <f>IF(AW$7&gt;$D$3,"",_xlfn.XLOOKUP(AW$7,'Product Eng - BE'!$M$6:$BM$6,'Product Eng - BE'!$M$10:$BM$10))</f>
        <v>R</v>
      </c>
      <c r="AX45" s="159" t="str">
        <f>IF(AX$7&gt;$D$3,"",_xlfn.XLOOKUP(AX$7,'Product Eng - BE'!$M$6:$BM$6,'Product Eng - BE'!$M$10:$BM$10))</f>
        <v>G</v>
      </c>
      <c r="AY45" s="159" t="str">
        <f>IF(AY$7&gt;$D$3,"",_xlfn.XLOOKUP(AY$7,'Product Eng - BE'!$M$6:$BM$6,'Product Eng - BE'!$M$10:$BM$10))</f>
        <v>G</v>
      </c>
      <c r="AZ45" s="159" t="str">
        <f>IF(AZ$7&gt;$D$3,"",_xlfn.XLOOKUP(AZ$7,'Product Eng - BE'!$M$6:$BM$6,'Product Eng - BE'!$M$10:$BM$10))</f>
        <v>R</v>
      </c>
      <c r="BA45" s="159" t="str">
        <f>IF(BA$7&gt;$D$3,"",_xlfn.XLOOKUP(BA$7,'Product Eng - BE'!$M$6:$BM$6,'Product Eng - BE'!$M$10:$BM$10))</f>
        <v>G</v>
      </c>
      <c r="BB45" s="159" t="str">
        <f>IF(BB$7&gt;$D$3,"",_xlfn.XLOOKUP(BB$7,'Product Eng - BE'!$M$6:$BM$6,'Product Eng - BE'!$M$10:$BM$10))</f>
        <v>R</v>
      </c>
      <c r="BC45" s="159" t="str">
        <f>IF(BC$7&gt;$D$3,"",_xlfn.XLOOKUP(BC$7,'Product Eng - BE'!$M$6:$BM$6,'Product Eng - BE'!$M$10:$BM$10))</f>
        <v>G</v>
      </c>
      <c r="BD45" s="159" t="str">
        <f>IF(BD$7&gt;$D$3,"",_xlfn.XLOOKUP(BD$7,'Product Eng - BE'!$M$6:$BM$6,'Product Eng - BE'!$M$10:$BM$10))</f>
        <v>G</v>
      </c>
      <c r="BE45" s="159" t="str">
        <f>IF(BE$7&gt;$D$3,"",_xlfn.XLOOKUP(BE$7,'Product Eng - BE'!$M$6:$BM$6,'Product Eng - BE'!$M$10:$BM$10))</f>
        <v>R</v>
      </c>
      <c r="BF45" s="159" t="str">
        <f>IF(BF$7&gt;$D$3,"",_xlfn.XLOOKUP(BF$7,'Product Eng - BE'!$M$6:$BM$6,'Product Eng - BE'!$M$10:$BM$10))</f>
        <v>R</v>
      </c>
      <c r="BG45" s="159" t="str">
        <f>IF(BG$7&gt;$D$3,"",_xlfn.XLOOKUP(BG$7,'Product Eng - BE'!$M$6:$BM$6,'Product Eng - BE'!$M$10:$BM$10))</f>
        <v>R</v>
      </c>
      <c r="BH45" s="159" t="str">
        <f>IF(BH$7&gt;$D$3,"",_xlfn.XLOOKUP(BH$7,'Product Eng - BE'!$M$6:$BM$6,'Product Eng - BE'!$M$10:$BM$10))</f>
        <v>G</v>
      </c>
      <c r="BI45" s="159" t="str">
        <f>IF(BI$7&gt;$D$3,"",_xlfn.XLOOKUP(BI$7,'Product Eng - BE'!$M$6:$BM$6,'Product Eng - BE'!$M$10:$BM$10))</f>
        <v>G</v>
      </c>
      <c r="BJ45" s="159" t="str">
        <f>IF(BJ$7&gt;$D$3,"",_xlfn.XLOOKUP(BJ$7,'Product Eng - BE'!$M$6:$BM$6,'Product Eng - BE'!$M$10:$BM$10))</f>
        <v>G</v>
      </c>
      <c r="BK45" s="159" t="str">
        <f>IF(BK$7&gt;$D$3,"",_xlfn.XLOOKUP(BK$7,'Product Eng - BE'!$M$6:$BM$6,'Product Eng - BE'!$M$10:$BM$10))</f>
        <v>G</v>
      </c>
      <c r="BL45" s="159" t="str">
        <f>IF(BL$7&gt;$D$3,"",_xlfn.XLOOKUP(BL$7,'Product Eng - BE'!$M$6:$BM$6,'Product Eng - BE'!$M$10:$BM$10))</f>
        <v>A</v>
      </c>
      <c r="BM45" s="159" t="str">
        <f>IF(BM$7&gt;$D$3,"",_xlfn.XLOOKUP(BM$7,'Product Eng - BE'!$M$6:$BM$6,'Product Eng - BE'!$M$10:$BM$10))</f>
        <v>G</v>
      </c>
      <c r="BN45" s="159" t="str">
        <f>IF(BN$7&gt;$D$3,"",_xlfn.XLOOKUP(BN$7,'Product Eng - BE'!$M$6:$BM$6,'Product Eng - BE'!$M$10:$BM$10))</f>
        <v>R</v>
      </c>
      <c r="BO45" s="159" t="str">
        <f>IF(BO$7&gt;$D$3,"",_xlfn.XLOOKUP(BO$7,'Product Eng - BE'!$M$6:$BM$6,'Product Eng - BE'!$M$10:$BM$10))</f>
        <v>R</v>
      </c>
      <c r="BP45" s="159" t="str">
        <f>IF(BP$7&gt;$D$3,"",_xlfn.XLOOKUP(BP$7,'Product Eng - BE'!$M$6:$BM$6,'Product Eng - BE'!$M$10:$BM$10))</f>
        <v>G</v>
      </c>
      <c r="BQ45" s="159" t="str">
        <f>IF(BQ$7&gt;$D$3,"",_xlfn.XLOOKUP(BQ$7,'Product Eng - BE'!$M$6:$BM$6,'Product Eng - BE'!$M$10:$BM$10))</f>
        <v>R</v>
      </c>
      <c r="BR45" s="159" t="str">
        <f>IF(BR$7&gt;$D$3,"",_xlfn.XLOOKUP(BR$7,'Product Eng - BE'!$M$6:$BM$6,'Product Eng - BE'!$M$10:$BM$10))</f>
        <v>G</v>
      </c>
      <c r="BS45" s="159" t="str">
        <f>IF(BS$7&gt;$D$3,"",_xlfn.XLOOKUP(BS$7,'Product Eng - BE'!$M$6:$BM$6,'Product Eng - BE'!$M$10:$BM$10))</f>
        <v>G</v>
      </c>
      <c r="BT45" s="159" t="str">
        <f>IF(BT$7&gt;$D$3,"",_xlfn.XLOOKUP(BT$7,'Product Eng - BE'!$M$6:$BM$6,'Product Eng - BE'!$M$10:$BM$10))</f>
        <v>A</v>
      </c>
      <c r="BU45" s="159" t="str">
        <f>IF(BU$7&gt;$D$3,"",_xlfn.XLOOKUP(BU$7,'Product Eng - BE'!$M$6:$BM$6,'Product Eng - BE'!$M$10:$BM$10))</f>
        <v>R</v>
      </c>
      <c r="BV45" s="159" t="str">
        <f>IF(BV$7&gt;$D$3,"",_xlfn.XLOOKUP(BV$7,'Product Eng - BE'!$M$6:$BM$6,'Product Eng - BE'!$M$10:$BM$10))</f>
        <v>G</v>
      </c>
      <c r="BW45" s="159" t="str">
        <f>IF(BW$7&gt;$D$3,"",_xlfn.XLOOKUP(BW$7,'Product Eng - BE'!$M$6:$BM$6,'Product Eng - BE'!$M$10:$BM$10))</f>
        <v>G</v>
      </c>
      <c r="BX45" s="159" t="str">
        <f>IF(BX$7&gt;$D$3,"",_xlfn.XLOOKUP(BX$7,'Product Eng - BE'!$M$6:$BM$6,'Product Eng - BE'!$M$10:$BM$10))</f>
        <v>R</v>
      </c>
      <c r="BY45" s="159" t="str">
        <f>IF(BY$7&gt;$D$3,"",_xlfn.XLOOKUP(BY$7,'Product Eng - BE'!$M$6:$BM$6,'Product Eng - BE'!$M$10:$BM$10))</f>
        <v>R</v>
      </c>
      <c r="BZ45" s="159" t="str">
        <f>IF(BZ$7&gt;$D$3,"",_xlfn.XLOOKUP(BZ$7,'Product Eng - BE'!$M$6:$BM$6,'Product Eng - BE'!$M$10:$BM$10))</f>
        <v>G</v>
      </c>
      <c r="CA45" s="159" t="str">
        <f>IF(CA$7&gt;$D$3,"",_xlfn.XLOOKUP(CA$7,'Product Eng - BE'!$M$6:$BM$6,'Product Eng - BE'!$M$10:$BM$10))</f>
        <v>G</v>
      </c>
      <c r="CB45" s="159" t="str">
        <f>IF(CB$7&gt;$D$3,"",_xlfn.XLOOKUP(CB$7,'Product Eng - BE'!$M$6:$BM$6,'Product Eng - BE'!$M$10:$BM$10))</f>
        <v>OD</v>
      </c>
      <c r="CC45" s="159" t="str">
        <f>IF(CC$7&gt;$D$3,"",_xlfn.XLOOKUP(CC$7,'Product Eng - BE'!$M$6:$BM$6,'Product Eng - BE'!$M$10:$BM$10))</f>
        <v/>
      </c>
      <c r="CD45" s="159" t="str">
        <f>IF(CD$7&gt;$D$3,"",_xlfn.XLOOKUP(CD$7,'Product Eng - BE'!$M$6:$BM$6,'Product Eng - BE'!$M$10:$BM$10))</f>
        <v/>
      </c>
      <c r="CE45" s="159" t="str">
        <f>IF(CE$7&gt;$D$3,"",_xlfn.XLOOKUP(CE$7,'Product Eng - BE'!$M$6:$BM$6,'Product Eng - BE'!$M$10:$BM$10))</f>
        <v/>
      </c>
      <c r="CF45" s="159" t="str">
        <f>IF(CF$7&gt;$D$3,"",_xlfn.XLOOKUP(CF$7,'Product Eng - BE'!$M$6:$BM$6,'Product Eng - BE'!$M$10:$BM$10))</f>
        <v/>
      </c>
      <c r="CG45" s="159" t="str">
        <f>IF(CG$7&gt;$D$3,"",_xlfn.XLOOKUP(CG$7,'Product Eng - BE'!$M$6:$BM$6,'Product Eng - BE'!$M$10:$BM$10))</f>
        <v/>
      </c>
      <c r="CH45" s="159" t="str">
        <f>IF(CH$7&gt;$D$3,"",_xlfn.XLOOKUP(CH$7,'Product Eng - BE'!$M$6:$BM$6,'Product Eng - BE'!$M$10:$BM$10))</f>
        <v/>
      </c>
      <c r="CI45" s="159" t="str">
        <f>IF(CI$7&gt;$D$3,"",_xlfn.XLOOKUP(CI$7,'Product Eng - BE'!$M$6:$BM$6,'Product Eng - BE'!$M$10:$BM$10))</f>
        <v/>
      </c>
      <c r="CJ45" s="159" t="str">
        <f>IF(CJ$7&gt;$D$3,"",_xlfn.XLOOKUP(CJ$7,'Product Eng - BE'!$M$6:$BM$6,'Product Eng - BE'!$M$10:$BM$10))</f>
        <v/>
      </c>
      <c r="CK45" s="159" t="str">
        <f>IF(CK$7&gt;$D$3,"",_xlfn.XLOOKUP(CK$7,'Product Eng - BE'!$M$6:$BM$6,'Product Eng - BE'!$M$10:$BM$10))</f>
        <v/>
      </c>
      <c r="CL45" s="159" t="str">
        <f>IF(CL$7&gt;$D$3,"",_xlfn.XLOOKUP(CL$7,'Product Eng - BE'!$M$6:$BM$6,'Product Eng - BE'!$M$10:$BM$10))</f>
        <v/>
      </c>
      <c r="CM45" s="159" t="str">
        <f>IF(CM$7&gt;$D$3,"",_xlfn.XLOOKUP(CM$7,'Product Eng - BE'!$M$6:$BM$6,'Product Eng - BE'!$M$10:$BM$10))</f>
        <v/>
      </c>
      <c r="CO45" s="465" t="str">
        <f>+$A45</f>
        <v>Product Eng - BE-KPI P1</v>
      </c>
      <c r="CP45" s="133" t="str">
        <f t="shared" ref="CP45:CS49" si="166">+C45</f>
        <v>KPI P1</v>
      </c>
      <c r="CQ45" s="142" t="str">
        <f t="shared" si="166"/>
        <v>Productivity</v>
      </c>
      <c r="CR45" s="513" t="str">
        <f t="shared" si="166"/>
        <v>Output lines as a percentage of capacity</v>
      </c>
      <c r="CS45" s="143" t="str">
        <f t="shared" si="166"/>
        <v>Percentage</v>
      </c>
      <c r="CT45" s="206" t="s">
        <v>246</v>
      </c>
      <c r="CU45" s="624" t="str">
        <f>IF(CU$7&gt;$D$3,"",_xlfn.XLOOKUP(CU$7,'Product Eng - MB'!$M$6:$BM$6,'Product Eng - MB'!$M$10:$BM$10))</f>
        <v>Blank</v>
      </c>
      <c r="CV45" s="323">
        <f>IFERROR(IF(CV$7&gt;$D$3,"",IF(AN45="OD","OD",IF(AN45="Missed","Missed",IF(AN45="TBC","TBC",IF(AN45="Undefined","Undefined",_xlfn.XLOOKUP(CV$7,'Product Eng - BE'!$M$6:$BM$6,'Product Eng - BE'!$M$9:$BM$9)/_xlfn.XLOOKUP(CV$7,'Product Eng - BE'!$M$6:$BM$6,'Product Eng - BE'!$M$8:$BM$8)))))),"")</f>
        <v>0.47499999999999998</v>
      </c>
      <c r="CW45" s="315">
        <f>IFERROR(IF(CW$7&gt;$D$3,"",IF(AO45="OD","OD",IF(AO45="Missed","Missed",IF(AO45="TBC","TBC",IF(AO45="Undefined","Undefined",_xlfn.XLOOKUP(CW$7,'Product Eng - BE'!$M$6:$BM$6,'Product Eng - BE'!$M$9:$BM$9)/_xlfn.XLOOKUP(CW$7,'Product Eng - BE'!$M$6:$BM$6,'Product Eng - BE'!$M$8:$BM$8)))))),"")</f>
        <v>1.425</v>
      </c>
      <c r="CX45" s="315">
        <f>IFERROR(IF(CX$7&gt;$D$3,"",IF(AP45="OD","OD",IF(AP45="Missed","Missed",IF(AP45="TBC","TBC",IF(AP45="Undefined","Undefined",_xlfn.XLOOKUP(CX$7,'Product Eng - BE'!$M$6:$BM$6,'Product Eng - BE'!$M$9:$BM$9)/_xlfn.XLOOKUP(CX$7,'Product Eng - BE'!$M$6:$BM$6,'Product Eng - BE'!$M$8:$BM$8)))))),"")</f>
        <v>0.88749999999999996</v>
      </c>
      <c r="CY45" s="315">
        <f>IFERROR(IF(CY$7&gt;$D$3,"",IF(AQ45="OD","OD",IF(AQ45="Missed","Missed",IF(AQ45="TBC","TBC",IF(AQ45="Undefined","Undefined",_xlfn.XLOOKUP(CY$7,'Product Eng - BE'!$M$6:$BM$6,'Product Eng - BE'!$M$9:$BM$9)/_xlfn.XLOOKUP(CY$7,'Product Eng - BE'!$M$6:$BM$6,'Product Eng - BE'!$M$8:$BM$8)))))),"")</f>
        <v>2.0750000000000002</v>
      </c>
      <c r="CZ45" s="315">
        <f>IFERROR(IF(CZ$7&gt;$D$3,"",IF(AR45="OD","OD",IF(AR45="Missed","Missed",IF(AR45="TBC","TBC",IF(AR45="Undefined","Undefined",_xlfn.XLOOKUP(CZ$7,'Product Eng - BE'!$M$6:$BM$6,'Product Eng - BE'!$M$9:$BM$9)/_xlfn.XLOOKUP(CZ$7,'Product Eng - BE'!$M$6:$BM$6,'Product Eng - BE'!$M$8:$BM$8)))))),"")</f>
        <v>1.2749999999999999</v>
      </c>
      <c r="DA45" s="315">
        <f>IFERROR(IF(DA$7&gt;$D$3,"",IF(AS45="OD","OD",IF(AS45="Missed","Missed",IF(AS45="TBC","TBC",IF(AS45="Undefined","Undefined",_xlfn.XLOOKUP(DA$7,'Product Eng - BE'!$M$6:$BM$6,'Product Eng - BE'!$M$9:$BM$9)/_xlfn.XLOOKUP(DA$7,'Product Eng - BE'!$M$6:$BM$6,'Product Eng - BE'!$M$8:$BM$8)))))),"")</f>
        <v>0.9375</v>
      </c>
      <c r="DB45" s="315">
        <f>IFERROR(IF(DB$7&gt;$D$3,"",IF(AT45="OD","OD",IF(AT45="Missed","Missed",IF(AT45="TBC","TBC",IF(AT45="Undefined","Undefined",_xlfn.XLOOKUP(DB$7,'Product Eng - BE'!$M$6:$BM$6,'Product Eng - BE'!$M$9:$BM$9)/_xlfn.XLOOKUP(DB$7,'Product Eng - BE'!$M$6:$BM$6,'Product Eng - BE'!$M$8:$BM$8)))))),"")</f>
        <v>0.875</v>
      </c>
      <c r="DC45" s="315">
        <f>IFERROR(IF(DC$7&gt;$D$3,"",IF(AU45="OD","OD",IF(AU45="Missed","Missed",IF(AU45="TBC","TBC",IF(AU45="Undefined","Undefined",_xlfn.XLOOKUP(DC$7,'Product Eng - BE'!$M$6:$BM$6,'Product Eng - BE'!$M$9:$BM$9)/_xlfn.XLOOKUP(DC$7,'Product Eng - BE'!$M$6:$BM$6,'Product Eng - BE'!$M$8:$BM$8)))))),"")</f>
        <v>1.1125</v>
      </c>
      <c r="DD45" s="315">
        <f>IFERROR(IF(DD$7&gt;$D$3,"",IF(AV45="OD","OD",IF(AV45="Missed","Missed",IF(AV45="TBC","TBC",IF(AV45="Undefined","Undefined",_xlfn.XLOOKUP(DD$7,'Product Eng - BE'!$M$6:$BM$6,'Product Eng - BE'!$M$9:$BM$9)/_xlfn.XLOOKUP(DD$7,'Product Eng - BE'!$M$6:$BM$6,'Product Eng - BE'!$M$8:$BM$8)))))),"")</f>
        <v>0.95</v>
      </c>
      <c r="DE45" s="315">
        <f>IFERROR(IF(DE$7&gt;$D$3,"",IF(AW45="OD","OD",IF(AW45="Missed","Missed",IF(AW45="TBC","TBC",IF(AW45="Undefined","Undefined",_xlfn.XLOOKUP(DE$7,'Product Eng - BE'!$M$6:$BM$6,'Product Eng - BE'!$M$9:$BM$9)/_xlfn.XLOOKUP(DE$7,'Product Eng - BE'!$M$6:$BM$6,'Product Eng - BE'!$M$8:$BM$8)))))),"")</f>
        <v>0.625</v>
      </c>
      <c r="DF45" s="315">
        <f>IFERROR(IF(DF$7&gt;$D$3,"",IF(AX45="OD","OD",IF(AX45="Missed","Missed",IF(AX45="TBC","TBC",IF(AX45="Undefined","Undefined",_xlfn.XLOOKUP(DF$7,'Product Eng - BE'!$M$6:$BM$6,'Product Eng - BE'!$M$9:$BM$9)/_xlfn.XLOOKUP(DF$7,'Product Eng - BE'!$M$6:$BM$6,'Product Eng - BE'!$M$8:$BM$8)))))),"")</f>
        <v>1.6125</v>
      </c>
      <c r="DG45" s="315">
        <f>IFERROR(IF(DG$7&gt;$D$3,"",IF(AY45="OD","OD",IF(AY45="Missed","Missed",IF(AY45="TBC","TBC",IF(AY45="Undefined","Undefined",_xlfn.XLOOKUP(DG$7,'Product Eng - BE'!$M$6:$BM$6,'Product Eng - BE'!$M$9:$BM$9)/_xlfn.XLOOKUP(DG$7,'Product Eng - BE'!$M$6:$BM$6,'Product Eng - BE'!$M$8:$BM$8)))))),"")</f>
        <v>1.6875</v>
      </c>
      <c r="DH45" s="315">
        <f>IFERROR(IF(DH$7&gt;$D$3,"",IF(AZ45="OD","OD",IF(AZ45="Missed","Missed",IF(AZ45="TBC","TBC",IF(AZ45="Undefined","Undefined",_xlfn.XLOOKUP(DH$7,'Product Eng - BE'!$M$6:$BM$6,'Product Eng - BE'!$M$9:$BM$9)/_xlfn.XLOOKUP(DH$7,'Product Eng - BE'!$M$6:$BM$6,'Product Eng - BE'!$M$8:$BM$8)))))),"")</f>
        <v>0.625</v>
      </c>
      <c r="DI45" s="315">
        <f>IFERROR(IF(DI$7&gt;$D$3,"",IF(BA45="OD","OD",IF(BA45="Missed","Missed",IF(BA45="TBC","TBC",IF(BA45="Undefined","Undefined",_xlfn.XLOOKUP(DI$7,'Product Eng - BE'!$M$6:$BM$6,'Product Eng - BE'!$M$9:$BM$9)/_xlfn.XLOOKUP(DI$7,'Product Eng - BE'!$M$6:$BM$6,'Product Eng - BE'!$M$8:$BM$8)))))),"")</f>
        <v>1.625</v>
      </c>
      <c r="DJ45" s="315">
        <f>IFERROR(IF(DJ$7&gt;$D$3,"",IF(BB45="OD","OD",IF(BB45="Missed","Missed",IF(BB45="TBC","TBC",IF(BB45="Undefined","Undefined",_xlfn.XLOOKUP(DJ$7,'Product Eng - BE'!$M$6:$BM$6,'Product Eng - BE'!$M$9:$BM$9)/_xlfn.XLOOKUP(DJ$7,'Product Eng - BE'!$M$6:$BM$6,'Product Eng - BE'!$M$8:$BM$8)))))),"")</f>
        <v>0.88749999999999996</v>
      </c>
      <c r="DK45" s="315">
        <f>IFERROR(IF(DK$7&gt;$D$3,"",IF(BC45="OD","OD",IF(BC45="Missed","Missed",IF(BC45="TBC","TBC",IF(BC45="Undefined","Undefined",_xlfn.XLOOKUP(DK$7,'Product Eng - BE'!$M$6:$BM$6,'Product Eng - BE'!$M$9:$BM$9)/_xlfn.XLOOKUP(DK$7,'Product Eng - BE'!$M$6:$BM$6,'Product Eng - BE'!$M$8:$BM$8)))))),"")</f>
        <v>1.3374999999999999</v>
      </c>
      <c r="DL45" s="315">
        <f>IFERROR(IF(DL$7&gt;$D$3,"",IF(BD45="OD","OD",IF(BD45="Missed","Missed",IF(BD45="TBC","TBC",IF(BD45="Undefined","Undefined",_xlfn.XLOOKUP(DL$7,'Product Eng - BE'!$M$6:$BM$6,'Product Eng - BE'!$M$9:$BM$9)/_xlfn.XLOOKUP(DL$7,'Product Eng - BE'!$M$6:$BM$6,'Product Eng - BE'!$M$8:$BM$8)))))),"")</f>
        <v>1.0874999999999999</v>
      </c>
      <c r="DM45" s="315">
        <f>IFERROR(IF(DM$7&gt;$D$3,"",IF(BE45="OD","OD",IF(BE45="Missed","Missed",IF(BE45="TBC","TBC",IF(BE45="Undefined","Undefined",_xlfn.XLOOKUP(DM$7,'Product Eng - BE'!$M$6:$BM$6,'Product Eng - BE'!$M$9:$BM$9)/_xlfn.XLOOKUP(DM$7,'Product Eng - BE'!$M$6:$BM$6,'Product Eng - BE'!$M$8:$BM$8)))))),"")</f>
        <v>0.875</v>
      </c>
      <c r="DN45" s="315">
        <f>IFERROR(IF(DN$7&gt;$D$3,"",IF(BF45="OD","OD",IF(BF45="Missed","Missed",IF(BF45="TBC","TBC",IF(BF45="Undefined","Undefined",_xlfn.XLOOKUP(DN$7,'Product Eng - BE'!$M$6:$BM$6,'Product Eng - BE'!$M$9:$BM$9)/_xlfn.XLOOKUP(DN$7,'Product Eng - BE'!$M$6:$BM$6,'Product Eng - BE'!$M$8:$BM$8)))))),"")</f>
        <v>0.85</v>
      </c>
      <c r="DO45" s="315">
        <f>IFERROR(IF(DO$7&gt;$D$3,"",IF(BG45="OD","OD",IF(BG45="Missed","Missed",IF(BG45="TBC","TBC",IF(BG45="Undefined","Undefined",_xlfn.XLOOKUP(DO$7,'Product Eng - BE'!$M$6:$BM$6,'Product Eng - BE'!$M$9:$BM$9)/_xlfn.XLOOKUP(DO$7,'Product Eng - BE'!$M$6:$BM$6,'Product Eng - BE'!$M$8:$BM$8)))))),"")</f>
        <v>0.86250000000000004</v>
      </c>
      <c r="DP45" s="315">
        <f>IFERROR(IF(DP$7&gt;$D$3,"",IF(BH45="OD","OD",IF(BH45="Missed","Missed",IF(BH45="TBC","TBC",IF(BH45="Undefined","Undefined",_xlfn.XLOOKUP(DP$7,'Product Eng - BE'!$M$6:$BM$6,'Product Eng - BE'!$M$9:$BM$9)/_xlfn.XLOOKUP(DP$7,'Product Eng - BE'!$M$6:$BM$6,'Product Eng - BE'!$M$8:$BM$8)))))),"")</f>
        <v>1.375</v>
      </c>
      <c r="DQ45" s="315">
        <f>IFERROR(IF(DQ$7&gt;$D$3,"",IF(BI45="OD","OD",IF(BI45="Missed","Missed",IF(BI45="TBC","TBC",IF(BI45="Undefined","Undefined",_xlfn.XLOOKUP(DQ$7,'Product Eng - BE'!$M$6:$BM$6,'Product Eng - BE'!$M$9:$BM$9)/_xlfn.XLOOKUP(DQ$7,'Product Eng - BE'!$M$6:$BM$6,'Product Eng - BE'!$M$8:$BM$8)))))),"")</f>
        <v>2.4125000000000001</v>
      </c>
      <c r="DR45" s="315">
        <f>IFERROR(IF(DR$7&gt;$D$3,"",IF(BJ45="OD","OD",IF(BJ45="Missed","Missed",IF(BJ45="TBC","TBC",IF(BJ45="Undefined","Undefined",_xlfn.XLOOKUP(DR$7,'Product Eng - BE'!$M$6:$BM$6,'Product Eng - BE'!$M$9:$BM$9)/_xlfn.XLOOKUP(DR$7,'Product Eng - BE'!$M$6:$BM$6,'Product Eng - BE'!$M$8:$BM$8)))))),"")</f>
        <v>2.5499999999999998</v>
      </c>
      <c r="DS45" s="315">
        <f>IFERROR(IF(DS$7&gt;$D$3,"",IF(BK45="OD","OD",IF(BK45="Missed","Missed",IF(BK45="TBC","TBC",IF(BK45="Undefined","Undefined",_xlfn.XLOOKUP(DS$7,'Product Eng - BE'!$M$6:$BM$6,'Product Eng - BE'!$M$9:$BM$9)/_xlfn.XLOOKUP(DS$7,'Product Eng - BE'!$M$6:$BM$6,'Product Eng - BE'!$M$8:$BM$8)))))),"")</f>
        <v>1.3125</v>
      </c>
      <c r="DT45" s="315">
        <f>IFERROR(IF(DT$7&gt;$D$3,"",IF(BL45="OD","OD",IF(BL45="Missed","Missed",IF(BL45="TBC","TBC",IF(BL45="Undefined","Undefined",_xlfn.XLOOKUP(DT$7,'Product Eng - BE'!$M$6:$BM$6,'Product Eng - BE'!$M$9:$BM$9)/_xlfn.XLOOKUP(DT$7,'Product Eng - BE'!$M$6:$BM$6,'Product Eng - BE'!$M$8:$BM$8)))))),"")</f>
        <v>0.98750000000000004</v>
      </c>
      <c r="DU45" s="315">
        <f>IFERROR(IF(DU$7&gt;$D$3,"",IF(BM45="OD","OD",IF(BM45="Missed","Missed",IF(BM45="TBC","TBC",IF(BM45="Undefined","Undefined",_xlfn.XLOOKUP(DU$7,'Product Eng - BE'!$M$6:$BM$6,'Product Eng - BE'!$M$9:$BM$9)/_xlfn.XLOOKUP(DU$7,'Product Eng - BE'!$M$6:$BM$6,'Product Eng - BE'!$M$8:$BM$8)))))),"")</f>
        <v>1.25</v>
      </c>
      <c r="DV45" s="315">
        <f>IFERROR(IF(DV$7&gt;$D$3,"",IF(BN45="OD","OD",IF(BN45="Missed","Missed",IF(BN45="TBC","TBC",IF(BN45="Undefined","Undefined",_xlfn.XLOOKUP(DV$7,'Product Eng - BE'!$M$6:$BM$6,'Product Eng - BE'!$M$9:$BM$9)/_xlfn.XLOOKUP(DV$7,'Product Eng - BE'!$M$6:$BM$6,'Product Eng - BE'!$M$8:$BM$8)))))),"")</f>
        <v>0.3125</v>
      </c>
      <c r="DW45" s="315">
        <f>IFERROR(IF(DW$7&gt;$D$3,"",IF(BO45="OD","OD",IF(BO45="Missed","Missed",IF(BO45="TBC","TBC",IF(BO45="Undefined","Undefined",_xlfn.XLOOKUP(DW$7,'Product Eng - BE'!$M$6:$BM$6,'Product Eng - BE'!$M$9:$BM$9)/_xlfn.XLOOKUP(DW$7,'Product Eng - BE'!$M$6:$BM$6,'Product Eng - BE'!$M$8:$BM$8)))))),"")</f>
        <v>0.78749999999999998</v>
      </c>
      <c r="DX45" s="315">
        <f>IFERROR(IF(DX$7&gt;$D$3,"",IF(BP45="OD","OD",IF(BP45="Missed","Missed",IF(BP45="TBC","TBC",IF(BP45="Undefined","Undefined",_xlfn.XLOOKUP(DX$7,'Product Eng - BE'!$M$6:$BM$6,'Product Eng - BE'!$M$9:$BM$9)/_xlfn.XLOOKUP(DX$7,'Product Eng - BE'!$M$6:$BM$6,'Product Eng - BE'!$M$8:$BM$8)))))),"")</f>
        <v>1.2</v>
      </c>
      <c r="DY45" s="315">
        <f>IFERROR(IF(DY$7&gt;$D$3,"",IF(BQ45="OD","OD",IF(BQ45="Missed","Missed",IF(BQ45="TBC","TBC",IF(BQ45="Undefined","Undefined",_xlfn.XLOOKUP(DY$7,'Product Eng - BE'!$M$6:$BM$6,'Product Eng - BE'!$M$9:$BM$9)/_xlfn.XLOOKUP(DY$7,'Product Eng - BE'!$M$6:$BM$6,'Product Eng - BE'!$M$8:$BM$8)))))),"")</f>
        <v>0.84705882352941175</v>
      </c>
      <c r="DZ45" s="315">
        <f>IFERROR(IF(DZ$7&gt;$D$3,"",IF(BR45="OD","OD",IF(BR45="Missed","Missed",IF(BR45="TBC","TBC",IF(BR45="Undefined","Undefined",_xlfn.XLOOKUP(DZ$7,'Product Eng - BE'!$M$6:$BM$6,'Product Eng - BE'!$M$9:$BM$9)/_xlfn.XLOOKUP(DZ$7,'Product Eng - BE'!$M$6:$BM$6,'Product Eng - BE'!$M$8:$BM$8)))))),"")</f>
        <v>1.3875</v>
      </c>
      <c r="EA45" s="315">
        <f>IFERROR(IF(EA$7&gt;$D$3,"",IF(BS45="OD","OD",IF(BS45="Missed","Missed",IF(BS45="TBC","TBC",IF(BS45="Undefined","Undefined",_xlfn.XLOOKUP(EA$7,'Product Eng - BE'!$M$6:$BM$6,'Product Eng - BE'!$M$9:$BM$9)/_xlfn.XLOOKUP(EA$7,'Product Eng - BE'!$M$6:$BM$6,'Product Eng - BE'!$M$8:$BM$8)))))),"")</f>
        <v>1.2124999999999999</v>
      </c>
      <c r="EB45" s="315">
        <f>IFERROR(IF(EB$7&gt;$D$3,"",IF(BT45="OD","OD",IF(BT45="Missed","Missed",IF(BT45="TBC","TBC",IF(BT45="Undefined","Undefined",_xlfn.XLOOKUP(EB$7,'Product Eng - BE'!$M$6:$BM$6,'Product Eng - BE'!$M$9:$BM$9)/_xlfn.XLOOKUP(EB$7,'Product Eng - BE'!$M$6:$BM$6,'Product Eng - BE'!$M$8:$BM$8)))))),"")</f>
        <v>0.97499999999999998</v>
      </c>
      <c r="EC45" s="315">
        <f>IFERROR(IF(EC$7&gt;$D$3,"",IF(BU45="OD","OD",IF(BU45="Missed","Missed",IF(BU45="TBC","TBC",IF(BU45="Undefined","Undefined",_xlfn.XLOOKUP(EC$7,'Product Eng - BE'!$M$6:$BM$6,'Product Eng - BE'!$M$9:$BM$9)/_xlfn.XLOOKUP(EC$7,'Product Eng - BE'!$M$6:$BM$6,'Product Eng - BE'!$M$8:$BM$8)))))),"")</f>
        <v>0.4</v>
      </c>
      <c r="ED45" s="315">
        <f>IFERROR(IF(ED$7&gt;$D$3,"",IF(BV45="OD","OD",IF(BV45="Missed","Missed",IF(BV45="TBC","TBC",IF(BV45="Undefined","Undefined",_xlfn.XLOOKUP(ED$7,'Product Eng - BE'!$M$6:$BM$6,'Product Eng - BE'!$M$9:$BM$9)/_xlfn.XLOOKUP(ED$7,'Product Eng - BE'!$M$6:$BM$6,'Product Eng - BE'!$M$8:$BM$8)))))),"")</f>
        <v>1.0625</v>
      </c>
      <c r="EE45" s="315">
        <f>IFERROR(IF(EE$7&gt;$D$3,"",IF(BW45="OD","OD",IF(BW45="Missed","Missed",IF(BW45="TBC","TBC",IF(BW45="Undefined","Undefined",_xlfn.XLOOKUP(EE$7,'Product Eng - BE'!$M$6:$BM$6,'Product Eng - BE'!$M$9:$BM$9)/_xlfn.XLOOKUP(EE$7,'Product Eng - BE'!$M$6:$BM$6,'Product Eng - BE'!$M$8:$BM$8)))))),"")</f>
        <v>1.0625</v>
      </c>
      <c r="EF45" s="315">
        <f>IFERROR(IF(EF$7&gt;$D$3,"",IF(BX45="OD","OD",IF(BX45="Missed","Missed",IF(BX45="TBC","TBC",IF(BX45="Undefined","Undefined",_xlfn.XLOOKUP(EF$7,'Product Eng - BE'!$M$6:$BM$6,'Product Eng - BE'!$M$9:$BM$9)/_xlfn.XLOOKUP(EF$7,'Product Eng - BE'!$M$6:$BM$6,'Product Eng - BE'!$M$8:$BM$8)))))),"")</f>
        <v>0.75</v>
      </c>
      <c r="EG45" s="315">
        <f>IFERROR(IF(EG$7&gt;$D$3,"",IF(BY45="OD","OD",IF(BY45="Missed","Missed",IF(BY45="TBC","TBC",IF(BY45="Undefined","Undefined",_xlfn.XLOOKUP(EG$7,'Product Eng - BE'!$M$6:$BM$6,'Product Eng - BE'!$M$9:$BM$9)/_xlfn.XLOOKUP(EG$7,'Product Eng - BE'!$M$6:$BM$6,'Product Eng - BE'!$M$8:$BM$8)))))),"")</f>
        <v>0.88749999999999996</v>
      </c>
      <c r="EH45" s="315">
        <f>IFERROR(IF(EH$7&gt;$D$3,"",IF(BZ45="OD","OD",IF(BZ45="Missed","Missed",IF(BZ45="TBC","TBC",IF(BZ45="Undefined","Undefined",_xlfn.XLOOKUP(EH$7,'Product Eng - BE'!$M$6:$BM$6,'Product Eng - BE'!$M$9:$BM$9)/_xlfn.XLOOKUP(EH$7,'Product Eng - BE'!$M$6:$BM$6,'Product Eng - BE'!$M$8:$BM$8)))))),"")</f>
        <v>1.5249999999999999</v>
      </c>
      <c r="EI45" s="315">
        <f>IFERROR(IF(EI$7&gt;$D$3,"",IF(CA45="OD","OD",IF(CA45="Missed","Missed",IF(CA45="TBC","TBC",IF(CA45="Undefined","Undefined",_xlfn.XLOOKUP(EI$7,'Product Eng - BE'!$M$6:$BM$6,'Product Eng - BE'!$M$9:$BM$9)/_xlfn.XLOOKUP(EI$7,'Product Eng - BE'!$M$6:$BM$6,'Product Eng - BE'!$M$8:$BM$8)))))),"")</f>
        <v>1.425</v>
      </c>
      <c r="EJ45" s="315" t="str">
        <f>IFERROR(IF(EJ$7&gt;$D$3,"",IF(CB45="OD","OD",IF(CB45="Missed","Missed",IF(CB45="TBC","TBC",IF(CB45="Undefined","Undefined",_xlfn.XLOOKUP(EJ$7,'Product Eng - BE'!$M$6:$BM$6,'Product Eng - BE'!$M$9:$BM$9)/_xlfn.XLOOKUP(EJ$7,'Product Eng - BE'!$M$6:$BM$6,'Product Eng - BE'!$M$8:$BM$8)))))),"")</f>
        <v>OD</v>
      </c>
      <c r="EK45" s="315" t="str">
        <f>IFERROR(IF(EK$7&gt;$D$3,"",IF(CC45="OD","OD",IF(CC45="Missed","Missed",IF(CC45="TBC","TBC",IF(CC45="Undefined","Undefined",_xlfn.XLOOKUP(EK$7,'Product Eng - BE'!$M$6:$BM$6,'Product Eng - BE'!$M$9:$BM$9)/_xlfn.XLOOKUP(EK$7,'Product Eng - BE'!$M$6:$BM$6,'Product Eng - BE'!$M$8:$BM$8)))))),"")</f>
        <v/>
      </c>
      <c r="EL45" s="315" t="str">
        <f>IFERROR(IF(EL$7&gt;$D$3,"",IF(CD45="OD","OD",IF(CD45="Missed","Missed",IF(CD45="TBC","TBC",IF(CD45="Undefined","Undefined",_xlfn.XLOOKUP(EL$7,'Product Eng - BE'!$M$6:$BM$6,'Product Eng - BE'!$M$9:$BM$9)/_xlfn.XLOOKUP(EL$7,'Product Eng - BE'!$M$6:$BM$6,'Product Eng - BE'!$M$8:$BM$8)))))),"")</f>
        <v/>
      </c>
      <c r="EM45" s="315" t="str">
        <f>IFERROR(IF(EM$7&gt;$D$3,"",IF(CE45="OD","OD",IF(CE45="Missed","Missed",IF(CE45="TBC","TBC",IF(CE45="Undefined","Undefined",_xlfn.XLOOKUP(EM$7,'Product Eng - BE'!$M$6:$BM$6,'Product Eng - BE'!$M$9:$BM$9)/_xlfn.XLOOKUP(EM$7,'Product Eng - BE'!$M$6:$BM$6,'Product Eng - BE'!$M$8:$BM$8)))))),"")</f>
        <v/>
      </c>
      <c r="EN45" s="315" t="str">
        <f>IFERROR(IF(EN$7&gt;$D$3,"",IF(CF45="OD","OD",IF(CF45="Missed","Missed",IF(CF45="TBC","TBC",IF(CF45="Undefined","Undefined",_xlfn.XLOOKUP(EN$7,'Product Eng - BE'!$M$6:$BM$6,'Product Eng - BE'!$M$9:$BM$9)/_xlfn.XLOOKUP(EN$7,'Product Eng - BE'!$M$6:$BM$6,'Product Eng - BE'!$M$8:$BM$8)))))),"")</f>
        <v/>
      </c>
      <c r="EO45" s="315" t="str">
        <f>IFERROR(IF(EO$7&gt;$D$3,"",IF(CG45="OD","OD",IF(CG45="Missed","Missed",IF(CG45="TBC","TBC",IF(CG45="Undefined","Undefined",_xlfn.XLOOKUP(EO$7,'Product Eng - BE'!$M$6:$BM$6,'Product Eng - BE'!$M$9:$BM$9)/_xlfn.XLOOKUP(EO$7,'Product Eng - BE'!$M$6:$BM$6,'Product Eng - BE'!$M$8:$BM$8)))))),"")</f>
        <v/>
      </c>
      <c r="EP45" s="315" t="str">
        <f>IFERROR(IF(EP$7&gt;$D$3,"",IF(CH45="OD","OD",IF(CH45="Missed","Missed",IF(CH45="TBC","TBC",IF(CH45="Undefined","Undefined",_xlfn.XLOOKUP(EP$7,'Product Eng - BE'!$M$6:$BM$6,'Product Eng - BE'!$M$9:$BM$9)/_xlfn.XLOOKUP(EP$7,'Product Eng - BE'!$M$6:$BM$6,'Product Eng - BE'!$M$8:$BM$8)))))),"")</f>
        <v/>
      </c>
      <c r="EQ45" s="315" t="str">
        <f>IFERROR(IF(EQ$7&gt;$D$3,"",IF(CI45="OD","OD",IF(CI45="Missed","Missed",IF(CI45="TBC","TBC",IF(CI45="Undefined","Undefined",_xlfn.XLOOKUP(EQ$7,'Product Eng - BE'!$M$6:$BM$6,'Product Eng - BE'!$M$9:$BM$9)/_xlfn.XLOOKUP(EQ$7,'Product Eng - BE'!$M$6:$BM$6,'Product Eng - BE'!$M$8:$BM$8)))))),"")</f>
        <v/>
      </c>
      <c r="ER45" s="315" t="str">
        <f>IFERROR(IF(ER$7&gt;$D$3,"",IF(CJ45="OD","OD",IF(CJ45="Missed","Missed",IF(CJ45="TBC","TBC",IF(CJ45="Undefined","Undefined",_xlfn.XLOOKUP(ER$7,'Product Eng - BE'!$M$6:$BM$6,'Product Eng - BE'!$M$9:$BM$9)/_xlfn.XLOOKUP(ER$7,'Product Eng - BE'!$M$6:$BM$6,'Product Eng - BE'!$M$8:$BM$8)))))),"")</f>
        <v/>
      </c>
      <c r="ES45" s="315" t="str">
        <f>IFERROR(IF(ES$7&gt;$D$3,"",IF(CK45="OD","OD",IF(CK45="Missed","Missed",IF(CK45="TBC","TBC",IF(CK45="Undefined","Undefined",_xlfn.XLOOKUP(ES$7,'Product Eng - BE'!$M$6:$BM$6,'Product Eng - BE'!$M$9:$BM$9)/_xlfn.XLOOKUP(ES$7,'Product Eng - BE'!$M$6:$BM$6,'Product Eng - BE'!$M$8:$BM$8)))))),"")</f>
        <v/>
      </c>
      <c r="ET45" s="315" t="str">
        <f>IFERROR(IF(ET$7&gt;$D$3,"",IF(CL45="OD","OD",IF(CL45="Missed","Missed",IF(CL45="TBC","TBC",IF(CL45="Undefined","Undefined",_xlfn.XLOOKUP(ET$7,'Product Eng - BE'!$M$6:$BM$6,'Product Eng - BE'!$M$9:$BM$9)/_xlfn.XLOOKUP(ET$7,'Product Eng - BE'!$M$6:$BM$6,'Product Eng - BE'!$M$8:$BM$8)))))),"")</f>
        <v/>
      </c>
      <c r="EU45" s="315" t="str">
        <f>IFERROR(IF(EU$7&gt;$D$3,"",IF(CM45="OD","OD",IF(CM45="Missed","Missed",IF(CM45="TBC","TBC",IF(CM45="Undefined","Undefined",_xlfn.XLOOKUP(EU$7,'Product Eng - BE'!$M$6:$BM$6,'Product Eng - BE'!$M$9:$BM$9)/_xlfn.XLOOKUP(EU$7,'Product Eng - BE'!$M$6:$BM$6,'Product Eng - BE'!$M$8:$BM$8)))))),"")</f>
        <v/>
      </c>
      <c r="EW45" s="465" t="str">
        <f>+$A45</f>
        <v>Product Eng - BE-KPI P1</v>
      </c>
      <c r="EX45" s="133" t="str">
        <f>+$C45</f>
        <v>KPI P1</v>
      </c>
      <c r="EY45" s="142" t="str">
        <f>+$D45</f>
        <v>Productivity</v>
      </c>
      <c r="EZ45" s="142" t="str">
        <f t="shared" si="145"/>
        <v>Output lines as a percentage of capacity</v>
      </c>
      <c r="FA45" s="143" t="str">
        <f t="shared" si="146"/>
        <v>Percentage</v>
      </c>
      <c r="FB45" s="143" t="s">
        <v>251</v>
      </c>
      <c r="FC45" s="222" t="str">
        <f>IF(FC$7&gt;$D$3,"",IF($FA44&lt;FC$7,"OD",_xlfn.XLOOKUP(FC$7,'Product Eng - BE'!$M$6:$BM$6,'Product Eng - BE'!$M$9:$BM$9)))</f>
        <v>Blank</v>
      </c>
      <c r="FD45" s="222">
        <f>IF(FD$7&gt;$D$3,"",IF($FA44&lt;FD$7,"OD",_xlfn.XLOOKUP(FD$7,'Product Eng - BE'!$M$6:$BM$6,'Product Eng - BE'!$M$9:$BM$9)))</f>
        <v>38</v>
      </c>
      <c r="FE45" s="222">
        <f>IF(FE$7&gt;$D$3,"",IF($FA44&lt;FE$7,"OD",_xlfn.XLOOKUP(FE$7,'Product Eng - BE'!$M$6:$BM$6,'Product Eng - BE'!$M$9:$BM$9)))</f>
        <v>114</v>
      </c>
      <c r="FF45" s="222">
        <f>IF(FF$7&gt;$D$3,"",IF($FA44&lt;FF$7,"OD",_xlfn.XLOOKUP(FF$7,'Product Eng - BE'!$M$6:$BM$6,'Product Eng - BE'!$M$9:$BM$9)))</f>
        <v>71</v>
      </c>
      <c r="FG45" s="222">
        <f>IF(FG$7&gt;$D$3,"",IF($FA44&lt;FG$7,"OD",_xlfn.XLOOKUP(FG$7,'Product Eng - BE'!$M$6:$BM$6,'Product Eng - BE'!$M$9:$BM$9)))</f>
        <v>166</v>
      </c>
      <c r="FH45" s="222">
        <f>IF(FH$7&gt;$D$3,"",IF($FA44&lt;FH$7,"OD",_xlfn.XLOOKUP(FH$7,'Product Eng - BE'!$M$6:$BM$6,'Product Eng - BE'!$M$9:$BM$9)))</f>
        <v>102</v>
      </c>
      <c r="FI45" s="222">
        <f>IF(FI$7&gt;$D$3,"",IF($FA44&lt;FI$7,"OD",_xlfn.XLOOKUP(FI$7,'Product Eng - BE'!$M$6:$BM$6,'Product Eng - BE'!$M$9:$BM$9)))</f>
        <v>75</v>
      </c>
      <c r="FJ45" s="222">
        <f>IF(FJ$7&gt;$D$3,"",IF($FA44&lt;FJ$7,"OD",_xlfn.XLOOKUP(FJ$7,'Product Eng - BE'!$M$6:$BM$6,'Product Eng - BE'!$M$9:$BM$9)))</f>
        <v>70</v>
      </c>
      <c r="FK45" s="222">
        <f>IF(FK$7&gt;$D$3,"",IF($FA44&lt;FK$7,"OD",_xlfn.XLOOKUP(FK$7,'Product Eng - BE'!$M$6:$BM$6,'Product Eng - BE'!$M$9:$BM$9)))</f>
        <v>89</v>
      </c>
      <c r="FL45" s="222">
        <f>IF(FL$7&gt;$D$3,"",IF($FA44&lt;FL$7,"OD",_xlfn.XLOOKUP(FL$7,'Product Eng - BE'!$M$6:$BM$6,'Product Eng - BE'!$M$9:$BM$9)))</f>
        <v>76</v>
      </c>
      <c r="FM45" s="222">
        <f>IF(FM$7&gt;$D$3,"",IF($FA44&lt;FM$7,"OD",_xlfn.XLOOKUP(FM$7,'Product Eng - BE'!$M$6:$BM$6,'Product Eng - BE'!$M$9:$BM$9)))</f>
        <v>50</v>
      </c>
      <c r="FN45" s="222">
        <f>IF(FN$7&gt;$D$3,"",IF($FA44&lt;FN$7,"OD",_xlfn.XLOOKUP(FN$7,'Product Eng - BE'!$M$6:$BM$6,'Product Eng - BE'!$M$9:$BM$9)))</f>
        <v>129</v>
      </c>
      <c r="FO45" s="222">
        <f>IF(FO$7&gt;$D$3,"",IF($FA44&lt;FO$7,"OD",_xlfn.XLOOKUP(FO$7,'Product Eng - BE'!$M$6:$BM$6,'Product Eng - BE'!$M$9:$BM$9)))</f>
        <v>135</v>
      </c>
      <c r="FP45" s="222">
        <f>IF(FP$7&gt;$D$3,"",IF($FA44&lt;FP$7,"OD",_xlfn.XLOOKUP(FP$7,'Product Eng - BE'!$M$6:$BM$6,'Product Eng - BE'!$M$9:$BM$9)))</f>
        <v>50</v>
      </c>
      <c r="FQ45" s="222">
        <f>IF(FQ$7&gt;$D$3,"",IF($FA44&lt;FQ$7,"OD",_xlfn.XLOOKUP(FQ$7,'Product Eng - BE'!$M$6:$BM$6,'Product Eng - BE'!$M$9:$BM$9)))</f>
        <v>130</v>
      </c>
      <c r="FR45" s="222">
        <f>IF(FR$7&gt;$D$3,"",IF($FA44&lt;FR$7,"OD",_xlfn.XLOOKUP(FR$7,'Product Eng - BE'!$M$6:$BM$6,'Product Eng - BE'!$M$9:$BM$9)))</f>
        <v>71</v>
      </c>
      <c r="FS45" s="222">
        <f>IF(FS$7&gt;$D$3,"",IF($FA44&lt;FS$7,"OD",_xlfn.XLOOKUP(FS$7,'Product Eng - BE'!$M$6:$BM$6,'Product Eng - BE'!$M$9:$BM$9)))</f>
        <v>107</v>
      </c>
      <c r="FT45" s="222">
        <f>IF(FT$7&gt;$D$3,"",IF($FA44&lt;FT$7,"OD",_xlfn.XLOOKUP(FT$7,'Product Eng - BE'!$M$6:$BM$6,'Product Eng - BE'!$M$9:$BM$9)))</f>
        <v>87</v>
      </c>
      <c r="FU45" s="222">
        <f>IF(FU$7&gt;$D$3,"",IF($FA44&lt;FU$7,"OD",_xlfn.XLOOKUP(FU$7,'Product Eng - BE'!$M$6:$BM$6,'Product Eng - BE'!$M$9:$BM$9)))</f>
        <v>70</v>
      </c>
      <c r="FV45" s="222">
        <f>IF(FV$7&gt;$D$3,"",IF($FA44&lt;FV$7,"OD",_xlfn.XLOOKUP(FV$7,'Product Eng - BE'!$M$6:$BM$6,'Product Eng - BE'!$M$9:$BM$9)))</f>
        <v>68</v>
      </c>
      <c r="FW45" s="222">
        <f>IF(FW$7&gt;$D$3,"",IF($FA44&lt;FW$7,"OD",_xlfn.XLOOKUP(FW$7,'Product Eng - BE'!$M$6:$BM$6,'Product Eng - BE'!$M$9:$BM$9)))</f>
        <v>69</v>
      </c>
      <c r="FX45" s="222">
        <f>IF(FX$7&gt;$D$3,"",IF($FA44&lt;FX$7,"OD",_xlfn.XLOOKUP(FX$7,'Product Eng - BE'!$M$6:$BM$6,'Product Eng - BE'!$M$9:$BM$9)))</f>
        <v>110</v>
      </c>
      <c r="FY45" s="222">
        <f>IF(FY$7&gt;$D$3,"",IF($FA44&lt;FY$7,"OD",_xlfn.XLOOKUP(FY$7,'Product Eng - BE'!$M$6:$BM$6,'Product Eng - BE'!$M$9:$BM$9)))</f>
        <v>193</v>
      </c>
      <c r="FZ45" s="222">
        <f>IF(FZ$7&gt;$D$3,"",IF($FA44&lt;FZ$7,"OD",_xlfn.XLOOKUP(FZ$7,'Product Eng - BE'!$M$6:$BM$6,'Product Eng - BE'!$M$9:$BM$9)))</f>
        <v>204</v>
      </c>
      <c r="GA45" s="222">
        <f>IF(GA$7&gt;$D$3,"",IF($FA44&lt;GA$7,"OD",_xlfn.XLOOKUP(GA$7,'Product Eng - BE'!$M$6:$BM$6,'Product Eng - BE'!$M$9:$BM$9)))</f>
        <v>105</v>
      </c>
      <c r="GB45" s="222">
        <f>IF(GB$7&gt;$D$3,"",IF($FA44&lt;GB$7,"OD",_xlfn.XLOOKUP(GB$7,'Product Eng - BE'!$M$6:$BM$6,'Product Eng - BE'!$M$9:$BM$9)))</f>
        <v>79</v>
      </c>
      <c r="GC45" s="222">
        <f>IF(GC$7&gt;$D$3,"",IF($FA44&lt;GC$7,"OD",_xlfn.XLOOKUP(GC$7,'Product Eng - BE'!$M$6:$BM$6,'Product Eng - BE'!$M$9:$BM$9)))</f>
        <v>100</v>
      </c>
      <c r="GD45" s="222">
        <f>IF(GD$7&gt;$D$3,"",IF($FA44&lt;GD$7,"OD",_xlfn.XLOOKUP(GD$7,'Product Eng - BE'!$M$6:$BM$6,'Product Eng - BE'!$M$9:$BM$9)))</f>
        <v>25</v>
      </c>
      <c r="GE45" s="222">
        <f>IF(GE$7&gt;$D$3,"",IF($FA44&lt;GE$7,"OD",_xlfn.XLOOKUP(GE$7,'Product Eng - BE'!$M$6:$BM$6,'Product Eng - BE'!$M$9:$BM$9)))</f>
        <v>63</v>
      </c>
      <c r="GF45" s="222">
        <f>IF(GF$7&gt;$D$3,"",IF($FA44&lt;GF$7,"OD",_xlfn.XLOOKUP(GF$7,'Product Eng - BE'!$M$6:$BM$6,'Product Eng - BE'!$M$9:$BM$9)))</f>
        <v>96</v>
      </c>
      <c r="GG45" s="222">
        <f>IF(GG$7&gt;$D$3,"",IF($FA44&lt;GG$7,"OD",_xlfn.XLOOKUP(GG$7,'Product Eng - BE'!$M$6:$BM$6,'Product Eng - BE'!$M$9:$BM$9)))</f>
        <v>72</v>
      </c>
      <c r="GH45" s="222">
        <f>IF(GH$7&gt;$D$3,"",IF($FA44&lt;GH$7,"OD",_xlfn.XLOOKUP(GH$7,'Product Eng - BE'!$M$6:$BM$6,'Product Eng - BE'!$M$9:$BM$9)))</f>
        <v>111</v>
      </c>
      <c r="GI45" s="222">
        <f>IF(GI$7&gt;$D$3,"",IF($FA44&lt;GI$7,"OD",_xlfn.XLOOKUP(GI$7,'Product Eng - BE'!$M$6:$BM$6,'Product Eng - BE'!$M$9:$BM$9)))</f>
        <v>97</v>
      </c>
      <c r="GJ45" s="222">
        <f>IF(GJ$7&gt;$D$3,"",IF($FA44&lt;GJ$7,"OD",_xlfn.XLOOKUP(GJ$7,'Product Eng - BE'!$M$6:$BM$6,'Product Eng - BE'!$M$9:$BM$9)))</f>
        <v>78</v>
      </c>
      <c r="GK45" s="222">
        <f>IF(GK$7&gt;$D$3,"",IF($FA44&lt;GK$7,"OD",_xlfn.XLOOKUP(GK$7,'Product Eng - BE'!$M$6:$BM$6,'Product Eng - BE'!$M$9:$BM$9)))</f>
        <v>32</v>
      </c>
      <c r="GL45" s="222">
        <f>IF(GL$7&gt;$D$3,"",IF($FA44&lt;GL$7,"OD",_xlfn.XLOOKUP(GL$7,'Product Eng - BE'!$M$6:$BM$6,'Product Eng - BE'!$M$9:$BM$9)))</f>
        <v>85</v>
      </c>
      <c r="GM45" s="222">
        <f>IF(GM$7&gt;$D$3,"",IF($FA44&lt;GM$7,"OD",_xlfn.XLOOKUP(GM$7,'Product Eng - BE'!$M$6:$BM$6,'Product Eng - BE'!$M$9:$BM$9)))</f>
        <v>85</v>
      </c>
      <c r="GN45" s="222">
        <f>IF(GN$7&gt;$D$3,"",IF($FA44&lt;GN$7,"OD",_xlfn.XLOOKUP(GN$7,'Product Eng - BE'!$M$6:$BM$6,'Product Eng - BE'!$M$9:$BM$9)))</f>
        <v>60</v>
      </c>
      <c r="GO45" s="222">
        <f>IF(GO$7&gt;$D$3,"",IF($FA44&lt;GO$7,"OD",_xlfn.XLOOKUP(GO$7,'Product Eng - BE'!$M$6:$BM$6,'Product Eng - BE'!$M$9:$BM$9)))</f>
        <v>71</v>
      </c>
      <c r="GP45" s="222">
        <f>IF(GP$7&gt;$D$3,"",IF($FA44&lt;GP$7,"OD",_xlfn.XLOOKUP(GP$7,'Product Eng - BE'!$M$6:$BM$6,'Product Eng - BE'!$M$9:$BM$9)))</f>
        <v>122</v>
      </c>
      <c r="GQ45" s="222">
        <f>IF(GQ$7&gt;$D$3,"",IF($FA44&lt;GQ$7,"OD",_xlfn.XLOOKUP(GQ$7,'Product Eng - BE'!$M$6:$BM$6,'Product Eng - BE'!$M$9:$BM$9)))</f>
        <v>114</v>
      </c>
      <c r="GR45" s="222">
        <f>IF(GR$7&gt;$D$3,"",IF($FA44&lt;GR$7,"OD",_xlfn.XLOOKUP(GR$7,'Product Eng - BE'!$M$6:$BM$6,'Product Eng - BE'!$M$9:$BM$9)))</f>
        <v>0</v>
      </c>
      <c r="GS45" s="222" t="str">
        <f>IF(GS$7&gt;$D$3,"",IF($FA44&lt;GS$7,"OD",_xlfn.XLOOKUP(GS$7,'Product Eng - BE'!$M$6:$BM$6,'Product Eng - BE'!$M$9:$BM$9)))</f>
        <v/>
      </c>
      <c r="GT45" s="222" t="str">
        <f>IF(GT$7&gt;$D$3,"",IF($FA44&lt;GT$7,"OD",_xlfn.XLOOKUP(GT$7,'Product Eng - BE'!$M$6:$BM$6,'Product Eng - BE'!$M$9:$BM$9)))</f>
        <v/>
      </c>
      <c r="GU45" s="222" t="str">
        <f>IF(GU$7&gt;$D$3,"",IF($FA44&lt;GU$7,"OD",_xlfn.XLOOKUP(GU$7,'Product Eng - BE'!$M$6:$BM$6,'Product Eng - BE'!$M$9:$BM$9)))</f>
        <v/>
      </c>
      <c r="GV45" s="222" t="str">
        <f>IF(GV$7&gt;$D$3,"",IF($FA44&lt;GV$7,"OD",_xlfn.XLOOKUP(GV$7,'Product Eng - BE'!$M$6:$BM$6,'Product Eng - BE'!$M$9:$BM$9)))</f>
        <v/>
      </c>
      <c r="GW45" s="222" t="str">
        <f>IF(GW$7&gt;$D$3,"",IF($FA44&lt;GW$7,"OD",_xlfn.XLOOKUP(GW$7,'Product Eng - BE'!$M$6:$BM$6,'Product Eng - BE'!$M$9:$BM$9)))</f>
        <v/>
      </c>
      <c r="GX45" s="222" t="str">
        <f>IF(GX$7&gt;$D$3,"",IF($FA44&lt;GX$7,"OD",_xlfn.XLOOKUP(GX$7,'Product Eng - BE'!$M$6:$BM$6,'Product Eng - BE'!$M$9:$BM$9)))</f>
        <v/>
      </c>
      <c r="GY45" s="222" t="str">
        <f>IF(GY$7&gt;$D$3,"",IF($FA44&lt;GY$7,"OD",_xlfn.XLOOKUP(GY$7,'Product Eng - BE'!$M$6:$BM$6,'Product Eng - BE'!$M$9:$BM$9)))</f>
        <v/>
      </c>
      <c r="GZ45" s="222" t="str">
        <f>IF(GZ$7&gt;$D$3,"",IF($FA44&lt;GZ$7,"OD",_xlfn.XLOOKUP(GZ$7,'Product Eng - BE'!$M$6:$BM$6,'Product Eng - BE'!$M$9:$BM$9)))</f>
        <v/>
      </c>
      <c r="HA45" s="222" t="str">
        <f>IF(HA$7&gt;$D$3,"",IF($FA44&lt;HA$7,"OD",_xlfn.XLOOKUP(HA$7,'Product Eng - BE'!$M$6:$BM$6,'Product Eng - BE'!$M$9:$BM$9)))</f>
        <v/>
      </c>
      <c r="HB45" s="222" t="str">
        <f>IF(HB$7&gt;$D$3,"",IF($FA44&lt;HB$7,"OD",_xlfn.XLOOKUP(HB$7,'Product Eng - BE'!$M$6:$BM$6,'Product Eng - BE'!$M$9:$BM$9)))</f>
        <v/>
      </c>
      <c r="HC45" s="222" t="str">
        <f>IF(HC$7&gt;$D$3,"",IF($FA44&lt;HC$7,"OD",_xlfn.XLOOKUP(HC$7,'Product Eng - BE'!$M$6:$BM$6,'Product Eng - BE'!$M$9:$BM$9)))</f>
        <v/>
      </c>
      <c r="HE45" s="133" t="str">
        <f>+$C45</f>
        <v>KPI P1</v>
      </c>
      <c r="HF45" s="142" t="str">
        <f>+$D45</f>
        <v>Productivity</v>
      </c>
      <c r="HG45" s="142" t="str">
        <f t="shared" si="149"/>
        <v>Output lines as a percentage of capacity</v>
      </c>
      <c r="HH45" s="143" t="str">
        <f t="shared" si="150"/>
        <v>Percentage</v>
      </c>
      <c r="HI45" s="143" t="s">
        <v>44</v>
      </c>
      <c r="HJ45" s="222" t="s">
        <v>122</v>
      </c>
      <c r="HK45" s="222">
        <f>IF(HK$7&gt;$D$3,"",IF($FA44&lt;HK$7,"OD",_xlfn.XLOOKUP(HK$7,'Product Eng - BE'!$M$6:$BM$6,'Product Eng - BE'!$M$8:$BM$8)))</f>
        <v>80</v>
      </c>
      <c r="HL45" s="222">
        <f>IF(HL$7&gt;$D$3,"",IF($FA44&lt;HL$7,"OD",_xlfn.XLOOKUP(HL$7,'Product Eng - BE'!$M$6:$BM$6,'Product Eng - BE'!$M$8:$BM$8)))</f>
        <v>80</v>
      </c>
      <c r="HM45" s="222">
        <f>IF(HM$7&gt;$D$3,"",IF($FA44&lt;HM$7,"OD",_xlfn.XLOOKUP(HM$7,'Product Eng - BE'!$M$6:$BM$6,'Product Eng - BE'!$M$8:$BM$8)))</f>
        <v>80</v>
      </c>
      <c r="HN45" s="222">
        <f>IF(HN$7&gt;$D$3,"",IF($FA44&lt;HN$7,"OD",_xlfn.XLOOKUP(HN$7,'Product Eng - BE'!$M$6:$BM$6,'Product Eng - BE'!$M$8:$BM$8)))</f>
        <v>80</v>
      </c>
      <c r="HO45" s="222">
        <f>IF(HO$7&gt;$D$3,"",IF($FA44&lt;HO$7,"OD",_xlfn.XLOOKUP(HO$7,'Product Eng - BE'!$M$6:$BM$6,'Product Eng - BE'!$M$8:$BM$8)))</f>
        <v>80</v>
      </c>
      <c r="HP45" s="222">
        <f>IF(HP$7&gt;$D$3,"",IF($FA44&lt;HP$7,"OD",_xlfn.XLOOKUP(HP$7,'Product Eng - BE'!$M$6:$BM$6,'Product Eng - BE'!$M$8:$BM$8)))</f>
        <v>80</v>
      </c>
      <c r="HQ45" s="222">
        <f>IF(HQ$7&gt;$D$3,"",IF($FA44&lt;HQ$7,"OD",_xlfn.XLOOKUP(HQ$7,'Product Eng - BE'!$M$6:$BM$6,'Product Eng - BE'!$M$8:$BM$8)))</f>
        <v>80</v>
      </c>
      <c r="HR45" s="222">
        <f>IF(HR$7&gt;$D$3,"",IF($FA44&lt;HR$7,"OD",_xlfn.XLOOKUP(HR$7,'Product Eng - BE'!$M$6:$BM$6,'Product Eng - BE'!$M$8:$BM$8)))</f>
        <v>80</v>
      </c>
      <c r="HS45" s="222">
        <f>IF(HS$7&gt;$D$3,"",IF($FA44&lt;HS$7,"OD",_xlfn.XLOOKUP(HS$7,'Product Eng - BE'!$M$6:$BM$6,'Product Eng - BE'!$M$8:$BM$8)))</f>
        <v>80</v>
      </c>
      <c r="HT45" s="222">
        <f>IF(HT$7&gt;$D$3,"",IF($FA44&lt;HT$7,"OD",_xlfn.XLOOKUP(HT$7,'Product Eng - BE'!$M$6:$BM$6,'Product Eng - BE'!$M$8:$BM$8)))</f>
        <v>80</v>
      </c>
      <c r="HU45" s="222">
        <f>IF(HU$7&gt;$D$3,"",IF($FA44&lt;HU$7,"OD",_xlfn.XLOOKUP(HU$7,'Product Eng - BE'!$M$6:$BM$6,'Product Eng - BE'!$M$8:$BM$8)))</f>
        <v>80</v>
      </c>
      <c r="HV45" s="222">
        <f>IF(HV$7&gt;$D$3,"",IF($FA44&lt;HV$7,"OD",_xlfn.XLOOKUP(HV$7,'Product Eng - BE'!$M$6:$BM$6,'Product Eng - BE'!$M$8:$BM$8)))</f>
        <v>80</v>
      </c>
      <c r="HW45" s="222">
        <f>IF(HW$7&gt;$D$3,"",IF($FA44&lt;HW$7,"OD",_xlfn.XLOOKUP(HW$7,'Product Eng - BE'!$M$6:$BM$6,'Product Eng - BE'!$M$8:$BM$8)))</f>
        <v>80</v>
      </c>
      <c r="HX45" s="222">
        <f>IF(HX$7&gt;$D$3,"",IF($FA44&lt;HX$7,"OD",_xlfn.XLOOKUP(HX$7,'Product Eng - BE'!$M$6:$BM$6,'Product Eng - BE'!$M$8:$BM$8)))</f>
        <v>80</v>
      </c>
      <c r="HY45" s="222">
        <f>IF(HY$7&gt;$D$3,"",IF($FA44&lt;HY$7,"OD",_xlfn.XLOOKUP(HY$7,'Product Eng - BE'!$M$6:$BM$6,'Product Eng - BE'!$M$8:$BM$8)))</f>
        <v>80</v>
      </c>
      <c r="HZ45" s="222">
        <f>IF(HZ$7&gt;$D$3,"",IF($FA44&lt;HZ$7,"OD",_xlfn.XLOOKUP(HZ$7,'Product Eng - BE'!$M$6:$BM$6,'Product Eng - BE'!$M$8:$BM$8)))</f>
        <v>80</v>
      </c>
      <c r="IA45" s="222">
        <f>IF(IA$7&gt;$D$3,"",IF($FA44&lt;IA$7,"OD",_xlfn.XLOOKUP(IA$7,'Product Eng - BE'!$M$6:$BM$6,'Product Eng - BE'!$M$8:$BM$8)))</f>
        <v>80</v>
      </c>
      <c r="IB45" s="222">
        <f>IF(IB$7&gt;$D$3,"",IF($FA44&lt;IB$7,"OD",_xlfn.XLOOKUP(IB$7,'Product Eng - BE'!$M$6:$BM$6,'Product Eng - BE'!$M$8:$BM$8)))</f>
        <v>80</v>
      </c>
      <c r="IC45" s="222">
        <f>IF(IC$7&gt;$D$3,"",IF($FA44&lt;IC$7,"OD",_xlfn.XLOOKUP(IC$7,'Product Eng - BE'!$M$6:$BM$6,'Product Eng - BE'!$M$8:$BM$8)))</f>
        <v>80</v>
      </c>
      <c r="ID45" s="222">
        <f>IF(ID$7&gt;$D$3,"",IF($FA44&lt;ID$7,"OD",_xlfn.XLOOKUP(ID$7,'Product Eng - BE'!$M$6:$BM$6,'Product Eng - BE'!$M$8:$BM$8)))</f>
        <v>80</v>
      </c>
      <c r="IE45" s="222">
        <f>IF(IE$7&gt;$D$3,"",IF($FA44&lt;IE$7,"OD",_xlfn.XLOOKUP(IE$7,'Product Eng - BE'!$M$6:$BM$6,'Product Eng - BE'!$M$8:$BM$8)))</f>
        <v>80</v>
      </c>
      <c r="IF45" s="222">
        <f>IF(IF$7&gt;$D$3,"",IF($FA44&lt;IF$7,"OD",_xlfn.XLOOKUP(IF$7,'Product Eng - BE'!$M$6:$BM$6,'Product Eng - BE'!$M$8:$BM$8)))</f>
        <v>80</v>
      </c>
      <c r="IG45" s="222">
        <f>IF(IG$7&gt;$D$3,"",IF($FA44&lt;IG$7,"OD",_xlfn.XLOOKUP(IG$7,'Product Eng - BE'!$M$6:$BM$6,'Product Eng - BE'!$M$8:$BM$8)))</f>
        <v>80</v>
      </c>
      <c r="IH45" s="222">
        <f>IF(IH$7&gt;$D$3,"",IF($FA44&lt;IH$7,"OD",_xlfn.XLOOKUP(IH$7,'Product Eng - BE'!$M$6:$BM$6,'Product Eng - BE'!$M$8:$BM$8)))</f>
        <v>80</v>
      </c>
      <c r="II45" s="222">
        <f>IF(II$7&gt;$D$3,"",IF($FA44&lt;II$7,"OD",_xlfn.XLOOKUP(II$7,'Product Eng - BE'!$M$6:$BM$6,'Product Eng - BE'!$M$8:$BM$8)))</f>
        <v>80</v>
      </c>
      <c r="IJ45" s="222">
        <f>IF(IJ$7&gt;$D$3,"",IF($FA44&lt;IJ$7,"OD",_xlfn.XLOOKUP(IJ$7,'Product Eng - BE'!$M$6:$BM$6,'Product Eng - BE'!$M$8:$BM$8)))</f>
        <v>80</v>
      </c>
      <c r="IK45" s="222">
        <f>IF(IK$7&gt;$D$3,"",IF($FA44&lt;IK$7,"OD",_xlfn.XLOOKUP(IK$7,'Product Eng - BE'!$M$6:$BM$6,'Product Eng - BE'!$M$8:$BM$8)))</f>
        <v>80</v>
      </c>
      <c r="IL45" s="222">
        <f>IF(IL$7&gt;$D$3,"",IF($FA44&lt;IL$7,"OD",_xlfn.XLOOKUP(IL$7,'Product Eng - BE'!$M$6:$BM$6,'Product Eng - BE'!$M$8:$BM$8)))</f>
        <v>80</v>
      </c>
      <c r="IM45" s="222">
        <f>IF(IM$7&gt;$D$3,"",IF($FA44&lt;IM$7,"OD",_xlfn.XLOOKUP(IM$7,'Product Eng - BE'!$M$6:$BM$6,'Product Eng - BE'!$M$8:$BM$8)))</f>
        <v>80</v>
      </c>
      <c r="IN45" s="222">
        <f>IF(IN$7&gt;$D$3,"",IF($FA44&lt;IN$7,"OD",_xlfn.XLOOKUP(IN$7,'Product Eng - BE'!$M$6:$BM$6,'Product Eng - BE'!$M$8:$BM$8)))</f>
        <v>85</v>
      </c>
      <c r="IO45" s="222">
        <f>IF(IO$7&gt;$D$3,"",IF($FA44&lt;IO$7,"OD",_xlfn.XLOOKUP(IO$7,'Product Eng - BE'!$M$6:$BM$6,'Product Eng - BE'!$M$8:$BM$8)))</f>
        <v>80</v>
      </c>
      <c r="IP45" s="222">
        <f>IF(IP$7&gt;$D$3,"",IF($FA44&lt;IP$7,"OD",_xlfn.XLOOKUP(IP$7,'Product Eng - BE'!$M$6:$BM$6,'Product Eng - BE'!$M$8:$BM$8)))</f>
        <v>80</v>
      </c>
      <c r="IQ45" s="222">
        <f>IF(IQ$7&gt;$D$3,"",IF($FA44&lt;IQ$7,"OD",_xlfn.XLOOKUP(IQ$7,'Product Eng - BE'!$M$6:$BM$6,'Product Eng - BE'!$M$8:$BM$8)))</f>
        <v>80</v>
      </c>
      <c r="IR45" s="222">
        <f>IF(IR$7&gt;$D$3,"",IF($FA44&lt;IR$7,"OD",_xlfn.XLOOKUP(IR$7,'Product Eng - BE'!$M$6:$BM$6,'Product Eng - BE'!$M$8:$BM$8)))</f>
        <v>80</v>
      </c>
      <c r="IS45" s="222">
        <f>IF(IS$7&gt;$D$3,"",IF($FA44&lt;IS$7,"OD",_xlfn.XLOOKUP(IS$7,'Product Eng - BE'!$M$6:$BM$6,'Product Eng - BE'!$M$8:$BM$8)))</f>
        <v>80</v>
      </c>
      <c r="IT45" s="222">
        <f>IF(IT$7&gt;$D$3,"",IF($FA44&lt;IT$7,"OD",_xlfn.XLOOKUP(IT$7,'Product Eng - BE'!$M$6:$BM$6,'Product Eng - BE'!$M$8:$BM$8)))</f>
        <v>80</v>
      </c>
      <c r="IU45" s="222">
        <f>IF(IU$7&gt;$D$3,"",IF($FA44&lt;IU$7,"OD",_xlfn.XLOOKUP(IU$7,'Product Eng - BE'!$M$6:$BM$6,'Product Eng - BE'!$M$8:$BM$8)))</f>
        <v>80</v>
      </c>
      <c r="IV45" s="222">
        <f>IF(IV$7&gt;$D$3,"",IF($FA44&lt;IV$7,"OD",_xlfn.XLOOKUP(IV$7,'Product Eng - BE'!$M$6:$BM$6,'Product Eng - BE'!$M$8:$BM$8)))</f>
        <v>80</v>
      </c>
      <c r="IW45" s="222">
        <f>IF(IW$7&gt;$D$3,"",IF($FA44&lt;IW$7,"OD",_xlfn.XLOOKUP(IW$7,'Product Eng - BE'!$M$6:$BM$6,'Product Eng - BE'!$M$8:$BM$8)))</f>
        <v>80</v>
      </c>
      <c r="IX45" s="222">
        <f>IF(IX$7&gt;$D$3,"",IF($FA44&lt;IX$7,"OD",_xlfn.XLOOKUP(IX$7,'Product Eng - BE'!$M$6:$BM$6,'Product Eng - BE'!$M$8:$BM$8)))</f>
        <v>80</v>
      </c>
      <c r="IY45" s="222">
        <f>IF(IY$7&gt;$D$3,"",IF($FA44&lt;IY$7,"OD",_xlfn.XLOOKUP(IY$7,'Product Eng - BE'!$M$6:$BM$6,'Product Eng - BE'!$M$8:$BM$8)))</f>
        <v>80</v>
      </c>
      <c r="IZ45" s="222" t="str">
        <f>IF(IZ$7&gt;$D$3,"",IF($FA44&lt;IZ$7,"OD",_xlfn.XLOOKUP(IZ$7,'Product Eng - BE'!$M$6:$BM$6,'Product Eng - BE'!$M$8:$BM$8)))</f>
        <v/>
      </c>
      <c r="JA45" s="222" t="str">
        <f>IF(JA$7&gt;$D$3,"",IF($FA44&lt;JA$7,"OD",_xlfn.XLOOKUP(JA$7,'Product Eng - BE'!$M$6:$BM$6,'Product Eng - BE'!$M$8:$BM$8)))</f>
        <v/>
      </c>
      <c r="JB45" s="222" t="str">
        <f>IF(JB$7&gt;$D$3,"",IF($FA44&lt;JB$7,"OD",_xlfn.XLOOKUP(JB$7,'Product Eng - BE'!$M$6:$BM$6,'Product Eng - BE'!$M$8:$BM$8)))</f>
        <v/>
      </c>
      <c r="JC45" s="222" t="str">
        <f>IF(JC$7&gt;$D$3,"",IF($FA44&lt;JC$7,"OD",_xlfn.XLOOKUP(JC$7,'Product Eng - BE'!$M$6:$BM$6,'Product Eng - BE'!$M$8:$BM$8)))</f>
        <v/>
      </c>
      <c r="JD45" s="222" t="str">
        <f>IF(JD$7&gt;$D$3,"",IF($FA44&lt;JD$7,"OD",_xlfn.XLOOKUP(JD$7,'Product Eng - BE'!$M$6:$BM$6,'Product Eng - BE'!$M$8:$BM$8)))</f>
        <v/>
      </c>
      <c r="JE45" s="222" t="str">
        <f>IF(JE$7&gt;$D$3,"",IF($FA44&lt;JE$7,"OD",_xlfn.XLOOKUP(JE$7,'Product Eng - BE'!$M$6:$BM$6,'Product Eng - BE'!$M$8:$BM$8)))</f>
        <v/>
      </c>
      <c r="JF45" s="222" t="str">
        <f>IF(JF$7&gt;$D$3,"",IF($FA44&lt;JF$7,"OD",_xlfn.XLOOKUP(JF$7,'Product Eng - BE'!$M$6:$BM$6,'Product Eng - BE'!$M$8:$BM$8)))</f>
        <v/>
      </c>
      <c r="JG45" s="222" t="str">
        <f>IF(JG$7&gt;$D$3,"",IF($FA44&lt;JG$7,"OD",_xlfn.XLOOKUP(JG$7,'Product Eng - BE'!$M$6:$BM$6,'Product Eng - BE'!$M$8:$BM$8)))</f>
        <v/>
      </c>
      <c r="JH45" s="222" t="str">
        <f>IF(JH$7&gt;$D$3,"",IF($FA44&lt;JH$7,"OD",_xlfn.XLOOKUP(JH$7,'Product Eng - BE'!$M$6:$BM$6,'Product Eng - BE'!$M$8:$BM$8)))</f>
        <v/>
      </c>
      <c r="JI45" s="222" t="str">
        <f>IF(JI$7&gt;$D$3,"",IF($FA44&lt;JI$7,"OD",_xlfn.XLOOKUP(JI$7,'Product Eng - BE'!$M$6:$BM$6,'Product Eng - BE'!$M$8:$BM$8)))</f>
        <v/>
      </c>
      <c r="JJ45" s="222" t="str">
        <f>IF(JJ$7&gt;$D$3,"",IF($FA44&lt;JJ$7,"OD",_xlfn.XLOOKUP(JJ$7,'Product Eng - BE'!$M$6:$BM$6,'Product Eng - BE'!$M$8:$BM$8)))</f>
        <v/>
      </c>
      <c r="JM45" s="133" t="str">
        <f>+$C45</f>
        <v>KPI P1</v>
      </c>
      <c r="JN45" s="142" t="str">
        <f>+$D45</f>
        <v>Productivity</v>
      </c>
      <c r="JO45" s="142" t="str">
        <f t="shared" si="154"/>
        <v>Output lines as a percentage of capacity</v>
      </c>
      <c r="JP45" s="143" t="str">
        <f t="shared" si="155"/>
        <v>Percentage</v>
      </c>
      <c r="JQ45" s="143" t="s">
        <v>284</v>
      </c>
      <c r="JR45" s="225" t="str">
        <f>IFERROR(AVERAGE(FC45:$FC45),"")</f>
        <v/>
      </c>
      <c r="JS45" s="225">
        <f>IFERROR(AVERAGE($FC45:FD45),"")</f>
        <v>38</v>
      </c>
      <c r="JT45" s="225">
        <f>IFERROR(AVERAGE($FC45:FE45),"")</f>
        <v>76</v>
      </c>
      <c r="JU45" s="225">
        <f>IFERROR(AVERAGE($FC45:FF45),"")</f>
        <v>74.333333333333329</v>
      </c>
      <c r="JV45" s="225">
        <f>IFERROR(AVERAGE($FC45:FG45),"")</f>
        <v>97.25</v>
      </c>
      <c r="JW45" s="225">
        <f>IFERROR(AVERAGE($FC45:FH45),"")</f>
        <v>98.2</v>
      </c>
      <c r="JX45" s="225">
        <f>IFERROR(AVERAGE($FC45:FI45),"")</f>
        <v>94.333333333333329</v>
      </c>
      <c r="JY45" s="225">
        <f>IFERROR(AVERAGE($FC45:FJ45),"")</f>
        <v>90.857142857142861</v>
      </c>
      <c r="JZ45" s="225">
        <f>IFERROR(AVERAGE($FC45:FK45),"")</f>
        <v>90.625</v>
      </c>
      <c r="KA45" s="225">
        <f>IFERROR(AVERAGE($FC45:FL45),"")</f>
        <v>89</v>
      </c>
      <c r="KB45" s="225">
        <f>IFERROR(AVERAGE($FC45:FM45),"")</f>
        <v>85.1</v>
      </c>
      <c r="KC45" s="225">
        <f>IFERROR(AVERAGE($FC45:FN45),"")</f>
        <v>89.090909090909093</v>
      </c>
      <c r="KD45" s="225">
        <f>IFERROR(AVERAGE($FC45:FO45),"")</f>
        <v>92.916666666666671</v>
      </c>
      <c r="KE45" s="225">
        <f>IFERROR(AVERAGE($FC45:FP45),"")</f>
        <v>89.615384615384613</v>
      </c>
      <c r="KF45" s="225">
        <f>IFERROR(AVERAGE($FC45:FQ45),"")</f>
        <v>92.5</v>
      </c>
      <c r="KG45" s="225">
        <f>IFERROR(AVERAGE($FC45:FR45),"")</f>
        <v>91.066666666666663</v>
      </c>
      <c r="KH45" s="225">
        <f>IFERROR(AVERAGE($FC45:FS45),"")</f>
        <v>92.0625</v>
      </c>
      <c r="KI45" s="225">
        <f>IFERROR(AVERAGE($FC45:FT45),"")</f>
        <v>91.764705882352942</v>
      </c>
      <c r="KJ45" s="225">
        <f>IFERROR(AVERAGE($FC45:FU45),"")</f>
        <v>90.555555555555557</v>
      </c>
      <c r="KK45" s="225">
        <f>IFERROR(AVERAGE($FC45:FV45),"")</f>
        <v>89.368421052631575</v>
      </c>
      <c r="KL45" s="225">
        <f>IFERROR(AVERAGE($FC45:FW45),"")</f>
        <v>88.35</v>
      </c>
      <c r="KM45" s="225">
        <f>IFERROR(AVERAGE($FC45:FX45),"")</f>
        <v>89.38095238095238</v>
      </c>
      <c r="KN45" s="225">
        <f>IFERROR(AVERAGE($FC45:FY45),"")</f>
        <v>94.090909090909093</v>
      </c>
      <c r="KO45" s="225">
        <f>IFERROR(AVERAGE($FC45:FZ45),"")</f>
        <v>98.869565217391298</v>
      </c>
      <c r="KP45" s="225">
        <f>IFERROR(AVERAGE($FC45:GA45),"")</f>
        <v>99.125</v>
      </c>
      <c r="KQ45" s="225">
        <f>IFERROR(AVERAGE($FC45:GB45),"")</f>
        <v>98.32</v>
      </c>
      <c r="KR45" s="225">
        <f>IFERROR(AVERAGE($FC45:GC45),"")</f>
        <v>98.384615384615387</v>
      </c>
      <c r="KS45" s="225">
        <f>IFERROR(AVERAGE($FC45:GD45),"")</f>
        <v>95.666666666666671</v>
      </c>
      <c r="KT45" s="225">
        <f>IFERROR(AVERAGE($FC45:GE45),"")</f>
        <v>94.5</v>
      </c>
      <c r="KU45" s="225">
        <f>IFERROR(AVERAGE($FC45:GF45),"")</f>
        <v>94.551724137931032</v>
      </c>
      <c r="KV45" s="225">
        <f>IFERROR(AVERAGE($FC45:GG45),"")</f>
        <v>93.8</v>
      </c>
      <c r="KW45" s="225">
        <f>IFERROR(AVERAGE($FC45:GH45),"")</f>
        <v>94.354838709677423</v>
      </c>
      <c r="KX45" s="225">
        <f>IFERROR(AVERAGE($FC45:GI45),"")</f>
        <v>94.4375</v>
      </c>
      <c r="KY45" s="225">
        <f>IFERROR(AVERAGE($FC45:GJ45),"")</f>
        <v>93.939393939393938</v>
      </c>
      <c r="KZ45" s="225">
        <f>IFERROR(AVERAGE($FC45:GK45),"")</f>
        <v>92.117647058823536</v>
      </c>
      <c r="LA45" s="225">
        <f>IFERROR(AVERAGE($FC45:GL45),"")</f>
        <v>91.914285714285711</v>
      </c>
      <c r="LB45" s="225">
        <f>IFERROR(AVERAGE($FC45:GM45),"")</f>
        <v>91.722222222222229</v>
      </c>
      <c r="LC45" s="225">
        <f>IFERROR(AVERAGE($FC45:GN45),"")</f>
        <v>90.86486486486487</v>
      </c>
      <c r="LD45" s="225">
        <f>IFERROR(AVERAGE($FC45:GO45),"")</f>
        <v>90.34210526315789</v>
      </c>
      <c r="LE45" s="225">
        <f>IFERROR(AVERAGE($FC45:GP45),"")</f>
        <v>91.15384615384616</v>
      </c>
      <c r="LF45" s="225">
        <f>IFERROR(AVERAGE($FC45:GQ45),"")</f>
        <v>91.724999999999994</v>
      </c>
      <c r="LG45" s="225">
        <f>IFERROR(AVERAGE($FC45:GR45),"")</f>
        <v>89.487804878048777</v>
      </c>
      <c r="LH45" s="225">
        <f>IFERROR(AVERAGE($FC45:GS45),"")</f>
        <v>89.487804878048777</v>
      </c>
      <c r="LI45" s="225">
        <f>IFERROR(AVERAGE($FC45:GT45),"")</f>
        <v>89.487804878048777</v>
      </c>
      <c r="LJ45" s="225">
        <f>IFERROR(AVERAGE($FC45:GU45),"")</f>
        <v>89.487804878048777</v>
      </c>
      <c r="LK45" s="225">
        <f>IFERROR(AVERAGE($FC45:GV45),"")</f>
        <v>89.487804878048777</v>
      </c>
      <c r="LL45" s="225">
        <f>IFERROR(AVERAGE($FC45:GW45),"")</f>
        <v>89.487804878048777</v>
      </c>
      <c r="LM45" s="225">
        <f>IFERROR(AVERAGE($FC45:GX45),"")</f>
        <v>89.487804878048777</v>
      </c>
      <c r="LN45" s="225">
        <f>IFERROR(AVERAGE($FC45:GY45),"")</f>
        <v>89.487804878048777</v>
      </c>
      <c r="LO45" s="225">
        <f>IFERROR(AVERAGE($FC45:GZ45),"")</f>
        <v>89.487804878048777</v>
      </c>
      <c r="LP45" s="225">
        <f>IFERROR(AVERAGE($FC45:HA45),"")</f>
        <v>89.487804878048777</v>
      </c>
      <c r="LQ45" s="225">
        <f>IFERROR(AVERAGE($FC45:HB45),"")</f>
        <v>89.487804878048777</v>
      </c>
      <c r="LR45" s="225">
        <f>IFERROR(AVERAGE($FC45:HC45),"")</f>
        <v>89.487804878048777</v>
      </c>
      <c r="LT45" s="133" t="str">
        <f>+$C45</f>
        <v>KPI P1</v>
      </c>
      <c r="LU45" s="142" t="str">
        <f>+$D45</f>
        <v>Productivity</v>
      </c>
      <c r="LV45" s="142" t="str">
        <f t="shared" si="158"/>
        <v>Output lines as a percentage of capacity</v>
      </c>
      <c r="LW45" s="143" t="str">
        <f t="shared" si="159"/>
        <v>Percentage</v>
      </c>
      <c r="LX45" s="143" t="s">
        <v>285</v>
      </c>
      <c r="LY45" s="222" t="str">
        <f>IFERROR(AVERAGE($HJ45:HJ45),"")</f>
        <v/>
      </c>
      <c r="LZ45" s="222">
        <f>IFERROR(IF(LAD$7&gt;$D$3,"",AVERAGE($HJ45:HK45)),"")</f>
        <v>80</v>
      </c>
      <c r="MA45" s="222">
        <f>IFERROR(IF(MA$7&gt;$D$3,"",AVERAGE($HJ45:HL45)),"")</f>
        <v>80</v>
      </c>
      <c r="MB45" s="222">
        <f>IFERROR(IF(MB$7&gt;$D$3,"",AVERAGE($HJ45:HM45)),"")</f>
        <v>80</v>
      </c>
      <c r="MC45" s="222">
        <f>IFERROR(IF(MC$7&gt;$D$3,"",AVERAGE($HJ45:HN45)),"")</f>
        <v>80</v>
      </c>
      <c r="MD45" s="222">
        <f>IFERROR(IF(MD$7&gt;$D$3,"",AVERAGE($HJ45:HO45)),"")</f>
        <v>80</v>
      </c>
      <c r="ME45" s="222">
        <f>IFERROR(IF(ME$7&gt;$D$3,"",AVERAGE($HJ45:HP45)),"")</f>
        <v>80</v>
      </c>
      <c r="MF45" s="222">
        <f>IFERROR(IF(MF$7&gt;$D$3,"",AVERAGE($HJ45:HQ45)),"")</f>
        <v>80</v>
      </c>
      <c r="MG45" s="222">
        <f>IFERROR(IF(MG$7&gt;$D$3,"",AVERAGE($HJ45:HR45)),"")</f>
        <v>80</v>
      </c>
      <c r="MH45" s="222">
        <f>IFERROR(IF(MH$7&gt;$D$3,"",AVERAGE($HJ45:HS45)),"")</f>
        <v>80</v>
      </c>
      <c r="MI45" s="222">
        <f>IFERROR(IF(MI$7&gt;$D$3,"",AVERAGE($HJ45:HT45)),"")</f>
        <v>80</v>
      </c>
      <c r="MJ45" s="222">
        <f>IFERROR(IF(MJ$7&gt;$D$3,"",AVERAGE($HJ45:HU45)),"")</f>
        <v>80</v>
      </c>
      <c r="MK45" s="222">
        <f>IFERROR(IF(MK$7&gt;$D$3,"",AVERAGE($HJ45:HV45)),"")</f>
        <v>80</v>
      </c>
      <c r="ML45" s="222">
        <f>IFERROR(IF(ML$7&gt;$D$3,"",AVERAGE($HJ45:HW45)),"")</f>
        <v>80</v>
      </c>
      <c r="MM45" s="222">
        <f>IFERROR(IF(MM$7&gt;$D$3,"",AVERAGE($HJ45:HX45)),"")</f>
        <v>80</v>
      </c>
      <c r="MN45" s="222">
        <f>IFERROR(IF(MN$7&gt;$D$3,"",AVERAGE($HJ45:HY45)),"")</f>
        <v>80</v>
      </c>
      <c r="MO45" s="222">
        <f>IFERROR(IF(MO$7&gt;$D$3,"",AVERAGE($HJ45:HZ45)),"")</f>
        <v>80</v>
      </c>
      <c r="MP45" s="222">
        <f>IFERROR(IF(MP$7&gt;$D$3,"",AVERAGE($HJ45:IA45)),"")</f>
        <v>80</v>
      </c>
      <c r="MQ45" s="222">
        <f>IFERROR(IF(MQ$7&gt;$D$3,"",AVERAGE($HJ45:IB45)),"")</f>
        <v>80</v>
      </c>
      <c r="MR45" s="222">
        <f>IFERROR(IF(MR$7&gt;$D$3,"",AVERAGE($HJ45:IC45)),"")</f>
        <v>80</v>
      </c>
      <c r="MS45" s="222">
        <f>IFERROR(IF(MS$7&gt;$D$3,"",AVERAGE($HJ45:ID45)),"")</f>
        <v>80</v>
      </c>
      <c r="MT45" s="222">
        <f>IFERROR(IF(MT$7&gt;$D$3,"",AVERAGE($HJ45:IE45)),"")</f>
        <v>80</v>
      </c>
      <c r="MU45" s="222">
        <f>IFERROR(IF(MU$7&gt;$D$3,"",AVERAGE($HJ45:IF45)),"")</f>
        <v>80</v>
      </c>
      <c r="MV45" s="222">
        <f>IFERROR(IF(MV$7&gt;$D$3,"",AVERAGE($HJ45:IG45)),"")</f>
        <v>80</v>
      </c>
      <c r="MW45" s="222">
        <f>IFERROR(IF(MW$7&gt;$D$3,"",AVERAGE($HJ45:IH45)),"")</f>
        <v>80</v>
      </c>
      <c r="MX45" s="222">
        <f>IFERROR(IF(MX$7&gt;$D$3,"",AVERAGE($HJ45:II45)),"")</f>
        <v>80</v>
      </c>
      <c r="MY45" s="222">
        <f>IFERROR(IF(MY$7&gt;$D$3,"",AVERAGE($HJ45:IJ45)),"")</f>
        <v>80</v>
      </c>
      <c r="MZ45" s="222">
        <f>IFERROR(IF(MZ$7&gt;$D$3,"",AVERAGE($HJ45:IK45)),"")</f>
        <v>80</v>
      </c>
      <c r="NA45" s="222">
        <f>IFERROR(IF(NA$7&gt;$D$3,"",AVERAGE($HJ45:IL45)),"")</f>
        <v>80</v>
      </c>
      <c r="NB45" s="222">
        <f>IFERROR(IF(NB$7&gt;$D$3,"",AVERAGE($HJ45:IM45)),"")</f>
        <v>80</v>
      </c>
      <c r="NC45" s="222">
        <f>IFERROR(IF(NC$7&gt;$D$3,"",AVERAGE($HJ45:IN45)),"")</f>
        <v>80.166666666666671</v>
      </c>
      <c r="ND45" s="222">
        <f>IFERROR(IF(ND$7&gt;$D$3,"",AVERAGE($HJ45:IO45)),"")</f>
        <v>80.161290322580641</v>
      </c>
      <c r="NE45" s="222">
        <f>IFERROR(IF(NE$7&gt;$D$3,"",AVERAGE($HJ45:IP45)),"")</f>
        <v>80.15625</v>
      </c>
      <c r="NF45" s="222">
        <f>IFERROR(IF(NF$7&gt;$D$3,"",AVERAGE($HJ45:IQ45)),"")</f>
        <v>80.151515151515156</v>
      </c>
      <c r="NG45" s="222">
        <f>IFERROR(IF(NG$7&gt;$D$3,"",AVERAGE($HJ45:IR45)),"")</f>
        <v>80.147058823529406</v>
      </c>
      <c r="NH45" s="222">
        <f>IFERROR(IF(NH$7&gt;$D$3,"",AVERAGE($HJ45:IS45)),"")</f>
        <v>80.142857142857139</v>
      </c>
      <c r="NI45" s="222">
        <f>IFERROR(IF(NI$7&gt;$D$3,"",AVERAGE($HJ45:IT45)),"")</f>
        <v>80.138888888888886</v>
      </c>
      <c r="NJ45" s="222">
        <f>IFERROR(IF(NJ$7&gt;$D$3,"",AVERAGE($HJ45:IU45)),"")</f>
        <v>80.13513513513513</v>
      </c>
      <c r="NK45" s="222">
        <f>IFERROR(IF(NK$7&gt;$D$3,"",AVERAGE($HJ45:IV45)),"")</f>
        <v>80.131578947368425</v>
      </c>
      <c r="NL45" s="222">
        <f>IFERROR(IF(NL$7&gt;$D$3,"",AVERAGE($HJ45:IW45)),"")</f>
        <v>80.128205128205124</v>
      </c>
      <c r="NM45" s="222">
        <f>IFERROR(IF(NM$7&gt;$D$3,"",AVERAGE($HJ45:IX45)),"")</f>
        <v>80.125</v>
      </c>
      <c r="NN45" s="222">
        <f>IFERROR(IF(NN$7&gt;$D$3,"",AVERAGE($HJ45:IY45)),"")</f>
        <v>80.121951219512198</v>
      </c>
      <c r="NO45" s="222" t="str">
        <f>IFERROR(IF(NO$7&gt;$D$3,"",AVERAGE($HJ45:IZ45)),"")</f>
        <v/>
      </c>
      <c r="NP45" s="222" t="str">
        <f>IFERROR(IF(NP$7&gt;$D$3,"",AVERAGE($HJ45:JA45)),"")</f>
        <v/>
      </c>
      <c r="NQ45" s="222" t="str">
        <f>IFERROR(IF(NQ$7&gt;$D$3,"",AVERAGE($HJ45:JB45)),"")</f>
        <v/>
      </c>
      <c r="NR45" s="222" t="str">
        <f>IFERROR(IF(NR$7&gt;$D$3,"",AVERAGE($HJ45:JC45)),"")</f>
        <v/>
      </c>
      <c r="NS45" s="222" t="str">
        <f>IFERROR(IF(NS$7&gt;$D$3,"",AVERAGE($HJ45:JD45)),"")</f>
        <v/>
      </c>
      <c r="NT45" s="222" t="str">
        <f>IFERROR(IF(NT$7&gt;$D$3,"",AVERAGE($HJ45:JE45)),"")</f>
        <v/>
      </c>
      <c r="NU45" s="222" t="str">
        <f>IFERROR(IF(NU$7&gt;$D$3,"",AVERAGE($HJ45:JF45)),"")</f>
        <v/>
      </c>
      <c r="NV45" s="222" t="str">
        <f>IFERROR(IF(NV$7&gt;$D$3,"",AVERAGE($HJ45:JG45)),"")</f>
        <v/>
      </c>
      <c r="NW45" s="222" t="str">
        <f>IFERROR(IF(NW$7&gt;$D$3,"",AVERAGE($HJ45:JH45)),"")</f>
        <v/>
      </c>
      <c r="NX45" s="222" t="str">
        <f>IFERROR(IF(NX$7&gt;$D$3,"",AVERAGE($HJ45:JI45)),"")</f>
        <v/>
      </c>
      <c r="NY45" s="222" t="str">
        <f>IFERROR(IF(NY$7&gt;$D$3,"",AVERAGE($HJ45:JJ45)),"")</f>
        <v/>
      </c>
    </row>
    <row r="46" spans="1:389" x14ac:dyDescent="0.3">
      <c r="A46" t="str">
        <f>$B$44&amp;"-"&amp;C46</f>
        <v>Product Eng - BE-KPI D1</v>
      </c>
      <c r="B46" s="918" t="str">
        <f>+'KPI Stats'!B51</f>
        <v>Paul Dolan</v>
      </c>
      <c r="C46" s="136" t="str">
        <f>+'KPI Stats'!C51</f>
        <v>KPI D1</v>
      </c>
      <c r="D46" s="144" t="str">
        <f>+'KPI Stats'!D51</f>
        <v>Delivery</v>
      </c>
      <c r="E46" s="144" t="str">
        <f>+'KPI Stats'!E51</f>
        <v>BOM Lead time</v>
      </c>
      <c r="F46" s="145" t="str">
        <f>+'KPI Stats'!F51</f>
        <v>Days</v>
      </c>
      <c r="G46" s="169" t="str">
        <f>+'KPI Stats'!G51</f>
        <v>Over</v>
      </c>
      <c r="J46" s="69" t="str">
        <f>_xlfn.XLOOKUP(J$7,$AM$7:$CM$7,$AM46:$CM46,,FALSE)</f>
        <v>OD</v>
      </c>
      <c r="K46" s="264">
        <f>_xlfn.XLOOKUP(K$7,$FC$7:$HC$7,$FC46:$HC46,,FALSE)</f>
        <v>0</v>
      </c>
      <c r="L46" s="278">
        <f>_xlfn.XLOOKUP(L$7,$HJ$7:$JJ$7,$HJ46:$JJ46,,FALSE)</f>
        <v>5</v>
      </c>
      <c r="M46" s="285" t="str">
        <f>_xlfn.XLOOKUP(M$7,$CU$7:$EU$7,$CU46:$EU46,,FALSE)</f>
        <v>OD</v>
      </c>
      <c r="P46" s="69" t="str">
        <f>_xlfn.XLOOKUP(P$7,$AM$7:$CM$7,$AM46:$CM46,,FALSE)</f>
        <v>OD</v>
      </c>
      <c r="Q46" s="264">
        <f t="shared" si="162"/>
        <v>0</v>
      </c>
      <c r="R46" s="278">
        <f t="shared" si="162"/>
        <v>3</v>
      </c>
      <c r="S46" s="301" t="str">
        <f t="shared" si="163"/>
        <v>OD</v>
      </c>
      <c r="T46" s="302">
        <f t="shared" si="163"/>
        <v>1.6666666666666667</v>
      </c>
      <c r="U46" s="295" t="str">
        <f>IF(F44&lt;$R$2,"Not Complete",IF(Q46=R46,"Same −",IF($G46="Over",IF(Q46&lt;R46,"Better ↑","Worse ↓"),IF($G46="Under",IF(Q46&gt;R46,"Better ↑","Worse ↓"),"err"))))</f>
        <v>Better ↑</v>
      </c>
      <c r="X46" s="69" t="str">
        <f t="shared" si="164"/>
        <v>G</v>
      </c>
      <c r="Y46" s="114">
        <f>_xlfn.XLOOKUP(Y$7,$JR$7:$LR$7,$JR46:$LR46,FALSE)</f>
        <v>4.1780487804878046</v>
      </c>
      <c r="Z46" s="114">
        <f>_xlfn.XLOOKUP(Z$7,$LY$7:$NY$7,$LY46:$NY46,FALSE)</f>
        <v>5</v>
      </c>
      <c r="AA46" s="254">
        <f>IF(G46="under",Y46/Z46,IF(G46="over",Z46/Y46,"err"))</f>
        <v>1.1967308814944542</v>
      </c>
      <c r="AB46" s="295" t="str">
        <f>IF(F44&lt;$R$2,"TBC",IF(Y46=Z46,"Same −",IF($G46="Over",IF(Z46&lt;Y46,"Better ↑ ","Worse ↓ "),IF($G46="Under",IF(Y46&gt;Z46,"Better ↑ ","Worse ↓ "),"err"))))</f>
        <v xml:space="preserve">Worse ↓ </v>
      </c>
      <c r="AC46" s="69" t="str">
        <f>IF(AND(G46="above adero",AD46&gt;0),"R",IF(AF46&gt;1,"G",IF(AF46&gt;0.95,"A","R")))</f>
        <v>G</v>
      </c>
      <c r="AD46" s="114">
        <f>_xlfn.XLOOKUP(AD$7,$JR$7:$LR$7,$JR46:$LR46,FALSE)</f>
        <v>4.2824999999999998</v>
      </c>
      <c r="AE46" s="114">
        <f>_xlfn.XLOOKUP(AE$7,$LY$7:$NY$7,$LY46:$NY46,FALSE)</f>
        <v>5</v>
      </c>
      <c r="AF46" s="254">
        <f>IF(G46="under",AD46/AE46,IF(G46="over",AE46/AD46,"err"))</f>
        <v>1.1675423234092237</v>
      </c>
      <c r="AH46" s="465" t="str">
        <f>+$A46</f>
        <v>Product Eng - BE-KPI D1</v>
      </c>
      <c r="AI46" s="136" t="str">
        <f t="shared" si="165"/>
        <v>KPI D1</v>
      </c>
      <c r="AJ46" s="144" t="str">
        <f t="shared" si="165"/>
        <v>Delivery</v>
      </c>
      <c r="AK46" s="144" t="str">
        <f t="shared" si="141"/>
        <v>BOM Lead time</v>
      </c>
      <c r="AL46" s="145" t="str">
        <f t="shared" si="141"/>
        <v>Days</v>
      </c>
      <c r="AM46" s="69" t="str">
        <f>IF(AM$7&gt;$D$3,"",_xlfn.XLOOKUP(AM$7,'Product Eng - BE'!$M$6:$BM$6,'Product Eng - BE'!$M$13:$BM$13))</f>
        <v>Blank</v>
      </c>
      <c r="AN46" s="199" t="str">
        <f>IF(AN$7&gt;$D$3,"",_xlfn.XLOOKUP(AN$7,'Product Eng - BE'!$M$6:$BM$6,'Product Eng - BE'!$M$13:$BM$13))</f>
        <v>R</v>
      </c>
      <c r="AO46" s="69" t="str">
        <f>IF(AO$7&gt;$D$3,"",_xlfn.XLOOKUP(AO$7,'Product Eng - BE'!$M$6:$BM$6,'Product Eng - BE'!$M$13:$BM$13))</f>
        <v>G</v>
      </c>
      <c r="AP46" s="69" t="str">
        <f>IF(AP$7&gt;$D$3,"",_xlfn.XLOOKUP(AP$7,'Product Eng - BE'!$M$6:$BM$6,'Product Eng - BE'!$M$13:$BM$13))</f>
        <v>R</v>
      </c>
      <c r="AQ46" s="69" t="str">
        <f>IF(AQ$7&gt;$D$3,"",_xlfn.XLOOKUP(AQ$7,'Product Eng - BE'!$M$6:$BM$6,'Product Eng - BE'!$M$13:$BM$13))</f>
        <v>R</v>
      </c>
      <c r="AR46" s="69" t="str">
        <f>IF(AR$7&gt;$D$3,"",_xlfn.XLOOKUP(AR$7,'Product Eng - BE'!$M$6:$BM$6,'Product Eng - BE'!$M$13:$BM$13))</f>
        <v>R</v>
      </c>
      <c r="AS46" s="69" t="str">
        <f>IF(AS$7&gt;$D$3,"",_xlfn.XLOOKUP(AS$7,'Product Eng - BE'!$M$6:$BM$6,'Product Eng - BE'!$M$13:$BM$13))</f>
        <v>G</v>
      </c>
      <c r="AT46" s="69" t="str">
        <f>IF(AT$7&gt;$D$3,"",_xlfn.XLOOKUP(AT$7,'Product Eng - BE'!$M$6:$BM$6,'Product Eng - BE'!$M$13:$BM$13))</f>
        <v>G</v>
      </c>
      <c r="AU46" s="69" t="str">
        <f>IF(AU$7&gt;$D$3,"",_xlfn.XLOOKUP(AU$7,'Product Eng - BE'!$M$6:$BM$6,'Product Eng - BE'!$M$13:$BM$13))</f>
        <v>G</v>
      </c>
      <c r="AV46" s="69" t="str">
        <f>IF(AV$7&gt;$D$3,"",_xlfn.XLOOKUP(AV$7,'Product Eng - BE'!$M$6:$BM$6,'Product Eng - BE'!$M$13:$BM$13))</f>
        <v>G</v>
      </c>
      <c r="AW46" s="69" t="str">
        <f>IF(AW$7&gt;$D$3,"",_xlfn.XLOOKUP(AW$7,'Product Eng - BE'!$M$6:$BM$6,'Product Eng - BE'!$M$13:$BM$13))</f>
        <v>G</v>
      </c>
      <c r="AX46" s="69" t="str">
        <f>IF(AX$7&gt;$D$3,"",_xlfn.XLOOKUP(AX$7,'Product Eng - BE'!$M$6:$BM$6,'Product Eng - BE'!$M$13:$BM$13))</f>
        <v>G</v>
      </c>
      <c r="AY46" s="69" t="str">
        <f>IF(AY$7&gt;$D$3,"",_xlfn.XLOOKUP(AY$7,'Product Eng - BE'!$M$6:$BM$6,'Product Eng - BE'!$M$13:$BM$13))</f>
        <v>R</v>
      </c>
      <c r="AZ46" s="69" t="str">
        <f>IF(AZ$7&gt;$D$3,"",_xlfn.XLOOKUP(AZ$7,'Product Eng - BE'!$M$6:$BM$6,'Product Eng - BE'!$M$13:$BM$13))</f>
        <v>G</v>
      </c>
      <c r="BA46" s="69" t="str">
        <f>IF(BA$7&gt;$D$3,"",_xlfn.XLOOKUP(BA$7,'Product Eng - BE'!$M$6:$BM$6,'Product Eng - BE'!$M$13:$BM$13))</f>
        <v>R</v>
      </c>
      <c r="BB46" s="69" t="str">
        <f>IF(BB$7&gt;$D$3,"",_xlfn.XLOOKUP(BB$7,'Product Eng - BE'!$M$6:$BM$6,'Product Eng - BE'!$M$13:$BM$13))</f>
        <v>R</v>
      </c>
      <c r="BC46" s="69" t="str">
        <f>IF(BC$7&gt;$D$3,"",_xlfn.XLOOKUP(BC$7,'Product Eng - BE'!$M$6:$BM$6,'Product Eng - BE'!$M$13:$BM$13))</f>
        <v>G</v>
      </c>
      <c r="BD46" s="69" t="str">
        <f>IF(BD$7&gt;$D$3,"",_xlfn.XLOOKUP(BD$7,'Product Eng - BE'!$M$6:$BM$6,'Product Eng - BE'!$M$13:$BM$13))</f>
        <v>G</v>
      </c>
      <c r="BE46" s="69" t="str">
        <f>IF(BE$7&gt;$D$3,"",_xlfn.XLOOKUP(BE$7,'Product Eng - BE'!$M$6:$BM$6,'Product Eng - BE'!$M$13:$BM$13))</f>
        <v>G</v>
      </c>
      <c r="BF46" s="69" t="str">
        <f>IF(BF$7&gt;$D$3,"",_xlfn.XLOOKUP(BF$7,'Product Eng - BE'!$M$6:$BM$6,'Product Eng - BE'!$M$13:$BM$13))</f>
        <v>G</v>
      </c>
      <c r="BG46" s="69" t="str">
        <f>IF(BG$7&gt;$D$3,"",_xlfn.XLOOKUP(BG$7,'Product Eng - BE'!$M$6:$BM$6,'Product Eng - BE'!$M$13:$BM$13))</f>
        <v>G</v>
      </c>
      <c r="BH46" s="69" t="str">
        <f>IF(BH$7&gt;$D$3,"",_xlfn.XLOOKUP(BH$7,'Product Eng - BE'!$M$6:$BM$6,'Product Eng - BE'!$M$13:$BM$13))</f>
        <v>G</v>
      </c>
      <c r="BI46" s="69" t="str">
        <f>IF(BI$7&gt;$D$3,"",_xlfn.XLOOKUP(BI$7,'Product Eng - BE'!$M$6:$BM$6,'Product Eng - BE'!$M$13:$BM$13))</f>
        <v>G</v>
      </c>
      <c r="BJ46" s="69" t="str">
        <f>IF(BJ$7&gt;$D$3,"",_xlfn.XLOOKUP(BJ$7,'Product Eng - BE'!$M$6:$BM$6,'Product Eng - BE'!$M$13:$BM$13))</f>
        <v>G</v>
      </c>
      <c r="BK46" s="69" t="str">
        <f>IF(BK$7&gt;$D$3,"",_xlfn.XLOOKUP(BK$7,'Product Eng - BE'!$M$6:$BM$6,'Product Eng - BE'!$M$13:$BM$13))</f>
        <v>G</v>
      </c>
      <c r="BL46" s="69" t="str">
        <f>IF(BL$7&gt;$D$3,"",_xlfn.XLOOKUP(BL$7,'Product Eng - BE'!$M$6:$BM$6,'Product Eng - BE'!$M$13:$BM$13))</f>
        <v>G</v>
      </c>
      <c r="BM46" s="69" t="str">
        <f>IF(BM$7&gt;$D$3,"",_xlfn.XLOOKUP(BM$7,'Product Eng - BE'!$M$6:$BM$6,'Product Eng - BE'!$M$13:$BM$13))</f>
        <v>G</v>
      </c>
      <c r="BN46" s="69" t="str">
        <f>IF(BN$7&gt;$D$3,"",_xlfn.XLOOKUP(BN$7,'Product Eng - BE'!$M$6:$BM$6,'Product Eng - BE'!$M$13:$BM$13))</f>
        <v>G</v>
      </c>
      <c r="BO46" s="69" t="str">
        <f>IF(BO$7&gt;$D$3,"",_xlfn.XLOOKUP(BO$7,'Product Eng - BE'!$M$6:$BM$6,'Product Eng - BE'!$M$13:$BM$13))</f>
        <v>G</v>
      </c>
      <c r="BP46" s="69" t="str">
        <f>IF(BP$7&gt;$D$3,"",_xlfn.XLOOKUP(BP$7,'Product Eng - BE'!$M$6:$BM$6,'Product Eng - BE'!$M$13:$BM$13))</f>
        <v>G</v>
      </c>
      <c r="BQ46" s="69" t="str">
        <f>IF(BQ$7&gt;$D$3,"",_xlfn.XLOOKUP(BQ$7,'Product Eng - BE'!$M$6:$BM$6,'Product Eng - BE'!$M$13:$BM$13))</f>
        <v>G</v>
      </c>
      <c r="BR46" s="69" t="str">
        <f>IF(BR$7&gt;$D$3,"",_xlfn.XLOOKUP(BR$7,'Product Eng - BE'!$M$6:$BM$6,'Product Eng - BE'!$M$13:$BM$13))</f>
        <v>G</v>
      </c>
      <c r="BS46" s="69" t="str">
        <f>IF(BS$7&gt;$D$3,"",_xlfn.XLOOKUP(BS$7,'Product Eng - BE'!$M$6:$BM$6,'Product Eng - BE'!$M$13:$BM$13))</f>
        <v>G</v>
      </c>
      <c r="BT46" s="69" t="str">
        <f>IF(BT$7&gt;$D$3,"",_xlfn.XLOOKUP(BT$7,'Product Eng - BE'!$M$6:$BM$6,'Product Eng - BE'!$M$13:$BM$13))</f>
        <v>G</v>
      </c>
      <c r="BU46" s="69" t="str">
        <f>IF(BU$7&gt;$D$3,"",_xlfn.XLOOKUP(BU$7,'Product Eng - BE'!$M$6:$BM$6,'Product Eng - BE'!$M$13:$BM$13))</f>
        <v>G</v>
      </c>
      <c r="BV46" s="69" t="str">
        <f>IF(BV$7&gt;$D$3,"",_xlfn.XLOOKUP(BV$7,'Product Eng - BE'!$M$6:$BM$6,'Product Eng - BE'!$M$13:$BM$13))</f>
        <v>R</v>
      </c>
      <c r="BW46" s="69" t="str">
        <f>IF(BW$7&gt;$D$3,"",_xlfn.XLOOKUP(BW$7,'Product Eng - BE'!$M$6:$BM$6,'Product Eng - BE'!$M$13:$BM$13))</f>
        <v>R</v>
      </c>
      <c r="BX46" s="69" t="str">
        <f>IF(BX$7&gt;$D$3,"",_xlfn.XLOOKUP(BX$7,'Product Eng - BE'!$M$6:$BM$6,'Product Eng - BE'!$M$13:$BM$13))</f>
        <v>R</v>
      </c>
      <c r="BY46" s="69" t="str">
        <f>IF(BY$7&gt;$D$3,"",_xlfn.XLOOKUP(BY$7,'Product Eng - BE'!$M$6:$BM$6,'Product Eng - BE'!$M$13:$BM$13))</f>
        <v>G</v>
      </c>
      <c r="BZ46" s="69" t="str">
        <f>IF(BZ$7&gt;$D$3,"",_xlfn.XLOOKUP(BZ$7,'Product Eng - BE'!$M$6:$BM$6,'Product Eng - BE'!$M$13:$BM$13))</f>
        <v>R</v>
      </c>
      <c r="CA46" s="69" t="str">
        <f>IF(CA$7&gt;$D$3,"",_xlfn.XLOOKUP(CA$7,'Product Eng - BE'!$M$6:$BM$6,'Product Eng - BE'!$M$13:$BM$13))</f>
        <v>G</v>
      </c>
      <c r="CB46" s="69" t="str">
        <f>IF(CB$7&gt;$D$3,"",_xlfn.XLOOKUP(CB$7,'Product Eng - BE'!$M$6:$BM$6,'Product Eng - BE'!$M$13:$BM$13))</f>
        <v>OD</v>
      </c>
      <c r="CC46" s="69" t="str">
        <f>IF(CC$7&gt;$D$3,"",_xlfn.XLOOKUP(CC$7,'Product Eng - BE'!$M$6:$BM$6,'Product Eng - BE'!$M$13:$BM$13))</f>
        <v/>
      </c>
      <c r="CD46" s="69" t="str">
        <f>IF(CD$7&gt;$D$3,"",_xlfn.XLOOKUP(CD$7,'Product Eng - BE'!$M$6:$BM$6,'Product Eng - BE'!$M$13:$BM$13))</f>
        <v/>
      </c>
      <c r="CE46" s="69" t="str">
        <f>IF(CE$7&gt;$D$3,"",_xlfn.XLOOKUP(CE$7,'Product Eng - BE'!$M$6:$BM$6,'Product Eng - BE'!$M$13:$BM$13))</f>
        <v/>
      </c>
      <c r="CF46" s="69" t="str">
        <f>IF(CF$7&gt;$D$3,"",_xlfn.XLOOKUP(CF$7,'Product Eng - BE'!$M$6:$BM$6,'Product Eng - BE'!$M$13:$BM$13))</f>
        <v/>
      </c>
      <c r="CG46" s="69" t="str">
        <f>IF(CG$7&gt;$D$3,"",_xlfn.XLOOKUP(CG$7,'Product Eng - BE'!$M$6:$BM$6,'Product Eng - BE'!$M$13:$BM$13))</f>
        <v/>
      </c>
      <c r="CH46" s="69" t="str">
        <f>IF(CH$7&gt;$D$3,"",_xlfn.XLOOKUP(CH$7,'Product Eng - BE'!$M$6:$BM$6,'Product Eng - BE'!$M$13:$BM$13))</f>
        <v/>
      </c>
      <c r="CI46" s="69" t="str">
        <f>IF(CI$7&gt;$D$3,"",_xlfn.XLOOKUP(CI$7,'Product Eng - BE'!$M$6:$BM$6,'Product Eng - BE'!$M$13:$BM$13))</f>
        <v/>
      </c>
      <c r="CJ46" s="69" t="str">
        <f>IF(CJ$7&gt;$D$3,"",_xlfn.XLOOKUP(CJ$7,'Product Eng - BE'!$M$6:$BM$6,'Product Eng - BE'!$M$13:$BM$13))</f>
        <v/>
      </c>
      <c r="CK46" s="69" t="str">
        <f>IF(CK$7&gt;$D$3,"",_xlfn.XLOOKUP(CK$7,'Product Eng - BE'!$M$6:$BM$6,'Product Eng - BE'!$M$13:$BM$13))</f>
        <v/>
      </c>
      <c r="CL46" s="69" t="str">
        <f>IF(CL$7&gt;$D$3,"",_xlfn.XLOOKUP(CL$7,'Product Eng - BE'!$M$6:$BM$6,'Product Eng - BE'!$M$13:$BM$13))</f>
        <v/>
      </c>
      <c r="CM46" s="69" t="str">
        <f>IF(CM$7&gt;$D$3,"",_xlfn.XLOOKUP(CM$7,'Product Eng - BE'!$M$6:$BM$6,'Product Eng - BE'!$M$13:$BM$13))</f>
        <v/>
      </c>
      <c r="CO46" s="465" t="str">
        <f>+$A46</f>
        <v>Product Eng - BE-KPI D1</v>
      </c>
      <c r="CP46" s="136" t="str">
        <f t="shared" si="166"/>
        <v>KPI D1</v>
      </c>
      <c r="CQ46" s="144" t="str">
        <f t="shared" si="166"/>
        <v>Delivery</v>
      </c>
      <c r="CR46" s="514" t="str">
        <f t="shared" si="166"/>
        <v>BOM Lead time</v>
      </c>
      <c r="CS46" s="145" t="str">
        <f t="shared" si="166"/>
        <v>Days</v>
      </c>
      <c r="CT46" s="207" t="s">
        <v>246</v>
      </c>
      <c r="CU46" s="423" t="str">
        <f>IF(CU$7&gt;$D$3,"",_xlfn.XLOOKUP(CU$7,IT!$M$6:$BM$6,IT!$M$16:$BM$16))</f>
        <v>Blank</v>
      </c>
      <c r="CV46" s="323">
        <f>IFERROR(IF(CV$7&gt;$D$3,"",IF(AN46="OD","OD",IF(AN45="Missed","Missed",IF(AN45="TBC","TBC",IF(AN45="Undefined","Undefined",_xlfn.XLOOKUP(CV$7,'Product Eng - BE'!$M$6:$BM$6,'Product Eng - BE'!$M$11:$BM$11)/_xlfn.XLOOKUP(CV$7,'Product Eng - BE'!$M$6:$BM$6,'Product Eng - BE'!$M$12:$BM$12)))))),"")</f>
        <v>0.78125</v>
      </c>
      <c r="CW46" s="315">
        <f>IFERROR(IF(CW$7&gt;$D$3,"",IF(AO46="OD","OD",IF(AO45="Missed","Missed",IF(AO45="TBC","TBC",IF(AO45="Undefined","Undefined",_xlfn.XLOOKUP(CW$7,'Product Eng - BE'!$M$6:$BM$6,'Product Eng - BE'!$M$11:$BM$11)/_xlfn.XLOOKUP(CW$7,'Product Eng - BE'!$M$6:$BM$6,'Product Eng - BE'!$M$12:$BM$12)))))),"")</f>
        <v>1.6666666666666667</v>
      </c>
      <c r="CX46" s="315">
        <f>IFERROR(IF(CX$7&gt;$D$3,"",IF(AP46="OD","OD",IF(AP45="Missed","Missed",IF(AP45="TBC","TBC",IF(AP45="Undefined","Undefined",_xlfn.XLOOKUP(CX$7,'Product Eng - BE'!$M$6:$BM$6,'Product Eng - BE'!$M$11:$BM$11)/_xlfn.XLOOKUP(CX$7,'Product Eng - BE'!$M$6:$BM$6,'Product Eng - BE'!$M$12:$BM$12)))))),"")</f>
        <v>0.55555555555555558</v>
      </c>
      <c r="CY46" s="315">
        <f>IFERROR(IF(CY$7&gt;$D$3,"",IF(AQ46="OD","OD",IF(AQ45="Missed","Missed",IF(AQ45="TBC","TBC",IF(AQ45="Undefined","Undefined",_xlfn.XLOOKUP(CY$7,'Product Eng - BE'!$M$6:$BM$6,'Product Eng - BE'!$M$11:$BM$11)/_xlfn.XLOOKUP(CY$7,'Product Eng - BE'!$M$6:$BM$6,'Product Eng - BE'!$M$12:$BM$12)))))),"")</f>
        <v>0.75757575757575757</v>
      </c>
      <c r="CZ46" s="315">
        <f>IFERROR(IF(CZ$7&gt;$D$3,"",IF(AR46="OD","OD",IF(AR45="Missed","Missed",IF(AR45="TBC","TBC",IF(AR45="Undefined","Undefined",_xlfn.XLOOKUP(CZ$7,'Product Eng - BE'!$M$6:$BM$6,'Product Eng - BE'!$M$11:$BM$11)/_xlfn.XLOOKUP(CZ$7,'Product Eng - BE'!$M$6:$BM$6,'Product Eng - BE'!$M$12:$BM$12)))))),"")</f>
        <v>0.78125</v>
      </c>
      <c r="DA46" s="315">
        <f>IFERROR(IF(DA$7&gt;$D$3,"",IF(AS46="OD","OD",IF(AS45="Missed","Missed",IF(AS45="TBC","TBC",IF(AS45="Undefined","Undefined",_xlfn.XLOOKUP(DA$7,'Product Eng - BE'!$M$6:$BM$6,'Product Eng - BE'!$M$11:$BM$11)/_xlfn.XLOOKUP(DA$7,'Product Eng - BE'!$M$6:$BM$6,'Product Eng - BE'!$M$12:$BM$12)))))),"")</f>
        <v>1.7857142857142858</v>
      </c>
      <c r="DB46" s="315">
        <f>IFERROR(IF(DB$7&gt;$D$3,"",IF(AT46="OD","OD",IF(AT45="Missed","Missed",IF(AT45="TBC","TBC",IF(AT45="Undefined","Undefined",_xlfn.XLOOKUP(DB$7,'Product Eng - BE'!$M$6:$BM$6,'Product Eng - BE'!$M$11:$BM$11)/_xlfn.XLOOKUP(DB$7,'Product Eng - BE'!$M$6:$BM$6,'Product Eng - BE'!$M$12:$BM$12)))))),"")</f>
        <v>1</v>
      </c>
      <c r="DC46" s="315">
        <f>IFERROR(IF(DC$7&gt;$D$3,"",IF(AU46="OD","OD",IF(AU45="Missed","Missed",IF(AU45="TBC","TBC",IF(AU45="Undefined","Undefined",_xlfn.XLOOKUP(DC$7,'Product Eng - BE'!$M$6:$BM$6,'Product Eng - BE'!$M$11:$BM$11)/_xlfn.XLOOKUP(DC$7,'Product Eng - BE'!$M$6:$BM$6,'Product Eng - BE'!$M$12:$BM$12)))))),"")</f>
        <v>1</v>
      </c>
      <c r="DD46" s="315">
        <f>IFERROR(IF(DD$7&gt;$D$3,"",IF(AV46="OD","OD",IF(AV45="Missed","Missed",IF(AV45="TBC","TBC",IF(AV45="Undefined","Undefined",_xlfn.XLOOKUP(DD$7,'Product Eng - BE'!$M$6:$BM$6,'Product Eng - BE'!$M$11:$BM$11)/_xlfn.XLOOKUP(DD$7,'Product Eng - BE'!$M$6:$BM$6,'Product Eng - BE'!$M$12:$BM$12)))))),"")</f>
        <v>1.3157894736842106</v>
      </c>
      <c r="DE46" s="315">
        <f>IFERROR(IF(DE$7&gt;$D$3,"",IF(AW46="OD","OD",IF(AW45="Missed","Missed",IF(AW45="TBC","TBC",IF(AW45="Undefined","Undefined",_xlfn.XLOOKUP(DE$7,'Product Eng - BE'!$M$6:$BM$6,'Product Eng - BE'!$M$11:$BM$11)/_xlfn.XLOOKUP(DE$7,'Product Eng - BE'!$M$6:$BM$6,'Product Eng - BE'!$M$12:$BM$12)))))),"")</f>
        <v>1.9230769230769229</v>
      </c>
      <c r="DF46" s="315">
        <f>IFERROR(IF(DF$7&gt;$D$3,"",IF(AX46="OD","OD",IF(AX45="Missed","Missed",IF(AX45="TBC","TBC",IF(AX45="Undefined","Undefined",_xlfn.XLOOKUP(DF$7,'Product Eng - BE'!$M$6:$BM$6,'Product Eng - BE'!$M$11:$BM$11)/_xlfn.XLOOKUP(DF$7,'Product Eng - BE'!$M$6:$BM$6,'Product Eng - BE'!$M$12:$BM$12)))))),"")</f>
        <v>3.125</v>
      </c>
      <c r="DG46" s="315">
        <f>IFERROR(IF(DG$7&gt;$D$3,"",IF(AY46="OD","OD",IF(AY45="Missed","Missed",IF(AY45="TBC","TBC",IF(AY45="Undefined","Undefined",_xlfn.XLOOKUP(DG$7,'Product Eng - BE'!$M$6:$BM$6,'Product Eng - BE'!$M$11:$BM$11)/_xlfn.XLOOKUP(DG$7,'Product Eng - BE'!$M$6:$BM$6,'Product Eng - BE'!$M$12:$BM$12)))))),"")</f>
        <v>0.78125</v>
      </c>
      <c r="DH46" s="315">
        <f>IFERROR(IF(DH$7&gt;$D$3,"",IF(AZ46="OD","OD",IF(AZ45="Missed","Missed",IF(AZ45="TBC","TBC",IF(AZ45="Undefined","Undefined",_xlfn.XLOOKUP(DH$7,'Product Eng - BE'!$M$6:$BM$6,'Product Eng - BE'!$M$11:$BM$11)/_xlfn.XLOOKUP(DH$7,'Product Eng - BE'!$M$6:$BM$6,'Product Eng - BE'!$M$12:$BM$12)))))),"")</f>
        <v>2.2222222222222223</v>
      </c>
      <c r="DI46" s="315">
        <f>IFERROR(IF(DI$7&gt;$D$3,"",IF(BA46="OD","OD",IF(BA45="Missed","Missed",IF(BA45="TBC","TBC",IF(BA45="Undefined","Undefined",_xlfn.XLOOKUP(DI$7,'Product Eng - BE'!$M$6:$BM$6,'Product Eng - BE'!$M$11:$BM$11)/_xlfn.XLOOKUP(DI$7,'Product Eng - BE'!$M$6:$BM$6,'Product Eng - BE'!$M$12:$BM$12)))))),"")</f>
        <v>0.83333333333333337</v>
      </c>
      <c r="DJ46" s="315">
        <f>IFERROR(IF(DJ$7&gt;$D$3,"",IF(BB46="OD","OD",IF(BB45="Missed","Missed",IF(BB45="TBC","TBC",IF(BB45="Undefined","Undefined",_xlfn.XLOOKUP(DJ$7,'Product Eng - BE'!$M$6:$BM$6,'Product Eng - BE'!$M$11:$BM$11)/_xlfn.XLOOKUP(DJ$7,'Product Eng - BE'!$M$6:$BM$6,'Product Eng - BE'!$M$12:$BM$12)))))),"")</f>
        <v>0.56818181818181812</v>
      </c>
      <c r="DK46" s="315">
        <f>IFERROR(IF(DK$7&gt;$D$3,"",IF(BC46="OD","OD",IF(BC45="Missed","Missed",IF(BC45="TBC","TBC",IF(BC45="Undefined","Undefined",_xlfn.XLOOKUP(DK$7,'Product Eng - BE'!$M$6:$BM$6,'Product Eng - BE'!$M$11:$BM$11)/_xlfn.XLOOKUP(DK$7,'Product Eng - BE'!$M$6:$BM$6,'Product Eng - BE'!$M$12:$BM$12)))))),"")</f>
        <v>1.1627906976744187</v>
      </c>
      <c r="DL46" s="315">
        <f>IFERROR(IF(DL$7&gt;$D$3,"",IF(BD46="OD","OD",IF(BD45="Missed","Missed",IF(BD45="TBC","TBC",IF(BD45="Undefined","Undefined",_xlfn.XLOOKUP(DL$7,'Product Eng - BE'!$M$6:$BM$6,'Product Eng - BE'!$M$11:$BM$11)/_xlfn.XLOOKUP(DL$7,'Product Eng - BE'!$M$6:$BM$6,'Product Eng - BE'!$M$12:$BM$12)))))),"")</f>
        <v>1.4285714285714286</v>
      </c>
      <c r="DM46" s="315">
        <f>IFERROR(IF(DM$7&gt;$D$3,"",IF(BE46="OD","OD",IF(BE45="Missed","Missed",IF(BE45="TBC","TBC",IF(BE45="Undefined","Undefined",_xlfn.XLOOKUP(DM$7,'Product Eng - BE'!$M$6:$BM$6,'Product Eng - BE'!$M$11:$BM$11)/_xlfn.XLOOKUP(DM$7,'Product Eng - BE'!$M$6:$BM$6,'Product Eng - BE'!$M$12:$BM$12)))))),"")</f>
        <v>2</v>
      </c>
      <c r="DN46" s="315">
        <f>IFERROR(IF(DN$7&gt;$D$3,"",IF(BF46="OD","OD",IF(BF45="Missed","Missed",IF(BF45="TBC","TBC",IF(BF45="Undefined","Undefined",_xlfn.XLOOKUP(DN$7,'Product Eng - BE'!$M$6:$BM$6,'Product Eng - BE'!$M$11:$BM$11)/_xlfn.XLOOKUP(DN$7,'Product Eng - BE'!$M$6:$BM$6,'Product Eng - BE'!$M$12:$BM$12)))))),"")</f>
        <v>2.7777777777777777</v>
      </c>
      <c r="DO46" s="315">
        <f>IFERROR(IF(DO$7&gt;$D$3,"",IF(BG46="OD","OD",IF(BG45="Missed","Missed",IF(BG45="TBC","TBC",IF(BG45="Undefined","Undefined",_xlfn.XLOOKUP(DO$7,'Product Eng - BE'!$M$6:$BM$6,'Product Eng - BE'!$M$11:$BM$11)/_xlfn.XLOOKUP(DO$7,'Product Eng - BE'!$M$6:$BM$6,'Product Eng - BE'!$M$12:$BM$12)))))),"")</f>
        <v>1.25</v>
      </c>
      <c r="DP46" s="315">
        <f>IFERROR(IF(DP$7&gt;$D$3,"",IF(BH46="OD","OD",IF(BH45="Missed","Missed",IF(BH45="TBC","TBC",IF(BH45="Undefined","Undefined",_xlfn.XLOOKUP(DP$7,'Product Eng - BE'!$M$6:$BM$6,'Product Eng - BE'!$M$11:$BM$11)/_xlfn.XLOOKUP(DP$7,'Product Eng - BE'!$M$6:$BM$6,'Product Eng - BE'!$M$12:$BM$12)))))),"")</f>
        <v>1.6666666666666667</v>
      </c>
      <c r="DQ46" s="315">
        <f>IFERROR(IF(DQ$7&gt;$D$3,"",IF(BI46="OD","OD",IF(BI45="Missed","Missed",IF(BI45="TBC","TBC",IF(BI45="Undefined","Undefined",_xlfn.XLOOKUP(DQ$7,'Product Eng - BE'!$M$6:$BM$6,'Product Eng - BE'!$M$11:$BM$11)/_xlfn.XLOOKUP(DQ$7,'Product Eng - BE'!$M$6:$BM$6,'Product Eng - BE'!$M$12:$BM$12)))))),"")</f>
        <v>2.5</v>
      </c>
      <c r="DR46" s="315">
        <f>IFERROR(IF(DR$7&gt;$D$3,"",IF(BJ46="OD","OD",IF(BJ45="Missed","Missed",IF(BJ45="TBC","TBC",IF(BJ45="Undefined","Undefined",_xlfn.XLOOKUP(DR$7,'Product Eng - BE'!$M$6:$BM$6,'Product Eng - BE'!$M$11:$BM$11)/_xlfn.XLOOKUP(DR$7,'Product Eng - BE'!$M$6:$BM$6,'Product Eng - BE'!$M$12:$BM$12)))))),"")</f>
        <v>1.6666666666666667</v>
      </c>
      <c r="DS46" s="315">
        <f>IFERROR(IF(DS$7&gt;$D$3,"",IF(BK46="OD","OD",IF(BK45="Missed","Missed",IF(BK45="TBC","TBC",IF(BK45="Undefined","Undefined",_xlfn.XLOOKUP(DS$7,'Product Eng - BE'!$M$6:$BM$6,'Product Eng - BE'!$M$11:$BM$11)/_xlfn.XLOOKUP(DS$7,'Product Eng - BE'!$M$6:$BM$6,'Product Eng - BE'!$M$12:$BM$12)))))),"")</f>
        <v>1.6666666666666667</v>
      </c>
      <c r="DT46" s="315">
        <f>IFERROR(IF(DT$7&gt;$D$3,"",IF(BL46="OD","OD",IF(BL45="Missed","Missed",IF(BL45="TBC","TBC",IF(BL45="Undefined","Undefined",_xlfn.XLOOKUP(DT$7,'Product Eng - BE'!$M$6:$BM$6,'Product Eng - BE'!$M$11:$BM$11)/_xlfn.XLOOKUP(DT$7,'Product Eng - BE'!$M$6:$BM$6,'Product Eng - BE'!$M$12:$BM$12)))))),"")</f>
        <v>1.25</v>
      </c>
      <c r="DU46" s="315">
        <f>IFERROR(IF(DU$7&gt;$D$3,"",IF(BM46="OD","OD",IF(BM45="Missed","Missed",IF(BM45="TBC","TBC",IF(BM45="Undefined","Undefined",_xlfn.XLOOKUP(DU$7,'Product Eng - BE'!$M$6:$BM$6,'Product Eng - BE'!$M$11:$BM$11)/_xlfn.XLOOKUP(DU$7,'Product Eng - BE'!$M$6:$BM$6,'Product Eng - BE'!$M$12:$BM$12)))))),"")</f>
        <v>1.25</v>
      </c>
      <c r="DV46" s="315">
        <f>IFERROR(IF(DV$7&gt;$D$3,"",IF(BN46="OD","OD",IF(BN45="Missed","Missed",IF(BN45="TBC","TBC",IF(BN45="Undefined","Undefined",_xlfn.XLOOKUP(DV$7,'Product Eng - BE'!$M$6:$BM$6,'Product Eng - BE'!$M$11:$BM$11)/_xlfn.XLOOKUP(DV$7,'Product Eng - BE'!$M$6:$BM$6,'Product Eng - BE'!$M$12:$BM$12)))))),"")</f>
        <v>1.25</v>
      </c>
      <c r="DW46" s="315">
        <f>IFERROR(IF(DW$7&gt;$D$3,"",IF(BO46="OD","OD",IF(BO45="Missed","Missed",IF(BO45="TBC","TBC",IF(BO45="Undefined","Undefined",_xlfn.XLOOKUP(DW$7,'Product Eng - BE'!$M$6:$BM$6,'Product Eng - BE'!$M$11:$BM$11)/_xlfn.XLOOKUP(DW$7,'Product Eng - BE'!$M$6:$BM$6,'Product Eng - BE'!$M$12:$BM$12)))))),"")</f>
        <v>1.4285714285714286</v>
      </c>
      <c r="DX46" s="315">
        <f>IFERROR(IF(DX$7&gt;$D$3,"",IF(BP46="OD","OD",IF(BP45="Missed","Missed",IF(BP45="TBC","TBC",IF(BP45="Undefined","Undefined",_xlfn.XLOOKUP(DX$7,'Product Eng - BE'!$M$6:$BM$6,'Product Eng - BE'!$M$11:$BM$11)/_xlfn.XLOOKUP(DX$7,'Product Eng - BE'!$M$6:$BM$6,'Product Eng - BE'!$M$12:$BM$12)))))),"")</f>
        <v>2.5</v>
      </c>
      <c r="DY46" s="315">
        <f>IFERROR(IF(DY$7&gt;$D$3,"",IF(BQ46="OD","OD",IF(BQ45="Missed","Missed",IF(BQ45="TBC","TBC",IF(BQ45="Undefined","Undefined",_xlfn.XLOOKUP(DY$7,'Product Eng - BE'!$M$6:$BM$6,'Product Eng - BE'!$M$11:$BM$11)/_xlfn.XLOOKUP(DY$7,'Product Eng - BE'!$M$6:$BM$6,'Product Eng - BE'!$M$12:$BM$12)))))),"")</f>
        <v>1.5151515151515151</v>
      </c>
      <c r="DZ46" s="315">
        <f>IFERROR(IF(DZ$7&gt;$D$3,"",IF(BR46="OD","OD",IF(BR45="Missed","Missed",IF(BR45="TBC","TBC",IF(BR45="Undefined","Undefined",_xlfn.XLOOKUP(DZ$7,'Product Eng - BE'!$M$6:$BM$6,'Product Eng - BE'!$M$11:$BM$11)/_xlfn.XLOOKUP(DZ$7,'Product Eng - BE'!$M$6:$BM$6,'Product Eng - BE'!$M$12:$BM$12)))))),"")</f>
        <v>2.8571428571428572</v>
      </c>
      <c r="EA46" s="315">
        <f>IFERROR(IF(EA$7&gt;$D$3,"",IF(BS46="OD","OD",IF(BS45="Missed","Missed",IF(BS45="TBC","TBC",IF(BS45="Undefined","Undefined",_xlfn.XLOOKUP(EA$7,'Product Eng - BE'!$M$6:$BM$6,'Product Eng - BE'!$M$11:$BM$11)/_xlfn.XLOOKUP(EA$7,'Product Eng - BE'!$M$6:$BM$6,'Product Eng - BE'!$M$12:$BM$12)))))),"")</f>
        <v>1.25</v>
      </c>
      <c r="EB46" s="315">
        <f>IFERROR(IF(EB$7&gt;$D$3,"",IF(BT46="OD","OD",IF(BT45="Missed","Missed",IF(BT45="TBC","TBC",IF(BT45="Undefined","Undefined",_xlfn.XLOOKUP(EB$7,'Product Eng - BE'!$M$6:$BM$6,'Product Eng - BE'!$M$11:$BM$11)/_xlfn.XLOOKUP(EB$7,'Product Eng - BE'!$M$6:$BM$6,'Product Eng - BE'!$M$12:$BM$12)))))),"")</f>
        <v>1.6666666666666667</v>
      </c>
      <c r="EC46" s="315">
        <f>IFERROR(IF(EC$7&gt;$D$3,"",IF(BU46="OD","OD",IF(BU45="Missed","Missed",IF(BU45="TBC","TBC",IF(BU45="Undefined","Undefined",_xlfn.XLOOKUP(EC$7,'Product Eng - BE'!$M$6:$BM$6,'Product Eng - BE'!$M$11:$BM$11)/_xlfn.XLOOKUP(EC$7,'Product Eng - BE'!$M$6:$BM$6,'Product Eng - BE'!$M$12:$BM$12)))))),"")</f>
        <v>2.5</v>
      </c>
      <c r="ED46" s="315">
        <f>IFERROR(IF(ED$7&gt;$D$3,"",IF(BV46="OD","OD",IF(BV45="Missed","Missed",IF(BV45="TBC","TBC",IF(BV45="Undefined","Undefined",_xlfn.XLOOKUP(ED$7,'Product Eng - BE'!$M$6:$BM$6,'Product Eng - BE'!$M$11:$BM$11)/_xlfn.XLOOKUP(ED$7,'Product Eng - BE'!$M$6:$BM$6,'Product Eng - BE'!$M$12:$BM$12)))))),"")</f>
        <v>0.625</v>
      </c>
      <c r="EE46" s="315">
        <f>IFERROR(IF(EE$7&gt;$D$3,"",IF(BW46="OD","OD",IF(BW45="Missed","Missed",IF(BW45="TBC","TBC",IF(BW45="Undefined","Undefined",_xlfn.XLOOKUP(EE$7,'Product Eng - BE'!$M$6:$BM$6,'Product Eng - BE'!$M$11:$BM$11)/_xlfn.XLOOKUP(EE$7,'Product Eng - BE'!$M$6:$BM$6,'Product Eng - BE'!$M$12:$BM$12)))))),"")</f>
        <v>0.5</v>
      </c>
      <c r="EF46" s="315">
        <f>IFERROR(IF(EF$7&gt;$D$3,"",IF(BX46="OD","OD",IF(BX45="Missed","Missed",IF(BX45="TBC","TBC",IF(BX45="Undefined","Undefined",_xlfn.XLOOKUP(EF$7,'Product Eng - BE'!$M$6:$BM$6,'Product Eng - BE'!$M$11:$BM$11)/_xlfn.XLOOKUP(EF$7,'Product Eng - BE'!$M$6:$BM$6,'Product Eng - BE'!$M$12:$BM$12)))))),"")</f>
        <v>0.83333333333333337</v>
      </c>
      <c r="EG46" s="315">
        <f>IFERROR(IF(EG$7&gt;$D$3,"",IF(BY46="OD","OD",IF(BY45="Missed","Missed",IF(BY45="TBC","TBC",IF(BY45="Undefined","Undefined",_xlfn.XLOOKUP(EG$7,'Product Eng - BE'!$M$6:$BM$6,'Product Eng - BE'!$M$11:$BM$11)/_xlfn.XLOOKUP(EG$7,'Product Eng - BE'!$M$6:$BM$6,'Product Eng - BE'!$M$12:$BM$12)))))),"")</f>
        <v>1.25</v>
      </c>
      <c r="EH46" s="315">
        <f>IFERROR(IF(EH$7&gt;$D$3,"",IF(BZ46="OD","OD",IF(BZ45="Missed","Missed",IF(BZ45="TBC","TBC",IF(BZ45="Undefined","Undefined",_xlfn.XLOOKUP(EH$7,'Product Eng - BE'!$M$6:$BM$6,'Product Eng - BE'!$M$11:$BM$11)/_xlfn.XLOOKUP(EH$7,'Product Eng - BE'!$M$6:$BM$6,'Product Eng - BE'!$M$12:$BM$12)))))),"")</f>
        <v>0.83333333333333337</v>
      </c>
      <c r="EI46" s="315">
        <f>IFERROR(IF(EI$7&gt;$D$3,"",IF(CA46="OD","OD",IF(CA45="Missed","Missed",IF(CA45="TBC","TBC",IF(CA45="Undefined","Undefined",_xlfn.XLOOKUP(EI$7,'Product Eng - BE'!$M$6:$BM$6,'Product Eng - BE'!$M$11:$BM$11)/_xlfn.XLOOKUP(EI$7,'Product Eng - BE'!$M$6:$BM$6,'Product Eng - BE'!$M$12:$BM$12)))))),"")</f>
        <v>1.6666666666666667</v>
      </c>
      <c r="EJ46" s="315" t="str">
        <f>IFERROR(IF(EJ$7&gt;$D$3,"",IF(CB46="OD","OD",IF(CB45="Missed","Missed",IF(CB45="TBC","TBC",IF(CB45="Undefined","Undefined",_xlfn.XLOOKUP(EJ$7,'Product Eng - BE'!$M$6:$BM$6,'Product Eng - BE'!$M$11:$BM$11)/_xlfn.XLOOKUP(EJ$7,'Product Eng - BE'!$M$6:$BM$6,'Product Eng - BE'!$M$12:$BM$12)))))),"")</f>
        <v>OD</v>
      </c>
      <c r="EK46" s="315" t="str">
        <f>IFERROR(IF(EK$7&gt;$D$3,"",IF(CC46="OD","OD",IF(CC45="Missed","Missed",IF(CC45="TBC","TBC",IF(CC45="Undefined","Undefined",_xlfn.XLOOKUP(EK$7,'Product Eng - BE'!$M$6:$BM$6,'Product Eng - BE'!$M$11:$BM$11)/_xlfn.XLOOKUP(EK$7,'Product Eng - BE'!$M$6:$BM$6,'Product Eng - BE'!$M$12:$BM$12)))))),"")</f>
        <v/>
      </c>
      <c r="EL46" s="315" t="str">
        <f>IFERROR(IF(EL$7&gt;$D$3,"",IF(CD46="OD","OD",IF(CD45="Missed","Missed",IF(CD45="TBC","TBC",IF(CD45="Undefined","Undefined",_xlfn.XLOOKUP(EL$7,'Product Eng - BE'!$M$6:$BM$6,'Product Eng - BE'!$M$11:$BM$11)/_xlfn.XLOOKUP(EL$7,'Product Eng - BE'!$M$6:$BM$6,'Product Eng - BE'!$M$12:$BM$12)))))),"")</f>
        <v/>
      </c>
      <c r="EM46" s="315" t="str">
        <f>IFERROR(IF(EM$7&gt;$D$3,"",IF(CE46="OD","OD",IF(CE45="Missed","Missed",IF(CE45="TBC","TBC",IF(CE45="Undefined","Undefined",_xlfn.XLOOKUP(EM$7,'Product Eng - BE'!$M$6:$BM$6,'Product Eng - BE'!$M$11:$BM$11)/_xlfn.XLOOKUP(EM$7,'Product Eng - BE'!$M$6:$BM$6,'Product Eng - BE'!$M$12:$BM$12)))))),"")</f>
        <v/>
      </c>
      <c r="EN46" s="315" t="str">
        <f>IFERROR(IF(EN$7&gt;$D$3,"",IF(CF46="OD","OD",IF(CF45="Missed","Missed",IF(CF45="TBC","TBC",IF(CF45="Undefined","Undefined",_xlfn.XLOOKUP(EN$7,'Product Eng - BE'!$M$6:$BM$6,'Product Eng - BE'!$M$11:$BM$11)/_xlfn.XLOOKUP(EN$7,'Product Eng - BE'!$M$6:$BM$6,'Product Eng - BE'!$M$12:$BM$12)))))),"")</f>
        <v/>
      </c>
      <c r="EO46" s="315" t="str">
        <f>IFERROR(IF(EO$7&gt;$D$3,"",IF(CG46="OD","OD",IF(CG45="Missed","Missed",IF(CG45="TBC","TBC",IF(CG45="Undefined","Undefined",_xlfn.XLOOKUP(EO$7,'Product Eng - BE'!$M$6:$BM$6,'Product Eng - BE'!$M$11:$BM$11)/_xlfn.XLOOKUP(EO$7,'Product Eng - BE'!$M$6:$BM$6,'Product Eng - BE'!$M$12:$BM$12)))))),"")</f>
        <v/>
      </c>
      <c r="EP46" s="315" t="str">
        <f>IFERROR(IF(EP$7&gt;$D$3,"",IF(CH46="OD","OD",IF(CH45="Missed","Missed",IF(CH45="TBC","TBC",IF(CH45="Undefined","Undefined",_xlfn.XLOOKUP(EP$7,'Product Eng - BE'!$M$6:$BM$6,'Product Eng - BE'!$M$11:$BM$11)/_xlfn.XLOOKUP(EP$7,'Product Eng - BE'!$M$6:$BM$6,'Product Eng - BE'!$M$12:$BM$12)))))),"")</f>
        <v/>
      </c>
      <c r="EQ46" s="315" t="str">
        <f>IFERROR(IF(EQ$7&gt;$D$3,"",IF(CI46="OD","OD",IF(CI45="Missed","Missed",IF(CI45="TBC","TBC",IF(CI45="Undefined","Undefined",_xlfn.XLOOKUP(EQ$7,'Product Eng - BE'!$M$6:$BM$6,'Product Eng - BE'!$M$11:$BM$11)/_xlfn.XLOOKUP(EQ$7,'Product Eng - BE'!$M$6:$BM$6,'Product Eng - BE'!$M$12:$BM$12)))))),"")</f>
        <v/>
      </c>
      <c r="ER46" s="315" t="str">
        <f>IFERROR(IF(ER$7&gt;$D$3,"",IF(CJ46="OD","OD",IF(CJ45="Missed","Missed",IF(CJ45="TBC","TBC",IF(CJ45="Undefined","Undefined",_xlfn.XLOOKUP(ER$7,'Product Eng - BE'!$M$6:$BM$6,'Product Eng - BE'!$M$11:$BM$11)/_xlfn.XLOOKUP(ER$7,'Product Eng - BE'!$M$6:$BM$6,'Product Eng - BE'!$M$12:$BM$12)))))),"")</f>
        <v/>
      </c>
      <c r="ES46" s="315" t="str">
        <f>IFERROR(IF(ES$7&gt;$D$3,"",IF(CK46="OD","OD",IF(CK45="Missed","Missed",IF(CK45="TBC","TBC",IF(CK45="Undefined","Undefined",_xlfn.XLOOKUP(ES$7,'Product Eng - BE'!$M$6:$BM$6,'Product Eng - BE'!$M$11:$BM$11)/_xlfn.XLOOKUP(ES$7,'Product Eng - BE'!$M$6:$BM$6,'Product Eng - BE'!$M$12:$BM$12)))))),"")</f>
        <v/>
      </c>
      <c r="ET46" s="315" t="str">
        <f>IFERROR(IF(ET$7&gt;$D$3,"",IF(CL46="OD","OD",IF(CL45="Missed","Missed",IF(CL45="TBC","TBC",IF(CL45="Undefined","Undefined",_xlfn.XLOOKUP(ET$7,'Product Eng - BE'!$M$6:$BM$6,'Product Eng - BE'!$M$11:$BM$11)/_xlfn.XLOOKUP(ET$7,'Product Eng - BE'!$M$6:$BM$6,'Product Eng - BE'!$M$12:$BM$12)))))),"")</f>
        <v/>
      </c>
      <c r="EU46" s="315" t="str">
        <f>IFERROR(IF(EU$7&gt;$D$3,"",IF(CM46="OD","OD",IF(CM45="Missed","Missed",IF(CM45="TBC","TBC",IF(CM45="Undefined","Undefined",_xlfn.XLOOKUP(EU$7,'Product Eng - BE'!$M$6:$BM$6,'Product Eng - BE'!$M$11:$BM$11)/_xlfn.XLOOKUP(EU$7,'Product Eng - BE'!$M$6:$BM$6,'Product Eng - BE'!$M$12:$BM$12)))))),"")</f>
        <v/>
      </c>
      <c r="EW46" s="465" t="str">
        <f>+$A46</f>
        <v>Product Eng - BE-KPI D1</v>
      </c>
      <c r="EX46" s="136" t="str">
        <f>+$C46</f>
        <v>KPI D1</v>
      </c>
      <c r="EY46" s="144" t="str">
        <f>+$D46</f>
        <v>Delivery</v>
      </c>
      <c r="EZ46" s="144" t="str">
        <f t="shared" si="145"/>
        <v>BOM Lead time</v>
      </c>
      <c r="FA46" s="145" t="str">
        <f t="shared" si="146"/>
        <v>Days</v>
      </c>
      <c r="FB46" s="145" t="s">
        <v>251</v>
      </c>
      <c r="FC46" s="223" t="str">
        <f>IF(FC$7&gt;$D$3,"",IF($FA44&lt;FC$7,"OD",_xlfn.XLOOKUP(FC$7,'Product Eng - BE'!$M$6:$BM$6,'Product Eng - BE'!$M$12:$BM$12)))</f>
        <v>Blank</v>
      </c>
      <c r="FD46" s="223">
        <f>IF(FD$7&gt;$D$3,"",IF($FA44&lt;FD$7,"OD",_xlfn.XLOOKUP(FD$7,'Product Eng - BE'!$M$6:$BM$6,'Product Eng - BE'!$M$12:$BM$12)))</f>
        <v>6.4</v>
      </c>
      <c r="FE46" s="223">
        <f>IF(FE$7&gt;$D$3,"",IF($FA44&lt;FE$7,"OD",_xlfn.XLOOKUP(FE$7,'Product Eng - BE'!$M$6:$BM$6,'Product Eng - BE'!$M$12:$BM$12)))</f>
        <v>3</v>
      </c>
      <c r="FF46" s="223">
        <f>IF(FF$7&gt;$D$3,"",IF($FA44&lt;FF$7,"OD",_xlfn.XLOOKUP(FF$7,'Product Eng - BE'!$M$6:$BM$6,'Product Eng - BE'!$M$12:$BM$12)))</f>
        <v>9</v>
      </c>
      <c r="FG46" s="223">
        <f>IF(FG$7&gt;$D$3,"",IF($FA44&lt;FG$7,"OD",_xlfn.XLOOKUP(FG$7,'Product Eng - BE'!$M$6:$BM$6,'Product Eng - BE'!$M$12:$BM$12)))</f>
        <v>6.6</v>
      </c>
      <c r="FH46" s="223">
        <f>IF(FH$7&gt;$D$3,"",IF($FA44&lt;FH$7,"OD",_xlfn.XLOOKUP(FH$7,'Product Eng - BE'!$M$6:$BM$6,'Product Eng - BE'!$M$12:$BM$12)))</f>
        <v>6.4</v>
      </c>
      <c r="FI46" s="223">
        <f>IF(FI$7&gt;$D$3,"",IF($FA44&lt;FI$7,"OD",_xlfn.XLOOKUP(FI$7,'Product Eng - BE'!$M$6:$BM$6,'Product Eng - BE'!$M$12:$BM$12)))</f>
        <v>2.8</v>
      </c>
      <c r="FJ46" s="223">
        <f>IF(FJ$7&gt;$D$3,"",IF($FA44&lt;FJ$7,"OD",_xlfn.XLOOKUP(FJ$7,'Product Eng - BE'!$M$6:$BM$6,'Product Eng - BE'!$M$12:$BM$12)))</f>
        <v>5</v>
      </c>
      <c r="FK46" s="223">
        <f>IF(FK$7&gt;$D$3,"",IF($FA44&lt;FK$7,"OD",_xlfn.XLOOKUP(FK$7,'Product Eng - BE'!$M$6:$BM$6,'Product Eng - BE'!$M$12:$BM$12)))</f>
        <v>5</v>
      </c>
      <c r="FL46" s="223">
        <f>IF(FL$7&gt;$D$3,"",IF($FA44&lt;FL$7,"OD",_xlfn.XLOOKUP(FL$7,'Product Eng - BE'!$M$6:$BM$6,'Product Eng - BE'!$M$12:$BM$12)))</f>
        <v>3.8</v>
      </c>
      <c r="FM46" s="223">
        <f>IF(FM$7&gt;$D$3,"",IF($FA44&lt;FM$7,"OD",_xlfn.XLOOKUP(FM$7,'Product Eng - BE'!$M$6:$BM$6,'Product Eng - BE'!$M$12:$BM$12)))</f>
        <v>2.6</v>
      </c>
      <c r="FN46" s="223">
        <f>IF(FN$7&gt;$D$3,"",IF($FA44&lt;FN$7,"OD",_xlfn.XLOOKUP(FN$7,'Product Eng - BE'!$M$6:$BM$6,'Product Eng - BE'!$M$12:$BM$12)))</f>
        <v>1.6</v>
      </c>
      <c r="FO46" s="223">
        <f>IF(FO$7&gt;$D$3,"",IF($FA44&lt;FO$7,"OD",_xlfn.XLOOKUP(FO$7,'Product Eng - BE'!$M$6:$BM$6,'Product Eng - BE'!$M$12:$BM$12)))</f>
        <v>6.4</v>
      </c>
      <c r="FP46" s="223">
        <f>IF(FP$7&gt;$D$3,"",IF($FA44&lt;FP$7,"OD",_xlfn.XLOOKUP(FP$7,'Product Eng - BE'!$M$6:$BM$6,'Product Eng - BE'!$M$12:$BM$12)))</f>
        <v>2.25</v>
      </c>
      <c r="FQ46" s="223">
        <f>IF(FQ$7&gt;$D$3,"",IF($FA44&lt;FQ$7,"OD",_xlfn.XLOOKUP(FQ$7,'Product Eng - BE'!$M$6:$BM$6,'Product Eng - BE'!$M$12:$BM$12)))</f>
        <v>6</v>
      </c>
      <c r="FR46" s="223">
        <f>IF(FR$7&gt;$D$3,"",IF($FA44&lt;FR$7,"OD",_xlfn.XLOOKUP(FR$7,'Product Eng - BE'!$M$6:$BM$6,'Product Eng - BE'!$M$12:$BM$12)))</f>
        <v>8.8000000000000007</v>
      </c>
      <c r="FS46" s="223">
        <f>IF(FS$7&gt;$D$3,"",IF($FA44&lt;FS$7,"OD",_xlfn.XLOOKUP(FS$7,'Product Eng - BE'!$M$6:$BM$6,'Product Eng - BE'!$M$12:$BM$12)))</f>
        <v>4.3</v>
      </c>
      <c r="FT46" s="223">
        <f>IF(FT$7&gt;$D$3,"",IF($FA44&lt;FT$7,"OD",_xlfn.XLOOKUP(FT$7,'Product Eng - BE'!$M$6:$BM$6,'Product Eng - BE'!$M$12:$BM$12)))</f>
        <v>3.5</v>
      </c>
      <c r="FU46" s="223">
        <f>IF(FU$7&gt;$D$3,"",IF($FA44&lt;FU$7,"OD",_xlfn.XLOOKUP(FU$7,'Product Eng - BE'!$M$6:$BM$6,'Product Eng - BE'!$M$12:$BM$12)))</f>
        <v>2.5</v>
      </c>
      <c r="FV46" s="223">
        <f>IF(FV$7&gt;$D$3,"",IF($FA44&lt;FV$7,"OD",_xlfn.XLOOKUP(FV$7,'Product Eng - BE'!$M$6:$BM$6,'Product Eng - BE'!$M$12:$BM$12)))</f>
        <v>1.8</v>
      </c>
      <c r="FW46" s="223">
        <f>IF(FW$7&gt;$D$3,"",IF($FA44&lt;FW$7,"OD",_xlfn.XLOOKUP(FW$7,'Product Eng - BE'!$M$6:$BM$6,'Product Eng - BE'!$M$12:$BM$12)))</f>
        <v>4</v>
      </c>
      <c r="FX46" s="223">
        <f>IF(FX$7&gt;$D$3,"",IF($FA44&lt;FX$7,"OD",_xlfn.XLOOKUP(FX$7,'Product Eng - BE'!$M$6:$BM$6,'Product Eng - BE'!$M$12:$BM$12)))</f>
        <v>3</v>
      </c>
      <c r="FY46" s="223">
        <f>IF(FY$7&gt;$D$3,"",IF($FA44&lt;FY$7,"OD",_xlfn.XLOOKUP(FY$7,'Product Eng - BE'!$M$6:$BM$6,'Product Eng - BE'!$M$12:$BM$12)))</f>
        <v>2</v>
      </c>
      <c r="FZ46" s="223">
        <f>IF(FZ$7&gt;$D$3,"",IF($FA44&lt;FZ$7,"OD",_xlfn.XLOOKUP(FZ$7,'Product Eng - BE'!$M$6:$BM$6,'Product Eng - BE'!$M$12:$BM$12)))</f>
        <v>3</v>
      </c>
      <c r="GA46" s="223">
        <f>IF(GA$7&gt;$D$3,"",IF($FA44&lt;GA$7,"OD",_xlfn.XLOOKUP(GA$7,'Product Eng - BE'!$M$6:$BM$6,'Product Eng - BE'!$M$12:$BM$12)))</f>
        <v>3</v>
      </c>
      <c r="GB46" s="223">
        <f>IF(GB$7&gt;$D$3,"",IF($FA44&lt;GB$7,"OD",_xlfn.XLOOKUP(GB$7,'Product Eng - BE'!$M$6:$BM$6,'Product Eng - BE'!$M$12:$BM$12)))</f>
        <v>4</v>
      </c>
      <c r="GC46" s="223">
        <f>IF(GC$7&gt;$D$3,"",IF($FA44&lt;GC$7,"OD",_xlfn.XLOOKUP(GC$7,'Product Eng - BE'!$M$6:$BM$6,'Product Eng - BE'!$M$12:$BM$12)))</f>
        <v>4</v>
      </c>
      <c r="GD46" s="223">
        <f>IF(GD$7&gt;$D$3,"",IF($FA44&lt;GD$7,"OD",_xlfn.XLOOKUP(GD$7,'Product Eng - BE'!$M$6:$BM$6,'Product Eng - BE'!$M$12:$BM$12)))</f>
        <v>4</v>
      </c>
      <c r="GE46" s="223">
        <f>IF(GE$7&gt;$D$3,"",IF($FA44&lt;GE$7,"OD",_xlfn.XLOOKUP(GE$7,'Product Eng - BE'!$M$6:$BM$6,'Product Eng - BE'!$M$12:$BM$12)))</f>
        <v>3.5</v>
      </c>
      <c r="GF46" s="223">
        <f>IF(GF$7&gt;$D$3,"",IF($FA44&lt;GF$7,"OD",_xlfn.XLOOKUP(GF$7,'Product Eng - BE'!$M$6:$BM$6,'Product Eng - BE'!$M$12:$BM$12)))</f>
        <v>2</v>
      </c>
      <c r="GG46" s="223">
        <f>IF(GG$7&gt;$D$3,"",IF($FA44&lt;GG$7,"OD",_xlfn.XLOOKUP(GG$7,'Product Eng - BE'!$M$6:$BM$6,'Product Eng - BE'!$M$12:$BM$12)))</f>
        <v>3.3</v>
      </c>
      <c r="GH46" s="223">
        <f>IF(GH$7&gt;$D$3,"",IF($FA44&lt;GH$7,"OD",_xlfn.XLOOKUP(GH$7,'Product Eng - BE'!$M$6:$BM$6,'Product Eng - BE'!$M$12:$BM$12)))</f>
        <v>1.75</v>
      </c>
      <c r="GI46" s="223">
        <f>IF(GI$7&gt;$D$3,"",IF($FA44&lt;GI$7,"OD",_xlfn.XLOOKUP(GI$7,'Product Eng - BE'!$M$6:$BM$6,'Product Eng - BE'!$M$12:$BM$12)))</f>
        <v>4</v>
      </c>
      <c r="GJ46" s="223">
        <f>IF(GJ$7&gt;$D$3,"",IF($FA44&lt;GJ$7,"OD",_xlfn.XLOOKUP(GJ$7,'Product Eng - BE'!$M$6:$BM$6,'Product Eng - BE'!$M$12:$BM$12)))</f>
        <v>3</v>
      </c>
      <c r="GK46" s="223">
        <f>IF(GK$7&gt;$D$3,"",IF($FA44&lt;GK$7,"OD",_xlfn.XLOOKUP(GK$7,'Product Eng - BE'!$M$6:$BM$6,'Product Eng - BE'!$M$12:$BM$12)))</f>
        <v>2</v>
      </c>
      <c r="GL46" s="223">
        <f>IF(GL$7&gt;$D$3,"",IF($FA44&lt;GL$7,"OD",_xlfn.XLOOKUP(GL$7,'Product Eng - BE'!$M$6:$BM$6,'Product Eng - BE'!$M$12:$BM$12)))</f>
        <v>8</v>
      </c>
      <c r="GM46" s="223">
        <f>IF(GM$7&gt;$D$3,"",IF($FA44&lt;GM$7,"OD",_xlfn.XLOOKUP(GM$7,'Product Eng - BE'!$M$6:$BM$6,'Product Eng - BE'!$M$12:$BM$12)))</f>
        <v>10</v>
      </c>
      <c r="GN46" s="223">
        <f>IF(GN$7&gt;$D$3,"",IF($FA44&lt;GN$7,"OD",_xlfn.XLOOKUP(GN$7,'Product Eng - BE'!$M$6:$BM$6,'Product Eng - BE'!$M$12:$BM$12)))</f>
        <v>6</v>
      </c>
      <c r="GO46" s="223">
        <f>IF(GO$7&gt;$D$3,"",IF($FA44&lt;GO$7,"OD",_xlfn.XLOOKUP(GO$7,'Product Eng - BE'!$M$6:$BM$6,'Product Eng - BE'!$M$12:$BM$12)))</f>
        <v>4</v>
      </c>
      <c r="GP46" s="223">
        <f>IF(GP$7&gt;$D$3,"",IF($FA44&lt;GP$7,"OD",_xlfn.XLOOKUP(GP$7,'Product Eng - BE'!$M$6:$BM$6,'Product Eng - BE'!$M$12:$BM$12)))</f>
        <v>6</v>
      </c>
      <c r="GQ46" s="223">
        <f>IF(GQ$7&gt;$D$3,"",IF($FA44&lt;GQ$7,"OD",_xlfn.XLOOKUP(GQ$7,'Product Eng - BE'!$M$6:$BM$6,'Product Eng - BE'!$M$12:$BM$12)))</f>
        <v>3</v>
      </c>
      <c r="GR46" s="223">
        <f>IF(GR$7&gt;$D$3,"",IF($FA44&lt;GR$7,"OD",_xlfn.XLOOKUP(GR$7,'Product Eng - BE'!$M$6:$BM$6,'Product Eng - BE'!$M$12:$BM$12)))</f>
        <v>0</v>
      </c>
      <c r="GS46" s="223" t="str">
        <f>IF(GS$7&gt;$D$3,"",IF($FA44&lt;GS$7,"OD",_xlfn.XLOOKUP(GS$7,'Product Eng - BE'!$M$6:$BM$6,'Product Eng - BE'!$M$12:$BM$12)))</f>
        <v/>
      </c>
      <c r="GT46" s="223" t="str">
        <f>IF(GT$7&gt;$D$3,"",IF($FA44&lt;GT$7,"OD",_xlfn.XLOOKUP(GT$7,'Product Eng - BE'!$M$6:$BM$6,'Product Eng - BE'!$M$12:$BM$12)))</f>
        <v/>
      </c>
      <c r="GU46" s="223" t="str">
        <f>IF(GU$7&gt;$D$3,"",IF($FA44&lt;GU$7,"OD",_xlfn.XLOOKUP(GU$7,'Product Eng - BE'!$M$6:$BM$6,'Product Eng - BE'!$M$12:$BM$12)))</f>
        <v/>
      </c>
      <c r="GV46" s="223" t="str">
        <f>IF(GV$7&gt;$D$3,"",IF($FA44&lt;GV$7,"OD",_xlfn.XLOOKUP(GV$7,'Product Eng - BE'!$M$6:$BM$6,'Product Eng - BE'!$M$12:$BM$12)))</f>
        <v/>
      </c>
      <c r="GW46" s="223" t="str">
        <f>IF(GW$7&gt;$D$3,"",IF($FA44&lt;GW$7,"OD",_xlfn.XLOOKUP(GW$7,'Product Eng - BE'!$M$6:$BM$6,'Product Eng - BE'!$M$12:$BM$12)))</f>
        <v/>
      </c>
      <c r="GX46" s="223" t="str">
        <f>IF(GX$7&gt;$D$3,"",IF($FA44&lt;GX$7,"OD",_xlfn.XLOOKUP(GX$7,'Product Eng - BE'!$M$6:$BM$6,'Product Eng - BE'!$M$12:$BM$12)))</f>
        <v/>
      </c>
      <c r="GY46" s="223" t="str">
        <f>IF(GY$7&gt;$D$3,"",IF($FA44&lt;GY$7,"OD",_xlfn.XLOOKUP(GY$7,'Product Eng - BE'!$M$6:$BM$6,'Product Eng - BE'!$M$12:$BM$12)))</f>
        <v/>
      </c>
      <c r="GZ46" s="223" t="str">
        <f>IF(GZ$7&gt;$D$3,"",IF($FA44&lt;GZ$7,"OD",_xlfn.XLOOKUP(GZ$7,'Product Eng - BE'!$M$6:$BM$6,'Product Eng - BE'!$M$12:$BM$12)))</f>
        <v/>
      </c>
      <c r="HA46" s="223" t="str">
        <f>IF(HA$7&gt;$D$3,"",IF($FA44&lt;HA$7,"OD",_xlfn.XLOOKUP(HA$7,'Product Eng - BE'!$M$6:$BM$6,'Product Eng - BE'!$M$12:$BM$12)))</f>
        <v/>
      </c>
      <c r="HB46" s="223" t="str">
        <f>IF(HB$7&gt;$D$3,"",IF($FA44&lt;HB$7,"OD",_xlfn.XLOOKUP(HB$7,'Product Eng - BE'!$M$6:$BM$6,'Product Eng - BE'!$M$12:$BM$12)))</f>
        <v/>
      </c>
      <c r="HC46" s="223" t="str">
        <f>IF(HC$7&gt;$D$3,"",IF($FA44&lt;HC$7,"OD",_xlfn.XLOOKUP(HC$7,'Product Eng - BE'!$M$6:$BM$6,'Product Eng - BE'!$M$12:$BM$12)))</f>
        <v/>
      </c>
      <c r="HE46" s="136" t="str">
        <f>+$C46</f>
        <v>KPI D1</v>
      </c>
      <c r="HF46" s="144" t="str">
        <f>+$D46</f>
        <v>Delivery</v>
      </c>
      <c r="HG46" s="144" t="str">
        <f t="shared" si="149"/>
        <v>BOM Lead time</v>
      </c>
      <c r="HH46" s="145" t="str">
        <f t="shared" si="150"/>
        <v>Days</v>
      </c>
      <c r="HI46" s="145" t="s">
        <v>44</v>
      </c>
      <c r="HJ46" s="223" t="s">
        <v>122</v>
      </c>
      <c r="HK46" s="223">
        <f>IF(HK$7&gt;$D$3,"",IF($FA44&lt;HK$7,"OD",_xlfn.XLOOKUP(HK$7,'Product Eng - BE'!$M$6:$BM$6,'Product Eng - BE'!$M$11:$BM$11)))</f>
        <v>5</v>
      </c>
      <c r="HL46" s="223">
        <f>IF(HL$7&gt;$D$3,"",IF($FA44&lt;HL$7,"OD",_xlfn.XLOOKUP(HL$7,'Product Eng - BE'!$M$6:$BM$6,'Product Eng - BE'!$M$11:$BM$11)))</f>
        <v>5</v>
      </c>
      <c r="HM46" s="223">
        <f>IF(HM$7&gt;$D$3,"",IF($FA44&lt;HM$7,"OD",_xlfn.XLOOKUP(HM$7,'Product Eng - BE'!$M$6:$BM$6,'Product Eng - BE'!$M$11:$BM$11)))</f>
        <v>5</v>
      </c>
      <c r="HN46" s="223">
        <f>IF(HN$7&gt;$D$3,"",IF($FA44&lt;HN$7,"OD",_xlfn.XLOOKUP(HN$7,'Product Eng - BE'!$M$6:$BM$6,'Product Eng - BE'!$M$11:$BM$11)))</f>
        <v>5</v>
      </c>
      <c r="HO46" s="223">
        <f>IF(HO$7&gt;$D$3,"",IF($FA44&lt;HO$7,"OD",_xlfn.XLOOKUP(HO$7,'Product Eng - BE'!$M$6:$BM$6,'Product Eng - BE'!$M$11:$BM$11)))</f>
        <v>5</v>
      </c>
      <c r="HP46" s="223">
        <f>IF(HP$7&gt;$D$3,"",IF($FA44&lt;HP$7,"OD",_xlfn.XLOOKUP(HP$7,'Product Eng - BE'!$M$6:$BM$6,'Product Eng - BE'!$M$11:$BM$11)))</f>
        <v>5</v>
      </c>
      <c r="HQ46" s="223">
        <f>IF(HQ$7&gt;$D$3,"",IF($FA44&lt;HQ$7,"OD",_xlfn.XLOOKUP(HQ$7,'Product Eng - BE'!$M$6:$BM$6,'Product Eng - BE'!$M$11:$BM$11)))</f>
        <v>5</v>
      </c>
      <c r="HR46" s="223">
        <f>IF(HR$7&gt;$D$3,"",IF($FA44&lt;HR$7,"OD",_xlfn.XLOOKUP(HR$7,'Product Eng - BE'!$M$6:$BM$6,'Product Eng - BE'!$M$11:$BM$11)))</f>
        <v>5</v>
      </c>
      <c r="HS46" s="223">
        <f>IF(HS$7&gt;$D$3,"",IF($FA44&lt;HS$7,"OD",_xlfn.XLOOKUP(HS$7,'Product Eng - BE'!$M$6:$BM$6,'Product Eng - BE'!$M$11:$BM$11)))</f>
        <v>5</v>
      </c>
      <c r="HT46" s="223">
        <f>IF(HT$7&gt;$D$3,"",IF($FA44&lt;HT$7,"OD",_xlfn.XLOOKUP(HT$7,'Product Eng - BE'!$M$6:$BM$6,'Product Eng - BE'!$M$11:$BM$11)))</f>
        <v>5</v>
      </c>
      <c r="HU46" s="223">
        <f>IF(HU$7&gt;$D$3,"",IF($FA44&lt;HU$7,"OD",_xlfn.XLOOKUP(HU$7,'Product Eng - BE'!$M$6:$BM$6,'Product Eng - BE'!$M$11:$BM$11)))</f>
        <v>5</v>
      </c>
      <c r="HV46" s="223">
        <f>IF(HV$7&gt;$D$3,"",IF($FA44&lt;HV$7,"OD",_xlfn.XLOOKUP(HV$7,'Product Eng - BE'!$M$6:$BM$6,'Product Eng - BE'!$M$11:$BM$11)))</f>
        <v>5</v>
      </c>
      <c r="HW46" s="223">
        <f>IF(HW$7&gt;$D$3,"",IF($FA44&lt;HW$7,"OD",_xlfn.XLOOKUP(HW$7,'Product Eng - BE'!$M$6:$BM$6,'Product Eng - BE'!$M$11:$BM$11)))</f>
        <v>5</v>
      </c>
      <c r="HX46" s="223">
        <f>IF(HX$7&gt;$D$3,"",IF($FA44&lt;HX$7,"OD",_xlfn.XLOOKUP(HX$7,'Product Eng - BE'!$M$6:$BM$6,'Product Eng - BE'!$M$11:$BM$11)))</f>
        <v>5</v>
      </c>
      <c r="HY46" s="223">
        <f>IF(HY$7&gt;$D$3,"",IF($FA44&lt;HY$7,"OD",_xlfn.XLOOKUP(HY$7,'Product Eng - BE'!$M$6:$BM$6,'Product Eng - BE'!$M$11:$BM$11)))</f>
        <v>5</v>
      </c>
      <c r="HZ46" s="223">
        <f>IF(HZ$7&gt;$D$3,"",IF($FA44&lt;HZ$7,"OD",_xlfn.XLOOKUP(HZ$7,'Product Eng - BE'!$M$6:$BM$6,'Product Eng - BE'!$M$11:$BM$11)))</f>
        <v>5</v>
      </c>
      <c r="IA46" s="223">
        <f>IF(IA$7&gt;$D$3,"",IF($FA44&lt;IA$7,"OD",_xlfn.XLOOKUP(IA$7,'Product Eng - BE'!$M$6:$BM$6,'Product Eng - BE'!$M$11:$BM$11)))</f>
        <v>5</v>
      </c>
      <c r="IB46" s="223">
        <f>IF(IB$7&gt;$D$3,"",IF($FA44&lt;IB$7,"OD",_xlfn.XLOOKUP(IB$7,'Product Eng - BE'!$M$6:$BM$6,'Product Eng - BE'!$M$11:$BM$11)))</f>
        <v>5</v>
      </c>
      <c r="IC46" s="223">
        <f>IF(IC$7&gt;$D$3,"",IF($FA44&lt;IC$7,"OD",_xlfn.XLOOKUP(IC$7,'Product Eng - BE'!$M$6:$BM$6,'Product Eng - BE'!$M$11:$BM$11)))</f>
        <v>5</v>
      </c>
      <c r="ID46" s="223">
        <f>IF(ID$7&gt;$D$3,"",IF($FA44&lt;ID$7,"OD",_xlfn.XLOOKUP(ID$7,'Product Eng - BE'!$M$6:$BM$6,'Product Eng - BE'!$M$11:$BM$11)))</f>
        <v>5</v>
      </c>
      <c r="IE46" s="223">
        <f>IF(IE$7&gt;$D$3,"",IF($FA44&lt;IE$7,"OD",_xlfn.XLOOKUP(IE$7,'Product Eng - BE'!$M$6:$BM$6,'Product Eng - BE'!$M$11:$BM$11)))</f>
        <v>5</v>
      </c>
      <c r="IF46" s="223">
        <f>IF(IF$7&gt;$D$3,"",IF($FA44&lt;IF$7,"OD",_xlfn.XLOOKUP(IF$7,'Product Eng - BE'!$M$6:$BM$6,'Product Eng - BE'!$M$11:$BM$11)))</f>
        <v>5</v>
      </c>
      <c r="IG46" s="223">
        <f>IF(IG$7&gt;$D$3,"",IF($FA44&lt;IG$7,"OD",_xlfn.XLOOKUP(IG$7,'Product Eng - BE'!$M$6:$BM$6,'Product Eng - BE'!$M$11:$BM$11)))</f>
        <v>5</v>
      </c>
      <c r="IH46" s="223">
        <f>IF(IH$7&gt;$D$3,"",IF($FA44&lt;IH$7,"OD",_xlfn.XLOOKUP(IH$7,'Product Eng - BE'!$M$6:$BM$6,'Product Eng - BE'!$M$11:$BM$11)))</f>
        <v>5</v>
      </c>
      <c r="II46" s="223">
        <f>IF(II$7&gt;$D$3,"",IF($FA44&lt;II$7,"OD",_xlfn.XLOOKUP(II$7,'Product Eng - BE'!$M$6:$BM$6,'Product Eng - BE'!$M$11:$BM$11)))</f>
        <v>5</v>
      </c>
      <c r="IJ46" s="223">
        <f>IF(IJ$7&gt;$D$3,"",IF($FA44&lt;IJ$7,"OD",_xlfn.XLOOKUP(IJ$7,'Product Eng - BE'!$M$6:$BM$6,'Product Eng - BE'!$M$11:$BM$11)))</f>
        <v>5</v>
      </c>
      <c r="IK46" s="223">
        <f>IF(IK$7&gt;$D$3,"",IF($FA44&lt;IK$7,"OD",_xlfn.XLOOKUP(IK$7,'Product Eng - BE'!$M$6:$BM$6,'Product Eng - BE'!$M$11:$BM$11)))</f>
        <v>5</v>
      </c>
      <c r="IL46" s="223">
        <f>IF(IL$7&gt;$D$3,"",IF($FA44&lt;IL$7,"OD",_xlfn.XLOOKUP(IL$7,'Product Eng - BE'!$M$6:$BM$6,'Product Eng - BE'!$M$11:$BM$11)))</f>
        <v>5</v>
      </c>
      <c r="IM46" s="223">
        <f>IF(IM$7&gt;$D$3,"",IF($FA44&lt;IM$7,"OD",_xlfn.XLOOKUP(IM$7,'Product Eng - BE'!$M$6:$BM$6,'Product Eng - BE'!$M$11:$BM$11)))</f>
        <v>5</v>
      </c>
      <c r="IN46" s="223">
        <f>IF(IN$7&gt;$D$3,"",IF($FA44&lt;IN$7,"OD",_xlfn.XLOOKUP(IN$7,'Product Eng - BE'!$M$6:$BM$6,'Product Eng - BE'!$M$11:$BM$11)))</f>
        <v>5</v>
      </c>
      <c r="IO46" s="223">
        <f>IF(IO$7&gt;$D$3,"",IF($FA44&lt;IO$7,"OD",_xlfn.XLOOKUP(IO$7,'Product Eng - BE'!$M$6:$BM$6,'Product Eng - BE'!$M$11:$BM$11)))</f>
        <v>5</v>
      </c>
      <c r="IP46" s="223">
        <f>IF(IP$7&gt;$D$3,"",IF($FA44&lt;IP$7,"OD",_xlfn.XLOOKUP(IP$7,'Product Eng - BE'!$M$6:$BM$6,'Product Eng - BE'!$M$11:$BM$11)))</f>
        <v>5</v>
      </c>
      <c r="IQ46" s="223">
        <f>IF(IQ$7&gt;$D$3,"",IF($FA44&lt;IQ$7,"OD",_xlfn.XLOOKUP(IQ$7,'Product Eng - BE'!$M$6:$BM$6,'Product Eng - BE'!$M$11:$BM$11)))</f>
        <v>5</v>
      </c>
      <c r="IR46" s="223">
        <f>IF(IR$7&gt;$D$3,"",IF($FA44&lt;IR$7,"OD",_xlfn.XLOOKUP(IR$7,'Product Eng - BE'!$M$6:$BM$6,'Product Eng - BE'!$M$11:$BM$11)))</f>
        <v>5</v>
      </c>
      <c r="IS46" s="223">
        <f>IF(IS$7&gt;$D$3,"",IF($FA44&lt;IS$7,"OD",_xlfn.XLOOKUP(IS$7,'Product Eng - BE'!$M$6:$BM$6,'Product Eng - BE'!$M$11:$BM$11)))</f>
        <v>5</v>
      </c>
      <c r="IT46" s="223">
        <f>IF(IT$7&gt;$D$3,"",IF($FA44&lt;IT$7,"OD",_xlfn.XLOOKUP(IT$7,'Product Eng - BE'!$M$6:$BM$6,'Product Eng - BE'!$M$11:$BM$11)))</f>
        <v>5</v>
      </c>
      <c r="IU46" s="223">
        <f>IF(IU$7&gt;$D$3,"",IF($FA44&lt;IU$7,"OD",_xlfn.XLOOKUP(IU$7,'Product Eng - BE'!$M$6:$BM$6,'Product Eng - BE'!$M$11:$BM$11)))</f>
        <v>5</v>
      </c>
      <c r="IV46" s="223">
        <f>IF(IV$7&gt;$D$3,"",IF($FA44&lt;IV$7,"OD",_xlfn.XLOOKUP(IV$7,'Product Eng - BE'!$M$6:$BM$6,'Product Eng - BE'!$M$11:$BM$11)))</f>
        <v>5</v>
      </c>
      <c r="IW46" s="223">
        <f>IF(IW$7&gt;$D$3,"",IF($FA44&lt;IW$7,"OD",_xlfn.XLOOKUP(IW$7,'Product Eng - BE'!$M$6:$BM$6,'Product Eng - BE'!$M$11:$BM$11)))</f>
        <v>5</v>
      </c>
      <c r="IX46" s="223">
        <f>IF(IX$7&gt;$D$3,"",IF($FA44&lt;IX$7,"OD",_xlfn.XLOOKUP(IX$7,'Product Eng - BE'!$M$6:$BM$6,'Product Eng - BE'!$M$11:$BM$11)))</f>
        <v>5</v>
      </c>
      <c r="IY46" s="223">
        <f>IF(IY$7&gt;$D$3,"",IF($FA44&lt;IY$7,"OD",_xlfn.XLOOKUP(IY$7,'Product Eng - BE'!$M$6:$BM$6,'Product Eng - BE'!$M$11:$BM$11)))</f>
        <v>5</v>
      </c>
      <c r="IZ46" s="223" t="str">
        <f>IF(IZ$7&gt;$D$3,"",IF($FA44&lt;IZ$7,"OD",_xlfn.XLOOKUP(IZ$7,'Product Eng - BE'!$M$6:$BM$6,'Product Eng - BE'!$M$11:$BM$11)))</f>
        <v/>
      </c>
      <c r="JA46" s="223" t="str">
        <f>IF(JA$7&gt;$D$3,"",IF($FA44&lt;JA$7,"OD",_xlfn.XLOOKUP(JA$7,'Product Eng - BE'!$M$6:$BM$6,'Product Eng - BE'!$M$11:$BM$11)))</f>
        <v/>
      </c>
      <c r="JB46" s="223" t="str">
        <f>IF(JB$7&gt;$D$3,"",IF($FA44&lt;JB$7,"OD",_xlfn.XLOOKUP(JB$7,'Product Eng - BE'!$M$6:$BM$6,'Product Eng - BE'!$M$11:$BM$11)))</f>
        <v/>
      </c>
      <c r="JC46" s="223" t="str">
        <f>IF(JC$7&gt;$D$3,"",IF($FA44&lt;JC$7,"OD",_xlfn.XLOOKUP(JC$7,'Product Eng - BE'!$M$6:$BM$6,'Product Eng - BE'!$M$11:$BM$11)))</f>
        <v/>
      </c>
      <c r="JD46" s="223" t="str">
        <f>IF(JD$7&gt;$D$3,"",IF($FA44&lt;JD$7,"OD",_xlfn.XLOOKUP(JD$7,'Product Eng - BE'!$M$6:$BM$6,'Product Eng - BE'!$M$11:$BM$11)))</f>
        <v/>
      </c>
      <c r="JE46" s="223" t="str">
        <f>IF(JE$7&gt;$D$3,"",IF($FA44&lt;JE$7,"OD",_xlfn.XLOOKUP(JE$7,'Product Eng - BE'!$M$6:$BM$6,'Product Eng - BE'!$M$11:$BM$11)))</f>
        <v/>
      </c>
      <c r="JF46" s="223" t="str">
        <f>IF(JF$7&gt;$D$3,"",IF($FA44&lt;JF$7,"OD",_xlfn.XLOOKUP(JF$7,'Product Eng - BE'!$M$6:$BM$6,'Product Eng - BE'!$M$11:$BM$11)))</f>
        <v/>
      </c>
      <c r="JG46" s="223" t="str">
        <f>IF(JG$7&gt;$D$3,"",IF($FA44&lt;JG$7,"OD",_xlfn.XLOOKUP(JG$7,'Product Eng - BE'!$M$6:$BM$6,'Product Eng - BE'!$M$11:$BM$11)))</f>
        <v/>
      </c>
      <c r="JH46" s="223" t="str">
        <f>IF(JH$7&gt;$D$3,"",IF($FA44&lt;JH$7,"OD",_xlfn.XLOOKUP(JH$7,'Product Eng - BE'!$M$6:$BM$6,'Product Eng - BE'!$M$11:$BM$11)))</f>
        <v/>
      </c>
      <c r="JI46" s="223" t="str">
        <f>IF(JI$7&gt;$D$3,"",IF($FA44&lt;JI$7,"OD",_xlfn.XLOOKUP(JI$7,'Product Eng - BE'!$M$6:$BM$6,'Product Eng - BE'!$M$11:$BM$11)))</f>
        <v/>
      </c>
      <c r="JJ46" s="223" t="str">
        <f>IF(JJ$7&gt;$D$3,"",IF($FA44&lt;JJ$7,"OD",_xlfn.XLOOKUP(JJ$7,'Product Eng - BE'!$M$6:$BM$6,'Product Eng - BE'!$M$11:$BM$11)))</f>
        <v/>
      </c>
      <c r="JM46" s="136" t="str">
        <f>+$C46</f>
        <v>KPI D1</v>
      </c>
      <c r="JN46" s="144" t="str">
        <f>+$D46</f>
        <v>Delivery</v>
      </c>
      <c r="JO46" s="144" t="str">
        <f t="shared" si="154"/>
        <v>BOM Lead time</v>
      </c>
      <c r="JP46" s="145" t="str">
        <f t="shared" si="155"/>
        <v>Days</v>
      </c>
      <c r="JQ46" s="145" t="s">
        <v>284</v>
      </c>
      <c r="JR46" s="226" t="str">
        <f>IFERROR(AVERAGE(FC46:$FC46),"")</f>
        <v/>
      </c>
      <c r="JS46" s="226">
        <f>IFERROR(AVERAGE($FC46:FD46),"")</f>
        <v>6.4</v>
      </c>
      <c r="JT46" s="226">
        <f>IFERROR(AVERAGE($FC46:FE46),"")</f>
        <v>4.7</v>
      </c>
      <c r="JU46" s="226">
        <f>IFERROR(AVERAGE($FC46:FF46),"")</f>
        <v>6.1333333333333329</v>
      </c>
      <c r="JV46" s="226">
        <f>IFERROR(AVERAGE($FC46:FG46),"")</f>
        <v>6.25</v>
      </c>
      <c r="JW46" s="226">
        <f>IFERROR(AVERAGE($FC46:FH46),"")</f>
        <v>6.2799999999999994</v>
      </c>
      <c r="JX46" s="226">
        <f>IFERROR(AVERAGE($FC46:FI46),"")</f>
        <v>5.6999999999999993</v>
      </c>
      <c r="JY46" s="226">
        <f>IFERROR(AVERAGE($FC46:FJ46),"")</f>
        <v>5.6</v>
      </c>
      <c r="JZ46" s="226">
        <f>IFERROR(AVERAGE($FC46:FK46),"")</f>
        <v>5.5249999999999995</v>
      </c>
      <c r="KA46" s="226">
        <f>IFERROR(AVERAGE($FC46:FL46),"")</f>
        <v>5.3333333333333321</v>
      </c>
      <c r="KB46" s="226">
        <f>IFERROR(AVERAGE($FC46:FM46),"")</f>
        <v>5.0599999999999996</v>
      </c>
      <c r="KC46" s="226">
        <f>IFERROR(AVERAGE($FC46:FN46),"")</f>
        <v>4.7454545454545451</v>
      </c>
      <c r="KD46" s="226">
        <f>IFERROR(AVERAGE($FC46:FO46),"")</f>
        <v>4.8833333333333329</v>
      </c>
      <c r="KE46" s="226">
        <f>IFERROR(AVERAGE($FC46:FP46),"")</f>
        <v>4.6807692307692301</v>
      </c>
      <c r="KF46" s="226">
        <f>IFERROR(AVERAGE($FC46:FQ46),"")</f>
        <v>4.7749999999999995</v>
      </c>
      <c r="KG46" s="226">
        <f>IFERROR(AVERAGE($FC46:FR46),"")</f>
        <v>5.043333333333333</v>
      </c>
      <c r="KH46" s="226">
        <f>IFERROR(AVERAGE($FC46:FS46),"")</f>
        <v>4.9968749999999993</v>
      </c>
      <c r="KI46" s="226">
        <f>IFERROR(AVERAGE($FC46:FT46),"")</f>
        <v>4.9088235294117641</v>
      </c>
      <c r="KJ46" s="226">
        <f>IFERROR(AVERAGE($FC46:FU46),"")</f>
        <v>4.7749999999999995</v>
      </c>
      <c r="KK46" s="226">
        <f>IFERROR(AVERAGE($FC46:FV46),"")</f>
        <v>4.6184210526315779</v>
      </c>
      <c r="KL46" s="226">
        <f>IFERROR(AVERAGE($FC46:FW46),"")</f>
        <v>4.5874999999999995</v>
      </c>
      <c r="KM46" s="226">
        <f>IFERROR(AVERAGE($FC46:FX46),"")</f>
        <v>4.511904761904761</v>
      </c>
      <c r="KN46" s="226">
        <f>IFERROR(AVERAGE($FC46:FY46),"")</f>
        <v>4.3977272727272725</v>
      </c>
      <c r="KO46" s="226">
        <f>IFERROR(AVERAGE($FC46:FZ46),"")</f>
        <v>4.3369565217391299</v>
      </c>
      <c r="KP46" s="226">
        <f>IFERROR(AVERAGE($FC46:GA46),"")</f>
        <v>4.2812499999999991</v>
      </c>
      <c r="KQ46" s="226">
        <f>IFERROR(AVERAGE($FC46:GB46),"")</f>
        <v>4.2699999999999996</v>
      </c>
      <c r="KR46" s="226">
        <f>IFERROR(AVERAGE($FC46:GC46),"")</f>
        <v>4.2596153846153841</v>
      </c>
      <c r="KS46" s="226">
        <f>IFERROR(AVERAGE($FC46:GD46),"")</f>
        <v>4.2499999999999991</v>
      </c>
      <c r="KT46" s="226">
        <f>IFERROR(AVERAGE($FC46:GE46),"")</f>
        <v>4.2232142857142856</v>
      </c>
      <c r="KU46" s="226">
        <f>IFERROR(AVERAGE($FC46:GF46),"")</f>
        <v>4.1465517241379306</v>
      </c>
      <c r="KV46" s="226">
        <f>IFERROR(AVERAGE($FC46:GG46),"")</f>
        <v>4.1183333333333332</v>
      </c>
      <c r="KW46" s="226">
        <f>IFERROR(AVERAGE($FC46:GH46),"")</f>
        <v>4.0419354838709669</v>
      </c>
      <c r="KX46" s="226">
        <f>IFERROR(AVERAGE($FC46:GI46),"")</f>
        <v>4.0406249999999995</v>
      </c>
      <c r="KY46" s="226">
        <f>IFERROR(AVERAGE($FC46:GJ46),"")</f>
        <v>4.0090909090909088</v>
      </c>
      <c r="KZ46" s="226">
        <f>IFERROR(AVERAGE($FC46:GK46),"")</f>
        <v>3.9499999999999993</v>
      </c>
      <c r="LA46" s="226">
        <f>IFERROR(AVERAGE($FC46:GL46),"")</f>
        <v>4.0657142857142849</v>
      </c>
      <c r="LB46" s="226">
        <f>IFERROR(AVERAGE($FC46:GM46),"")</f>
        <v>4.2305555555555552</v>
      </c>
      <c r="LC46" s="226">
        <f>IFERROR(AVERAGE($FC46:GN46),"")</f>
        <v>4.2783783783783775</v>
      </c>
      <c r="LD46" s="226">
        <f>IFERROR(AVERAGE($FC46:GO46),"")</f>
        <v>4.2710526315789465</v>
      </c>
      <c r="LE46" s="226">
        <f>IFERROR(AVERAGE($FC46:GP46),"")</f>
        <v>4.3153846153846152</v>
      </c>
      <c r="LF46" s="226">
        <f>IFERROR(AVERAGE($FC46:GQ46),"")</f>
        <v>4.2824999999999998</v>
      </c>
      <c r="LG46" s="226">
        <f>IFERROR(AVERAGE($FC46:GR46),"")</f>
        <v>4.1780487804878046</v>
      </c>
      <c r="LH46" s="226">
        <f>IFERROR(AVERAGE($FC46:GS46),"")</f>
        <v>4.1780487804878046</v>
      </c>
      <c r="LI46" s="226">
        <f>IFERROR(AVERAGE($FC46:GT46),"")</f>
        <v>4.1780487804878046</v>
      </c>
      <c r="LJ46" s="226">
        <f>IFERROR(AVERAGE($FC46:GU46),"")</f>
        <v>4.1780487804878046</v>
      </c>
      <c r="LK46" s="226">
        <f>IFERROR(AVERAGE($FC46:GV46),"")</f>
        <v>4.1780487804878046</v>
      </c>
      <c r="LL46" s="226">
        <f>IFERROR(AVERAGE($FC46:GW46),"")</f>
        <v>4.1780487804878046</v>
      </c>
      <c r="LM46" s="226">
        <f>IFERROR(AVERAGE($FC46:GX46),"")</f>
        <v>4.1780487804878046</v>
      </c>
      <c r="LN46" s="226">
        <f>IFERROR(AVERAGE($FC46:GY46),"")</f>
        <v>4.1780487804878046</v>
      </c>
      <c r="LO46" s="226">
        <f>IFERROR(AVERAGE($FC46:GZ46),"")</f>
        <v>4.1780487804878046</v>
      </c>
      <c r="LP46" s="226">
        <f>IFERROR(AVERAGE($FC46:HA46),"")</f>
        <v>4.1780487804878046</v>
      </c>
      <c r="LQ46" s="226">
        <f>IFERROR(AVERAGE($FC46:HB46),"")</f>
        <v>4.1780487804878046</v>
      </c>
      <c r="LR46" s="226">
        <f>IFERROR(AVERAGE($FC46:HC46),"")</f>
        <v>4.1780487804878046</v>
      </c>
      <c r="LT46" s="136" t="str">
        <f>+$C46</f>
        <v>KPI D1</v>
      </c>
      <c r="LU46" s="144" t="str">
        <f>+$D46</f>
        <v>Delivery</v>
      </c>
      <c r="LV46" s="144" t="str">
        <f t="shared" si="158"/>
        <v>BOM Lead time</v>
      </c>
      <c r="LW46" s="145" t="str">
        <f t="shared" si="159"/>
        <v>Days</v>
      </c>
      <c r="LX46" s="145" t="s">
        <v>285</v>
      </c>
      <c r="LY46" s="223" t="str">
        <f>IFERROR(AVERAGE($HJ46:HJ46),"")</f>
        <v/>
      </c>
      <c r="LZ46" s="223">
        <f>IFERROR(IF(LAD$7&gt;$D$3,"",AVERAGE($HJ46:HK46)),"")</f>
        <v>5</v>
      </c>
      <c r="MA46" s="223">
        <f>IFERROR(IF(MA$7&gt;$D$3,"",AVERAGE($HJ46:HL46)),"")</f>
        <v>5</v>
      </c>
      <c r="MB46" s="223">
        <f>IFERROR(IF(MB$7&gt;$D$3,"",AVERAGE($HJ46:HM46)),"")</f>
        <v>5</v>
      </c>
      <c r="MC46" s="223">
        <f>IFERROR(IF(MC$7&gt;$D$3,"",AVERAGE($HJ46:HN46)),"")</f>
        <v>5</v>
      </c>
      <c r="MD46" s="223">
        <f>IFERROR(IF(MD$7&gt;$D$3,"",AVERAGE($HJ46:HO46)),"")</f>
        <v>5</v>
      </c>
      <c r="ME46" s="223">
        <f>IFERROR(IF(ME$7&gt;$D$3,"",AVERAGE($HJ46:HP46)),"")</f>
        <v>5</v>
      </c>
      <c r="MF46" s="223">
        <f>IFERROR(IF(MF$7&gt;$D$3,"",AVERAGE($HJ46:HQ46)),"")</f>
        <v>5</v>
      </c>
      <c r="MG46" s="223">
        <f>IFERROR(IF(MG$7&gt;$D$3,"",AVERAGE($HJ46:HR46)),"")</f>
        <v>5</v>
      </c>
      <c r="MH46" s="223">
        <f>IFERROR(IF(MH$7&gt;$D$3,"",AVERAGE($HJ46:HS46)),"")</f>
        <v>5</v>
      </c>
      <c r="MI46" s="223">
        <f>IFERROR(IF(MI$7&gt;$D$3,"",AVERAGE($HJ46:HT46)),"")</f>
        <v>5</v>
      </c>
      <c r="MJ46" s="223">
        <f>IFERROR(IF(MJ$7&gt;$D$3,"",AVERAGE($HJ46:HU46)),"")</f>
        <v>5</v>
      </c>
      <c r="MK46" s="223">
        <f>IFERROR(IF(MK$7&gt;$D$3,"",AVERAGE($HJ46:HV46)),"")</f>
        <v>5</v>
      </c>
      <c r="ML46" s="223">
        <f>IFERROR(IF(ML$7&gt;$D$3,"",AVERAGE($HJ46:HW46)),"")</f>
        <v>5</v>
      </c>
      <c r="MM46" s="223">
        <f>IFERROR(IF(MM$7&gt;$D$3,"",AVERAGE($HJ46:HX46)),"")</f>
        <v>5</v>
      </c>
      <c r="MN46" s="223">
        <f>IFERROR(IF(MN$7&gt;$D$3,"",AVERAGE($HJ46:HY46)),"")</f>
        <v>5</v>
      </c>
      <c r="MO46" s="223">
        <f>IFERROR(IF(MO$7&gt;$D$3,"",AVERAGE($HJ46:HZ46)),"")</f>
        <v>5</v>
      </c>
      <c r="MP46" s="223">
        <f>IFERROR(IF(MP$7&gt;$D$3,"",AVERAGE($HJ46:IA46)),"")</f>
        <v>5</v>
      </c>
      <c r="MQ46" s="223">
        <f>IFERROR(IF(MQ$7&gt;$D$3,"",AVERAGE($HJ46:IB46)),"")</f>
        <v>5</v>
      </c>
      <c r="MR46" s="223">
        <f>IFERROR(IF(MR$7&gt;$D$3,"",AVERAGE($HJ46:IC46)),"")</f>
        <v>5</v>
      </c>
      <c r="MS46" s="223">
        <f>IFERROR(IF(MS$7&gt;$D$3,"",AVERAGE($HJ46:ID46)),"")</f>
        <v>5</v>
      </c>
      <c r="MT46" s="223">
        <f>IFERROR(IF(MT$7&gt;$D$3,"",AVERAGE($HJ46:IE46)),"")</f>
        <v>5</v>
      </c>
      <c r="MU46" s="223">
        <f>IFERROR(IF(MU$7&gt;$D$3,"",AVERAGE($HJ46:IF46)),"")</f>
        <v>5</v>
      </c>
      <c r="MV46" s="223">
        <f>IFERROR(IF(MV$7&gt;$D$3,"",AVERAGE($HJ46:IG46)),"")</f>
        <v>5</v>
      </c>
      <c r="MW46" s="223">
        <f>IFERROR(IF(MW$7&gt;$D$3,"",AVERAGE($HJ46:IH46)),"")</f>
        <v>5</v>
      </c>
      <c r="MX46" s="223">
        <f>IFERROR(IF(MX$7&gt;$D$3,"",AVERAGE($HJ46:II46)),"")</f>
        <v>5</v>
      </c>
      <c r="MY46" s="223">
        <f>IFERROR(IF(MY$7&gt;$D$3,"",AVERAGE($HJ46:IJ46)),"")</f>
        <v>5</v>
      </c>
      <c r="MZ46" s="223">
        <f>IFERROR(IF(MZ$7&gt;$D$3,"",AVERAGE($HJ46:IK46)),"")</f>
        <v>5</v>
      </c>
      <c r="NA46" s="223">
        <f>IFERROR(IF(NA$7&gt;$D$3,"",AVERAGE($HJ46:IL46)),"")</f>
        <v>5</v>
      </c>
      <c r="NB46" s="223">
        <f>IFERROR(IF(NB$7&gt;$D$3,"",AVERAGE($HJ46:IM46)),"")</f>
        <v>5</v>
      </c>
      <c r="NC46" s="223">
        <f>IFERROR(IF(NC$7&gt;$D$3,"",AVERAGE($HJ46:IN46)),"")</f>
        <v>5</v>
      </c>
      <c r="ND46" s="223">
        <f>IFERROR(IF(ND$7&gt;$D$3,"",AVERAGE($HJ46:IO46)),"")</f>
        <v>5</v>
      </c>
      <c r="NE46" s="223">
        <f>IFERROR(IF(NE$7&gt;$D$3,"",AVERAGE($HJ46:IP46)),"")</f>
        <v>5</v>
      </c>
      <c r="NF46" s="223">
        <f>IFERROR(IF(NF$7&gt;$D$3,"",AVERAGE($HJ46:IQ46)),"")</f>
        <v>5</v>
      </c>
      <c r="NG46" s="223">
        <f>IFERROR(IF(NG$7&gt;$D$3,"",AVERAGE($HJ46:IR46)),"")</f>
        <v>5</v>
      </c>
      <c r="NH46" s="223">
        <f>IFERROR(IF(NH$7&gt;$D$3,"",AVERAGE($HJ46:IS46)),"")</f>
        <v>5</v>
      </c>
      <c r="NI46" s="223">
        <f>IFERROR(IF(NI$7&gt;$D$3,"",AVERAGE($HJ46:IT46)),"")</f>
        <v>5</v>
      </c>
      <c r="NJ46" s="223">
        <f>IFERROR(IF(NJ$7&gt;$D$3,"",AVERAGE($HJ46:IU46)),"")</f>
        <v>5</v>
      </c>
      <c r="NK46" s="223">
        <f>IFERROR(IF(NK$7&gt;$D$3,"",AVERAGE($HJ46:IV46)),"")</f>
        <v>5</v>
      </c>
      <c r="NL46" s="223">
        <f>IFERROR(IF(NL$7&gt;$D$3,"",AVERAGE($HJ46:IW46)),"")</f>
        <v>5</v>
      </c>
      <c r="NM46" s="223">
        <f>IFERROR(IF(NM$7&gt;$D$3,"",AVERAGE($HJ46:IX46)),"")</f>
        <v>5</v>
      </c>
      <c r="NN46" s="223">
        <f>IFERROR(IF(NN$7&gt;$D$3,"",AVERAGE($HJ46:IY46)),"")</f>
        <v>5</v>
      </c>
      <c r="NO46" s="223" t="str">
        <f>IFERROR(IF(NO$7&gt;$D$3,"",AVERAGE($HJ46:IZ46)),"")</f>
        <v/>
      </c>
      <c r="NP46" s="223" t="str">
        <f>IFERROR(IF(NP$7&gt;$D$3,"",AVERAGE($HJ46:JA46)),"")</f>
        <v/>
      </c>
      <c r="NQ46" s="223" t="str">
        <f>IFERROR(IF(NQ$7&gt;$D$3,"",AVERAGE($HJ46:JB46)),"")</f>
        <v/>
      </c>
      <c r="NR46" s="223" t="str">
        <f>IFERROR(IF(NR$7&gt;$D$3,"",AVERAGE($HJ46:JC46)),"")</f>
        <v/>
      </c>
      <c r="NS46" s="223" t="str">
        <f>IFERROR(IF(NS$7&gt;$D$3,"",AVERAGE($HJ46:JD46)),"")</f>
        <v/>
      </c>
      <c r="NT46" s="223" t="str">
        <f>IFERROR(IF(NT$7&gt;$D$3,"",AVERAGE($HJ46:JE46)),"")</f>
        <v/>
      </c>
      <c r="NU46" s="223" t="str">
        <f>IFERROR(IF(NU$7&gt;$D$3,"",AVERAGE($HJ46:JF46)),"")</f>
        <v/>
      </c>
      <c r="NV46" s="223" t="str">
        <f>IFERROR(IF(NV$7&gt;$D$3,"",AVERAGE($HJ46:JG46)),"")</f>
        <v/>
      </c>
      <c r="NW46" s="223" t="str">
        <f>IFERROR(IF(NW$7&gt;$D$3,"",AVERAGE($HJ46:JH46)),"")</f>
        <v/>
      </c>
      <c r="NX46" s="223" t="str">
        <f>IFERROR(IF(NX$7&gt;$D$3,"",AVERAGE($HJ46:JI46)),"")</f>
        <v/>
      </c>
      <c r="NY46" s="223" t="str">
        <f>IFERROR(IF(NY$7&gt;$D$3,"",AVERAGE($HJ46:JJ46)),"")</f>
        <v/>
      </c>
    </row>
    <row r="47" spans="1:389" x14ac:dyDescent="0.3">
      <c r="A47" t="str">
        <f>$B$44&amp;"-"&amp;C47</f>
        <v>Product Eng - BE-KPI D2</v>
      </c>
      <c r="B47" s="918">
        <f>+'KPI Stats'!B52</f>
        <v>0</v>
      </c>
      <c r="C47" s="136" t="str">
        <f>+'KPI Stats'!C52</f>
        <v>KPI D2</v>
      </c>
      <c r="D47" s="144" t="str">
        <f>+'KPI Stats'!D52</f>
        <v>Delivery</v>
      </c>
      <c r="E47" s="144" t="str">
        <f>+'KPI Stats'!E52</f>
        <v>Lead Time for full order conversion</v>
      </c>
      <c r="F47" s="145" t="str">
        <f>+'KPI Stats'!F52</f>
        <v>Days</v>
      </c>
      <c r="G47" s="169" t="str">
        <f>+'KPI Stats'!G52</f>
        <v>Over</v>
      </c>
      <c r="J47" s="69" t="str">
        <f>_xlfn.XLOOKUP(J$7,$AM$7:$CM$7,$AM47:$CM47,,FALSE)</f>
        <v>OD</v>
      </c>
      <c r="K47" s="264">
        <f>_xlfn.XLOOKUP(K$7,$FC$7:$HC$7,$FC47:$HC47,,FALSE)</f>
        <v>0</v>
      </c>
      <c r="L47" s="278">
        <f>_xlfn.XLOOKUP(L$7,$HJ$7:$JJ$7,$HJ47:$JJ47,,FALSE)</f>
        <v>10</v>
      </c>
      <c r="M47" s="285" t="str">
        <f>_xlfn.XLOOKUP(M$7,$CU$7:$EU$7,$CU47:$EU47,,FALSE)</f>
        <v>OD</v>
      </c>
      <c r="O47" s="154"/>
      <c r="P47" s="69" t="str">
        <f>_xlfn.XLOOKUP(P$7,$AM$7:$CM$7,$AM47:$CM47,,FALSE)</f>
        <v>OD</v>
      </c>
      <c r="Q47" s="264">
        <f t="shared" si="162"/>
        <v>0</v>
      </c>
      <c r="R47" s="278">
        <f t="shared" si="162"/>
        <v>19</v>
      </c>
      <c r="S47" s="301" t="str">
        <f t="shared" si="163"/>
        <v>OD</v>
      </c>
      <c r="T47" s="302">
        <f t="shared" si="163"/>
        <v>0.52631578947368418</v>
      </c>
      <c r="U47" s="295" t="str">
        <f>IF(F44&lt;$R$2,"Not Complete",IF(Q47=R47,"Same −",IF($G47="Over",IF(Q47&lt;R47,"Better ↑","Worse ↓"),IF($G47="Under",IF(Q47&gt;R47,"Better ↑","Worse ↓"),"err"))))</f>
        <v>Better ↑</v>
      </c>
      <c r="X47" s="69" t="str">
        <f t="shared" si="164"/>
        <v>R</v>
      </c>
      <c r="Y47" s="114">
        <f>_xlfn.XLOOKUP(Y$7,$JR$7:$LR$7,$JR47:$LR47,FALSE)</f>
        <v>28.347560975609756</v>
      </c>
      <c r="Z47" s="114">
        <f>_xlfn.XLOOKUP(Z$7,$LY$7:$NY$7,$LY47:$NY47,FALSE)</f>
        <v>10</v>
      </c>
      <c r="AA47" s="254">
        <f>IF(G47="under",Y47/Z47,IF(G47="over",Z47/Y47,"err"))</f>
        <v>0.35276403527640354</v>
      </c>
      <c r="AB47" s="295" t="str">
        <f>IF(F44&lt;$R$2,"TBC",IF(Y47=Z47,"Same −",IF($G47="Over",IF(Z47&lt;Y47,"Better ↑ ","Worse ↓ "),IF($G47="Under",IF(Y47&gt;Z47,"Better ↑ ","Worse ↓ "),"err"))))</f>
        <v xml:space="preserve">Better ↑ </v>
      </c>
      <c r="AC47" s="69" t="str">
        <f>IF(AND(G47="above adero",AD47&gt;0),"R",IF(AF47&gt;1,"G",IF(AF47&gt;0.95,"A","R")))</f>
        <v>R</v>
      </c>
      <c r="AD47" s="114">
        <f>_xlfn.XLOOKUP(AD$7,$JR$7:$LR$7,$JR47:$LR47,FALSE)</f>
        <v>29.056249999999999</v>
      </c>
      <c r="AE47" s="114">
        <f>_xlfn.XLOOKUP(AE$7,$LY$7:$NY$7,$LY47:$NY47,FALSE)</f>
        <v>10</v>
      </c>
      <c r="AF47" s="254">
        <f>IF(G47="under",AD47/AE47,IF(G47="over",AE47/AD47,"err"))</f>
        <v>0.34416003441600346</v>
      </c>
      <c r="AH47" s="465" t="str">
        <f>+$A47</f>
        <v>Product Eng - BE-KPI D2</v>
      </c>
      <c r="AI47" s="136" t="str">
        <f t="shared" si="165"/>
        <v>KPI D2</v>
      </c>
      <c r="AJ47" s="144" t="str">
        <f t="shared" si="165"/>
        <v>Delivery</v>
      </c>
      <c r="AK47" s="144" t="str">
        <f t="shared" si="141"/>
        <v>Lead Time for full order conversion</v>
      </c>
      <c r="AL47" s="145" t="str">
        <f t="shared" si="141"/>
        <v>Days</v>
      </c>
      <c r="AM47" s="69" t="str">
        <f>IF(AM$7&gt;$D$3,"",_xlfn.XLOOKUP(AM$7,'Product Eng - BE'!$M$6:$BM$6,'Product Eng - BE'!$M$16:$BM$16))</f>
        <v>Blank</v>
      </c>
      <c r="AN47" s="199" t="str">
        <f>IF(AN$7&gt;$D$3,"",_xlfn.XLOOKUP(AN$7,'Product Eng - BE'!$M$6:$BM$6,'Product Eng - BE'!$M$16:$BM$16))</f>
        <v>R</v>
      </c>
      <c r="AO47" s="69" t="str">
        <f>IF(AO$7&gt;$D$3,"",_xlfn.XLOOKUP(AO$7,'Product Eng - BE'!$M$6:$BM$6,'Product Eng - BE'!$M$16:$BM$16))</f>
        <v>G</v>
      </c>
      <c r="AP47" s="69" t="str">
        <f>IF(AP$7&gt;$D$3,"",_xlfn.XLOOKUP(AP$7,'Product Eng - BE'!$M$6:$BM$6,'Product Eng - BE'!$M$16:$BM$16))</f>
        <v>R</v>
      </c>
      <c r="AQ47" s="69" t="str">
        <f>IF(AQ$7&gt;$D$3,"",_xlfn.XLOOKUP(AQ$7,'Product Eng - BE'!$M$6:$BM$6,'Product Eng - BE'!$M$16:$BM$16))</f>
        <v>R</v>
      </c>
      <c r="AR47" s="69" t="str">
        <f>IF(AR$7&gt;$D$3,"",_xlfn.XLOOKUP(AR$7,'Product Eng - BE'!$M$6:$BM$6,'Product Eng - BE'!$M$16:$BM$16))</f>
        <v>R</v>
      </c>
      <c r="AS47" s="69" t="str">
        <f>IF(AS$7&gt;$D$3,"",_xlfn.XLOOKUP(AS$7,'Product Eng - BE'!$M$6:$BM$6,'Product Eng - BE'!$M$16:$BM$16))</f>
        <v>R</v>
      </c>
      <c r="AT47" s="69" t="str">
        <f>IF(AT$7&gt;$D$3,"",_xlfn.XLOOKUP(AT$7,'Product Eng - BE'!$M$6:$BM$6,'Product Eng - BE'!$M$16:$BM$16))</f>
        <v>R</v>
      </c>
      <c r="AU47" s="69" t="str">
        <f>IF(AU$7&gt;$D$3,"",_xlfn.XLOOKUP(AU$7,'Product Eng - BE'!$M$6:$BM$6,'Product Eng - BE'!$M$16:$BM$16))</f>
        <v>R</v>
      </c>
      <c r="AV47" s="69" t="str">
        <f>IF(AV$7&gt;$D$3,"",_xlfn.XLOOKUP(AV$7,'Product Eng - BE'!$M$6:$BM$6,'Product Eng - BE'!$M$16:$BM$16))</f>
        <v>R</v>
      </c>
      <c r="AW47" s="69" t="str">
        <f>IF(AW$7&gt;$D$3,"",_xlfn.XLOOKUP(AW$7,'Product Eng - BE'!$M$6:$BM$6,'Product Eng - BE'!$M$16:$BM$16))</f>
        <v>R</v>
      </c>
      <c r="AX47" s="69" t="str">
        <f>IF(AX$7&gt;$D$3,"",_xlfn.XLOOKUP(AX$7,'Product Eng - BE'!$M$6:$BM$6,'Product Eng - BE'!$M$16:$BM$16))</f>
        <v>R</v>
      </c>
      <c r="AY47" s="69" t="str">
        <f>IF(AY$7&gt;$D$3,"",_xlfn.XLOOKUP(AY$7,'Product Eng - BE'!$M$6:$BM$6,'Product Eng - BE'!$M$16:$BM$16))</f>
        <v>R</v>
      </c>
      <c r="AZ47" s="69" t="str">
        <f>IF(AZ$7&gt;$D$3,"",_xlfn.XLOOKUP(AZ$7,'Product Eng - BE'!$M$6:$BM$6,'Product Eng - BE'!$M$16:$BM$16))</f>
        <v>R</v>
      </c>
      <c r="BA47" s="69" t="str">
        <f>IF(BA$7&gt;$D$3,"",_xlfn.XLOOKUP(BA$7,'Product Eng - BE'!$M$6:$BM$6,'Product Eng - BE'!$M$16:$BM$16))</f>
        <v>R</v>
      </c>
      <c r="BB47" s="69" t="str">
        <f>IF(BB$7&gt;$D$3,"",_xlfn.XLOOKUP(BB$7,'Product Eng - BE'!$M$6:$BM$6,'Product Eng - BE'!$M$16:$BM$16))</f>
        <v>R</v>
      </c>
      <c r="BC47" s="69" t="str">
        <f>IF(BC$7&gt;$D$3,"",_xlfn.XLOOKUP(BC$7,'Product Eng - BE'!$M$6:$BM$6,'Product Eng - BE'!$M$16:$BM$16))</f>
        <v>R</v>
      </c>
      <c r="BD47" s="69" t="str">
        <f>IF(BD$7&gt;$D$3,"",_xlfn.XLOOKUP(BD$7,'Product Eng - BE'!$M$6:$BM$6,'Product Eng - BE'!$M$16:$BM$16))</f>
        <v>R</v>
      </c>
      <c r="BE47" s="69" t="str">
        <f>IF(BE$7&gt;$D$3,"",_xlfn.XLOOKUP(BE$7,'Product Eng - BE'!$M$6:$BM$6,'Product Eng - BE'!$M$16:$BM$16))</f>
        <v>R</v>
      </c>
      <c r="BF47" s="69" t="str">
        <f>IF(BF$7&gt;$D$3,"",_xlfn.XLOOKUP(BF$7,'Product Eng - BE'!$M$6:$BM$6,'Product Eng - BE'!$M$16:$BM$16))</f>
        <v>R</v>
      </c>
      <c r="BG47" s="69" t="str">
        <f>IF(BG$7&gt;$D$3,"",_xlfn.XLOOKUP(BG$7,'Product Eng - BE'!$M$6:$BM$6,'Product Eng - BE'!$M$16:$BM$16))</f>
        <v>R</v>
      </c>
      <c r="BH47" s="69" t="str">
        <f>IF(BH$7&gt;$D$3,"",_xlfn.XLOOKUP(BH$7,'Product Eng - BE'!$M$6:$BM$6,'Product Eng - BE'!$M$16:$BM$16))</f>
        <v>R</v>
      </c>
      <c r="BI47" s="69" t="str">
        <f>IF(BI$7&gt;$D$3,"",_xlfn.XLOOKUP(BI$7,'Product Eng - BE'!$M$6:$BM$6,'Product Eng - BE'!$M$16:$BM$16))</f>
        <v>R</v>
      </c>
      <c r="BJ47" s="69" t="str">
        <f>IF(BJ$7&gt;$D$3,"",_xlfn.XLOOKUP(BJ$7,'Product Eng - BE'!$M$6:$BM$6,'Product Eng - BE'!$M$16:$BM$16))</f>
        <v>R</v>
      </c>
      <c r="BK47" s="69" t="str">
        <f>IF(BK$7&gt;$D$3,"",_xlfn.XLOOKUP(BK$7,'Product Eng - BE'!$M$6:$BM$6,'Product Eng - BE'!$M$16:$BM$16))</f>
        <v>R</v>
      </c>
      <c r="BL47" s="69" t="str">
        <f>IF(BL$7&gt;$D$3,"",_xlfn.XLOOKUP(BL$7,'Product Eng - BE'!$M$6:$BM$6,'Product Eng - BE'!$M$16:$BM$16))</f>
        <v>R</v>
      </c>
      <c r="BM47" s="69" t="str">
        <f>IF(BM$7&gt;$D$3,"",_xlfn.XLOOKUP(BM$7,'Product Eng - BE'!$M$6:$BM$6,'Product Eng - BE'!$M$16:$BM$16))</f>
        <v>R</v>
      </c>
      <c r="BN47" s="69" t="str">
        <f>IF(BN$7&gt;$D$3,"",_xlfn.XLOOKUP(BN$7,'Product Eng - BE'!$M$6:$BM$6,'Product Eng - BE'!$M$16:$BM$16))</f>
        <v>R</v>
      </c>
      <c r="BO47" s="69" t="str">
        <f>IF(BO$7&gt;$D$3,"",_xlfn.XLOOKUP(BO$7,'Product Eng - BE'!$M$6:$BM$6,'Product Eng - BE'!$M$16:$BM$16))</f>
        <v>R</v>
      </c>
      <c r="BP47" s="69" t="str">
        <f>IF(BP$7&gt;$D$3,"",_xlfn.XLOOKUP(BP$7,'Product Eng - BE'!$M$6:$BM$6,'Product Eng - BE'!$M$16:$BM$16))</f>
        <v>R</v>
      </c>
      <c r="BQ47" s="69" t="str">
        <f>IF(BQ$7&gt;$D$3,"",_xlfn.XLOOKUP(BQ$7,'Product Eng - BE'!$M$6:$BM$6,'Product Eng - BE'!$M$16:$BM$16))</f>
        <v>R</v>
      </c>
      <c r="BR47" s="69" t="str">
        <f>IF(BR$7&gt;$D$3,"",_xlfn.XLOOKUP(BR$7,'Product Eng - BE'!$M$6:$BM$6,'Product Eng - BE'!$M$16:$BM$16))</f>
        <v>R</v>
      </c>
      <c r="BS47" s="69" t="str">
        <f>IF(BS$7&gt;$D$3,"",_xlfn.XLOOKUP(BS$7,'Product Eng - BE'!$M$6:$BM$6,'Product Eng - BE'!$M$16:$BM$16))</f>
        <v>R</v>
      </c>
      <c r="BT47" s="69" t="str">
        <f>IF(BT$7&gt;$D$3,"",_xlfn.XLOOKUP(BT$7,'Product Eng - BE'!$M$6:$BM$6,'Product Eng - BE'!$M$16:$BM$16))</f>
        <v>R</v>
      </c>
      <c r="BU47" s="69" t="str">
        <f>IF(BU$7&gt;$D$3,"",_xlfn.XLOOKUP(BU$7,'Product Eng - BE'!$M$6:$BM$6,'Product Eng - BE'!$M$16:$BM$16))</f>
        <v>R</v>
      </c>
      <c r="BV47" s="69" t="str">
        <f>IF(BV$7&gt;$D$3,"",_xlfn.XLOOKUP(BV$7,'Product Eng - BE'!$M$6:$BM$6,'Product Eng - BE'!$M$16:$BM$16))</f>
        <v>R</v>
      </c>
      <c r="BW47" s="69" t="str">
        <f>IF(BW$7&gt;$D$3,"",_xlfn.XLOOKUP(BW$7,'Product Eng - BE'!$M$6:$BM$6,'Product Eng - BE'!$M$16:$BM$16))</f>
        <v>R</v>
      </c>
      <c r="BX47" s="69" t="str">
        <f>IF(BX$7&gt;$D$3,"",_xlfn.XLOOKUP(BX$7,'Product Eng - BE'!$M$6:$BM$6,'Product Eng - BE'!$M$16:$BM$16))</f>
        <v>R</v>
      </c>
      <c r="BY47" s="69" t="str">
        <f>IF(BY$7&gt;$D$3,"",_xlfn.XLOOKUP(BY$7,'Product Eng - BE'!$M$6:$BM$6,'Product Eng - BE'!$M$16:$BM$16))</f>
        <v>R</v>
      </c>
      <c r="BZ47" s="69" t="str">
        <f>IF(BZ$7&gt;$D$3,"",_xlfn.XLOOKUP(BZ$7,'Product Eng - BE'!$M$6:$BM$6,'Product Eng - BE'!$M$16:$BM$16))</f>
        <v>R</v>
      </c>
      <c r="CA47" s="69" t="str">
        <f>IF(CA$7&gt;$D$3,"",_xlfn.XLOOKUP(CA$7,'Product Eng - BE'!$M$6:$BM$6,'Product Eng - BE'!$M$16:$BM$16))</f>
        <v>R</v>
      </c>
      <c r="CB47" s="69" t="str">
        <f>IF(CB$7&gt;$D$3,"",_xlfn.XLOOKUP(CB$7,'Product Eng - BE'!$M$6:$BM$6,'Product Eng - BE'!$M$16:$BM$16))</f>
        <v>OD</v>
      </c>
      <c r="CC47" s="69" t="str">
        <f>IF(CC$7&gt;$D$3,"",_xlfn.XLOOKUP(CC$7,'Product Eng - BE'!$M$6:$BM$6,'Product Eng - BE'!$M$16:$BM$16))</f>
        <v/>
      </c>
      <c r="CD47" s="69" t="str">
        <f>IF(CD$7&gt;$D$3,"",_xlfn.XLOOKUP(CD$7,'Product Eng - BE'!$M$6:$BM$6,'Product Eng - BE'!$M$16:$BM$16))</f>
        <v/>
      </c>
      <c r="CE47" s="69" t="str">
        <f>IF(CE$7&gt;$D$3,"",_xlfn.XLOOKUP(CE$7,'Product Eng - BE'!$M$6:$BM$6,'Product Eng - BE'!$M$16:$BM$16))</f>
        <v/>
      </c>
      <c r="CF47" s="69" t="str">
        <f>IF(CF$7&gt;$D$3,"",_xlfn.XLOOKUP(CF$7,'Product Eng - BE'!$M$6:$BM$6,'Product Eng - BE'!$M$16:$BM$16))</f>
        <v/>
      </c>
      <c r="CG47" s="69" t="str">
        <f>IF(CG$7&gt;$D$3,"",_xlfn.XLOOKUP(CG$7,'Product Eng - BE'!$M$6:$BM$6,'Product Eng - BE'!$M$16:$BM$16))</f>
        <v/>
      </c>
      <c r="CH47" s="69" t="str">
        <f>IF(CH$7&gt;$D$3,"",_xlfn.XLOOKUP(CH$7,'Product Eng - BE'!$M$6:$BM$6,'Product Eng - BE'!$M$16:$BM$16))</f>
        <v/>
      </c>
      <c r="CI47" s="69" t="str">
        <f>IF(CI$7&gt;$D$3,"",_xlfn.XLOOKUP(CI$7,'Product Eng - BE'!$M$6:$BM$6,'Product Eng - BE'!$M$16:$BM$16))</f>
        <v/>
      </c>
      <c r="CJ47" s="69" t="str">
        <f>IF(CJ$7&gt;$D$3,"",_xlfn.XLOOKUP(CJ$7,'Product Eng - BE'!$M$6:$BM$6,'Product Eng - BE'!$M$16:$BM$16))</f>
        <v/>
      </c>
      <c r="CK47" s="69" t="str">
        <f>IF(CK$7&gt;$D$3,"",_xlfn.XLOOKUP(CK$7,'Product Eng - BE'!$M$6:$BM$6,'Product Eng - BE'!$M$16:$BM$16))</f>
        <v/>
      </c>
      <c r="CL47" s="69" t="str">
        <f>IF(CL$7&gt;$D$3,"",_xlfn.XLOOKUP(CL$7,'Product Eng - BE'!$M$6:$BM$6,'Product Eng - BE'!$M$16:$BM$16))</f>
        <v/>
      </c>
      <c r="CM47" s="69" t="str">
        <f>IF(CM$7&gt;$D$3,"",_xlfn.XLOOKUP(CM$7,'Product Eng - BE'!$M$6:$BM$6,'Product Eng - BE'!$M$16:$BM$16))</f>
        <v/>
      </c>
      <c r="CO47" s="465" t="str">
        <f>+$A47</f>
        <v>Product Eng - BE-KPI D2</v>
      </c>
      <c r="CP47" s="136" t="str">
        <f t="shared" si="166"/>
        <v>KPI D2</v>
      </c>
      <c r="CQ47" s="144" t="str">
        <f t="shared" si="166"/>
        <v>Delivery</v>
      </c>
      <c r="CR47" s="144" t="str">
        <f t="shared" si="166"/>
        <v>Lead Time for full order conversion</v>
      </c>
      <c r="CS47" s="145" t="str">
        <f t="shared" si="166"/>
        <v>Days</v>
      </c>
      <c r="CT47" s="207" t="s">
        <v>246</v>
      </c>
      <c r="CU47" s="423" t="str">
        <f>IF(CU$7&gt;$D$3,"",_xlfn.XLOOKUP(CU$7,'Product Eng - MB'!$M$6:$BM$6,'Product Eng - MB'!$M$16:$BM$16))</f>
        <v>Blank</v>
      </c>
      <c r="CV47" s="323">
        <f>IFERROR(IF(CV$7&gt;$D$3,"",IF(AN47="OD","OD",IF(AN47="Missed","Missed",IF(AN47="TBC","TBC",IF(AN47="Undefined","Undefined",_xlfn.XLOOKUP(CV$7,'Product Eng - BE'!$M$6:$BM$6,'Product Eng - BE'!$M$14:$BM$14)/_xlfn.XLOOKUP(CV$7,'Product Eng - BE'!$M$6:$BM$6,'Product Eng - BE'!$M$15:$BM$15)))))),0)</f>
        <v>0.30303030303030304</v>
      </c>
      <c r="CW47" s="315">
        <f>IFERROR(IF(CW$7&gt;$D$3,"",IF(AO47="OD","OD",IF(AO47="Missed","Missed",IF(AO47="TBC","TBC",IF(AO47="Undefined","Undefined",_xlfn.XLOOKUP(CW$7,'Product Eng - BE'!$M$6:$BM$6,'Product Eng - BE'!$M$14:$BM$14)/_xlfn.XLOOKUP(CW$7,'Product Eng - BE'!$M$6:$BM$6,'Product Eng - BE'!$M$15:$BM$15)))))),0)</f>
        <v>1.9047619047619047</v>
      </c>
      <c r="CX47" s="315">
        <f>IFERROR(IF(CX$7&gt;$D$3,"",IF(AP47="OD","OD",IF(AP47="Missed","Missed",IF(AP47="TBC","TBC",IF(AP47="Undefined","Undefined",_xlfn.XLOOKUP(CX$7,'Product Eng - BE'!$M$6:$BM$6,'Product Eng - BE'!$M$14:$BM$14)/_xlfn.XLOOKUP(CX$7,'Product Eng - BE'!$M$6:$BM$6,'Product Eng - BE'!$M$15:$BM$15)))))),0)</f>
        <v>0.30303030303030304</v>
      </c>
      <c r="CY47" s="315">
        <f>IFERROR(IF(CY$7&gt;$D$3,"",IF(AQ47="OD","OD",IF(AQ47="Missed","Missed",IF(AQ47="TBC","TBC",IF(AQ47="Undefined","Undefined",_xlfn.XLOOKUP(CY$7,'Product Eng - BE'!$M$6:$BM$6,'Product Eng - BE'!$M$14:$BM$14)/_xlfn.XLOOKUP(CY$7,'Product Eng - BE'!$M$6:$BM$6,'Product Eng - BE'!$M$15:$BM$15)))))),0)</f>
        <v>0.30303030303030304</v>
      </c>
      <c r="CZ47" s="315">
        <f>IFERROR(IF(CZ$7&gt;$D$3,"",IF(AR47="OD","OD",IF(AR47="Missed","Missed",IF(AR47="TBC","TBC",IF(AR47="Undefined","Undefined",_xlfn.XLOOKUP(CZ$7,'Product Eng - BE'!$M$6:$BM$6,'Product Eng - BE'!$M$14:$BM$14)/_xlfn.XLOOKUP(CZ$7,'Product Eng - BE'!$M$6:$BM$6,'Product Eng - BE'!$M$15:$BM$15)))))),0)</f>
        <v>0.34482758620689657</v>
      </c>
      <c r="DA47" s="315">
        <f>IFERROR(IF(DA$7&gt;$D$3,"",IF(AS47="OD","OD",IF(AS47="Missed","Missed",IF(AS47="TBC","TBC",IF(AS47="Undefined","Undefined",_xlfn.XLOOKUP(DA$7,'Product Eng - BE'!$M$6:$BM$6,'Product Eng - BE'!$M$14:$BM$14)/_xlfn.XLOOKUP(DA$7,'Product Eng - BE'!$M$6:$BM$6,'Product Eng - BE'!$M$15:$BM$15)))))),0)</f>
        <v>0.33333333333333331</v>
      </c>
      <c r="DB47" s="315">
        <f>IFERROR(IF(DB$7&gt;$D$3,"",IF(AT47="OD","OD",IF(AT47="Missed","Missed",IF(AT47="TBC","TBC",IF(AT47="Undefined","Undefined",_xlfn.XLOOKUP(DB$7,'Product Eng - BE'!$M$6:$BM$6,'Product Eng - BE'!$M$14:$BM$14)/_xlfn.XLOOKUP(DB$7,'Product Eng - BE'!$M$6:$BM$6,'Product Eng - BE'!$M$15:$BM$15)))))),0)</f>
        <v>0.47619047619047616</v>
      </c>
      <c r="DC47" s="315">
        <f>IFERROR(IF(DC$7&gt;$D$3,"",IF(AU47="OD","OD",IF(AU47="Missed","Missed",IF(AU47="TBC","TBC",IF(AU47="Undefined","Undefined",_xlfn.XLOOKUP(DC$7,'Product Eng - BE'!$M$6:$BM$6,'Product Eng - BE'!$M$14:$BM$14)/_xlfn.XLOOKUP(DC$7,'Product Eng - BE'!$M$6:$BM$6,'Product Eng - BE'!$M$15:$BM$15)))))),0)</f>
        <v>0.47619047619047616</v>
      </c>
      <c r="DD47" s="315">
        <f>IFERROR(IF(DD$7&gt;$D$3,"",IF(AV47="OD","OD",IF(AV47="Missed","Missed",IF(AV47="TBC","TBC",IF(AV47="Undefined","Undefined",_xlfn.XLOOKUP(DD$7,'Product Eng - BE'!$M$6:$BM$6,'Product Eng - BE'!$M$14:$BM$14)/_xlfn.XLOOKUP(DD$7,'Product Eng - BE'!$M$6:$BM$6,'Product Eng - BE'!$M$15:$BM$15)))))),0)</f>
        <v>0.37037037037037035</v>
      </c>
      <c r="DE47" s="315">
        <f>IFERROR(IF(DE$7&gt;$D$3,"",IF(AW47="OD","OD",IF(AW47="Missed","Missed",IF(AW47="TBC","TBC",IF(AW47="Undefined","Undefined",_xlfn.XLOOKUP(DE$7,'Product Eng - BE'!$M$6:$BM$6,'Product Eng - BE'!$M$14:$BM$14)/_xlfn.XLOOKUP(DE$7,'Product Eng - BE'!$M$6:$BM$6,'Product Eng - BE'!$M$15:$BM$15)))))),0)</f>
        <v>0.34482758620689657</v>
      </c>
      <c r="DF47" s="315">
        <f>IFERROR(IF(DF$7&gt;$D$3,"",IF(AX47="OD","OD",IF(AX47="Missed","Missed",IF(AX47="TBC","TBC",IF(AX47="Undefined","Undefined",_xlfn.XLOOKUP(DF$7,'Product Eng - BE'!$M$6:$BM$6,'Product Eng - BE'!$M$14:$BM$14)/_xlfn.XLOOKUP(DF$7,'Product Eng - BE'!$M$6:$BM$6,'Product Eng - BE'!$M$15:$BM$15)))))),0)</f>
        <v>0.25641025641025639</v>
      </c>
      <c r="DG47" s="315">
        <f>IFERROR(IF(DG$7&gt;$D$3,"",IF(AY47="OD","OD",IF(AY47="Missed","Missed",IF(AY47="TBC","TBC",IF(AY47="Undefined","Undefined",_xlfn.XLOOKUP(DG$7,'Product Eng - BE'!$M$6:$BM$6,'Product Eng - BE'!$M$14:$BM$14)/_xlfn.XLOOKUP(DG$7,'Product Eng - BE'!$M$6:$BM$6,'Product Eng - BE'!$M$15:$BM$15)))))),0)</f>
        <v>0.35714285714285715</v>
      </c>
      <c r="DH47" s="315">
        <f>IFERROR(IF(DH$7&gt;$D$3,"",IF(AZ47="OD","OD",IF(AZ47="Missed","Missed",IF(AZ47="TBC","TBC",IF(AZ47="Undefined","Undefined",_xlfn.XLOOKUP(DH$7,'Product Eng - BE'!$M$6:$BM$6,'Product Eng - BE'!$M$14:$BM$14)/_xlfn.XLOOKUP(DH$7,'Product Eng - BE'!$M$6:$BM$6,'Product Eng - BE'!$M$15:$BM$15)))))),0)</f>
        <v>0.34482758620689657</v>
      </c>
      <c r="DI47" s="315">
        <f>IFERROR(IF(DI$7&gt;$D$3,"",IF(BA47="OD","OD",IF(BA47="Missed","Missed",IF(BA47="TBC","TBC",IF(BA47="Undefined","Undefined",_xlfn.XLOOKUP(DI$7,'Product Eng - BE'!$M$6:$BM$6,'Product Eng - BE'!$M$14:$BM$14)/_xlfn.XLOOKUP(DI$7,'Product Eng - BE'!$M$6:$BM$6,'Product Eng - BE'!$M$15:$BM$15)))))),0)</f>
        <v>0.4</v>
      </c>
      <c r="DJ47" s="315">
        <f>IFERROR(IF(DJ$7&gt;$D$3,"",IF(BB47="OD","OD",IF(BB47="Missed","Missed",IF(BB47="TBC","TBC",IF(BB47="Undefined","Undefined",_xlfn.XLOOKUP(DJ$7,'Product Eng - BE'!$M$6:$BM$6,'Product Eng - BE'!$M$14:$BM$14)/_xlfn.XLOOKUP(DJ$7,'Product Eng - BE'!$M$6:$BM$6,'Product Eng - BE'!$M$15:$BM$15)))))),0)</f>
        <v>0.27777777777777779</v>
      </c>
      <c r="DK47" s="315">
        <f>IFERROR(IF(DK$7&gt;$D$3,"",IF(BC47="OD","OD",IF(BC47="Missed","Missed",IF(BC47="TBC","TBC",IF(BC47="Undefined","Undefined",_xlfn.XLOOKUP(DK$7,'Product Eng - BE'!$M$6:$BM$6,'Product Eng - BE'!$M$14:$BM$14)/_xlfn.XLOOKUP(DK$7,'Product Eng - BE'!$M$6:$BM$6,'Product Eng - BE'!$M$15:$BM$15)))))),0)</f>
        <v>0.27027027027027029</v>
      </c>
      <c r="DL47" s="315">
        <f>IFERROR(IF(DL$7&gt;$D$3,"",IF(BD47="OD","OD",IF(BD47="Missed","Missed",IF(BD47="TBC","TBC",IF(BD47="Undefined","Undefined",_xlfn.XLOOKUP(DL$7,'Product Eng - BE'!$M$6:$BM$6,'Product Eng - BE'!$M$14:$BM$14)/_xlfn.XLOOKUP(DL$7,'Product Eng - BE'!$M$6:$BM$6,'Product Eng - BE'!$M$15:$BM$15)))))),0)</f>
        <v>0.29411764705882354</v>
      </c>
      <c r="DM47" s="315">
        <f>IFERROR(IF(DM$7&gt;$D$3,"",IF(BE47="OD","OD",IF(BE47="Missed","Missed",IF(BE47="TBC","TBC",IF(BE47="Undefined","Undefined",_xlfn.XLOOKUP(DM$7,'Product Eng - BE'!$M$6:$BM$6,'Product Eng - BE'!$M$14:$BM$14)/_xlfn.XLOOKUP(DM$7,'Product Eng - BE'!$M$6:$BM$6,'Product Eng - BE'!$M$15:$BM$15)))))),0)</f>
        <v>0.35714285714285715</v>
      </c>
      <c r="DN47" s="315">
        <f>IFERROR(IF(DN$7&gt;$D$3,"",IF(BF47="OD","OD",IF(BF47="Missed","Missed",IF(BF47="TBC","TBC",IF(BF47="Undefined","Undefined",_xlfn.XLOOKUP(DN$7,'Product Eng - BE'!$M$6:$BM$6,'Product Eng - BE'!$M$14:$BM$14)/_xlfn.XLOOKUP(DN$7,'Product Eng - BE'!$M$6:$BM$6,'Product Eng - BE'!$M$15:$BM$15)))))),0)</f>
        <v>0.27027027027027029</v>
      </c>
      <c r="DO47" s="315">
        <f>IFERROR(IF(DO$7&gt;$D$3,"",IF(BG47="OD","OD",IF(BG47="Missed","Missed",IF(BG47="TBC","TBC",IF(BG47="Undefined","Undefined",_xlfn.XLOOKUP(DO$7,'Product Eng - BE'!$M$6:$BM$6,'Product Eng - BE'!$M$14:$BM$14)/_xlfn.XLOOKUP(DO$7,'Product Eng - BE'!$M$6:$BM$6,'Product Eng - BE'!$M$15:$BM$15)))))),0)</f>
        <v>0.22727272727272727</v>
      </c>
      <c r="DP47" s="315">
        <f>IFERROR(IF(DP$7&gt;$D$3,"",IF(BH47="OD","OD",IF(BH47="Missed","Missed",IF(BH47="TBC","TBC",IF(BH47="Undefined","Undefined",_xlfn.XLOOKUP(DP$7,'Product Eng - BE'!$M$6:$BM$6,'Product Eng - BE'!$M$14:$BM$14)/_xlfn.XLOOKUP(DP$7,'Product Eng - BE'!$M$6:$BM$6,'Product Eng - BE'!$M$15:$BM$15)))))),0)</f>
        <v>0.23255813953488372</v>
      </c>
      <c r="DQ47" s="315">
        <f>IFERROR(IF(DQ$7&gt;$D$3,"",IF(BI47="OD","OD",IF(BI47="Missed","Missed",IF(BI47="TBC","TBC",IF(BI47="Undefined","Undefined",_xlfn.XLOOKUP(DQ$7,'Product Eng - BE'!$M$6:$BM$6,'Product Eng - BE'!$M$14:$BM$14)/_xlfn.XLOOKUP(DQ$7,'Product Eng - BE'!$M$6:$BM$6,'Product Eng - BE'!$M$15:$BM$15)))))),0)</f>
        <v>0.24390243902439024</v>
      </c>
      <c r="DR47" s="315">
        <f>IFERROR(IF(DR$7&gt;$D$3,"",IF(BJ47="OD","OD",IF(BJ47="Missed","Missed",IF(BJ47="TBC","TBC",IF(BJ47="Undefined","Undefined",_xlfn.XLOOKUP(DR$7,'Product Eng - BE'!$M$6:$BM$6,'Product Eng - BE'!$M$14:$BM$14)/_xlfn.XLOOKUP(DR$7,'Product Eng - BE'!$M$6:$BM$6,'Product Eng - BE'!$M$15:$BM$15)))))),0)</f>
        <v>0.4</v>
      </c>
      <c r="DS47" s="315">
        <f>IFERROR(IF(DS$7&gt;$D$3,"",IF(BK47="OD","OD",IF(BK47="Missed","Missed",IF(BK47="TBC","TBC",IF(BK47="Undefined","Undefined",_xlfn.XLOOKUP(DS$7,'Product Eng - BE'!$M$6:$BM$6,'Product Eng - BE'!$M$14:$BM$14)/_xlfn.XLOOKUP(DS$7,'Product Eng - BE'!$M$6:$BM$6,'Product Eng - BE'!$M$15:$BM$15)))))),0)</f>
        <v>0.45454545454545453</v>
      </c>
      <c r="DT47" s="315">
        <f>IFERROR(IF(DT$7&gt;$D$3,"",IF(BL47="OD","OD",IF(BL47="Missed","Missed",IF(BL47="TBC","TBC",IF(BL47="Undefined","Undefined",_xlfn.XLOOKUP(DT$7,'Product Eng - BE'!$M$6:$BM$6,'Product Eng - BE'!$M$14:$BM$14)/_xlfn.XLOOKUP(DT$7,'Product Eng - BE'!$M$6:$BM$6,'Product Eng - BE'!$M$15:$BM$15)))))),0)</f>
        <v>0.47619047619047616</v>
      </c>
      <c r="DU47" s="315">
        <f>IFERROR(IF(DU$7&gt;$D$3,"",IF(BM47="OD","OD",IF(BM47="Missed","Missed",IF(BM47="TBC","TBC",IF(BM47="Undefined","Undefined",_xlfn.XLOOKUP(DU$7,'Product Eng - BE'!$M$6:$BM$6,'Product Eng - BE'!$M$14:$BM$14)/_xlfn.XLOOKUP(DU$7,'Product Eng - BE'!$M$6:$BM$6,'Product Eng - BE'!$M$15:$BM$15)))))),0)</f>
        <v>0.41666666666666669</v>
      </c>
      <c r="DV47" s="315">
        <f>IFERROR(IF(DV$7&gt;$D$3,"",IF(BN47="OD","OD",IF(BN47="Missed","Missed",IF(BN47="TBC","TBC",IF(BN47="Undefined","Undefined",_xlfn.XLOOKUP(DV$7,'Product Eng - BE'!$M$6:$BM$6,'Product Eng - BE'!$M$14:$BM$14)/_xlfn.XLOOKUP(DV$7,'Product Eng - BE'!$M$6:$BM$6,'Product Eng - BE'!$M$15:$BM$15)))))),0)</f>
        <v>0.34482758620689657</v>
      </c>
      <c r="DW47" s="315">
        <f>IFERROR(IF(DW$7&gt;$D$3,"",IF(BO47="OD","OD",IF(BO47="Missed","Missed",IF(BO47="TBC","TBC",IF(BO47="Undefined","Undefined",_xlfn.XLOOKUP(DW$7,'Product Eng - BE'!$M$6:$BM$6,'Product Eng - BE'!$M$14:$BM$14)/_xlfn.XLOOKUP(DW$7,'Product Eng - BE'!$M$6:$BM$6,'Product Eng - BE'!$M$15:$BM$15)))))),0)</f>
        <v>0.27777777777777779</v>
      </c>
      <c r="DX47" s="315">
        <f>IFERROR(IF(DX$7&gt;$D$3,"",IF(BP47="OD","OD",IF(BP47="Missed","Missed",IF(BP47="TBC","TBC",IF(BP47="Undefined","Undefined",_xlfn.XLOOKUP(DX$7,'Product Eng - BE'!$M$6:$BM$6,'Product Eng - BE'!$M$14:$BM$14)/_xlfn.XLOOKUP(DX$7,'Product Eng - BE'!$M$6:$BM$6,'Product Eng - BE'!$M$15:$BM$15)))))),0)</f>
        <v>0.27027027027027029</v>
      </c>
      <c r="DY47" s="315">
        <f>IFERROR(IF(DY$7&gt;$D$3,"",IF(BQ47="OD","OD",IF(BQ47="Missed","Missed",IF(BQ47="TBC","TBC",IF(BQ47="Undefined","Undefined",_xlfn.XLOOKUP(DY$7,'Product Eng - BE'!$M$6:$BM$6,'Product Eng - BE'!$M$14:$BM$14)/_xlfn.XLOOKUP(DY$7,'Product Eng - BE'!$M$6:$BM$6,'Product Eng - BE'!$M$15:$BM$15)))))),0)</f>
        <v>0.27777777777777779</v>
      </c>
      <c r="DZ47" s="315">
        <f>IFERROR(IF(DZ$7&gt;$D$3,"",IF(BR47="OD","OD",IF(BR47="Missed","Missed",IF(BR47="TBC","TBC",IF(BR47="Undefined","Undefined",_xlfn.XLOOKUP(DZ$7,'Product Eng - BE'!$M$6:$BM$6,'Product Eng - BE'!$M$14:$BM$14)/_xlfn.XLOOKUP(DZ$7,'Product Eng - BE'!$M$6:$BM$6,'Product Eng - BE'!$M$15:$BM$15)))))),0)</f>
        <v>0.2857142857142857</v>
      </c>
      <c r="EA47" s="315">
        <f>IFERROR(IF(EA$7&gt;$D$3,"",IF(BS47="OD","OD",IF(BS47="Missed","Missed",IF(BS47="TBC","TBC",IF(BS47="Undefined","Undefined",_xlfn.XLOOKUP(EA$7,'Product Eng - BE'!$M$6:$BM$6,'Product Eng - BE'!$M$14:$BM$14)/_xlfn.XLOOKUP(EA$7,'Product Eng - BE'!$M$6:$BM$6,'Product Eng - BE'!$M$15:$BM$15)))))),0)</f>
        <v>0.38461538461538464</v>
      </c>
      <c r="EB47" s="315">
        <f>IFERROR(IF(EB$7&gt;$D$3,"",IF(BT47="OD","OD",IF(BT47="Missed","Missed",IF(BT47="TBC","TBC",IF(BT47="Undefined","Undefined",_xlfn.XLOOKUP(EB$7,'Product Eng - BE'!$M$6:$BM$6,'Product Eng - BE'!$M$14:$BM$14)/_xlfn.XLOOKUP(EB$7,'Product Eng - BE'!$M$6:$BM$6,'Product Eng - BE'!$M$15:$BM$15)))))),0)</f>
        <v>0.41666666666666669</v>
      </c>
      <c r="EC47" s="315">
        <f>IFERROR(IF(EC$7&gt;$D$3,"",IF(BU47="OD","OD",IF(BU47="Missed","Missed",IF(BU47="TBC","TBC",IF(BU47="Undefined","Undefined",_xlfn.XLOOKUP(EC$7,'Product Eng - BE'!$M$6:$BM$6,'Product Eng - BE'!$M$14:$BM$14)/_xlfn.XLOOKUP(EC$7,'Product Eng - BE'!$M$6:$BM$6,'Product Eng - BE'!$M$15:$BM$15)))))),0)</f>
        <v>0.29411764705882354</v>
      </c>
      <c r="ED47" s="315">
        <f>IFERROR(IF(ED$7&gt;$D$3,"",IF(BV47="OD","OD",IF(BV47="Missed","Missed",IF(BV47="TBC","TBC",IF(BV47="Undefined","Undefined",_xlfn.XLOOKUP(ED$7,'Product Eng - BE'!$M$6:$BM$6,'Product Eng - BE'!$M$14:$BM$14)/_xlfn.XLOOKUP(ED$7,'Product Eng - BE'!$M$6:$BM$6,'Product Eng - BE'!$M$15:$BM$15)))))),0)</f>
        <v>0.43478260869565216</v>
      </c>
      <c r="EE47" s="315">
        <f>IFERROR(IF(EE$7&gt;$D$3,"",IF(BW47="OD","OD",IF(BW47="Missed","Missed",IF(BW47="TBC","TBC",IF(BW47="Undefined","Undefined",_xlfn.XLOOKUP(EE$7,'Product Eng - BE'!$M$6:$BM$6,'Product Eng - BE'!$M$14:$BM$14)/_xlfn.XLOOKUP(EE$7,'Product Eng - BE'!$M$6:$BM$6,'Product Eng - BE'!$M$15:$BM$15)))))),0)</f>
        <v>0.5</v>
      </c>
      <c r="EF47" s="315">
        <f>IFERROR(IF(EF$7&gt;$D$3,"",IF(BX47="OD","OD",IF(BX47="Missed","Missed",IF(BX47="TBC","TBC",IF(BX47="Undefined","Undefined",_xlfn.XLOOKUP(EF$7,'Product Eng - BE'!$M$6:$BM$6,'Product Eng - BE'!$M$14:$BM$14)/_xlfn.XLOOKUP(EF$7,'Product Eng - BE'!$M$6:$BM$6,'Product Eng - BE'!$M$15:$BM$15)))))),0)</f>
        <v>0.47619047619047616</v>
      </c>
      <c r="EG47" s="315">
        <f>IFERROR(IF(EG$7&gt;$D$3,"",IF(BY47="OD","OD",IF(BY47="Missed","Missed",IF(BY47="TBC","TBC",IF(BY47="Undefined","Undefined",_xlfn.XLOOKUP(EG$7,'Product Eng - BE'!$M$6:$BM$6,'Product Eng - BE'!$M$14:$BM$14)/_xlfn.XLOOKUP(EG$7,'Product Eng - BE'!$M$6:$BM$6,'Product Eng - BE'!$M$15:$BM$15)))))),0)</f>
        <v>0.43478260869565216</v>
      </c>
      <c r="EH47" s="315">
        <f>IFERROR(IF(EH$7&gt;$D$3,"",IF(BZ47="OD","OD",IF(BZ47="Missed","Missed",IF(BZ47="TBC","TBC",IF(BZ47="Undefined","Undefined",_xlfn.XLOOKUP(EH$7,'Product Eng - BE'!$M$6:$BM$6,'Product Eng - BE'!$M$14:$BM$14)/_xlfn.XLOOKUP(EH$7,'Product Eng - BE'!$M$6:$BM$6,'Product Eng - BE'!$M$15:$BM$15)))))),0)</f>
        <v>0.4</v>
      </c>
      <c r="EI47" s="315">
        <f>IFERROR(IF(EI$7&gt;$D$3,"",IF(CA47="OD","OD",IF(CA47="Missed","Missed",IF(CA47="TBC","TBC",IF(CA47="Undefined","Undefined",_xlfn.XLOOKUP(EI$7,'Product Eng - BE'!$M$6:$BM$6,'Product Eng - BE'!$M$14:$BM$14)/_xlfn.XLOOKUP(EI$7,'Product Eng - BE'!$M$6:$BM$6,'Product Eng - BE'!$M$15:$BM$15)))))),0)</f>
        <v>0.52631578947368418</v>
      </c>
      <c r="EJ47" s="315" t="str">
        <f>IFERROR(IF(EJ$7&gt;$D$3,"",IF(CB47="OD","OD",IF(CB47="Missed","Missed",IF(CB47="TBC","TBC",IF(CB47="Undefined","Undefined",_xlfn.XLOOKUP(EJ$7,'Product Eng - BE'!$M$6:$BM$6,'Product Eng - BE'!$M$14:$BM$14)/_xlfn.XLOOKUP(EJ$7,'Product Eng - BE'!$M$6:$BM$6,'Product Eng - BE'!$M$15:$BM$15)))))),0)</f>
        <v>OD</v>
      </c>
      <c r="EK47" s="315" t="str">
        <f>IFERROR(IF(EK$7&gt;$D$3,"",IF(CC47="OD","OD",IF(CC47="Missed","Missed",IF(CC47="TBC","TBC",IF(CC47="Undefined","Undefined",_xlfn.XLOOKUP(EK$7,'Product Eng - BE'!$M$6:$BM$6,'Product Eng - BE'!$M$14:$BM$14)/_xlfn.XLOOKUP(EK$7,'Product Eng - BE'!$M$6:$BM$6,'Product Eng - BE'!$M$15:$BM$15)))))),0)</f>
        <v/>
      </c>
      <c r="EL47" s="315" t="str">
        <f>IFERROR(IF(EL$7&gt;$D$3,"",IF(CD47="OD","OD",IF(CD47="Missed","Missed",IF(CD47="TBC","TBC",IF(CD47="Undefined","Undefined",_xlfn.XLOOKUP(EL$7,'Product Eng - BE'!$M$6:$BM$6,'Product Eng - BE'!$M$14:$BM$14)/_xlfn.XLOOKUP(EL$7,'Product Eng - BE'!$M$6:$BM$6,'Product Eng - BE'!$M$15:$BM$15)))))),0)</f>
        <v/>
      </c>
      <c r="EM47" s="315" t="str">
        <f>IFERROR(IF(EM$7&gt;$D$3,"",IF(CE47="OD","OD",IF(CE47="Missed","Missed",IF(CE47="TBC","TBC",IF(CE47="Undefined","Undefined",_xlfn.XLOOKUP(EM$7,'Product Eng - BE'!$M$6:$BM$6,'Product Eng - BE'!$M$14:$BM$14)/_xlfn.XLOOKUP(EM$7,'Product Eng - BE'!$M$6:$BM$6,'Product Eng - BE'!$M$15:$BM$15)))))),0)</f>
        <v/>
      </c>
      <c r="EN47" s="315" t="str">
        <f>IFERROR(IF(EN$7&gt;$D$3,"",IF(CF47="OD","OD",IF(CF47="Missed","Missed",IF(CF47="TBC","TBC",IF(CF47="Undefined","Undefined",_xlfn.XLOOKUP(EN$7,'Product Eng - BE'!$M$6:$BM$6,'Product Eng - BE'!$M$14:$BM$14)/_xlfn.XLOOKUP(EN$7,'Product Eng - BE'!$M$6:$BM$6,'Product Eng - BE'!$M$15:$BM$15)))))),0)</f>
        <v/>
      </c>
      <c r="EO47" s="315" t="str">
        <f>IFERROR(IF(EO$7&gt;$D$3,"",IF(CG47="OD","OD",IF(CG47="Missed","Missed",IF(CG47="TBC","TBC",IF(CG47="Undefined","Undefined",_xlfn.XLOOKUP(EO$7,'Product Eng - BE'!$M$6:$BM$6,'Product Eng - BE'!$M$14:$BM$14)/_xlfn.XLOOKUP(EO$7,'Product Eng - BE'!$M$6:$BM$6,'Product Eng - BE'!$M$15:$BM$15)))))),0)</f>
        <v/>
      </c>
      <c r="EP47" s="315" t="str">
        <f>IFERROR(IF(EP$7&gt;$D$3,"",IF(CH47="OD","OD",IF(CH47="Missed","Missed",IF(CH47="TBC","TBC",IF(CH47="Undefined","Undefined",_xlfn.XLOOKUP(EP$7,'Product Eng - BE'!$M$6:$BM$6,'Product Eng - BE'!$M$14:$BM$14)/_xlfn.XLOOKUP(EP$7,'Product Eng - BE'!$M$6:$BM$6,'Product Eng - BE'!$M$15:$BM$15)))))),0)</f>
        <v/>
      </c>
      <c r="EQ47" s="315" t="str">
        <f>IFERROR(IF(EQ$7&gt;$D$3,"",IF(CI47="OD","OD",IF(CI47="Missed","Missed",IF(CI47="TBC","TBC",IF(CI47="Undefined","Undefined",_xlfn.XLOOKUP(EQ$7,'Product Eng - BE'!$M$6:$BM$6,'Product Eng - BE'!$M$14:$BM$14)/_xlfn.XLOOKUP(EQ$7,'Product Eng - BE'!$M$6:$BM$6,'Product Eng - BE'!$M$15:$BM$15)))))),0)</f>
        <v/>
      </c>
      <c r="ER47" s="315" t="str">
        <f>IFERROR(IF(ER$7&gt;$D$3,"",IF(CJ47="OD","OD",IF(CJ47="Missed","Missed",IF(CJ47="TBC","TBC",IF(CJ47="Undefined","Undefined",_xlfn.XLOOKUP(ER$7,'Product Eng - BE'!$M$6:$BM$6,'Product Eng - BE'!$M$14:$BM$14)/_xlfn.XLOOKUP(ER$7,'Product Eng - BE'!$M$6:$BM$6,'Product Eng - BE'!$M$15:$BM$15)))))),0)</f>
        <v/>
      </c>
      <c r="ES47" s="315" t="str">
        <f>IFERROR(IF(ES$7&gt;$D$3,"",IF(CK47="OD","OD",IF(CK47="Missed","Missed",IF(CK47="TBC","TBC",IF(CK47="Undefined","Undefined",_xlfn.XLOOKUP(ES$7,'Product Eng - BE'!$M$6:$BM$6,'Product Eng - BE'!$M$14:$BM$14)/_xlfn.XLOOKUP(ES$7,'Product Eng - BE'!$M$6:$BM$6,'Product Eng - BE'!$M$15:$BM$15)))))),0)</f>
        <v/>
      </c>
      <c r="ET47" s="315" t="str">
        <f>IFERROR(IF(ET$7&gt;$D$3,"",IF(CL47="OD","OD",IF(CL47="Missed","Missed",IF(CL47="TBC","TBC",IF(CL47="Undefined","Undefined",_xlfn.XLOOKUP(ET$7,'Product Eng - BE'!$M$6:$BM$6,'Product Eng - BE'!$M$14:$BM$14)/_xlfn.XLOOKUP(ET$7,'Product Eng - BE'!$M$6:$BM$6,'Product Eng - BE'!$M$15:$BM$15)))))),0)</f>
        <v/>
      </c>
      <c r="EU47" s="315" t="str">
        <f>IFERROR(IF(EU$7&gt;$D$3,"",IF(CM47="OD","OD",IF(CM47="Missed","Missed",IF(CM47="TBC","TBC",IF(CM47="Undefined","Undefined",_xlfn.XLOOKUP(EU$7,'Product Eng - BE'!$M$6:$BM$6,'Product Eng - BE'!$M$14:$BM$14)/_xlfn.XLOOKUP(EU$7,'Product Eng - BE'!$M$6:$BM$6,'Product Eng - BE'!$M$15:$BM$15)))))),0)</f>
        <v/>
      </c>
      <c r="EW47" s="465" t="str">
        <f>+$A47</f>
        <v>Product Eng - BE-KPI D2</v>
      </c>
      <c r="EX47" s="136" t="str">
        <f>+$C47</f>
        <v>KPI D2</v>
      </c>
      <c r="EY47" s="144" t="str">
        <f>+$D47</f>
        <v>Delivery</v>
      </c>
      <c r="EZ47" s="144" t="str">
        <f t="shared" si="145"/>
        <v>Lead Time for full order conversion</v>
      </c>
      <c r="FA47" s="145" t="str">
        <f t="shared" si="146"/>
        <v>Days</v>
      </c>
      <c r="FB47" s="145" t="s">
        <v>251</v>
      </c>
      <c r="FC47" s="223" t="str">
        <f>IF(FC$7&gt;$D$3,"",IF($FA44&lt;FC$7,"OD",_xlfn.XLOOKUP(FC$7,'Product Eng - BE'!$M$6:$BM$6,'Product Eng - BE'!$M$15:$BM$15)))</f>
        <v>Blank</v>
      </c>
      <c r="FD47" s="223">
        <f>IF(FD$7&gt;$D$3,"",IF($FA44&lt;FD$7,"OD",_xlfn.XLOOKUP(FD$7,'Product Eng - BE'!$M$6:$BM$6,'Product Eng - BE'!$M$15:$BM$15)))</f>
        <v>33</v>
      </c>
      <c r="FE47" s="223">
        <f>IF(FE$7&gt;$D$3,"",IF($FA44&lt;FE$7,"OD",_xlfn.XLOOKUP(FE$7,'Product Eng - BE'!$M$6:$BM$6,'Product Eng - BE'!$M$15:$BM$15)))</f>
        <v>5.25</v>
      </c>
      <c r="FF47" s="223">
        <f>IF(FF$7&gt;$D$3,"",IF($FA44&lt;FF$7,"OD",_xlfn.XLOOKUP(FF$7,'Product Eng - BE'!$M$6:$BM$6,'Product Eng - BE'!$M$15:$BM$15)))</f>
        <v>33</v>
      </c>
      <c r="FG47" s="223">
        <f>IF(FG$7&gt;$D$3,"",IF($FA44&lt;FG$7,"OD",_xlfn.XLOOKUP(FG$7,'Product Eng - BE'!$M$6:$BM$6,'Product Eng - BE'!$M$15:$BM$15)))</f>
        <v>33</v>
      </c>
      <c r="FH47" s="223">
        <f>IF(FH$7&gt;$D$3,"",IF($FA44&lt;FH$7,"OD",_xlfn.XLOOKUP(FH$7,'Product Eng - BE'!$M$6:$BM$6,'Product Eng - BE'!$M$15:$BM$15)))</f>
        <v>29</v>
      </c>
      <c r="FI47" s="223">
        <f>IF(FI$7&gt;$D$3,"",IF($FA44&lt;FI$7,"OD",_xlfn.XLOOKUP(FI$7,'Product Eng - BE'!$M$6:$BM$6,'Product Eng - BE'!$M$15:$BM$15)))</f>
        <v>30</v>
      </c>
      <c r="FJ47" s="223">
        <f>IF(FJ$7&gt;$D$3,"",IF($FA44&lt;FJ$7,"OD",_xlfn.XLOOKUP(FJ$7,'Product Eng - BE'!$M$6:$BM$6,'Product Eng - BE'!$M$15:$BM$15)))</f>
        <v>21</v>
      </c>
      <c r="FK47" s="223">
        <f>IF(FK$7&gt;$D$3,"",IF($FA44&lt;FK$7,"OD",_xlfn.XLOOKUP(FK$7,'Product Eng - BE'!$M$6:$BM$6,'Product Eng - BE'!$M$15:$BM$15)))</f>
        <v>21</v>
      </c>
      <c r="FL47" s="223">
        <f>IF(FL$7&gt;$D$3,"",IF($FA44&lt;FL$7,"OD",_xlfn.XLOOKUP(FL$7,'Product Eng - BE'!$M$6:$BM$6,'Product Eng - BE'!$M$15:$BM$15)))</f>
        <v>27</v>
      </c>
      <c r="FM47" s="223">
        <f>IF(FM$7&gt;$D$3,"",IF($FA44&lt;FM$7,"OD",_xlfn.XLOOKUP(FM$7,'Product Eng - BE'!$M$6:$BM$6,'Product Eng - BE'!$M$15:$BM$15)))</f>
        <v>29</v>
      </c>
      <c r="FN47" s="223">
        <f>IF(FN$7&gt;$D$3,"",IF($FA44&lt;FN$7,"OD",_xlfn.XLOOKUP(FN$7,'Product Eng - BE'!$M$6:$BM$6,'Product Eng - BE'!$M$15:$BM$15)))</f>
        <v>39</v>
      </c>
      <c r="FO47" s="223">
        <f>IF(FO$7&gt;$D$3,"",IF($FA44&lt;FO$7,"OD",_xlfn.XLOOKUP(FO$7,'Product Eng - BE'!$M$6:$BM$6,'Product Eng - BE'!$M$15:$BM$15)))</f>
        <v>28</v>
      </c>
      <c r="FP47" s="223">
        <f>IF(FP$7&gt;$D$3,"",IF($FA44&lt;FP$7,"OD",_xlfn.XLOOKUP(FP$7,'Product Eng - BE'!$M$6:$BM$6,'Product Eng - BE'!$M$15:$BM$15)))</f>
        <v>29</v>
      </c>
      <c r="FQ47" s="223">
        <f>IF(FQ$7&gt;$D$3,"",IF($FA44&lt;FQ$7,"OD",_xlfn.XLOOKUP(FQ$7,'Product Eng - BE'!$M$6:$BM$6,'Product Eng - BE'!$M$15:$BM$15)))</f>
        <v>25</v>
      </c>
      <c r="FR47" s="223">
        <f>IF(FR$7&gt;$D$3,"",IF($FA44&lt;FR$7,"OD",_xlfn.XLOOKUP(FR$7,'Product Eng - BE'!$M$6:$BM$6,'Product Eng - BE'!$M$15:$BM$15)))</f>
        <v>36</v>
      </c>
      <c r="FS47" s="223">
        <f>IF(FS$7&gt;$D$3,"",IF($FA44&lt;FS$7,"OD",_xlfn.XLOOKUP(FS$7,'Product Eng - BE'!$M$6:$BM$6,'Product Eng - BE'!$M$15:$BM$15)))</f>
        <v>37</v>
      </c>
      <c r="FT47" s="223">
        <f>IF(FT$7&gt;$D$3,"",IF($FA44&lt;FT$7,"OD",_xlfn.XLOOKUP(FT$7,'Product Eng - BE'!$M$6:$BM$6,'Product Eng - BE'!$M$15:$BM$15)))</f>
        <v>34</v>
      </c>
      <c r="FU47" s="223">
        <f>IF(FU$7&gt;$D$3,"",IF($FA44&lt;FU$7,"OD",_xlfn.XLOOKUP(FU$7,'Product Eng - BE'!$M$6:$BM$6,'Product Eng - BE'!$M$15:$BM$15)))</f>
        <v>28</v>
      </c>
      <c r="FV47" s="223">
        <f>IF(FV$7&gt;$D$3,"",IF($FA44&lt;FV$7,"OD",_xlfn.XLOOKUP(FV$7,'Product Eng - BE'!$M$6:$BM$6,'Product Eng - BE'!$M$15:$BM$15)))</f>
        <v>37</v>
      </c>
      <c r="FW47" s="223">
        <f>IF(FW$7&gt;$D$3,"",IF($FA44&lt;FW$7,"OD",_xlfn.XLOOKUP(FW$7,'Product Eng - BE'!$M$6:$BM$6,'Product Eng - BE'!$M$15:$BM$15)))</f>
        <v>44</v>
      </c>
      <c r="FX47" s="223">
        <f>IF(FX$7&gt;$D$3,"",IF($FA44&lt;FX$7,"OD",_xlfn.XLOOKUP(FX$7,'Product Eng - BE'!$M$6:$BM$6,'Product Eng - BE'!$M$15:$BM$15)))</f>
        <v>43</v>
      </c>
      <c r="FY47" s="223">
        <f>IF(FY$7&gt;$D$3,"",IF($FA44&lt;FY$7,"OD",_xlfn.XLOOKUP(FY$7,'Product Eng - BE'!$M$6:$BM$6,'Product Eng - BE'!$M$15:$BM$15)))</f>
        <v>41</v>
      </c>
      <c r="FZ47" s="223">
        <f>IF(FZ$7&gt;$D$3,"",IF($FA44&lt;FZ$7,"OD",_xlfn.XLOOKUP(FZ$7,'Product Eng - BE'!$M$6:$BM$6,'Product Eng - BE'!$M$15:$BM$15)))</f>
        <v>25</v>
      </c>
      <c r="GA47" s="223">
        <f>IF(GA$7&gt;$D$3,"",IF($FA44&lt;GA$7,"OD",_xlfn.XLOOKUP(GA$7,'Product Eng - BE'!$M$6:$BM$6,'Product Eng - BE'!$M$15:$BM$15)))</f>
        <v>22</v>
      </c>
      <c r="GB47" s="223">
        <f>IF(GB$7&gt;$D$3,"",IF($FA44&lt;GB$7,"OD",_xlfn.XLOOKUP(GB$7,'Product Eng - BE'!$M$6:$BM$6,'Product Eng - BE'!$M$15:$BM$15)))</f>
        <v>21</v>
      </c>
      <c r="GC47" s="223">
        <f>IF(GC$7&gt;$D$3,"",IF($FA44&lt;GC$7,"OD",_xlfn.XLOOKUP(GC$7,'Product Eng - BE'!$M$6:$BM$6,'Product Eng - BE'!$M$15:$BM$15)))</f>
        <v>24</v>
      </c>
      <c r="GD47" s="223">
        <f>IF(GD$7&gt;$D$3,"",IF($FA44&lt;GD$7,"OD",_xlfn.XLOOKUP(GD$7,'Product Eng - BE'!$M$6:$BM$6,'Product Eng - BE'!$M$15:$BM$15)))</f>
        <v>29</v>
      </c>
      <c r="GE47" s="223">
        <f>IF(GE$7&gt;$D$3,"",IF($FA44&lt;GE$7,"OD",_xlfn.XLOOKUP(GE$7,'Product Eng - BE'!$M$6:$BM$6,'Product Eng - BE'!$M$15:$BM$15)))</f>
        <v>36</v>
      </c>
      <c r="GF47" s="223">
        <f>IF(GF$7&gt;$D$3,"",IF($FA44&lt;GF$7,"OD",_xlfn.XLOOKUP(GF$7,'Product Eng - BE'!$M$6:$BM$6,'Product Eng - BE'!$M$15:$BM$15)))</f>
        <v>37</v>
      </c>
      <c r="GG47" s="223">
        <f>IF(GG$7&gt;$D$3,"",IF($FA44&lt;GG$7,"OD",_xlfn.XLOOKUP(GG$7,'Product Eng - BE'!$M$6:$BM$6,'Product Eng - BE'!$M$15:$BM$15)))</f>
        <v>36</v>
      </c>
      <c r="GH47" s="223">
        <f>IF(GH$7&gt;$D$3,"",IF($FA44&lt;GH$7,"OD",_xlfn.XLOOKUP(GH$7,'Product Eng - BE'!$M$6:$BM$6,'Product Eng - BE'!$M$15:$BM$15)))</f>
        <v>35</v>
      </c>
      <c r="GI47" s="223">
        <f>IF(GI$7&gt;$D$3,"",IF($FA44&lt;GI$7,"OD",_xlfn.XLOOKUP(GI$7,'Product Eng - BE'!$M$6:$BM$6,'Product Eng - BE'!$M$15:$BM$15)))</f>
        <v>26</v>
      </c>
      <c r="GJ47" s="223">
        <f>IF(GJ$7&gt;$D$3,"",IF($FA44&lt;GJ$7,"OD",_xlfn.XLOOKUP(GJ$7,'Product Eng - BE'!$M$6:$BM$6,'Product Eng - BE'!$M$15:$BM$15)))</f>
        <v>24</v>
      </c>
      <c r="GK47" s="223">
        <f>IF(GK$7&gt;$D$3,"",IF($FA44&lt;GK$7,"OD",_xlfn.XLOOKUP(GK$7,'Product Eng - BE'!$M$6:$BM$6,'Product Eng - BE'!$M$15:$BM$15)))</f>
        <v>34</v>
      </c>
      <c r="GL47" s="223">
        <f>IF(GL$7&gt;$D$3,"",IF($FA44&lt;GL$7,"OD",_xlfn.XLOOKUP(GL$7,'Product Eng - BE'!$M$6:$BM$6,'Product Eng - BE'!$M$15:$BM$15)))</f>
        <v>23</v>
      </c>
      <c r="GM47" s="223">
        <f>IF(GM$7&gt;$D$3,"",IF($FA44&lt;GM$7,"OD",_xlfn.XLOOKUP(GM$7,'Product Eng - BE'!$M$6:$BM$6,'Product Eng - BE'!$M$15:$BM$15)))</f>
        <v>20</v>
      </c>
      <c r="GN47" s="223">
        <f>IF(GN$7&gt;$D$3,"",IF($FA44&lt;GN$7,"OD",_xlfn.XLOOKUP(GN$7,'Product Eng - BE'!$M$6:$BM$6,'Product Eng - BE'!$M$15:$BM$15)))</f>
        <v>21</v>
      </c>
      <c r="GO47" s="223">
        <f>IF(GO$7&gt;$D$3,"",IF($FA44&lt;GO$7,"OD",_xlfn.XLOOKUP(GO$7,'Product Eng - BE'!$M$6:$BM$6,'Product Eng - BE'!$M$15:$BM$15)))</f>
        <v>23</v>
      </c>
      <c r="GP47" s="223">
        <f>IF(GP$7&gt;$D$3,"",IF($FA44&lt;GP$7,"OD",_xlfn.XLOOKUP(GP$7,'Product Eng - BE'!$M$6:$BM$6,'Product Eng - BE'!$M$15:$BM$15)))</f>
        <v>25</v>
      </c>
      <c r="GQ47" s="223">
        <f>IF(GQ$7&gt;$D$3,"",IF($FA44&lt;GQ$7,"OD",_xlfn.XLOOKUP(GQ$7,'Product Eng - BE'!$M$6:$BM$6,'Product Eng - BE'!$M$15:$BM$15)))</f>
        <v>19</v>
      </c>
      <c r="GR47" s="223">
        <f>IF(GR$7&gt;$D$3,"",IF($FA44&lt;GR$7,"OD",_xlfn.XLOOKUP(GR$7,'Product Eng - BE'!$M$6:$BM$6,'Product Eng - BE'!$M$15:$BM$15)))</f>
        <v>0</v>
      </c>
      <c r="GS47" s="223" t="str">
        <f>IF(GS$7&gt;$D$3,"",IF($FA44&lt;GS$7,"OD",_xlfn.XLOOKUP(GS$7,'Product Eng - BE'!$M$6:$BM$6,'Product Eng - BE'!$M$15:$BM$15)))</f>
        <v/>
      </c>
      <c r="GT47" s="223" t="str">
        <f>IF(GT$7&gt;$D$3,"",IF($FA44&lt;GT$7,"OD",_xlfn.XLOOKUP(GT$7,'Product Eng - BE'!$M$6:$BM$6,'Product Eng - BE'!$M$15:$BM$15)))</f>
        <v/>
      </c>
      <c r="GU47" s="223" t="str">
        <f>IF(GU$7&gt;$D$3,"",IF($FA44&lt;GU$7,"OD",_xlfn.XLOOKUP(GU$7,'Product Eng - BE'!$M$6:$BM$6,'Product Eng - BE'!$M$15:$BM$15)))</f>
        <v/>
      </c>
      <c r="GV47" s="223" t="str">
        <f>IF(GV$7&gt;$D$3,"",IF($FA44&lt;GV$7,"OD",_xlfn.XLOOKUP(GV$7,'Product Eng - BE'!$M$6:$BM$6,'Product Eng - BE'!$M$15:$BM$15)))</f>
        <v/>
      </c>
      <c r="GW47" s="223" t="str">
        <f>IF(GW$7&gt;$D$3,"",IF($FA44&lt;GW$7,"OD",_xlfn.XLOOKUP(GW$7,'Product Eng - BE'!$M$6:$BM$6,'Product Eng - BE'!$M$15:$BM$15)))</f>
        <v/>
      </c>
      <c r="GX47" s="223" t="str">
        <f>IF(GX$7&gt;$D$3,"",IF($FA44&lt;GX$7,"OD",_xlfn.XLOOKUP(GX$7,'Product Eng - BE'!$M$6:$BM$6,'Product Eng - BE'!$M$15:$BM$15)))</f>
        <v/>
      </c>
      <c r="GY47" s="223" t="str">
        <f>IF(GY$7&gt;$D$3,"",IF($FA44&lt;GY$7,"OD",_xlfn.XLOOKUP(GY$7,'Product Eng - BE'!$M$6:$BM$6,'Product Eng - BE'!$M$15:$BM$15)))</f>
        <v/>
      </c>
      <c r="GZ47" s="223" t="str">
        <f>IF(GZ$7&gt;$D$3,"",IF($FA44&lt;GZ$7,"OD",_xlfn.XLOOKUP(GZ$7,'Product Eng - BE'!$M$6:$BM$6,'Product Eng - BE'!$M$15:$BM$15)))</f>
        <v/>
      </c>
      <c r="HA47" s="223" t="str">
        <f>IF(HA$7&gt;$D$3,"",IF($FA44&lt;HA$7,"OD",_xlfn.XLOOKUP(HA$7,'Product Eng - BE'!$M$6:$BM$6,'Product Eng - BE'!$M$15:$BM$15)))</f>
        <v/>
      </c>
      <c r="HB47" s="223" t="str">
        <f>IF(HB$7&gt;$D$3,"",IF($FA44&lt;HB$7,"OD",_xlfn.XLOOKUP(HB$7,'Product Eng - BE'!$M$6:$BM$6,'Product Eng - BE'!$M$15:$BM$15)))</f>
        <v/>
      </c>
      <c r="HC47" s="223" t="str">
        <f>IF(HC$7&gt;$D$3,"",IF($FA44&lt;HC$7,"OD",_xlfn.XLOOKUP(HC$7,'Product Eng - BE'!$M$6:$BM$6,'Product Eng - BE'!$M$15:$BM$15)))</f>
        <v/>
      </c>
      <c r="HE47" s="136" t="str">
        <f>+$C47</f>
        <v>KPI D2</v>
      </c>
      <c r="HF47" s="144" t="str">
        <f>+$D47</f>
        <v>Delivery</v>
      </c>
      <c r="HG47" s="144" t="str">
        <f t="shared" si="149"/>
        <v>Lead Time for full order conversion</v>
      </c>
      <c r="HH47" s="145" t="str">
        <f t="shared" si="150"/>
        <v>Days</v>
      </c>
      <c r="HI47" s="145" t="s">
        <v>44</v>
      </c>
      <c r="HJ47" s="223" t="s">
        <v>122</v>
      </c>
      <c r="HK47" s="223">
        <f>IF(HK$7&gt;$D$3,"",IF($FA44&lt;HK$7,"OD",_xlfn.XLOOKUP(HK$7,'Product Eng - BE'!$M$6:$BM$6,'Product Eng - BE'!$M$14:$BM$14)))</f>
        <v>10</v>
      </c>
      <c r="HL47" s="223">
        <f>IF(HL$7&gt;$D$3,"",IF($FA44&lt;HL$7,"OD",_xlfn.XLOOKUP(HL$7,'Product Eng - BE'!$M$6:$BM$6,'Product Eng - BE'!$M$14:$BM$14)))</f>
        <v>10</v>
      </c>
      <c r="HM47" s="223">
        <f>IF(HM$7&gt;$D$3,"",IF($FA44&lt;HM$7,"OD",_xlfn.XLOOKUP(HM$7,'Product Eng - BE'!$M$6:$BM$6,'Product Eng - BE'!$M$14:$BM$14)))</f>
        <v>10</v>
      </c>
      <c r="HN47" s="223">
        <f>IF(HN$7&gt;$D$3,"",IF($FA44&lt;HN$7,"OD",_xlfn.XLOOKUP(HN$7,'Product Eng - BE'!$M$6:$BM$6,'Product Eng - BE'!$M$14:$BM$14)))</f>
        <v>10</v>
      </c>
      <c r="HO47" s="223">
        <f>IF(HO$7&gt;$D$3,"",IF($FA44&lt;HO$7,"OD",_xlfn.XLOOKUP(HO$7,'Product Eng - BE'!$M$6:$BM$6,'Product Eng - BE'!$M$14:$BM$14)))</f>
        <v>10</v>
      </c>
      <c r="HP47" s="223">
        <f>IF(HP$7&gt;$D$3,"",IF($FA44&lt;HP$7,"OD",_xlfn.XLOOKUP(HP$7,'Product Eng - BE'!$M$6:$BM$6,'Product Eng - BE'!$M$14:$BM$14)))</f>
        <v>10</v>
      </c>
      <c r="HQ47" s="223">
        <f>IF(HQ$7&gt;$D$3,"",IF($FA44&lt;HQ$7,"OD",_xlfn.XLOOKUP(HQ$7,'Product Eng - BE'!$M$6:$BM$6,'Product Eng - BE'!$M$14:$BM$14)))</f>
        <v>10</v>
      </c>
      <c r="HR47" s="223">
        <f>IF(HR$7&gt;$D$3,"",IF($FA44&lt;HR$7,"OD",_xlfn.XLOOKUP(HR$7,'Product Eng - BE'!$M$6:$BM$6,'Product Eng - BE'!$M$14:$BM$14)))</f>
        <v>10</v>
      </c>
      <c r="HS47" s="223">
        <f>IF(HS$7&gt;$D$3,"",IF($FA44&lt;HS$7,"OD",_xlfn.XLOOKUP(HS$7,'Product Eng - BE'!$M$6:$BM$6,'Product Eng - BE'!$M$14:$BM$14)))</f>
        <v>10</v>
      </c>
      <c r="HT47" s="223">
        <f>IF(HT$7&gt;$D$3,"",IF($FA44&lt;HT$7,"OD",_xlfn.XLOOKUP(HT$7,'Product Eng - BE'!$M$6:$BM$6,'Product Eng - BE'!$M$14:$BM$14)))</f>
        <v>10</v>
      </c>
      <c r="HU47" s="223">
        <f>IF(HU$7&gt;$D$3,"",IF($FA44&lt;HU$7,"OD",_xlfn.XLOOKUP(HU$7,'Product Eng - BE'!$M$6:$BM$6,'Product Eng - BE'!$M$14:$BM$14)))</f>
        <v>10</v>
      </c>
      <c r="HV47" s="223">
        <f>IF(HV$7&gt;$D$3,"",IF($FA44&lt;HV$7,"OD",_xlfn.XLOOKUP(HV$7,'Product Eng - BE'!$M$6:$BM$6,'Product Eng - BE'!$M$14:$BM$14)))</f>
        <v>10</v>
      </c>
      <c r="HW47" s="223">
        <f>IF(HW$7&gt;$D$3,"",IF($FA44&lt;HW$7,"OD",_xlfn.XLOOKUP(HW$7,'Product Eng - BE'!$M$6:$BM$6,'Product Eng - BE'!$M$14:$BM$14)))</f>
        <v>10</v>
      </c>
      <c r="HX47" s="223">
        <f>IF(HX$7&gt;$D$3,"",IF($FA44&lt;HX$7,"OD",_xlfn.XLOOKUP(HX$7,'Product Eng - BE'!$M$6:$BM$6,'Product Eng - BE'!$M$14:$BM$14)))</f>
        <v>10</v>
      </c>
      <c r="HY47" s="223">
        <f>IF(HY$7&gt;$D$3,"",IF($FA44&lt;HY$7,"OD",_xlfn.XLOOKUP(HY$7,'Product Eng - BE'!$M$6:$BM$6,'Product Eng - BE'!$M$14:$BM$14)))</f>
        <v>10</v>
      </c>
      <c r="HZ47" s="223">
        <f>IF(HZ$7&gt;$D$3,"",IF($FA44&lt;HZ$7,"OD",_xlfn.XLOOKUP(HZ$7,'Product Eng - BE'!$M$6:$BM$6,'Product Eng - BE'!$M$14:$BM$14)))</f>
        <v>10</v>
      </c>
      <c r="IA47" s="223">
        <f>IF(IA$7&gt;$D$3,"",IF($FA44&lt;IA$7,"OD",_xlfn.XLOOKUP(IA$7,'Product Eng - BE'!$M$6:$BM$6,'Product Eng - BE'!$M$14:$BM$14)))</f>
        <v>10</v>
      </c>
      <c r="IB47" s="223">
        <f>IF(IB$7&gt;$D$3,"",IF($FA44&lt;IB$7,"OD",_xlfn.XLOOKUP(IB$7,'Product Eng - BE'!$M$6:$BM$6,'Product Eng - BE'!$M$14:$BM$14)))</f>
        <v>10</v>
      </c>
      <c r="IC47" s="223">
        <f>IF(IC$7&gt;$D$3,"",IF($FA44&lt;IC$7,"OD",_xlfn.XLOOKUP(IC$7,'Product Eng - BE'!$M$6:$BM$6,'Product Eng - BE'!$M$14:$BM$14)))</f>
        <v>10</v>
      </c>
      <c r="ID47" s="223">
        <f>IF(ID$7&gt;$D$3,"",IF($FA44&lt;ID$7,"OD",_xlfn.XLOOKUP(ID$7,'Product Eng - BE'!$M$6:$BM$6,'Product Eng - BE'!$M$14:$BM$14)))</f>
        <v>10</v>
      </c>
      <c r="IE47" s="223">
        <f>IF(IE$7&gt;$D$3,"",IF($FA44&lt;IE$7,"OD",_xlfn.XLOOKUP(IE$7,'Product Eng - BE'!$M$6:$BM$6,'Product Eng - BE'!$M$14:$BM$14)))</f>
        <v>10</v>
      </c>
      <c r="IF47" s="223">
        <f>IF(IF$7&gt;$D$3,"",IF($FA44&lt;IF$7,"OD",_xlfn.XLOOKUP(IF$7,'Product Eng - BE'!$M$6:$BM$6,'Product Eng - BE'!$M$14:$BM$14)))</f>
        <v>10</v>
      </c>
      <c r="IG47" s="223">
        <f>IF(IG$7&gt;$D$3,"",IF($FA44&lt;IG$7,"OD",_xlfn.XLOOKUP(IG$7,'Product Eng - BE'!$M$6:$BM$6,'Product Eng - BE'!$M$14:$BM$14)))</f>
        <v>10</v>
      </c>
      <c r="IH47" s="223">
        <f>IF(IH$7&gt;$D$3,"",IF($FA44&lt;IH$7,"OD",_xlfn.XLOOKUP(IH$7,'Product Eng - BE'!$M$6:$BM$6,'Product Eng - BE'!$M$14:$BM$14)))</f>
        <v>10</v>
      </c>
      <c r="II47" s="223">
        <f>IF(II$7&gt;$D$3,"",IF($FA44&lt;II$7,"OD",_xlfn.XLOOKUP(II$7,'Product Eng - BE'!$M$6:$BM$6,'Product Eng - BE'!$M$14:$BM$14)))</f>
        <v>10</v>
      </c>
      <c r="IJ47" s="223">
        <f>IF(IJ$7&gt;$D$3,"",IF($FA44&lt;IJ$7,"OD",_xlfn.XLOOKUP(IJ$7,'Product Eng - BE'!$M$6:$BM$6,'Product Eng - BE'!$M$14:$BM$14)))</f>
        <v>10</v>
      </c>
      <c r="IK47" s="223">
        <f>IF(IK$7&gt;$D$3,"",IF($FA44&lt;IK$7,"OD",_xlfn.XLOOKUP(IK$7,'Product Eng - BE'!$M$6:$BM$6,'Product Eng - BE'!$M$14:$BM$14)))</f>
        <v>10</v>
      </c>
      <c r="IL47" s="223">
        <f>IF(IL$7&gt;$D$3,"",IF($FA44&lt;IL$7,"OD",_xlfn.XLOOKUP(IL$7,'Product Eng - BE'!$M$6:$BM$6,'Product Eng - BE'!$M$14:$BM$14)))</f>
        <v>10</v>
      </c>
      <c r="IM47" s="223">
        <f>IF(IM$7&gt;$D$3,"",IF($FA44&lt;IM$7,"OD",_xlfn.XLOOKUP(IM$7,'Product Eng - BE'!$M$6:$BM$6,'Product Eng - BE'!$M$14:$BM$14)))</f>
        <v>10</v>
      </c>
      <c r="IN47" s="223">
        <f>IF(IN$7&gt;$D$3,"",IF($FA44&lt;IN$7,"OD",_xlfn.XLOOKUP(IN$7,'Product Eng - BE'!$M$6:$BM$6,'Product Eng - BE'!$M$14:$BM$14)))</f>
        <v>10</v>
      </c>
      <c r="IO47" s="223">
        <f>IF(IO$7&gt;$D$3,"",IF($FA44&lt;IO$7,"OD",_xlfn.XLOOKUP(IO$7,'Product Eng - BE'!$M$6:$BM$6,'Product Eng - BE'!$M$14:$BM$14)))</f>
        <v>10</v>
      </c>
      <c r="IP47" s="223">
        <f>IF(IP$7&gt;$D$3,"",IF($FA44&lt;IP$7,"OD",_xlfn.XLOOKUP(IP$7,'Product Eng - BE'!$M$6:$BM$6,'Product Eng - BE'!$M$14:$BM$14)))</f>
        <v>10</v>
      </c>
      <c r="IQ47" s="223">
        <f>IF(IQ$7&gt;$D$3,"",IF($FA44&lt;IQ$7,"OD",_xlfn.XLOOKUP(IQ$7,'Product Eng - BE'!$M$6:$BM$6,'Product Eng - BE'!$M$14:$BM$14)))</f>
        <v>10</v>
      </c>
      <c r="IR47" s="223">
        <f>IF(IR$7&gt;$D$3,"",IF($FA44&lt;IR$7,"OD",_xlfn.XLOOKUP(IR$7,'Product Eng - BE'!$M$6:$BM$6,'Product Eng - BE'!$M$14:$BM$14)))</f>
        <v>10</v>
      </c>
      <c r="IS47" s="223">
        <f>IF(IS$7&gt;$D$3,"",IF($FA44&lt;IS$7,"OD",_xlfn.XLOOKUP(IS$7,'Product Eng - BE'!$M$6:$BM$6,'Product Eng - BE'!$M$14:$BM$14)))</f>
        <v>10</v>
      </c>
      <c r="IT47" s="223">
        <f>IF(IT$7&gt;$D$3,"",IF($FA44&lt;IT$7,"OD",_xlfn.XLOOKUP(IT$7,'Product Eng - BE'!$M$6:$BM$6,'Product Eng - BE'!$M$14:$BM$14)))</f>
        <v>10</v>
      </c>
      <c r="IU47" s="223">
        <f>IF(IU$7&gt;$D$3,"",IF($FA44&lt;IU$7,"OD",_xlfn.XLOOKUP(IU$7,'Product Eng - BE'!$M$6:$BM$6,'Product Eng - BE'!$M$14:$BM$14)))</f>
        <v>10</v>
      </c>
      <c r="IV47" s="223">
        <f>IF(IV$7&gt;$D$3,"",IF($FA44&lt;IV$7,"OD",_xlfn.XLOOKUP(IV$7,'Product Eng - BE'!$M$6:$BM$6,'Product Eng - BE'!$M$14:$BM$14)))</f>
        <v>10</v>
      </c>
      <c r="IW47" s="223">
        <f>IF(IW$7&gt;$D$3,"",IF($FA44&lt;IW$7,"OD",_xlfn.XLOOKUP(IW$7,'Product Eng - BE'!$M$6:$BM$6,'Product Eng - BE'!$M$14:$BM$14)))</f>
        <v>10</v>
      </c>
      <c r="IX47" s="223">
        <f>IF(IX$7&gt;$D$3,"",IF($FA44&lt;IX$7,"OD",_xlfn.XLOOKUP(IX$7,'Product Eng - BE'!$M$6:$BM$6,'Product Eng - BE'!$M$14:$BM$14)))</f>
        <v>10</v>
      </c>
      <c r="IY47" s="223">
        <f>IF(IY$7&gt;$D$3,"",IF($FA44&lt;IY$7,"OD",_xlfn.XLOOKUP(IY$7,'Product Eng - BE'!$M$6:$BM$6,'Product Eng - BE'!$M$14:$BM$14)))</f>
        <v>10</v>
      </c>
      <c r="IZ47" s="223" t="str">
        <f>IF(IZ$7&gt;$D$3,"",IF($FA44&lt;IZ$7,"OD",_xlfn.XLOOKUP(IZ$7,'Product Eng - BE'!$M$6:$BM$6,'Product Eng - BE'!$M$14:$BM$14)))</f>
        <v/>
      </c>
      <c r="JA47" s="223" t="str">
        <f>IF(JA$7&gt;$D$3,"",IF($FA44&lt;JA$7,"OD",_xlfn.XLOOKUP(JA$7,'Product Eng - BE'!$M$6:$BM$6,'Product Eng - BE'!$M$14:$BM$14)))</f>
        <v/>
      </c>
      <c r="JB47" s="223" t="str">
        <f>IF(JB$7&gt;$D$3,"",IF($FA44&lt;JB$7,"OD",_xlfn.XLOOKUP(JB$7,'Product Eng - BE'!$M$6:$BM$6,'Product Eng - BE'!$M$14:$BM$14)))</f>
        <v/>
      </c>
      <c r="JC47" s="223" t="str">
        <f>IF(JC$7&gt;$D$3,"",IF($FA44&lt;JC$7,"OD",_xlfn.XLOOKUP(JC$7,'Product Eng - BE'!$M$6:$BM$6,'Product Eng - BE'!$M$14:$BM$14)))</f>
        <v/>
      </c>
      <c r="JD47" s="223" t="str">
        <f>IF(JD$7&gt;$D$3,"",IF($FA44&lt;JD$7,"OD",_xlfn.XLOOKUP(JD$7,'Product Eng - BE'!$M$6:$BM$6,'Product Eng - BE'!$M$14:$BM$14)))</f>
        <v/>
      </c>
      <c r="JE47" s="223" t="str">
        <f>IF(JE$7&gt;$D$3,"",IF($FA44&lt;JE$7,"OD",_xlfn.XLOOKUP(JE$7,'Product Eng - BE'!$M$6:$BM$6,'Product Eng - BE'!$M$14:$BM$14)))</f>
        <v/>
      </c>
      <c r="JF47" s="223" t="str">
        <f>IF(JF$7&gt;$D$3,"",IF($FA44&lt;JF$7,"OD",_xlfn.XLOOKUP(JF$7,'Product Eng - BE'!$M$6:$BM$6,'Product Eng - BE'!$M$14:$BM$14)))</f>
        <v/>
      </c>
      <c r="JG47" s="223" t="str">
        <f>IF(JG$7&gt;$D$3,"",IF($FA44&lt;JG$7,"OD",_xlfn.XLOOKUP(JG$7,'Product Eng - BE'!$M$6:$BM$6,'Product Eng - BE'!$M$14:$BM$14)))</f>
        <v/>
      </c>
      <c r="JH47" s="223" t="str">
        <f>IF(JH$7&gt;$D$3,"",IF($FA44&lt;JH$7,"OD",_xlfn.XLOOKUP(JH$7,'Product Eng - BE'!$M$6:$BM$6,'Product Eng - BE'!$M$14:$BM$14)))</f>
        <v/>
      </c>
      <c r="JI47" s="223" t="str">
        <f>IF(JI$7&gt;$D$3,"",IF($FA44&lt;JI$7,"OD",_xlfn.XLOOKUP(JI$7,'Product Eng - BE'!$M$6:$BM$6,'Product Eng - BE'!$M$14:$BM$14)))</f>
        <v/>
      </c>
      <c r="JJ47" s="223" t="str">
        <f>IF(JJ$7&gt;$D$3,"",IF($FA44&lt;JJ$7,"OD",_xlfn.XLOOKUP(JJ$7,'Product Eng - BE'!$M$6:$BM$6,'Product Eng - BE'!$M$14:$BM$14)))</f>
        <v/>
      </c>
      <c r="JM47" s="136" t="str">
        <f>+$C47</f>
        <v>KPI D2</v>
      </c>
      <c r="JN47" s="144" t="str">
        <f>+$D47</f>
        <v>Delivery</v>
      </c>
      <c r="JO47" s="144" t="str">
        <f t="shared" si="154"/>
        <v>Lead Time for full order conversion</v>
      </c>
      <c r="JP47" s="145" t="str">
        <f t="shared" si="155"/>
        <v>Days</v>
      </c>
      <c r="JQ47" s="145" t="s">
        <v>284</v>
      </c>
      <c r="JR47" s="226" t="str">
        <f>IFERROR(AVERAGE(FC47:$FC47),"")</f>
        <v/>
      </c>
      <c r="JS47" s="226">
        <f>IFERROR(AVERAGE($FC47:FD47),"")</f>
        <v>33</v>
      </c>
      <c r="JT47" s="226">
        <f>IFERROR(AVERAGE($FC47:FE47),"")</f>
        <v>19.125</v>
      </c>
      <c r="JU47" s="226">
        <f>IFERROR(AVERAGE($FC47:FF47),"")</f>
        <v>23.75</v>
      </c>
      <c r="JV47" s="226">
        <f>IFERROR(AVERAGE($FC47:FG47),"")</f>
        <v>26.0625</v>
      </c>
      <c r="JW47" s="226">
        <f>IFERROR(AVERAGE($FC47:FH47),"")</f>
        <v>26.65</v>
      </c>
      <c r="JX47" s="226">
        <f>IFERROR(AVERAGE($FC47:FI47),"")</f>
        <v>27.208333333333332</v>
      </c>
      <c r="JY47" s="226">
        <f>IFERROR(AVERAGE($FC47:FJ47),"")</f>
        <v>26.321428571428573</v>
      </c>
      <c r="JZ47" s="226">
        <f>IFERROR(AVERAGE($FC47:FK47),"")</f>
        <v>25.65625</v>
      </c>
      <c r="KA47" s="226">
        <f>IFERROR(AVERAGE($FC47:FL47),"")</f>
        <v>25.805555555555557</v>
      </c>
      <c r="KB47" s="226">
        <f>IFERROR(AVERAGE($FC47:FM47),"")</f>
        <v>26.125</v>
      </c>
      <c r="KC47" s="226">
        <f>IFERROR(AVERAGE($FC47:FN47),"")</f>
        <v>27.295454545454547</v>
      </c>
      <c r="KD47" s="226">
        <f>IFERROR(AVERAGE($FC47:FO47),"")</f>
        <v>27.354166666666668</v>
      </c>
      <c r="KE47" s="226">
        <f>IFERROR(AVERAGE($FC47:FP47),"")</f>
        <v>27.48076923076923</v>
      </c>
      <c r="KF47" s="226">
        <f>IFERROR(AVERAGE($FC47:FQ47),"")</f>
        <v>27.303571428571427</v>
      </c>
      <c r="KG47" s="226">
        <f>IFERROR(AVERAGE($FC47:FR47),"")</f>
        <v>27.883333333333333</v>
      </c>
      <c r="KH47" s="226">
        <f>IFERROR(AVERAGE($FC47:FS47),"")</f>
        <v>28.453125</v>
      </c>
      <c r="KI47" s="226">
        <f>IFERROR(AVERAGE($FC47:FT47),"")</f>
        <v>28.779411764705884</v>
      </c>
      <c r="KJ47" s="226">
        <f>IFERROR(AVERAGE($FC47:FU47),"")</f>
        <v>28.736111111111111</v>
      </c>
      <c r="KK47" s="226">
        <f>IFERROR(AVERAGE($FC47:FV47),"")</f>
        <v>29.171052631578949</v>
      </c>
      <c r="KL47" s="226">
        <f>IFERROR(AVERAGE($FC47:FW47),"")</f>
        <v>29.912500000000001</v>
      </c>
      <c r="KM47" s="226">
        <f>IFERROR(AVERAGE($FC47:FX47),"")</f>
        <v>30.535714285714285</v>
      </c>
      <c r="KN47" s="226">
        <f>IFERROR(AVERAGE($FC47:FY47),"")</f>
        <v>31.011363636363637</v>
      </c>
      <c r="KO47" s="226">
        <f>IFERROR(AVERAGE($FC47:FZ47),"")</f>
        <v>30.75</v>
      </c>
      <c r="KP47" s="226">
        <f>IFERROR(AVERAGE($FC47:GA47),"")</f>
        <v>30.385416666666668</v>
      </c>
      <c r="KQ47" s="226">
        <f>IFERROR(AVERAGE($FC47:GB47),"")</f>
        <v>30.01</v>
      </c>
      <c r="KR47" s="226">
        <f>IFERROR(AVERAGE($FC47:GC47),"")</f>
        <v>29.778846153846153</v>
      </c>
      <c r="KS47" s="226">
        <f>IFERROR(AVERAGE($FC47:GD47),"")</f>
        <v>29.75</v>
      </c>
      <c r="KT47" s="226">
        <f>IFERROR(AVERAGE($FC47:GE47),"")</f>
        <v>29.973214285714285</v>
      </c>
      <c r="KU47" s="226">
        <f>IFERROR(AVERAGE($FC47:GF47),"")</f>
        <v>30.21551724137931</v>
      </c>
      <c r="KV47" s="226">
        <f>IFERROR(AVERAGE($FC47:GG47),"")</f>
        <v>30.408333333333335</v>
      </c>
      <c r="KW47" s="226">
        <f>IFERROR(AVERAGE($FC47:GH47),"")</f>
        <v>30.556451612903224</v>
      </c>
      <c r="KX47" s="226">
        <f>IFERROR(AVERAGE($FC47:GI47),"")</f>
        <v>30.4140625</v>
      </c>
      <c r="KY47" s="226">
        <f>IFERROR(AVERAGE($FC47:GJ47),"")</f>
        <v>30.219696969696969</v>
      </c>
      <c r="KZ47" s="226">
        <f>IFERROR(AVERAGE($FC47:GK47),"")</f>
        <v>30.330882352941178</v>
      </c>
      <c r="LA47" s="226">
        <f>IFERROR(AVERAGE($FC47:GL47),"")</f>
        <v>30.12142857142857</v>
      </c>
      <c r="LB47" s="226">
        <f>IFERROR(AVERAGE($FC47:GM47),"")</f>
        <v>29.840277777777779</v>
      </c>
      <c r="LC47" s="226">
        <f>IFERROR(AVERAGE($FC47:GN47),"")</f>
        <v>29.601351351351351</v>
      </c>
      <c r="LD47" s="226">
        <f>IFERROR(AVERAGE($FC47:GO47),"")</f>
        <v>29.42763157894737</v>
      </c>
      <c r="LE47" s="226">
        <f>IFERROR(AVERAGE($FC47:GP47),"")</f>
        <v>29.314102564102566</v>
      </c>
      <c r="LF47" s="226">
        <f>IFERROR(AVERAGE($FC47:GQ47),"")</f>
        <v>29.056249999999999</v>
      </c>
      <c r="LG47" s="226">
        <f>IFERROR(AVERAGE($FC47:GR47),"")</f>
        <v>28.347560975609756</v>
      </c>
      <c r="LH47" s="226">
        <f>IFERROR(AVERAGE($FC47:GS47),"")</f>
        <v>28.347560975609756</v>
      </c>
      <c r="LI47" s="226">
        <f>IFERROR(AVERAGE($FC47:GT47),"")</f>
        <v>28.347560975609756</v>
      </c>
      <c r="LJ47" s="226">
        <f>IFERROR(AVERAGE($FC47:GU47),"")</f>
        <v>28.347560975609756</v>
      </c>
      <c r="LK47" s="226">
        <f>IFERROR(AVERAGE($FC47:GV47),"")</f>
        <v>28.347560975609756</v>
      </c>
      <c r="LL47" s="226">
        <f>IFERROR(AVERAGE($FC47:GW47),"")</f>
        <v>28.347560975609756</v>
      </c>
      <c r="LM47" s="226">
        <f>IFERROR(AVERAGE($FC47:GX47),"")</f>
        <v>28.347560975609756</v>
      </c>
      <c r="LN47" s="226">
        <f>IFERROR(AVERAGE($FC47:GY47),"")</f>
        <v>28.347560975609756</v>
      </c>
      <c r="LO47" s="226">
        <f>IFERROR(AVERAGE($FC47:GZ47),"")</f>
        <v>28.347560975609756</v>
      </c>
      <c r="LP47" s="226">
        <f>IFERROR(AVERAGE($FC47:HA47),"")</f>
        <v>28.347560975609756</v>
      </c>
      <c r="LQ47" s="226">
        <f>IFERROR(AVERAGE($FC47:HB47),"")</f>
        <v>28.347560975609756</v>
      </c>
      <c r="LR47" s="226">
        <f>IFERROR(AVERAGE($FC47:HC47),"")</f>
        <v>28.347560975609756</v>
      </c>
      <c r="LT47" s="136" t="str">
        <f>+$C47</f>
        <v>KPI D2</v>
      </c>
      <c r="LU47" s="144" t="str">
        <f>+$D47</f>
        <v>Delivery</v>
      </c>
      <c r="LV47" s="144" t="str">
        <f t="shared" si="158"/>
        <v>Lead Time for full order conversion</v>
      </c>
      <c r="LW47" s="145" t="str">
        <f t="shared" si="159"/>
        <v>Days</v>
      </c>
      <c r="LX47" s="145" t="s">
        <v>285</v>
      </c>
      <c r="LY47" s="223" t="str">
        <f>IFERROR(AVERAGE($HJ47:HJ47),"")</f>
        <v/>
      </c>
      <c r="LZ47" s="223">
        <f>IFERROR(IF(LAD$7&gt;$D$3,"",AVERAGE($HJ47:HK47)),"")</f>
        <v>10</v>
      </c>
      <c r="MA47" s="223">
        <f>IFERROR(IF(MA$7&gt;$D$3,"",AVERAGE($HJ47:HL47)),"")</f>
        <v>10</v>
      </c>
      <c r="MB47" s="223">
        <f>IFERROR(IF(MB$7&gt;$D$3,"",AVERAGE($HJ47:HM47)),"")</f>
        <v>10</v>
      </c>
      <c r="MC47" s="223">
        <f>IFERROR(IF(MC$7&gt;$D$3,"",AVERAGE($HJ47:HN47)),"")</f>
        <v>10</v>
      </c>
      <c r="MD47" s="223">
        <f>IFERROR(IF(MD$7&gt;$D$3,"",AVERAGE($HJ47:HO47)),"")</f>
        <v>10</v>
      </c>
      <c r="ME47" s="223">
        <f>IFERROR(IF(ME$7&gt;$D$3,"",AVERAGE($HJ47:HP47)),"")</f>
        <v>10</v>
      </c>
      <c r="MF47" s="223">
        <f>IFERROR(IF(MF$7&gt;$D$3,"",AVERAGE($HJ47:HQ47)),"")</f>
        <v>10</v>
      </c>
      <c r="MG47" s="223">
        <f>IFERROR(IF(MG$7&gt;$D$3,"",AVERAGE($HJ47:HR47)),"")</f>
        <v>10</v>
      </c>
      <c r="MH47" s="223">
        <f>IFERROR(IF(MH$7&gt;$D$3,"",AVERAGE($HJ47:HS47)),"")</f>
        <v>10</v>
      </c>
      <c r="MI47" s="223">
        <f>IFERROR(IF(MI$7&gt;$D$3,"",AVERAGE($HJ47:HT47)),"")</f>
        <v>10</v>
      </c>
      <c r="MJ47" s="223">
        <f>IFERROR(IF(MJ$7&gt;$D$3,"",AVERAGE($HJ47:HU47)),"")</f>
        <v>10</v>
      </c>
      <c r="MK47" s="223">
        <f>IFERROR(IF(MK$7&gt;$D$3,"",AVERAGE($HJ47:HV47)),"")</f>
        <v>10</v>
      </c>
      <c r="ML47" s="223">
        <f>IFERROR(IF(ML$7&gt;$D$3,"",AVERAGE($HJ47:HW47)),"")</f>
        <v>10</v>
      </c>
      <c r="MM47" s="223">
        <f>IFERROR(IF(MM$7&gt;$D$3,"",AVERAGE($HJ47:HX47)),"")</f>
        <v>10</v>
      </c>
      <c r="MN47" s="223">
        <f>IFERROR(IF(MN$7&gt;$D$3,"",AVERAGE($HJ47:HY47)),"")</f>
        <v>10</v>
      </c>
      <c r="MO47" s="223">
        <f>IFERROR(IF(MO$7&gt;$D$3,"",AVERAGE($HJ47:HZ47)),"")</f>
        <v>10</v>
      </c>
      <c r="MP47" s="223">
        <f>IFERROR(IF(MP$7&gt;$D$3,"",AVERAGE($HJ47:IA47)),"")</f>
        <v>10</v>
      </c>
      <c r="MQ47" s="223">
        <f>IFERROR(IF(MQ$7&gt;$D$3,"",AVERAGE($HJ47:IB47)),"")</f>
        <v>10</v>
      </c>
      <c r="MR47" s="223">
        <f>IFERROR(IF(MR$7&gt;$D$3,"",AVERAGE($HJ47:IC47)),"")</f>
        <v>10</v>
      </c>
      <c r="MS47" s="223">
        <f>IFERROR(IF(MS$7&gt;$D$3,"",AVERAGE($HJ47:ID47)),"")</f>
        <v>10</v>
      </c>
      <c r="MT47" s="223">
        <f>IFERROR(IF(MT$7&gt;$D$3,"",AVERAGE($HJ47:IE47)),"")</f>
        <v>10</v>
      </c>
      <c r="MU47" s="223">
        <f>IFERROR(IF(MU$7&gt;$D$3,"",AVERAGE($HJ47:IF47)),"")</f>
        <v>10</v>
      </c>
      <c r="MV47" s="223">
        <f>IFERROR(IF(MV$7&gt;$D$3,"",AVERAGE($HJ47:IG47)),"")</f>
        <v>10</v>
      </c>
      <c r="MW47" s="223">
        <f>IFERROR(IF(MW$7&gt;$D$3,"",AVERAGE($HJ47:IH47)),"")</f>
        <v>10</v>
      </c>
      <c r="MX47" s="223">
        <f>IFERROR(IF(MX$7&gt;$D$3,"",AVERAGE($HJ47:II47)),"")</f>
        <v>10</v>
      </c>
      <c r="MY47" s="223">
        <f>IFERROR(IF(MY$7&gt;$D$3,"",AVERAGE($HJ47:IJ47)),"")</f>
        <v>10</v>
      </c>
      <c r="MZ47" s="223">
        <f>IFERROR(IF(MZ$7&gt;$D$3,"",AVERAGE($HJ47:IK47)),"")</f>
        <v>10</v>
      </c>
      <c r="NA47" s="223">
        <f>IFERROR(IF(NA$7&gt;$D$3,"",AVERAGE($HJ47:IL47)),"")</f>
        <v>10</v>
      </c>
      <c r="NB47" s="223">
        <f>IFERROR(IF(NB$7&gt;$D$3,"",AVERAGE($HJ47:IM47)),"")</f>
        <v>10</v>
      </c>
      <c r="NC47" s="223">
        <f>IFERROR(IF(NC$7&gt;$D$3,"",AVERAGE($HJ47:IN47)),"")</f>
        <v>10</v>
      </c>
      <c r="ND47" s="223">
        <f>IFERROR(IF(ND$7&gt;$D$3,"",AVERAGE($HJ47:IO47)),"")</f>
        <v>10</v>
      </c>
      <c r="NE47" s="223">
        <f>IFERROR(IF(NE$7&gt;$D$3,"",AVERAGE($HJ47:IP47)),"")</f>
        <v>10</v>
      </c>
      <c r="NF47" s="223">
        <f>IFERROR(IF(NF$7&gt;$D$3,"",AVERAGE($HJ47:IQ47)),"")</f>
        <v>10</v>
      </c>
      <c r="NG47" s="223">
        <f>IFERROR(IF(NG$7&gt;$D$3,"",AVERAGE($HJ47:IR47)),"")</f>
        <v>10</v>
      </c>
      <c r="NH47" s="223">
        <f>IFERROR(IF(NH$7&gt;$D$3,"",AVERAGE($HJ47:IS47)),"")</f>
        <v>10</v>
      </c>
      <c r="NI47" s="223">
        <f>IFERROR(IF(NI$7&gt;$D$3,"",AVERAGE($HJ47:IT47)),"")</f>
        <v>10</v>
      </c>
      <c r="NJ47" s="223">
        <f>IFERROR(IF(NJ$7&gt;$D$3,"",AVERAGE($HJ47:IU47)),"")</f>
        <v>10</v>
      </c>
      <c r="NK47" s="223">
        <f>IFERROR(IF(NK$7&gt;$D$3,"",AVERAGE($HJ47:IV47)),"")</f>
        <v>10</v>
      </c>
      <c r="NL47" s="223">
        <f>IFERROR(IF(NL$7&gt;$D$3,"",AVERAGE($HJ47:IW47)),"")</f>
        <v>10</v>
      </c>
      <c r="NM47" s="223">
        <f>IFERROR(IF(NM$7&gt;$D$3,"",AVERAGE($HJ47:IX47)),"")</f>
        <v>10</v>
      </c>
      <c r="NN47" s="223">
        <f>IFERROR(IF(NN$7&gt;$D$3,"",AVERAGE($HJ47:IY47)),"")</f>
        <v>10</v>
      </c>
      <c r="NO47" s="223" t="str">
        <f>IFERROR(IF(NO$7&gt;$D$3,"",AVERAGE($HJ47:IZ47)),"")</f>
        <v/>
      </c>
      <c r="NP47" s="223" t="str">
        <f>IFERROR(IF(NP$7&gt;$D$3,"",AVERAGE($HJ47:JA47)),"")</f>
        <v/>
      </c>
      <c r="NQ47" s="223" t="str">
        <f>IFERROR(IF(NQ$7&gt;$D$3,"",AVERAGE($HJ47:JB47)),"")</f>
        <v/>
      </c>
      <c r="NR47" s="223" t="str">
        <f>IFERROR(IF(NR$7&gt;$D$3,"",AVERAGE($HJ47:JC47)),"")</f>
        <v/>
      </c>
      <c r="NS47" s="223" t="str">
        <f>IFERROR(IF(NS$7&gt;$D$3,"",AVERAGE($HJ47:JD47)),"")</f>
        <v/>
      </c>
      <c r="NT47" s="223" t="str">
        <f>IFERROR(IF(NT$7&gt;$D$3,"",AVERAGE($HJ47:JE47)),"")</f>
        <v/>
      </c>
      <c r="NU47" s="223" t="str">
        <f>IFERROR(IF(NU$7&gt;$D$3,"",AVERAGE($HJ47:JF47)),"")</f>
        <v/>
      </c>
      <c r="NV47" s="223" t="str">
        <f>IFERROR(IF(NV$7&gt;$D$3,"",AVERAGE($HJ47:JG47)),"")</f>
        <v/>
      </c>
      <c r="NW47" s="223" t="str">
        <f>IFERROR(IF(NW$7&gt;$D$3,"",AVERAGE($HJ47:JH47)),"")</f>
        <v/>
      </c>
      <c r="NX47" s="223" t="str">
        <f>IFERROR(IF(NX$7&gt;$D$3,"",AVERAGE($HJ47:JI47)),"")</f>
        <v/>
      </c>
      <c r="NY47" s="223" t="str">
        <f>IFERROR(IF(NY$7&gt;$D$3,"",AVERAGE($HJ47:JJ47)),"")</f>
        <v/>
      </c>
    </row>
    <row r="48" spans="1:389" x14ac:dyDescent="0.3">
      <c r="A48" t="str">
        <f>$B$44&amp;"-"&amp;C48</f>
        <v>Product Eng - BE-KPI Q1</v>
      </c>
      <c r="B48" s="918">
        <f>+'KPI Stats'!B53</f>
        <v>0</v>
      </c>
      <c r="C48" s="136" t="str">
        <f>+'KPI Stats'!C53</f>
        <v>KPI Q1</v>
      </c>
      <c r="D48" s="144" t="str">
        <f>+'KPI Stats'!D53</f>
        <v>Quality</v>
      </c>
      <c r="E48" s="144" t="str">
        <f>+'KPI Stats'!E53</f>
        <v>Quality Defects / Items Output as a percentage</v>
      </c>
      <c r="F48" s="145" t="str">
        <f>+'KPI Stats'!F53</f>
        <v>Percentage</v>
      </c>
      <c r="G48" s="178" t="str">
        <f>+'KPI Stats'!G53</f>
        <v>Over</v>
      </c>
      <c r="J48" s="69" t="str">
        <f>_xlfn.XLOOKUP(J$7,$AM$7:$CM$7,$AM48:$CM48,,FALSE)</f>
        <v>OD</v>
      </c>
      <c r="K48" s="264">
        <f>_xlfn.XLOOKUP(K$7,$FC$7:$HC$7,$FC48:$HC48,,FALSE)</f>
        <v>0</v>
      </c>
      <c r="L48" s="278">
        <f>_xlfn.XLOOKUP(L$7,$HJ$7:$JJ$7,$HJ48:$JJ48,,FALSE)</f>
        <v>2.5</v>
      </c>
      <c r="M48" s="115" t="str">
        <f>_xlfn.XLOOKUP(M$7,$CU$7:$EU$7,$CU48:$EU48,,FALSE)</f>
        <v>OD</v>
      </c>
      <c r="P48" s="69" t="str">
        <f>_xlfn.XLOOKUP(P$7,$AM$7:$CM$7,$AM48:$CM48,,FALSE)</f>
        <v>OD</v>
      </c>
      <c r="Q48" s="264">
        <f t="shared" si="162"/>
        <v>0</v>
      </c>
      <c r="R48" s="278">
        <f t="shared" si="162"/>
        <v>7.2</v>
      </c>
      <c r="S48" s="264" t="str">
        <f t="shared" si="163"/>
        <v>OD</v>
      </c>
      <c r="T48" s="278">
        <f t="shared" si="163"/>
        <v>0.34722222222222221</v>
      </c>
      <c r="U48" s="295" t="str">
        <f>IF(F44&lt;$R$2,"Not Complete",IF(Q48=R48,"Same −",IF($G48="Over",IF(Q48&lt;R48,"Better ↑","Worse ↓"),IF($G48="Under",IF(Q48&gt;R48,"Better ↑","Worse ↓"),"err"))))</f>
        <v>Better ↑</v>
      </c>
      <c r="X48" s="69" t="str">
        <f t="shared" si="164"/>
        <v>R</v>
      </c>
      <c r="Y48" s="114">
        <f>_xlfn.XLOOKUP(Y$7,$JR$7:$LR$7,$JR48:$LR48,FALSE)</f>
        <v>7.9249999999999989</v>
      </c>
      <c r="Z48" s="114">
        <f>_xlfn.XLOOKUP(Z$7,$LY$7:$NY$7,$LY48:$NY48,FALSE)</f>
        <v>2.5</v>
      </c>
      <c r="AA48" s="163">
        <f>IF(G48="Undefined","",IF(G48="under",Y48/Z48,IF(G48="over",Z48/Y48,"err")))</f>
        <v>0.31545741324921139</v>
      </c>
      <c r="AB48" s="295" t="str">
        <f>IF(F44&lt;$R$2,"TBC",IF(Y48=Z48,"Same −",IF($G48="Over",IF(Z48&lt;Y48,"Better ↑ ","Worse ↓ "),IF($G48="Under",IF(Y48&gt;Z48,"Better ↑ ","Worse ↓ "),"err"))))</f>
        <v xml:space="preserve">Better ↑ </v>
      </c>
      <c r="AC48" s="69" t="str">
        <f>IF(AND(G48="above adero",AD48&gt;0),"R",IF(AF48&gt;1,"G",IF(AF48&gt;0.95,"A","R")))</f>
        <v>R</v>
      </c>
      <c r="AD48" s="114">
        <f>_xlfn.XLOOKUP(AD$7,$JR$7:$LR$7,$JR48:$LR48,FALSE)</f>
        <v>8.2185185185185183</v>
      </c>
      <c r="AE48" s="114">
        <f>_xlfn.XLOOKUP(AE$7,$LY$7:$NY$7,$LY48:$NY48,FALSE)</f>
        <v>2.5</v>
      </c>
      <c r="AF48" s="163">
        <f t="shared" ref="AF48:AF49" si="167">IF(G48="Undefined","",IF(G48="under",AD48/AE48,IF(G48="over",AE48/AD48,"err")))</f>
        <v>0.30419107706173953</v>
      </c>
      <c r="AH48" s="465" t="str">
        <f>+$A48</f>
        <v>Product Eng - BE-KPI Q1</v>
      </c>
      <c r="AI48" s="136" t="str">
        <f t="shared" si="165"/>
        <v>KPI Q1</v>
      </c>
      <c r="AJ48" s="144" t="str">
        <f t="shared" si="165"/>
        <v>Quality</v>
      </c>
      <c r="AK48" s="144" t="str">
        <f t="shared" si="141"/>
        <v>Quality Defects / Items Output as a percentage</v>
      </c>
      <c r="AL48" s="145" t="str">
        <f t="shared" si="141"/>
        <v>Percentage</v>
      </c>
      <c r="AM48" s="69" t="str">
        <f>IF(AM$7&gt;$D$3,"",_xlfn.XLOOKUP(AM$7,'Product Eng - BE'!$M$6:$BM$6,'Product Eng - BE'!$M$19:$BM$19))</f>
        <v>Blank</v>
      </c>
      <c r="AN48" s="199" t="str">
        <f>IF(AN$7&gt;$D$3,"",_xlfn.XLOOKUP(AN$7,'Product Eng - BE'!$M$6:$BM$6,'Product Eng - BE'!$M$19:$BM$19))</f>
        <v>Missed</v>
      </c>
      <c r="AO48" s="69" t="str">
        <f>IF(AO$7&gt;$D$3,"",_xlfn.XLOOKUP(AO$7,'Product Eng - BE'!$M$6:$BM$6,'Product Eng - BE'!$M$19:$BM$19))</f>
        <v>Missed</v>
      </c>
      <c r="AP48" s="69" t="str">
        <f>IF(AP$7&gt;$D$3,"",_xlfn.XLOOKUP(AP$7,'Product Eng - BE'!$M$6:$BM$6,'Product Eng - BE'!$M$19:$BM$19))</f>
        <v>Missed</v>
      </c>
      <c r="AQ48" s="69" t="str">
        <f>IF(AQ$7&gt;$D$3,"",_xlfn.XLOOKUP(AQ$7,'Product Eng - BE'!$M$6:$BM$6,'Product Eng - BE'!$M$19:$BM$19))</f>
        <v>Missed</v>
      </c>
      <c r="AR48" s="69" t="str">
        <f>IF(AR$7&gt;$D$3,"",_xlfn.XLOOKUP(AR$7,'Product Eng - BE'!$M$6:$BM$6,'Product Eng - BE'!$M$19:$BM$19))</f>
        <v>Missed</v>
      </c>
      <c r="AS48" s="69" t="str">
        <f>IF(AS$7&gt;$D$3,"",_xlfn.XLOOKUP(AS$7,'Product Eng - BE'!$M$6:$BM$6,'Product Eng - BE'!$M$19:$BM$19))</f>
        <v>Missed</v>
      </c>
      <c r="AT48" s="69" t="str">
        <f>IF(AT$7&gt;$D$3,"",_xlfn.XLOOKUP(AT$7,'Product Eng - BE'!$M$6:$BM$6,'Product Eng - BE'!$M$19:$BM$19))</f>
        <v>Missed</v>
      </c>
      <c r="AU48" s="69" t="str">
        <f>IF(AU$7&gt;$D$3,"",_xlfn.XLOOKUP(AU$7,'Product Eng - BE'!$M$6:$BM$6,'Product Eng - BE'!$M$19:$BM$19))</f>
        <v>Missed</v>
      </c>
      <c r="AV48" s="69" t="str">
        <f>IF(AV$7&gt;$D$3,"",_xlfn.XLOOKUP(AV$7,'Product Eng - BE'!$M$6:$BM$6,'Product Eng - BE'!$M$19:$BM$19))</f>
        <v>Missed</v>
      </c>
      <c r="AW48" s="69" t="str">
        <f>IF(AW$7&gt;$D$3,"",_xlfn.XLOOKUP(AW$7,'Product Eng - BE'!$M$6:$BM$6,'Product Eng - BE'!$M$19:$BM$19))</f>
        <v>Missed</v>
      </c>
      <c r="AX48" s="69" t="str">
        <f>IF(AX$7&gt;$D$3,"",_xlfn.XLOOKUP(AX$7,'Product Eng - BE'!$M$6:$BM$6,'Product Eng - BE'!$M$19:$BM$19))</f>
        <v>Missed</v>
      </c>
      <c r="AY48" s="69" t="str">
        <f>IF(AY$7&gt;$D$3,"",_xlfn.XLOOKUP(AY$7,'Product Eng - BE'!$M$6:$BM$6,'Product Eng - BE'!$M$19:$BM$19))</f>
        <v>Missed</v>
      </c>
      <c r="AZ48" s="69" t="str">
        <f>IF(AZ$7&gt;$D$3,"",_xlfn.XLOOKUP(AZ$7,'Product Eng - BE'!$M$6:$BM$6,'Product Eng - BE'!$M$19:$BM$19))</f>
        <v>Missed</v>
      </c>
      <c r="BA48" s="69" t="str">
        <f>IF(BA$7&gt;$D$3,"",_xlfn.XLOOKUP(BA$7,'Product Eng - BE'!$M$6:$BM$6,'Product Eng - BE'!$M$19:$BM$19))</f>
        <v>G</v>
      </c>
      <c r="BB48" s="69" t="str">
        <f>IF(BB$7&gt;$D$3,"",_xlfn.XLOOKUP(BB$7,'Product Eng - BE'!$M$6:$BM$6,'Product Eng - BE'!$M$19:$BM$19))</f>
        <v>R</v>
      </c>
      <c r="BC48" s="69" t="str">
        <f>IF(BC$7&gt;$D$3,"",_xlfn.XLOOKUP(BC$7,'Product Eng - BE'!$M$6:$BM$6,'Product Eng - BE'!$M$19:$BM$19))</f>
        <v>R</v>
      </c>
      <c r="BD48" s="69" t="str">
        <f>IF(BD$7&gt;$D$3,"",_xlfn.XLOOKUP(BD$7,'Product Eng - BE'!$M$6:$BM$6,'Product Eng - BE'!$M$19:$BM$19))</f>
        <v>R</v>
      </c>
      <c r="BE48" s="69" t="str">
        <f>IF(BE$7&gt;$D$3,"",_xlfn.XLOOKUP(BE$7,'Product Eng - BE'!$M$6:$BM$6,'Product Eng - BE'!$M$19:$BM$19))</f>
        <v>R</v>
      </c>
      <c r="BF48" s="69" t="str">
        <f>IF(BF$7&gt;$D$3,"",_xlfn.XLOOKUP(BF$7,'Product Eng - BE'!$M$6:$BM$6,'Product Eng - BE'!$M$19:$BM$19))</f>
        <v>R</v>
      </c>
      <c r="BG48" s="69" t="str">
        <f>IF(BG$7&gt;$D$3,"",_xlfn.XLOOKUP(BG$7,'Product Eng - BE'!$M$6:$BM$6,'Product Eng - BE'!$M$19:$BM$19))</f>
        <v>R</v>
      </c>
      <c r="BH48" s="69" t="str">
        <f>IF(BH$7&gt;$D$3,"",_xlfn.XLOOKUP(BH$7,'Product Eng - BE'!$M$6:$BM$6,'Product Eng - BE'!$M$19:$BM$19))</f>
        <v>G</v>
      </c>
      <c r="BI48" s="69" t="str">
        <f>IF(BI$7&gt;$D$3,"",_xlfn.XLOOKUP(BI$7,'Product Eng - BE'!$M$6:$BM$6,'Product Eng - BE'!$M$19:$BM$19))</f>
        <v>R</v>
      </c>
      <c r="BJ48" s="69" t="str">
        <f>IF(BJ$7&gt;$D$3,"",_xlfn.XLOOKUP(BJ$7,'Product Eng - BE'!$M$6:$BM$6,'Product Eng - BE'!$M$19:$BM$19))</f>
        <v>R</v>
      </c>
      <c r="BK48" s="69" t="str">
        <f>IF(BK$7&gt;$D$3,"",_xlfn.XLOOKUP(BK$7,'Product Eng - BE'!$M$6:$BM$6,'Product Eng - BE'!$M$19:$BM$19))</f>
        <v>G</v>
      </c>
      <c r="BL48" s="69" t="str">
        <f>IF(BL$7&gt;$D$3,"",_xlfn.XLOOKUP(BL$7,'Product Eng - BE'!$M$6:$BM$6,'Product Eng - BE'!$M$19:$BM$19))</f>
        <v>R</v>
      </c>
      <c r="BM48" s="69" t="str">
        <f>IF(BM$7&gt;$D$3,"",_xlfn.XLOOKUP(BM$7,'Product Eng - BE'!$M$6:$BM$6,'Product Eng - BE'!$M$19:$BM$19))</f>
        <v>R</v>
      </c>
      <c r="BN48" s="69" t="str">
        <f>IF(BN$7&gt;$D$3,"",_xlfn.XLOOKUP(BN$7,'Product Eng - BE'!$M$6:$BM$6,'Product Eng - BE'!$M$19:$BM$19))</f>
        <v>R</v>
      </c>
      <c r="BO48" s="69" t="str">
        <f>IF(BO$7&gt;$D$3,"",_xlfn.XLOOKUP(BO$7,'Product Eng - BE'!$M$6:$BM$6,'Product Eng - BE'!$M$19:$BM$19))</f>
        <v>R</v>
      </c>
      <c r="BP48" s="69" t="str">
        <f>IF(BP$7&gt;$D$3,"",_xlfn.XLOOKUP(BP$7,'Product Eng - BE'!$M$6:$BM$6,'Product Eng - BE'!$M$19:$BM$19))</f>
        <v>R</v>
      </c>
      <c r="BQ48" s="69" t="str">
        <f>IF(BQ$7&gt;$D$3,"",_xlfn.XLOOKUP(BQ$7,'Product Eng - BE'!$M$6:$BM$6,'Product Eng - BE'!$M$19:$BM$19))</f>
        <v>R</v>
      </c>
      <c r="BR48" s="69" t="str">
        <f>IF(BR$7&gt;$D$3,"",_xlfn.XLOOKUP(BR$7,'Product Eng - BE'!$M$6:$BM$6,'Product Eng - BE'!$M$19:$BM$19))</f>
        <v>R</v>
      </c>
      <c r="BS48" s="69" t="str">
        <f>IF(BS$7&gt;$D$3,"",_xlfn.XLOOKUP(BS$7,'Product Eng - BE'!$M$6:$BM$6,'Product Eng - BE'!$M$19:$BM$19))</f>
        <v>R</v>
      </c>
      <c r="BT48" s="69" t="str">
        <f>IF(BT$7&gt;$D$3,"",_xlfn.XLOOKUP(BT$7,'Product Eng - BE'!$M$6:$BM$6,'Product Eng - BE'!$M$19:$BM$19))</f>
        <v>R</v>
      </c>
      <c r="BU48" s="69" t="str">
        <f>IF(BU$7&gt;$D$3,"",_xlfn.XLOOKUP(BU$7,'Product Eng - BE'!$M$6:$BM$6,'Product Eng - BE'!$M$19:$BM$19))</f>
        <v>R</v>
      </c>
      <c r="BV48" s="69" t="str">
        <f>IF(BV$7&gt;$D$3,"",_xlfn.XLOOKUP(BV$7,'Product Eng - BE'!$M$6:$BM$6,'Product Eng - BE'!$M$19:$BM$19))</f>
        <v>R</v>
      </c>
      <c r="BW48" s="69" t="str">
        <f>IF(BW$7&gt;$D$3,"",_xlfn.XLOOKUP(BW$7,'Product Eng - BE'!$M$6:$BM$6,'Product Eng - BE'!$M$19:$BM$19))</f>
        <v>R</v>
      </c>
      <c r="BX48" s="69" t="str">
        <f>IF(BX$7&gt;$D$3,"",_xlfn.XLOOKUP(BX$7,'Product Eng - BE'!$M$6:$BM$6,'Product Eng - BE'!$M$19:$BM$19))</f>
        <v>R</v>
      </c>
      <c r="BY48" s="69" t="str">
        <f>IF(BY$7&gt;$D$3,"",_xlfn.XLOOKUP(BY$7,'Product Eng - BE'!$M$6:$BM$6,'Product Eng - BE'!$M$19:$BM$19))</f>
        <v>R</v>
      </c>
      <c r="BZ48" s="69" t="str">
        <f>IF(BZ$7&gt;$D$3,"",_xlfn.XLOOKUP(BZ$7,'Product Eng - BE'!$M$6:$BM$6,'Product Eng - BE'!$M$19:$BM$19))</f>
        <v>R</v>
      </c>
      <c r="CA48" s="69" t="str">
        <f>IF(CA$7&gt;$D$3,"",_xlfn.XLOOKUP(CA$7,'Product Eng - BE'!$M$6:$BM$6,'Product Eng - BE'!$M$19:$BM$19))</f>
        <v>R</v>
      </c>
      <c r="CB48" s="69" t="str">
        <f>IF(CB$7&gt;$D$3,"",_xlfn.XLOOKUP(CB$7,'Product Eng - BE'!$M$6:$BM$6,'Product Eng - BE'!$M$19:$BM$19))</f>
        <v>OD</v>
      </c>
      <c r="CC48" s="69" t="str">
        <f>IF(CC$7&gt;$D$3,"",_xlfn.XLOOKUP(CC$7,'Product Eng - BE'!$M$6:$BM$6,'Product Eng - BE'!$M$19:$BM$19))</f>
        <v/>
      </c>
      <c r="CD48" s="69" t="str">
        <f>IF(CD$7&gt;$D$3,"",_xlfn.XLOOKUP(CD$7,'Product Eng - BE'!$M$6:$BM$6,'Product Eng - BE'!$M$19:$BM$19))</f>
        <v/>
      </c>
      <c r="CE48" s="69" t="str">
        <f>IF(CE$7&gt;$D$3,"",_xlfn.XLOOKUP(CE$7,'Product Eng - BE'!$M$6:$BM$6,'Product Eng - BE'!$M$19:$BM$19))</f>
        <v/>
      </c>
      <c r="CF48" s="69" t="str">
        <f>IF(CF$7&gt;$D$3,"",_xlfn.XLOOKUP(CF$7,'Product Eng - BE'!$M$6:$BM$6,'Product Eng - BE'!$M$19:$BM$19))</f>
        <v/>
      </c>
      <c r="CG48" s="69" t="str">
        <f>IF(CG$7&gt;$D$3,"",_xlfn.XLOOKUP(CG$7,'Product Eng - BE'!$M$6:$BM$6,'Product Eng - BE'!$M$19:$BM$19))</f>
        <v/>
      </c>
      <c r="CH48" s="69" t="str">
        <f>IF(CH$7&gt;$D$3,"",_xlfn.XLOOKUP(CH$7,'Product Eng - BE'!$M$6:$BM$6,'Product Eng - BE'!$M$19:$BM$19))</f>
        <v/>
      </c>
      <c r="CI48" s="69" t="str">
        <f>IF(CI$7&gt;$D$3,"",_xlfn.XLOOKUP(CI$7,'Product Eng - BE'!$M$6:$BM$6,'Product Eng - BE'!$M$19:$BM$19))</f>
        <v/>
      </c>
      <c r="CJ48" s="69" t="str">
        <f>IF(CJ$7&gt;$D$3,"",_xlfn.XLOOKUP(CJ$7,'Product Eng - BE'!$M$6:$BM$6,'Product Eng - BE'!$M$19:$BM$19))</f>
        <v/>
      </c>
      <c r="CK48" s="69" t="str">
        <f>IF(CK$7&gt;$D$3,"",_xlfn.XLOOKUP(CK$7,'Product Eng - BE'!$M$6:$BM$6,'Product Eng - BE'!$M$19:$BM$19))</f>
        <v/>
      </c>
      <c r="CL48" s="69" t="str">
        <f>IF(CL$7&gt;$D$3,"",_xlfn.XLOOKUP(CL$7,'Product Eng - BE'!$M$6:$BM$6,'Product Eng - BE'!$M$19:$BM$19))</f>
        <v/>
      </c>
      <c r="CM48" s="69" t="str">
        <f>IF(CM$7&gt;$D$3,"",_xlfn.XLOOKUP(CM$7,'Product Eng - BE'!$M$6:$BM$6,'Product Eng - BE'!$M$19:$BM$19))</f>
        <v/>
      </c>
      <c r="CO48" s="465" t="str">
        <f>+$A48</f>
        <v>Product Eng - BE-KPI Q1</v>
      </c>
      <c r="CP48" s="136" t="str">
        <f t="shared" si="166"/>
        <v>KPI Q1</v>
      </c>
      <c r="CQ48" s="144" t="str">
        <f t="shared" si="166"/>
        <v>Quality</v>
      </c>
      <c r="CR48" s="144" t="str">
        <f t="shared" si="166"/>
        <v>Quality Defects / Items Output as a percentage</v>
      </c>
      <c r="CS48" s="145" t="str">
        <f t="shared" si="166"/>
        <v>Percentage</v>
      </c>
      <c r="CT48" s="207" t="s">
        <v>246</v>
      </c>
      <c r="CU48" s="423" t="str">
        <f>IF(CU$7&gt;$D$3,"",_xlfn.XLOOKUP(CU$7,'Product Eng - MB'!$M$6:$BM$6,'Product Eng - MB'!$M$19:$BM$19))</f>
        <v>Blank</v>
      </c>
      <c r="CV48" s="323" t="str">
        <f>IFERROR(IF(CV$7&gt;$D$3,"",IF(AN48="OD","OD",IF(AN47="Missed","Missed",IF(AN47="TBC","TBC",IF(AN47="Undefined","Undefined",IF(AN48="Missed","Missed",_xlfn.XLOOKUP(CV$7,'Product Eng - BE'!$M$6:$BM$6,'Product Eng - BE'!$M$17:$BM$17)/_xlfn.XLOOKUP(CV$7,'Product Eng - BE'!$M$6:$BM$6,'Product Eng - BE'!$M$18:$BM$18))))))),0)</f>
        <v>Missed</v>
      </c>
      <c r="CW48" s="315" t="str">
        <f>IFERROR(IF(CW$7&gt;$D$3,"",IF(AO48="OD","OD",IF(AO47="Missed","Missed",IF(AO47="TBC","TBC",IF(AO47="Undefined","Undefined",IF(AO48="Missed","Missed",_xlfn.XLOOKUP(CW$7,'Product Eng - BE'!$M$6:$BM$6,'Product Eng - BE'!$M$17:$BM$17)/_xlfn.XLOOKUP(CW$7,'Product Eng - BE'!$M$6:$BM$6,'Product Eng - BE'!$M$18:$BM$18))))))),0)</f>
        <v>Missed</v>
      </c>
      <c r="CX48" s="315" t="str">
        <f>IFERROR(IF(CX$7&gt;$D$3,"",IF(AP48="OD","OD",IF(AP47="Missed","Missed",IF(AP47="TBC","TBC",IF(AP47="Undefined","Undefined",IF(AP48="Missed","Missed",_xlfn.XLOOKUP(CX$7,'Product Eng - BE'!$M$6:$BM$6,'Product Eng - BE'!$M$17:$BM$17)/_xlfn.XLOOKUP(CX$7,'Product Eng - BE'!$M$6:$BM$6,'Product Eng - BE'!$M$18:$BM$18))))))),0)</f>
        <v>Missed</v>
      </c>
      <c r="CY48" s="315" t="str">
        <f>IFERROR(IF(CY$7&gt;$D$3,"",IF(AQ48="OD","OD",IF(AQ47="Missed","Missed",IF(AQ47="TBC","TBC",IF(AQ47="Undefined","Undefined",IF(AQ48="Missed","Missed",_xlfn.XLOOKUP(CY$7,'Product Eng - BE'!$M$6:$BM$6,'Product Eng - BE'!$M$17:$BM$17)/_xlfn.XLOOKUP(CY$7,'Product Eng - BE'!$M$6:$BM$6,'Product Eng - BE'!$M$18:$BM$18))))))),0)</f>
        <v>Missed</v>
      </c>
      <c r="CZ48" s="315" t="str">
        <f>IFERROR(IF(CZ$7&gt;$D$3,"",IF(AR48="OD","OD",IF(AR47="Missed","Missed",IF(AR47="TBC","TBC",IF(AR47="Undefined","Undefined",IF(AR48="Missed","Missed",_xlfn.XLOOKUP(CZ$7,'Product Eng - BE'!$M$6:$BM$6,'Product Eng - BE'!$M$17:$BM$17)/_xlfn.XLOOKUP(CZ$7,'Product Eng - BE'!$M$6:$BM$6,'Product Eng - BE'!$M$18:$BM$18))))))),0)</f>
        <v>Missed</v>
      </c>
      <c r="DA48" s="315" t="str">
        <f>IFERROR(IF(DA$7&gt;$D$3,"",IF(AS48="OD","OD",IF(AS47="Missed","Missed",IF(AS47="TBC","TBC",IF(AS47="Undefined","Undefined",IF(AS48="Missed","Missed",_xlfn.XLOOKUP(DA$7,'Product Eng - BE'!$M$6:$BM$6,'Product Eng - BE'!$M$17:$BM$17)/_xlfn.XLOOKUP(DA$7,'Product Eng - BE'!$M$6:$BM$6,'Product Eng - BE'!$M$18:$BM$18))))))),0)</f>
        <v>Missed</v>
      </c>
      <c r="DB48" s="315" t="str">
        <f>IFERROR(IF(DB$7&gt;$D$3,"",IF(AT48="OD","OD",IF(AT47="Missed","Missed",IF(AT47="TBC","TBC",IF(AT47="Undefined","Undefined",IF(AT48="Missed","Missed",_xlfn.XLOOKUP(DB$7,'Product Eng - BE'!$M$6:$BM$6,'Product Eng - BE'!$M$17:$BM$17)/_xlfn.XLOOKUP(DB$7,'Product Eng - BE'!$M$6:$BM$6,'Product Eng - BE'!$M$18:$BM$18))))))),0)</f>
        <v>Missed</v>
      </c>
      <c r="DC48" s="315" t="str">
        <f>IFERROR(IF(DC$7&gt;$D$3,"",IF(AU48="OD","OD",IF(AU47="Missed","Missed",IF(AU47="TBC","TBC",IF(AU47="Undefined","Undefined",IF(AU48="Missed","Missed",_xlfn.XLOOKUP(DC$7,'Product Eng - BE'!$M$6:$BM$6,'Product Eng - BE'!$M$17:$BM$17)/_xlfn.XLOOKUP(DC$7,'Product Eng - BE'!$M$6:$BM$6,'Product Eng - BE'!$M$18:$BM$18))))))),0)</f>
        <v>Missed</v>
      </c>
      <c r="DD48" s="315" t="str">
        <f>IFERROR(IF(DD$7&gt;$D$3,"",IF(AV48="OD","OD",IF(AV47="Missed","Missed",IF(AV47="TBC","TBC",IF(AV47="Undefined","Undefined",IF(AV48="Missed","Missed",_xlfn.XLOOKUP(DD$7,'Product Eng - BE'!$M$6:$BM$6,'Product Eng - BE'!$M$17:$BM$17)/_xlfn.XLOOKUP(DD$7,'Product Eng - BE'!$M$6:$BM$6,'Product Eng - BE'!$M$18:$BM$18))))))),0)</f>
        <v>Missed</v>
      </c>
      <c r="DE48" s="315" t="str">
        <f>IFERROR(IF(DE$7&gt;$D$3,"",IF(AW48="OD","OD",IF(AW47="Missed","Missed",IF(AW47="TBC","TBC",IF(AW47="Undefined","Undefined",IF(AW48="Missed","Missed",_xlfn.XLOOKUP(DE$7,'Product Eng - BE'!$M$6:$BM$6,'Product Eng - BE'!$M$17:$BM$17)/_xlfn.XLOOKUP(DE$7,'Product Eng - BE'!$M$6:$BM$6,'Product Eng - BE'!$M$18:$BM$18))))))),0)</f>
        <v>Missed</v>
      </c>
      <c r="DF48" s="315" t="str">
        <f>IFERROR(IF(DF$7&gt;$D$3,"",IF(AX48="OD","OD",IF(AX47="Missed","Missed",IF(AX47="TBC","TBC",IF(AX47="Undefined","Undefined",IF(AX48="Missed","Missed",_xlfn.XLOOKUP(DF$7,'Product Eng - BE'!$M$6:$BM$6,'Product Eng - BE'!$M$17:$BM$17)/_xlfn.XLOOKUP(DF$7,'Product Eng - BE'!$M$6:$BM$6,'Product Eng - BE'!$M$18:$BM$18))))))),0)</f>
        <v>Missed</v>
      </c>
      <c r="DG48" s="315" t="str">
        <f>IFERROR(IF(DG$7&gt;$D$3,"",IF(AY48="OD","OD",IF(AY47="Missed","Missed",IF(AY47="TBC","TBC",IF(AY47="Undefined","Undefined",IF(AY48="Missed","Missed",_xlfn.XLOOKUP(DG$7,'Product Eng - BE'!$M$6:$BM$6,'Product Eng - BE'!$M$17:$BM$17)/_xlfn.XLOOKUP(DG$7,'Product Eng - BE'!$M$6:$BM$6,'Product Eng - BE'!$M$18:$BM$18))))))),0)</f>
        <v>Missed</v>
      </c>
      <c r="DH48" s="315" t="str">
        <f>IFERROR(IF(DH$7&gt;$D$3,"",IF(AZ48="OD","OD",IF(AZ47="Missed","Missed",IF(AZ47="TBC","TBC",IF(AZ47="Undefined","Undefined",IF(AZ48="Missed","Missed",_xlfn.XLOOKUP(DH$7,'Product Eng - BE'!$M$6:$BM$6,'Product Eng - BE'!$M$17:$BM$17)/_xlfn.XLOOKUP(DH$7,'Product Eng - BE'!$M$6:$BM$6,'Product Eng - BE'!$M$18:$BM$18))))))),0)</f>
        <v>Missed</v>
      </c>
      <c r="DI48" s="315">
        <f>IFERROR(IF(DI$7&gt;$D$3,"",IF(BA48="OD","OD",IF(BA47="Missed","Missed",IF(BA47="TBC","TBC",IF(BA47="Undefined","Undefined",IF(BA48="Missed","Missed",_xlfn.XLOOKUP(DI$7,'Product Eng - BE'!$M$6:$BM$6,'Product Eng - BE'!$M$17:$BM$17)/_xlfn.XLOOKUP(DI$7,'Product Eng - BE'!$M$6:$BM$6,'Product Eng - BE'!$M$18:$BM$18))))))),0)</f>
        <v>2.2727272727272725</v>
      </c>
      <c r="DJ48" s="315">
        <f>IFERROR(IF(DJ$7&gt;$D$3,"",IF(BB48="OD","OD",IF(BB47="Missed","Missed",IF(BB47="TBC","TBC",IF(BB47="Undefined","Undefined",IF(BB48="Missed","Missed",_xlfn.XLOOKUP(DJ$7,'Product Eng - BE'!$M$6:$BM$6,'Product Eng - BE'!$M$17:$BM$17)/_xlfn.XLOOKUP(DJ$7,'Product Eng - BE'!$M$6:$BM$6,'Product Eng - BE'!$M$18:$BM$18))))))),0)</f>
        <v>0.2293577981651376</v>
      </c>
      <c r="DK48" s="315">
        <f>IFERROR(IF(DK$7&gt;$D$3,"",IF(BC48="OD","OD",IF(BC47="Missed","Missed",IF(BC47="TBC","TBC",IF(BC47="Undefined","Undefined",IF(BC48="Missed","Missed",_xlfn.XLOOKUP(DK$7,'Product Eng - BE'!$M$6:$BM$6,'Product Eng - BE'!$M$17:$BM$17)/_xlfn.XLOOKUP(DK$7,'Product Eng - BE'!$M$6:$BM$6,'Product Eng - BE'!$M$18:$BM$18))))))),0)</f>
        <v>0.625</v>
      </c>
      <c r="DL48" s="315">
        <f>IFERROR(IF(DL$7&gt;$D$3,"",IF(BD48="OD","OD",IF(BD47="Missed","Missed",IF(BD47="TBC","TBC",IF(BD47="Undefined","Undefined",IF(BD48="Missed","Missed",_xlfn.XLOOKUP(DL$7,'Product Eng - BE'!$M$6:$BM$6,'Product Eng - BE'!$M$17:$BM$17)/_xlfn.XLOOKUP(DL$7,'Product Eng - BE'!$M$6:$BM$6,'Product Eng - BE'!$M$18:$BM$18))))))),0)</f>
        <v>0.60975609756097571</v>
      </c>
      <c r="DM48" s="315">
        <f>IFERROR(IF(DM$7&gt;$D$3,"",IF(BE48="OD","OD",IF(BE47="Missed","Missed",IF(BE47="TBC","TBC",IF(BE47="Undefined","Undefined",IF(BE48="Missed","Missed",_xlfn.XLOOKUP(DM$7,'Product Eng - BE'!$M$6:$BM$6,'Product Eng - BE'!$M$17:$BM$17)/_xlfn.XLOOKUP(DM$7,'Product Eng - BE'!$M$6:$BM$6,'Product Eng - BE'!$M$18:$BM$18))))))),0)</f>
        <v>0.24752475247524752</v>
      </c>
      <c r="DN48" s="315">
        <f>IFERROR(IF(DN$7&gt;$D$3,"",IF(BF48="OD","OD",IF(BF47="Missed","Missed",IF(BF47="TBC","TBC",IF(BF47="Undefined","Undefined",IF(BF48="Missed","Missed",_xlfn.XLOOKUP(DN$7,'Product Eng - BE'!$M$6:$BM$6,'Product Eng - BE'!$M$17:$BM$17)/_xlfn.XLOOKUP(DN$7,'Product Eng - BE'!$M$6:$BM$6,'Product Eng - BE'!$M$18:$BM$18))))))),0)</f>
        <v>0.55555555555555558</v>
      </c>
      <c r="DO48" s="315">
        <f>IFERROR(IF(DO$7&gt;$D$3,"",IF(BG48="OD","OD",IF(BG47="Missed","Missed",IF(BG47="TBC","TBC",IF(BG47="Undefined","Undefined",IF(BG48="Missed","Missed",_xlfn.XLOOKUP(DO$7,'Product Eng - BE'!$M$6:$BM$6,'Product Eng - BE'!$M$17:$BM$17)/_xlfn.XLOOKUP(DO$7,'Product Eng - BE'!$M$6:$BM$6,'Product Eng - BE'!$M$18:$BM$18))))))),0)</f>
        <v>0.20833333333333334</v>
      </c>
      <c r="DP48" s="315">
        <f>IFERROR(IF(DP$7&gt;$D$3,"",IF(BH48="OD","OD",IF(BH47="Missed","Missed",IF(BH47="TBC","TBC",IF(BH47="Undefined","Undefined",IF(BH48="Missed","Missed",_xlfn.XLOOKUP(DP$7,'Product Eng - BE'!$M$6:$BM$6,'Product Eng - BE'!$M$17:$BM$17)/_xlfn.XLOOKUP(DP$7,'Product Eng - BE'!$M$6:$BM$6,'Product Eng - BE'!$M$18:$BM$18))))))),0)</f>
        <v>1.0869565217391306</v>
      </c>
      <c r="DQ48" s="315">
        <f>IFERROR(IF(DQ$7&gt;$D$3,"",IF(BI48="OD","OD",IF(BI47="Missed","Missed",IF(BI47="TBC","TBC",IF(BI47="Undefined","Undefined",IF(BI48="Missed","Missed",_xlfn.XLOOKUP(DQ$7,'Product Eng - BE'!$M$6:$BM$6,'Product Eng - BE'!$M$17:$BM$17)/_xlfn.XLOOKUP(DQ$7,'Product Eng - BE'!$M$6:$BM$6,'Product Eng - BE'!$M$18:$BM$18))))))),0)</f>
        <v>0.5</v>
      </c>
      <c r="DR48" s="315">
        <f>IFERROR(IF(DR$7&gt;$D$3,"",IF(BJ48="OD","OD",IF(BJ47="Missed","Missed",IF(BJ47="TBC","TBC",IF(BJ47="Undefined","Undefined",IF(BJ48="Missed","Missed",_xlfn.XLOOKUP(DR$7,'Product Eng - BE'!$M$6:$BM$6,'Product Eng - BE'!$M$17:$BM$17)/_xlfn.XLOOKUP(DR$7,'Product Eng - BE'!$M$6:$BM$6,'Product Eng - BE'!$M$18:$BM$18))))))),0)</f>
        <v>0.55555555555555558</v>
      </c>
      <c r="DS48" s="315">
        <f>IFERROR(IF(DS$7&gt;$D$3,"",IF(BK48="OD","OD",IF(BK47="Missed","Missed",IF(BK47="TBC","TBC",IF(BK47="Undefined","Undefined",IF(BK48="Missed","Missed",_xlfn.XLOOKUP(DS$7,'Product Eng - BE'!$M$6:$BM$6,'Product Eng - BE'!$M$17:$BM$17)/_xlfn.XLOOKUP(DS$7,'Product Eng - BE'!$M$6:$BM$6,'Product Eng - BE'!$M$18:$BM$18))))))),0)</f>
        <v>1.3157894736842106</v>
      </c>
      <c r="DT48" s="315">
        <f>IFERROR(IF(DT$7&gt;$D$3,"",IF(BL48="OD","OD",IF(BL47="Missed","Missed",IF(BL47="TBC","TBC",IF(BL47="Undefined","Undefined",IF(BL48="Missed","Missed",_xlfn.XLOOKUP(DT$7,'Product Eng - BE'!$M$6:$BM$6,'Product Eng - BE'!$M$17:$BM$17)/_xlfn.XLOOKUP(DT$7,'Product Eng - BE'!$M$6:$BM$6,'Product Eng - BE'!$M$18:$BM$18))))))),0)</f>
        <v>0.22727272727272727</v>
      </c>
      <c r="DU48" s="315">
        <f>IFERROR(IF(DU$7&gt;$D$3,"",IF(BM48="OD","OD",IF(BM47="Missed","Missed",IF(BM47="TBC","TBC",IF(BM47="Undefined","Undefined",IF(BM48="Missed","Missed",_xlfn.XLOOKUP(DU$7,'Product Eng - BE'!$M$6:$BM$6,'Product Eng - BE'!$M$17:$BM$17)/_xlfn.XLOOKUP(DU$7,'Product Eng - BE'!$M$6:$BM$6,'Product Eng - BE'!$M$18:$BM$18))))))),0)</f>
        <v>0.17857142857142858</v>
      </c>
      <c r="DV48" s="315">
        <f>IFERROR(IF(DV$7&gt;$D$3,"",IF(BN48="OD","OD",IF(BN47="Missed","Missed",IF(BN47="TBC","TBC",IF(BN47="Undefined","Undefined",IF(BN48="Missed","Missed",_xlfn.XLOOKUP(DV$7,'Product Eng - BE'!$M$6:$BM$6,'Product Eng - BE'!$M$17:$BM$17)/_xlfn.XLOOKUP(DV$7,'Product Eng - BE'!$M$6:$BM$6,'Product Eng - BE'!$M$18:$BM$18))))))),0)</f>
        <v>8.3333333333333329E-2</v>
      </c>
      <c r="DW48" s="315">
        <f>IFERROR(IF(DW$7&gt;$D$3,"",IF(BO48="OD","OD",IF(BO47="Missed","Missed",IF(BO47="TBC","TBC",IF(BO47="Undefined","Undefined",IF(BO48="Missed","Missed",_xlfn.XLOOKUP(DW$7,'Product Eng - BE'!$M$6:$BM$6,'Product Eng - BE'!$M$17:$BM$17)/_xlfn.XLOOKUP(DW$7,'Product Eng - BE'!$M$6:$BM$6,'Product Eng - BE'!$M$18:$BM$18))))))),0)</f>
        <v>0.26041666666666669</v>
      </c>
      <c r="DX48" s="315">
        <f>IFERROR(IF(DX$7&gt;$D$3,"",IF(BP48="OD","OD",IF(BP47="Missed","Missed",IF(BP47="TBC","TBC",IF(BP47="Undefined","Undefined",IF(BP48="Missed","Missed",_xlfn.XLOOKUP(DX$7,'Product Eng - BE'!$M$6:$BM$6,'Product Eng - BE'!$M$17:$BM$17)/_xlfn.XLOOKUP(DX$7,'Product Eng - BE'!$M$6:$BM$6,'Product Eng - BE'!$M$18:$BM$18))))))),0)</f>
        <v>0.36231884057971014</v>
      </c>
      <c r="DY48" s="315">
        <f>IFERROR(IF(DY$7&gt;$D$3,"",IF(BQ48="OD","OD",IF(BQ47="Missed","Missed",IF(BQ47="TBC","TBC",IF(BQ47="Undefined","Undefined",IF(BQ48="Missed","Missed",_xlfn.XLOOKUP(DY$7,'Product Eng - BE'!$M$6:$BM$6,'Product Eng - BE'!$M$17:$BM$17)/_xlfn.XLOOKUP(DY$7,'Product Eng - BE'!$M$6:$BM$6,'Product Eng - BE'!$M$18:$BM$18))))))),0)</f>
        <v>0.29069767441860467</v>
      </c>
      <c r="DZ48" s="315">
        <f>IFERROR(IF(DZ$7&gt;$D$3,"",IF(BR48="OD","OD",IF(BR47="Missed","Missed",IF(BR47="TBC","TBC",IF(BR47="Undefined","Undefined",IF(BR48="Missed","Missed",_xlfn.XLOOKUP(DZ$7,'Product Eng - BE'!$M$6:$BM$6,'Product Eng - BE'!$M$17:$BM$17)/_xlfn.XLOOKUP(DZ$7,'Product Eng - BE'!$M$6:$BM$6,'Product Eng - BE'!$M$18:$BM$18))))))),0)</f>
        <v>0.3012048192771084</v>
      </c>
      <c r="EA48" s="315">
        <f>IFERROR(IF(EA$7&gt;$D$3,"",IF(BS48="OD","OD",IF(BS47="Missed","Missed",IF(BS47="TBC","TBC",IF(BS47="Undefined","Undefined",IF(BS48="Missed","Missed",_xlfn.XLOOKUP(EA$7,'Product Eng - BE'!$M$6:$BM$6,'Product Eng - BE'!$M$17:$BM$17)/_xlfn.XLOOKUP(EA$7,'Product Eng - BE'!$M$6:$BM$6,'Product Eng - BE'!$M$18:$BM$18))))))),0)</f>
        <v>0.5</v>
      </c>
      <c r="EB48" s="315">
        <f>IFERROR(IF(EB$7&gt;$D$3,"",IF(BT48="OD","OD",IF(BT47="Missed","Missed",IF(BT47="TBC","TBC",IF(BT47="Undefined","Undefined",IF(BT48="Missed","Missed",_xlfn.XLOOKUP(EB$7,'Product Eng - BE'!$M$6:$BM$6,'Product Eng - BE'!$M$17:$BM$17)/_xlfn.XLOOKUP(EB$7,'Product Eng - BE'!$M$6:$BM$6,'Product Eng - BE'!$M$18:$BM$18))))))),0)</f>
        <v>0.67567567567567566</v>
      </c>
      <c r="EC48" s="315">
        <f>IFERROR(IF(EC$7&gt;$D$3,"",IF(BU48="OD","OD",IF(BU47="Missed","Missed",IF(BU47="TBC","TBC",IF(BU47="Undefined","Undefined",IF(BU48="Missed","Missed",_xlfn.XLOOKUP(EC$7,'Product Eng - BE'!$M$6:$BM$6,'Product Eng - BE'!$M$17:$BM$17)/_xlfn.XLOOKUP(EC$7,'Product Eng - BE'!$M$6:$BM$6,'Product Eng - BE'!$M$18:$BM$18))))))),0)</f>
        <v>0.20833333333333334</v>
      </c>
      <c r="ED48" s="315">
        <f>IFERROR(IF(ED$7&gt;$D$3,"",IF(BV48="OD","OD",IF(BV47="Missed","Missed",IF(BV47="TBC","TBC",IF(BV47="Undefined","Undefined",IF(BV48="Missed","Missed",_xlfn.XLOOKUP(ED$7,'Product Eng - BE'!$M$6:$BM$6,'Product Eng - BE'!$M$17:$BM$17)/_xlfn.XLOOKUP(ED$7,'Product Eng - BE'!$M$6:$BM$6,'Product Eng - BE'!$M$18:$BM$18))))))),0)</f>
        <v>0.31645569620253161</v>
      </c>
      <c r="EE48" s="315">
        <f>IFERROR(IF(EE$7&gt;$D$3,"",IF(BW48="OD","OD",IF(BW47="Missed","Missed",IF(BW47="TBC","TBC",IF(BW47="Undefined","Undefined",IF(BW48="Missed","Missed",_xlfn.XLOOKUP(EE$7,'Product Eng - BE'!$M$6:$BM$6,'Product Eng - BE'!$M$17:$BM$17)/_xlfn.XLOOKUP(EE$7,'Product Eng - BE'!$M$6:$BM$6,'Product Eng - BE'!$M$18:$BM$18))))))),0)</f>
        <v>0.69444444444444442</v>
      </c>
      <c r="EF48" s="315">
        <f>IFERROR(IF(EF$7&gt;$D$3,"",IF(BX48="OD","OD",IF(BX47="Missed","Missed",IF(BX47="TBC","TBC",IF(BX47="Undefined","Undefined",IF(BX48="Missed","Missed",_xlfn.XLOOKUP(EF$7,'Product Eng - BE'!$M$6:$BM$6,'Product Eng - BE'!$M$17:$BM$17)/_xlfn.XLOOKUP(EF$7,'Product Eng - BE'!$M$6:$BM$6,'Product Eng - BE'!$M$18:$BM$18))))))),0)</f>
        <v>0.16666666666666666</v>
      </c>
      <c r="EG48" s="315">
        <f>IFERROR(IF(EG$7&gt;$D$3,"",IF(BY48="OD","OD",IF(BY47="Missed","Missed",IF(BY47="TBC","TBC",IF(BY47="Undefined","Undefined",IF(BY48="Missed","Missed",_xlfn.XLOOKUP(EG$7,'Product Eng - BE'!$M$6:$BM$6,'Product Eng - BE'!$M$17:$BM$17)/_xlfn.XLOOKUP(EG$7,'Product Eng - BE'!$M$6:$BM$6,'Product Eng - BE'!$M$18:$BM$18))))))),0)</f>
        <v>0.2873563218390805</v>
      </c>
      <c r="EH48" s="315">
        <f>IFERROR(IF(EH$7&gt;$D$3,"",IF(BZ48="OD","OD",IF(BZ47="Missed","Missed",IF(BZ47="TBC","TBC",IF(BZ47="Undefined","Undefined",IF(BZ48="Missed","Missed",_xlfn.XLOOKUP(EH$7,'Product Eng - BE'!$M$6:$BM$6,'Product Eng - BE'!$M$17:$BM$17)/_xlfn.XLOOKUP(EH$7,'Product Eng - BE'!$M$6:$BM$6,'Product Eng - BE'!$M$18:$BM$18))))))),0)</f>
        <v>0.25</v>
      </c>
      <c r="EI48" s="315">
        <f>IFERROR(IF(EI$7&gt;$D$3,"",IF(CA48="OD","OD",IF(CA47="Missed","Missed",IF(CA47="TBC","TBC",IF(CA47="Undefined","Undefined",IF(CA48="Missed","Missed",_xlfn.XLOOKUP(EI$7,'Product Eng - BE'!$M$6:$BM$6,'Product Eng - BE'!$M$17:$BM$17)/_xlfn.XLOOKUP(EI$7,'Product Eng - BE'!$M$6:$BM$6,'Product Eng - BE'!$M$18:$BM$18))))))),0)</f>
        <v>0.34722222222222221</v>
      </c>
      <c r="EJ48" s="315" t="str">
        <f>IFERROR(IF(EJ$7&gt;$D$3,"",IF(CB48="OD","OD",IF(CB47="Missed","Missed",IF(CB47="TBC","TBC",IF(CB47="Undefined","Undefined",IF(CB48="Missed","Missed",_xlfn.XLOOKUP(EJ$7,'Product Eng - BE'!$M$6:$BM$6,'Product Eng - BE'!$M$17:$BM$17)/_xlfn.XLOOKUP(EJ$7,'Product Eng - BE'!$M$6:$BM$6,'Product Eng - BE'!$M$18:$BM$18))))))),0)</f>
        <v>OD</v>
      </c>
      <c r="EK48" s="315" t="str">
        <f>IFERROR(IF(EK$7&gt;$D$3,"",IF(CC48="OD","OD",IF(CC47="Missed","Missed",IF(CC47="TBC","TBC",IF(CC47="Undefined","Undefined",IF(CC48="Missed","Missed",_xlfn.XLOOKUP(EK$7,'Product Eng - BE'!$M$6:$BM$6,'Product Eng - BE'!$M$17:$BM$17)/_xlfn.XLOOKUP(EK$7,'Product Eng - BE'!$M$6:$BM$6,'Product Eng - BE'!$M$18:$BM$18))))))),0)</f>
        <v/>
      </c>
      <c r="EL48" s="315" t="str">
        <f>IFERROR(IF(EL$7&gt;$D$3,"",IF(CD48="OD","OD",IF(CD47="Missed","Missed",IF(CD47="TBC","TBC",IF(CD47="Undefined","Undefined",IF(CD48="Missed","Missed",_xlfn.XLOOKUP(EL$7,'Product Eng - BE'!$M$6:$BM$6,'Product Eng - BE'!$M$17:$BM$17)/_xlfn.XLOOKUP(EL$7,'Product Eng - BE'!$M$6:$BM$6,'Product Eng - BE'!$M$18:$BM$18))))))),0)</f>
        <v/>
      </c>
      <c r="EM48" s="315" t="str">
        <f>IFERROR(IF(EM$7&gt;$D$3,"",IF(CE48="OD","OD",IF(CE47="Missed","Missed",IF(CE47="TBC","TBC",IF(CE47="Undefined","Undefined",IF(CE48="Missed","Missed",_xlfn.XLOOKUP(EM$7,'Product Eng - BE'!$M$6:$BM$6,'Product Eng - BE'!$M$17:$BM$17)/_xlfn.XLOOKUP(EM$7,'Product Eng - BE'!$M$6:$BM$6,'Product Eng - BE'!$M$18:$BM$18))))))),0)</f>
        <v/>
      </c>
      <c r="EN48" s="315" t="str">
        <f>IFERROR(IF(EN$7&gt;$D$3,"",IF(CF48="OD","OD",IF(CF47="Missed","Missed",IF(CF47="TBC","TBC",IF(CF47="Undefined","Undefined",IF(CF48="Missed","Missed",_xlfn.XLOOKUP(EN$7,'Product Eng - BE'!$M$6:$BM$6,'Product Eng - BE'!$M$17:$BM$17)/_xlfn.XLOOKUP(EN$7,'Product Eng - BE'!$M$6:$BM$6,'Product Eng - BE'!$M$18:$BM$18))))))),0)</f>
        <v/>
      </c>
      <c r="EO48" s="315" t="str">
        <f>IFERROR(IF(EO$7&gt;$D$3,"",IF(CG48="OD","OD",IF(CG47="Missed","Missed",IF(CG47="TBC","TBC",IF(CG47="Undefined","Undefined",IF(CG48="Missed","Missed",_xlfn.XLOOKUP(EO$7,'Product Eng - BE'!$M$6:$BM$6,'Product Eng - BE'!$M$17:$BM$17)/_xlfn.XLOOKUP(EO$7,'Product Eng - BE'!$M$6:$BM$6,'Product Eng - BE'!$M$18:$BM$18))))))),0)</f>
        <v/>
      </c>
      <c r="EP48" s="315" t="str">
        <f>IFERROR(IF(EP$7&gt;$D$3,"",IF(CH48="OD","OD",IF(CH47="Missed","Missed",IF(CH47="TBC","TBC",IF(CH47="Undefined","Undefined",IF(CH48="Missed","Missed",_xlfn.XLOOKUP(EP$7,'Product Eng - BE'!$M$6:$BM$6,'Product Eng - BE'!$M$17:$BM$17)/_xlfn.XLOOKUP(EP$7,'Product Eng - BE'!$M$6:$BM$6,'Product Eng - BE'!$M$18:$BM$18))))))),0)</f>
        <v/>
      </c>
      <c r="EQ48" s="315" t="str">
        <f>IFERROR(IF(EQ$7&gt;$D$3,"",IF(CI48="OD","OD",IF(CI47="Missed","Missed",IF(CI47="TBC","TBC",IF(CI47="Undefined","Undefined",IF(CI48="Missed","Missed",_xlfn.XLOOKUP(EQ$7,'Product Eng - BE'!$M$6:$BM$6,'Product Eng - BE'!$M$17:$BM$17)/_xlfn.XLOOKUP(EQ$7,'Product Eng - BE'!$M$6:$BM$6,'Product Eng - BE'!$M$18:$BM$18))))))),0)</f>
        <v/>
      </c>
      <c r="ER48" s="315" t="str">
        <f>IFERROR(IF(ER$7&gt;$D$3,"",IF(CJ48="OD","OD",IF(CJ47="Missed","Missed",IF(CJ47="TBC","TBC",IF(CJ47="Undefined","Undefined",IF(CJ48="Missed","Missed",_xlfn.XLOOKUP(ER$7,'Product Eng - BE'!$M$6:$BM$6,'Product Eng - BE'!$M$17:$BM$17)/_xlfn.XLOOKUP(ER$7,'Product Eng - BE'!$M$6:$BM$6,'Product Eng - BE'!$M$18:$BM$18))))))),0)</f>
        <v/>
      </c>
      <c r="ES48" s="315" t="str">
        <f>IFERROR(IF(ES$7&gt;$D$3,"",IF(CK48="OD","OD",IF(CK47="Missed","Missed",IF(CK47="TBC","TBC",IF(CK47="Undefined","Undefined",IF(CK48="Missed","Missed",_xlfn.XLOOKUP(ES$7,'Product Eng - BE'!$M$6:$BM$6,'Product Eng - BE'!$M$17:$BM$17)/_xlfn.XLOOKUP(ES$7,'Product Eng - BE'!$M$6:$BM$6,'Product Eng - BE'!$M$18:$BM$18))))))),0)</f>
        <v/>
      </c>
      <c r="ET48" s="315" t="str">
        <f>IFERROR(IF(ET$7&gt;$D$3,"",IF(CL48="OD","OD",IF(CL47="Missed","Missed",IF(CL47="TBC","TBC",IF(CL47="Undefined","Undefined",IF(CL48="Missed","Missed",_xlfn.XLOOKUP(ET$7,'Product Eng - BE'!$M$6:$BM$6,'Product Eng - BE'!$M$17:$BM$17)/_xlfn.XLOOKUP(ET$7,'Product Eng - BE'!$M$6:$BM$6,'Product Eng - BE'!$M$18:$BM$18))))))),0)</f>
        <v/>
      </c>
      <c r="EU48" s="315" t="str">
        <f>IFERROR(IF(EU$7&gt;$D$3,"",IF(CM48="OD","OD",IF(CM47="Missed","Missed",IF(CM47="TBC","TBC",IF(CM47="Undefined","Undefined",IF(CM48="Missed","Missed",_xlfn.XLOOKUP(EU$7,'Product Eng - BE'!$M$6:$BM$6,'Product Eng - BE'!$M$17:$BM$17)/_xlfn.XLOOKUP(EU$7,'Product Eng - BE'!$M$6:$BM$6,'Product Eng - BE'!$M$18:$BM$18))))))),0)</f>
        <v/>
      </c>
      <c r="EW48" s="465" t="str">
        <f>+$A48</f>
        <v>Product Eng - BE-KPI Q1</v>
      </c>
      <c r="EX48" s="136" t="str">
        <f>+$C48</f>
        <v>KPI Q1</v>
      </c>
      <c r="EY48" s="144" t="str">
        <f>+$D48</f>
        <v>Quality</v>
      </c>
      <c r="EZ48" s="144" t="str">
        <f t="shared" si="145"/>
        <v>Quality Defects / Items Output as a percentage</v>
      </c>
      <c r="FA48" s="145" t="str">
        <f t="shared" si="146"/>
        <v>Percentage</v>
      </c>
      <c r="FB48" s="145" t="s">
        <v>251</v>
      </c>
      <c r="FC48" s="214" t="str">
        <f>IF(FC$7&gt;$D$3,"",IF($FA44&lt;FC$7,"OD",_xlfn.XLOOKUP(FC$7,'Product Eng - BE'!$M$6:$BM$6,'Product Eng - BE'!$M$18:$BM$18)))</f>
        <v>Blank</v>
      </c>
      <c r="FD48" s="214" t="str">
        <f>IF(FD$7&gt;$D$3,"",IF($FA44&lt;FD$7,"OD",_xlfn.XLOOKUP(FD$7,'Product Eng - BE'!$M$6:$BM$6,'Product Eng - BE'!$M$18:$BM$18)))</f>
        <v>Missed</v>
      </c>
      <c r="FE48" s="214" t="str">
        <f>IF(FE$7&gt;$D$3,"",IF($FA44&lt;FE$7,"OD",_xlfn.XLOOKUP(FE$7,'Product Eng - BE'!$M$6:$BM$6,'Product Eng - BE'!$M$18:$BM$18)))</f>
        <v>Missed</v>
      </c>
      <c r="FF48" s="214" t="str">
        <f>IF(FF$7&gt;$D$3,"",IF($FA44&lt;FF$7,"OD",_xlfn.XLOOKUP(FF$7,'Product Eng - BE'!$M$6:$BM$6,'Product Eng - BE'!$M$18:$BM$18)))</f>
        <v>Missed</v>
      </c>
      <c r="FG48" s="214" t="str">
        <f>IF(FG$7&gt;$D$3,"",IF($FA44&lt;FG$7,"OD",_xlfn.XLOOKUP(FG$7,'Product Eng - BE'!$M$6:$BM$6,'Product Eng - BE'!$M$18:$BM$18)))</f>
        <v>Missed</v>
      </c>
      <c r="FH48" s="214" t="str">
        <f>IF(FH$7&gt;$D$3,"",IF($FA44&lt;FH$7,"OD",_xlfn.XLOOKUP(FH$7,'Product Eng - BE'!$M$6:$BM$6,'Product Eng - BE'!$M$18:$BM$18)))</f>
        <v>Missed</v>
      </c>
      <c r="FI48" s="214" t="str">
        <f>IF(FI$7&gt;$D$3,"",IF($FA44&lt;FI$7,"OD",_xlfn.XLOOKUP(FI$7,'Product Eng - BE'!$M$6:$BM$6,'Product Eng - BE'!$M$18:$BM$18)))</f>
        <v>Missed</v>
      </c>
      <c r="FJ48" s="214" t="str">
        <f>IF(FJ$7&gt;$D$3,"",IF($FA44&lt;FJ$7,"OD",_xlfn.XLOOKUP(FJ$7,'Product Eng - BE'!$M$6:$BM$6,'Product Eng - BE'!$M$18:$BM$18)))</f>
        <v>Missed</v>
      </c>
      <c r="FK48" s="214" t="str">
        <f>IF(FK$7&gt;$D$3,"",IF($FA44&lt;FK$7,"OD",_xlfn.XLOOKUP(FK$7,'Product Eng - BE'!$M$6:$BM$6,'Product Eng - BE'!$M$18:$BM$18)))</f>
        <v>Missed</v>
      </c>
      <c r="FL48" s="214" t="str">
        <f>IF(FL$7&gt;$D$3,"",IF($FA44&lt;FL$7,"OD",_xlfn.XLOOKUP(FL$7,'Product Eng - BE'!$M$6:$BM$6,'Product Eng - BE'!$M$18:$BM$18)))</f>
        <v>Missed</v>
      </c>
      <c r="FM48" s="214" t="str">
        <f>IF(FM$7&gt;$D$3,"",IF($FA44&lt;FM$7,"OD",_xlfn.XLOOKUP(FM$7,'Product Eng - BE'!$M$6:$BM$6,'Product Eng - BE'!$M$18:$BM$18)))</f>
        <v>Missed</v>
      </c>
      <c r="FN48" s="214" t="str">
        <f>IF(FN$7&gt;$D$3,"",IF($FA44&lt;FN$7,"OD",_xlfn.XLOOKUP(FN$7,'Product Eng - BE'!$M$6:$BM$6,'Product Eng - BE'!$M$18:$BM$18)))</f>
        <v>Missed</v>
      </c>
      <c r="FO48" s="214" t="str">
        <f>IF(FO$7&gt;$D$3,"",IF($FA44&lt;FO$7,"OD",_xlfn.XLOOKUP(FO$7,'Product Eng - BE'!$M$6:$BM$6,'Product Eng - BE'!$M$18:$BM$18)))</f>
        <v>Missed</v>
      </c>
      <c r="FP48" s="214" t="str">
        <f>IF(FP$7&gt;$D$3,"",IF($FA44&lt;FP$7,"OD",_xlfn.XLOOKUP(FP$7,'Product Eng - BE'!$M$6:$BM$6,'Product Eng - BE'!$M$18:$BM$18)))</f>
        <v>Missed</v>
      </c>
      <c r="FQ48" s="214">
        <f>IF(FQ$7&gt;$D$3,"",IF($FA44&lt;FQ$7,"OD",_xlfn.XLOOKUP(FQ$7,'Product Eng - BE'!$M$6:$BM$6,'Product Eng - BE'!$M$18:$BM$18)))</f>
        <v>1.1000000000000001</v>
      </c>
      <c r="FR48" s="214">
        <f>IF(FR$7&gt;$D$3,"",IF($FA44&lt;FR$7,"OD",_xlfn.XLOOKUP(FR$7,'Product Eng - BE'!$M$6:$BM$6,'Product Eng - BE'!$M$18:$BM$18)))</f>
        <v>10.9</v>
      </c>
      <c r="FS48" s="214">
        <f>IF(FS$7&gt;$D$3,"",IF($FA44&lt;FS$7,"OD",_xlfn.XLOOKUP(FS$7,'Product Eng - BE'!$M$6:$BM$6,'Product Eng - BE'!$M$18:$BM$18)))</f>
        <v>4</v>
      </c>
      <c r="FT48" s="214">
        <f>IF(FT$7&gt;$D$3,"",IF($FA44&lt;FT$7,"OD",_xlfn.XLOOKUP(FT$7,'Product Eng - BE'!$M$6:$BM$6,'Product Eng - BE'!$M$18:$BM$18)))</f>
        <v>4.0999999999999996</v>
      </c>
      <c r="FU48" s="214">
        <f>IF(FU$7&gt;$D$3,"",IF($FA44&lt;FU$7,"OD",_xlfn.XLOOKUP(FU$7,'Product Eng - BE'!$M$6:$BM$6,'Product Eng - BE'!$M$18:$BM$18)))</f>
        <v>10.1</v>
      </c>
      <c r="FV48" s="214">
        <f>IF(FV$7&gt;$D$3,"",IF($FA44&lt;FV$7,"OD",_xlfn.XLOOKUP(FV$7,'Product Eng - BE'!$M$6:$BM$6,'Product Eng - BE'!$M$18:$BM$18)))</f>
        <v>4.5</v>
      </c>
      <c r="FW48" s="214">
        <f>IF(FW$7&gt;$D$3,"",IF($FA44&lt;FW$7,"OD",_xlfn.XLOOKUP(FW$7,'Product Eng - BE'!$M$6:$BM$6,'Product Eng - BE'!$M$18:$BM$18)))</f>
        <v>12</v>
      </c>
      <c r="FX48" s="214">
        <f>IF(FX$7&gt;$D$3,"",IF($FA44&lt;FX$7,"OD",_xlfn.XLOOKUP(FX$7,'Product Eng - BE'!$M$6:$BM$6,'Product Eng - BE'!$M$18:$BM$18)))</f>
        <v>2.2999999999999998</v>
      </c>
      <c r="FY48" s="214">
        <f>IF(FY$7&gt;$D$3,"",IF($FA44&lt;FY$7,"OD",_xlfn.XLOOKUP(FY$7,'Product Eng - BE'!$M$6:$BM$6,'Product Eng - BE'!$M$18:$BM$18)))</f>
        <v>5</v>
      </c>
      <c r="FZ48" s="214">
        <f>IF(FZ$7&gt;$D$3,"",IF($FA44&lt;FZ$7,"OD",_xlfn.XLOOKUP(FZ$7,'Product Eng - BE'!$M$6:$BM$6,'Product Eng - BE'!$M$18:$BM$18)))</f>
        <v>4.5</v>
      </c>
      <c r="GA48" s="214">
        <f>IF(GA$7&gt;$D$3,"",IF($FA44&lt;GA$7,"OD",_xlfn.XLOOKUP(GA$7,'Product Eng - BE'!$M$6:$BM$6,'Product Eng - BE'!$M$18:$BM$18)))</f>
        <v>1.9</v>
      </c>
      <c r="GB48" s="214">
        <f>IF(GB$7&gt;$D$3,"",IF($FA44&lt;GB$7,"OD",_xlfn.XLOOKUP(GB$7,'Product Eng - BE'!$M$6:$BM$6,'Product Eng - BE'!$M$18:$BM$18)))</f>
        <v>11</v>
      </c>
      <c r="GC48" s="214">
        <f>IF(GC$7&gt;$D$3,"",IF($FA44&lt;GC$7,"OD",_xlfn.XLOOKUP(GC$7,'Product Eng - BE'!$M$6:$BM$6,'Product Eng - BE'!$M$18:$BM$18)))</f>
        <v>14</v>
      </c>
      <c r="GD48" s="214">
        <f>IF(GD$7&gt;$D$3,"",IF($FA44&lt;GD$7,"OD",_xlfn.XLOOKUP(GD$7,'Product Eng - BE'!$M$6:$BM$6,'Product Eng - BE'!$M$18:$BM$18)))</f>
        <v>30</v>
      </c>
      <c r="GE48" s="214">
        <f>IF(GE$7&gt;$D$3,"",IF($FA44&lt;GE$7,"OD",_xlfn.XLOOKUP(GE$7,'Product Eng - BE'!$M$6:$BM$6,'Product Eng - BE'!$M$18:$BM$18)))</f>
        <v>9.6</v>
      </c>
      <c r="GF48" s="214">
        <f>IF(GF$7&gt;$D$3,"",IF($FA44&lt;GF$7,"OD",_xlfn.XLOOKUP(GF$7,'Product Eng - BE'!$M$6:$BM$6,'Product Eng - BE'!$M$18:$BM$18)))</f>
        <v>6.9</v>
      </c>
      <c r="GG48" s="214">
        <f>IF(GG$7&gt;$D$3,"",IF($FA44&lt;GG$7,"OD",_xlfn.XLOOKUP(GG$7,'Product Eng - BE'!$M$6:$BM$6,'Product Eng - BE'!$M$18:$BM$18)))</f>
        <v>8.6</v>
      </c>
      <c r="GH48" s="214">
        <f>IF(GH$7&gt;$D$3,"",IF($FA44&lt;GH$7,"OD",_xlfn.XLOOKUP(GH$7,'Product Eng - BE'!$M$6:$BM$6,'Product Eng - BE'!$M$18:$BM$18)))</f>
        <v>8.3000000000000007</v>
      </c>
      <c r="GI48" s="214">
        <f>IF(GI$7&gt;$D$3,"",IF($FA44&lt;GI$7,"OD",_xlfn.XLOOKUP(GI$7,'Product Eng - BE'!$M$6:$BM$6,'Product Eng - BE'!$M$18:$BM$18)))</f>
        <v>5</v>
      </c>
      <c r="GJ48" s="214">
        <f>IF(GJ$7&gt;$D$3,"",IF($FA44&lt;GJ$7,"OD",_xlfn.XLOOKUP(GJ$7,'Product Eng - BE'!$M$6:$BM$6,'Product Eng - BE'!$M$18:$BM$18)))</f>
        <v>3.7</v>
      </c>
      <c r="GK48" s="214">
        <f>IF(GK$7&gt;$D$3,"",IF($FA44&lt;GK$7,"OD",_xlfn.XLOOKUP(GK$7,'Product Eng - BE'!$M$6:$BM$6,'Product Eng - BE'!$M$18:$BM$18)))</f>
        <v>12</v>
      </c>
      <c r="GL48" s="214">
        <f>IF(GL$7&gt;$D$3,"",IF($FA44&lt;GL$7,"OD",_xlfn.XLOOKUP(GL$7,'Product Eng - BE'!$M$6:$BM$6,'Product Eng - BE'!$M$18:$BM$18)))</f>
        <v>7.9</v>
      </c>
      <c r="GM48" s="214">
        <f>IF(GM$7&gt;$D$3,"",IF($FA44&lt;GM$7,"OD",_xlfn.XLOOKUP(GM$7,'Product Eng - BE'!$M$6:$BM$6,'Product Eng - BE'!$M$18:$BM$18)))</f>
        <v>3.6</v>
      </c>
      <c r="GN48" s="214">
        <f>IF(GN$7&gt;$D$3,"",IF($FA44&lt;GN$7,"OD",_xlfn.XLOOKUP(GN$7,'Product Eng - BE'!$M$6:$BM$6,'Product Eng - BE'!$M$18:$BM$18)))</f>
        <v>15</v>
      </c>
      <c r="GO48" s="214">
        <f>IF(GO$7&gt;$D$3,"",IF($FA44&lt;GO$7,"OD",_xlfn.XLOOKUP(GO$7,'Product Eng - BE'!$M$6:$BM$6,'Product Eng - BE'!$M$18:$BM$18)))</f>
        <v>8.6999999999999993</v>
      </c>
      <c r="GP48" s="214">
        <f>IF(GP$7&gt;$D$3,"",IF($FA44&lt;GP$7,"OD",_xlfn.XLOOKUP(GP$7,'Product Eng - BE'!$M$6:$BM$6,'Product Eng - BE'!$M$18:$BM$18)))</f>
        <v>10</v>
      </c>
      <c r="GQ48" s="214">
        <f>IF(GQ$7&gt;$D$3,"",IF($FA44&lt;GQ$7,"OD",_xlfn.XLOOKUP(GQ$7,'Product Eng - BE'!$M$6:$BM$6,'Product Eng - BE'!$M$18:$BM$18)))</f>
        <v>7.2</v>
      </c>
      <c r="GR48" s="214">
        <f>IF(GR$7&gt;$D$3,"",IF($FA44&lt;GR$7,"OD",_xlfn.XLOOKUP(GR$7,'Product Eng - BE'!$M$6:$BM$6,'Product Eng - BE'!$M$18:$BM$18)))</f>
        <v>0</v>
      </c>
      <c r="GS48" s="214" t="str">
        <f>IF(GS$7&gt;$D$3,"",IF($FA44&lt;GS$7,"OD",_xlfn.XLOOKUP(GS$7,'Product Eng - BE'!$M$6:$BM$6,'Product Eng - BE'!$M$18:$BM$18)))</f>
        <v/>
      </c>
      <c r="GT48" s="214" t="str">
        <f>IF(GT$7&gt;$D$3,"",IF($FA44&lt;GT$7,"OD",_xlfn.XLOOKUP(GT$7,'Product Eng - BE'!$M$6:$BM$6,'Product Eng - BE'!$M$18:$BM$18)))</f>
        <v/>
      </c>
      <c r="GU48" s="214" t="str">
        <f>IF(GU$7&gt;$D$3,"",IF($FA44&lt;GU$7,"OD",_xlfn.XLOOKUP(GU$7,'Product Eng - BE'!$M$6:$BM$6,'Product Eng - BE'!$M$18:$BM$18)))</f>
        <v/>
      </c>
      <c r="GV48" s="214" t="str">
        <f>IF(GV$7&gt;$D$3,"",IF($FA44&lt;GV$7,"OD",_xlfn.XLOOKUP(GV$7,'Product Eng - BE'!$M$6:$BM$6,'Product Eng - BE'!$M$18:$BM$18)))</f>
        <v/>
      </c>
      <c r="GW48" s="214" t="str">
        <f>IF(GW$7&gt;$D$3,"",IF($FA44&lt;GW$7,"OD",_xlfn.XLOOKUP(GW$7,'Product Eng - BE'!$M$6:$BM$6,'Product Eng - BE'!$M$18:$BM$18)))</f>
        <v/>
      </c>
      <c r="GX48" s="214" t="str">
        <f>IF(GX$7&gt;$D$3,"",IF($FA44&lt;GX$7,"OD",_xlfn.XLOOKUP(GX$7,'Product Eng - BE'!$M$6:$BM$6,'Product Eng - BE'!$M$18:$BM$18)))</f>
        <v/>
      </c>
      <c r="GY48" s="214" t="str">
        <f>IF(GY$7&gt;$D$3,"",IF($FA44&lt;GY$7,"OD",_xlfn.XLOOKUP(GY$7,'Product Eng - BE'!$M$6:$BM$6,'Product Eng - BE'!$M$18:$BM$18)))</f>
        <v/>
      </c>
      <c r="GZ48" s="214" t="str">
        <f>IF(GZ$7&gt;$D$3,"",IF($FA44&lt;GZ$7,"OD",_xlfn.XLOOKUP(GZ$7,'Product Eng - BE'!$M$6:$BM$6,'Product Eng - BE'!$M$18:$BM$18)))</f>
        <v/>
      </c>
      <c r="HA48" s="214" t="str">
        <f>IF(HA$7&gt;$D$3,"",IF($FA44&lt;HA$7,"OD",_xlfn.XLOOKUP(HA$7,'Product Eng - BE'!$M$6:$BM$6,'Product Eng - BE'!$M$18:$BM$18)))</f>
        <v/>
      </c>
      <c r="HB48" s="214" t="str">
        <f>IF(HB$7&gt;$D$3,"",IF($FA44&lt;HB$7,"OD",_xlfn.XLOOKUP(HB$7,'Product Eng - BE'!$M$6:$BM$6,'Product Eng - BE'!$M$18:$BM$18)))</f>
        <v/>
      </c>
      <c r="HC48" s="214" t="str">
        <f>IF(HC$7&gt;$D$3,"",IF($FA44&lt;HC$7,"OD",_xlfn.XLOOKUP(HC$7,'Product Eng - BE'!$M$6:$BM$6,'Product Eng - BE'!$M$18:$BM$18)))</f>
        <v/>
      </c>
      <c r="HE48" s="136" t="str">
        <f>+$C48</f>
        <v>KPI Q1</v>
      </c>
      <c r="HF48" s="144" t="str">
        <f>+$D48</f>
        <v>Quality</v>
      </c>
      <c r="HG48" s="144" t="str">
        <f t="shared" si="149"/>
        <v>Quality Defects / Items Output as a percentage</v>
      </c>
      <c r="HH48" s="145" t="str">
        <f t="shared" si="150"/>
        <v>Percentage</v>
      </c>
      <c r="HI48" s="145" t="s">
        <v>44</v>
      </c>
      <c r="HJ48" s="223" t="s">
        <v>122</v>
      </c>
      <c r="HK48" s="214">
        <f>IF(HK$7&gt;$D$3,"",IF($FA44&lt;HK$7,"OD",_xlfn.XLOOKUP(HK$7,'Product Eng - BE'!$M$6:$BM$6,'Product Eng - BE'!$M$17:$BM$17)))</f>
        <v>2.5</v>
      </c>
      <c r="HL48" s="214">
        <f>IF(HL$7&gt;$D$3,"",IF($FA44&lt;HL$7,"OD",_xlfn.XLOOKUP(HL$7,'Product Eng - BE'!$M$6:$BM$6,'Product Eng - BE'!$M$17:$BM$17)))</f>
        <v>2.5</v>
      </c>
      <c r="HM48" s="214">
        <f>IF(HM$7&gt;$D$3,"",IF($FA44&lt;HM$7,"OD",_xlfn.XLOOKUP(HM$7,'Product Eng - BE'!$M$6:$BM$6,'Product Eng - BE'!$M$17:$BM$17)))</f>
        <v>2.5</v>
      </c>
      <c r="HN48" s="214">
        <f>IF(HN$7&gt;$D$3,"",IF($FA44&lt;HN$7,"OD",_xlfn.XLOOKUP(HN$7,'Product Eng - BE'!$M$6:$BM$6,'Product Eng - BE'!$M$17:$BM$17)))</f>
        <v>2.5</v>
      </c>
      <c r="HO48" s="214">
        <f>IF(HO$7&gt;$D$3,"",IF($FA44&lt;HO$7,"OD",_xlfn.XLOOKUP(HO$7,'Product Eng - BE'!$M$6:$BM$6,'Product Eng - BE'!$M$17:$BM$17)))</f>
        <v>2.5</v>
      </c>
      <c r="HP48" s="214">
        <f>IF(HP$7&gt;$D$3,"",IF($FA44&lt;HP$7,"OD",_xlfn.XLOOKUP(HP$7,'Product Eng - BE'!$M$6:$BM$6,'Product Eng - BE'!$M$17:$BM$17)))</f>
        <v>2.5</v>
      </c>
      <c r="HQ48" s="214">
        <f>IF(HQ$7&gt;$D$3,"",IF($FA44&lt;HQ$7,"OD",_xlfn.XLOOKUP(HQ$7,'Product Eng - BE'!$M$6:$BM$6,'Product Eng - BE'!$M$17:$BM$17)))</f>
        <v>2.5</v>
      </c>
      <c r="HR48" s="214">
        <f>IF(HR$7&gt;$D$3,"",IF($FA44&lt;HR$7,"OD",_xlfn.XLOOKUP(HR$7,'Product Eng - BE'!$M$6:$BM$6,'Product Eng - BE'!$M$17:$BM$17)))</f>
        <v>2.5</v>
      </c>
      <c r="HS48" s="214">
        <f>IF(HS$7&gt;$D$3,"",IF($FA44&lt;HS$7,"OD",_xlfn.XLOOKUP(HS$7,'Product Eng - BE'!$M$6:$BM$6,'Product Eng - BE'!$M$17:$BM$17)))</f>
        <v>2.5</v>
      </c>
      <c r="HT48" s="214">
        <f>IF(HT$7&gt;$D$3,"",IF($FA44&lt;HT$7,"OD",_xlfn.XLOOKUP(HT$7,'Product Eng - BE'!$M$6:$BM$6,'Product Eng - BE'!$M$17:$BM$17)))</f>
        <v>2.5</v>
      </c>
      <c r="HU48" s="214">
        <f>IF(HU$7&gt;$D$3,"",IF($FA44&lt;HU$7,"OD",_xlfn.XLOOKUP(HU$7,'Product Eng - BE'!$M$6:$BM$6,'Product Eng - BE'!$M$17:$BM$17)))</f>
        <v>2.5</v>
      </c>
      <c r="HV48" s="214">
        <f>IF(HV$7&gt;$D$3,"",IF($FA44&lt;HV$7,"OD",_xlfn.XLOOKUP(HV$7,'Product Eng - BE'!$M$6:$BM$6,'Product Eng - BE'!$M$17:$BM$17)))</f>
        <v>2.5</v>
      </c>
      <c r="HW48" s="214">
        <f>IF(HW$7&gt;$D$3,"",IF($FA44&lt;HW$7,"OD",_xlfn.XLOOKUP(HW$7,'Product Eng - BE'!$M$6:$BM$6,'Product Eng - BE'!$M$17:$BM$17)))</f>
        <v>2.5</v>
      </c>
      <c r="HX48" s="214">
        <f>IF(HX$7&gt;$D$3,"",IF($FA44&lt;HX$7,"OD",_xlfn.XLOOKUP(HX$7,'Product Eng - BE'!$M$6:$BM$6,'Product Eng - BE'!$M$17:$BM$17)))</f>
        <v>2.5</v>
      </c>
      <c r="HY48" s="214">
        <f>IF(HY$7&gt;$D$3,"",IF($FA44&lt;HY$7,"OD",_xlfn.XLOOKUP(HY$7,'Product Eng - BE'!$M$6:$BM$6,'Product Eng - BE'!$M$17:$BM$17)))</f>
        <v>2.5</v>
      </c>
      <c r="HZ48" s="214">
        <f>IF(HZ$7&gt;$D$3,"",IF($FA44&lt;HZ$7,"OD",_xlfn.XLOOKUP(HZ$7,'Product Eng - BE'!$M$6:$BM$6,'Product Eng - BE'!$M$17:$BM$17)))</f>
        <v>2.5</v>
      </c>
      <c r="IA48" s="214">
        <f>IF(IA$7&gt;$D$3,"",IF($FA44&lt;IA$7,"OD",_xlfn.XLOOKUP(IA$7,'Product Eng - BE'!$M$6:$BM$6,'Product Eng - BE'!$M$17:$BM$17)))</f>
        <v>2.5</v>
      </c>
      <c r="IB48" s="214">
        <f>IF(IB$7&gt;$D$3,"",IF($FA44&lt;IB$7,"OD",_xlfn.XLOOKUP(IB$7,'Product Eng - BE'!$M$6:$BM$6,'Product Eng - BE'!$M$17:$BM$17)))</f>
        <v>2.5</v>
      </c>
      <c r="IC48" s="214">
        <f>IF(IC$7&gt;$D$3,"",IF($FA44&lt;IC$7,"OD",_xlfn.XLOOKUP(IC$7,'Product Eng - BE'!$M$6:$BM$6,'Product Eng - BE'!$M$17:$BM$17)))</f>
        <v>2.5</v>
      </c>
      <c r="ID48" s="214">
        <f>IF(ID$7&gt;$D$3,"",IF($FA44&lt;ID$7,"OD",_xlfn.XLOOKUP(ID$7,'Product Eng - BE'!$M$6:$BM$6,'Product Eng - BE'!$M$17:$BM$17)))</f>
        <v>2.5</v>
      </c>
      <c r="IE48" s="214">
        <f>IF(IE$7&gt;$D$3,"",IF($FA44&lt;IE$7,"OD",_xlfn.XLOOKUP(IE$7,'Product Eng - BE'!$M$6:$BM$6,'Product Eng - BE'!$M$17:$BM$17)))</f>
        <v>2.5</v>
      </c>
      <c r="IF48" s="214">
        <f>IF(IF$7&gt;$D$3,"",IF($FA44&lt;IF$7,"OD",_xlfn.XLOOKUP(IF$7,'Product Eng - BE'!$M$6:$BM$6,'Product Eng - BE'!$M$17:$BM$17)))</f>
        <v>2.5</v>
      </c>
      <c r="IG48" s="214">
        <f>IF(IG$7&gt;$D$3,"",IF($FA44&lt;IG$7,"OD",_xlfn.XLOOKUP(IG$7,'Product Eng - BE'!$M$6:$BM$6,'Product Eng - BE'!$M$17:$BM$17)))</f>
        <v>2.5</v>
      </c>
      <c r="IH48" s="214">
        <f>IF(IH$7&gt;$D$3,"",IF($FA44&lt;IH$7,"OD",_xlfn.XLOOKUP(IH$7,'Product Eng - BE'!$M$6:$BM$6,'Product Eng - BE'!$M$17:$BM$17)))</f>
        <v>2.5</v>
      </c>
      <c r="II48" s="214">
        <f>IF(II$7&gt;$D$3,"",IF($FA44&lt;II$7,"OD",_xlfn.XLOOKUP(II$7,'Product Eng - BE'!$M$6:$BM$6,'Product Eng - BE'!$M$17:$BM$17)))</f>
        <v>2.5</v>
      </c>
      <c r="IJ48" s="214">
        <f>IF(IJ$7&gt;$D$3,"",IF($FA44&lt;IJ$7,"OD",_xlfn.XLOOKUP(IJ$7,'Product Eng - BE'!$M$6:$BM$6,'Product Eng - BE'!$M$17:$BM$17)))</f>
        <v>2.5</v>
      </c>
      <c r="IK48" s="214">
        <f>IF(IK$7&gt;$D$3,"",IF($FA44&lt;IK$7,"OD",_xlfn.XLOOKUP(IK$7,'Product Eng - BE'!$M$6:$BM$6,'Product Eng - BE'!$M$17:$BM$17)))</f>
        <v>2.5</v>
      </c>
      <c r="IL48" s="214">
        <f>IF(IL$7&gt;$D$3,"",IF($FA44&lt;IL$7,"OD",_xlfn.XLOOKUP(IL$7,'Product Eng - BE'!$M$6:$BM$6,'Product Eng - BE'!$M$17:$BM$17)))</f>
        <v>2.5</v>
      </c>
      <c r="IM48" s="214">
        <f>IF(IM$7&gt;$D$3,"",IF($FA44&lt;IM$7,"OD",_xlfn.XLOOKUP(IM$7,'Product Eng - BE'!$M$6:$BM$6,'Product Eng - BE'!$M$17:$BM$17)))</f>
        <v>2.5</v>
      </c>
      <c r="IN48" s="214">
        <f>IF(IN$7&gt;$D$3,"",IF($FA44&lt;IN$7,"OD",_xlfn.XLOOKUP(IN$7,'Product Eng - BE'!$M$6:$BM$6,'Product Eng - BE'!$M$17:$BM$17)))</f>
        <v>2.5</v>
      </c>
      <c r="IO48" s="214">
        <f>IF(IO$7&gt;$D$3,"",IF($FA44&lt;IO$7,"OD",_xlfn.XLOOKUP(IO$7,'Product Eng - BE'!$M$6:$BM$6,'Product Eng - BE'!$M$17:$BM$17)))</f>
        <v>2.5</v>
      </c>
      <c r="IP48" s="214">
        <f>IF(IP$7&gt;$D$3,"",IF($FA44&lt;IP$7,"OD",_xlfn.XLOOKUP(IP$7,'Product Eng - BE'!$M$6:$BM$6,'Product Eng - BE'!$M$17:$BM$17)))</f>
        <v>2.5</v>
      </c>
      <c r="IQ48" s="214">
        <f>IF(IQ$7&gt;$D$3,"",IF($FA44&lt;IQ$7,"OD",_xlfn.XLOOKUP(IQ$7,'Product Eng - BE'!$M$6:$BM$6,'Product Eng - BE'!$M$17:$BM$17)))</f>
        <v>2.5</v>
      </c>
      <c r="IR48" s="214">
        <f>IF(IR$7&gt;$D$3,"",IF($FA44&lt;IR$7,"OD",_xlfn.XLOOKUP(IR$7,'Product Eng - BE'!$M$6:$BM$6,'Product Eng - BE'!$M$17:$BM$17)))</f>
        <v>2.5</v>
      </c>
      <c r="IS48" s="214">
        <f>IF(IS$7&gt;$D$3,"",IF($FA44&lt;IS$7,"OD",_xlfn.XLOOKUP(IS$7,'Product Eng - BE'!$M$6:$BM$6,'Product Eng - BE'!$M$17:$BM$17)))</f>
        <v>2.5</v>
      </c>
      <c r="IT48" s="214">
        <f>IF(IT$7&gt;$D$3,"",IF($FA44&lt;IT$7,"OD",_xlfn.XLOOKUP(IT$7,'Product Eng - BE'!$M$6:$BM$6,'Product Eng - BE'!$M$17:$BM$17)))</f>
        <v>2.5</v>
      </c>
      <c r="IU48" s="214">
        <f>IF(IU$7&gt;$D$3,"",IF($FA44&lt;IU$7,"OD",_xlfn.XLOOKUP(IU$7,'Product Eng - BE'!$M$6:$BM$6,'Product Eng - BE'!$M$17:$BM$17)))</f>
        <v>2.5</v>
      </c>
      <c r="IV48" s="214">
        <f>IF(IV$7&gt;$D$3,"",IF($FA44&lt;IV$7,"OD",_xlfn.XLOOKUP(IV$7,'Product Eng - BE'!$M$6:$BM$6,'Product Eng - BE'!$M$17:$BM$17)))</f>
        <v>2.5</v>
      </c>
      <c r="IW48" s="214">
        <f>IF(IW$7&gt;$D$3,"",IF($FA44&lt;IW$7,"OD",_xlfn.XLOOKUP(IW$7,'Product Eng - BE'!$M$6:$BM$6,'Product Eng - BE'!$M$17:$BM$17)))</f>
        <v>2.5</v>
      </c>
      <c r="IX48" s="214">
        <f>IF(IX$7&gt;$D$3,"",IF($FA44&lt;IX$7,"OD",_xlfn.XLOOKUP(IX$7,'Product Eng - BE'!$M$6:$BM$6,'Product Eng - BE'!$M$17:$BM$17)))</f>
        <v>2.5</v>
      </c>
      <c r="IY48" s="214">
        <f>IF(IY$7&gt;$D$3,"",IF($FA44&lt;IY$7,"OD",_xlfn.XLOOKUP(IY$7,'Product Eng - BE'!$M$6:$BM$6,'Product Eng - BE'!$M$17:$BM$17)))</f>
        <v>2.5</v>
      </c>
      <c r="IZ48" s="214" t="str">
        <f>IF(IZ$7&gt;$D$3,"",IF($FA44&lt;IZ$7,"OD",_xlfn.XLOOKUP(IZ$7,'Product Eng - BE'!$M$6:$BM$6,'Product Eng - BE'!$M$17:$BM$17)))</f>
        <v/>
      </c>
      <c r="JA48" s="214" t="str">
        <f>IF(JA$7&gt;$D$3,"",IF($FA44&lt;JA$7,"OD",_xlfn.XLOOKUP(JA$7,'Product Eng - BE'!$M$6:$BM$6,'Product Eng - BE'!$M$17:$BM$17)))</f>
        <v/>
      </c>
      <c r="JB48" s="214" t="str">
        <f>IF(JB$7&gt;$D$3,"",IF($FA44&lt;JB$7,"OD",_xlfn.XLOOKUP(JB$7,'Product Eng - BE'!$M$6:$BM$6,'Product Eng - BE'!$M$17:$BM$17)))</f>
        <v/>
      </c>
      <c r="JC48" s="214" t="str">
        <f>IF(JC$7&gt;$D$3,"",IF($FA44&lt;JC$7,"OD",_xlfn.XLOOKUP(JC$7,'Product Eng - BE'!$M$6:$BM$6,'Product Eng - BE'!$M$17:$BM$17)))</f>
        <v/>
      </c>
      <c r="JD48" s="214" t="str">
        <f>IF(JD$7&gt;$D$3,"",IF($FA44&lt;JD$7,"OD",_xlfn.XLOOKUP(JD$7,'Product Eng - BE'!$M$6:$BM$6,'Product Eng - BE'!$M$17:$BM$17)))</f>
        <v/>
      </c>
      <c r="JE48" s="214" t="str">
        <f>IF(JE$7&gt;$D$3,"",IF($FA44&lt;JE$7,"OD",_xlfn.XLOOKUP(JE$7,'Product Eng - BE'!$M$6:$BM$6,'Product Eng - BE'!$M$17:$BM$17)))</f>
        <v/>
      </c>
      <c r="JF48" s="214" t="str">
        <f>IF(JF$7&gt;$D$3,"",IF($FA44&lt;JF$7,"OD",_xlfn.XLOOKUP(JF$7,'Product Eng - BE'!$M$6:$BM$6,'Product Eng - BE'!$M$17:$BM$17)))</f>
        <v/>
      </c>
      <c r="JG48" s="214" t="str">
        <f>IF(JG$7&gt;$D$3,"",IF($FA44&lt;JG$7,"OD",_xlfn.XLOOKUP(JG$7,'Product Eng - BE'!$M$6:$BM$6,'Product Eng - BE'!$M$17:$BM$17)))</f>
        <v/>
      </c>
      <c r="JH48" s="214" t="str">
        <f>IF(JH$7&gt;$D$3,"",IF($FA44&lt;JH$7,"OD",_xlfn.XLOOKUP(JH$7,'Product Eng - BE'!$M$6:$BM$6,'Product Eng - BE'!$M$17:$BM$17)))</f>
        <v/>
      </c>
      <c r="JI48" s="214" t="str">
        <f>IF(JI$7&gt;$D$3,"",IF($FA44&lt;JI$7,"OD",_xlfn.XLOOKUP(JI$7,'Product Eng - BE'!$M$6:$BM$6,'Product Eng - BE'!$M$17:$BM$17)))</f>
        <v/>
      </c>
      <c r="JJ48" s="214" t="str">
        <f>IF(JJ$7&gt;$D$3,"",IF($FA44&lt;JJ$7,"OD",_xlfn.XLOOKUP(JJ$7,'Product Eng - BE'!$M$6:$BM$6,'Product Eng - BE'!$M$17:$BM$17)))</f>
        <v/>
      </c>
      <c r="JM48" s="136" t="str">
        <f>+$C48</f>
        <v>KPI Q1</v>
      </c>
      <c r="JN48" s="144" t="str">
        <f>+$D48</f>
        <v>Quality</v>
      </c>
      <c r="JO48" s="144" t="str">
        <f t="shared" si="154"/>
        <v>Quality Defects / Items Output as a percentage</v>
      </c>
      <c r="JP48" s="145" t="str">
        <f t="shared" si="155"/>
        <v>Percentage</v>
      </c>
      <c r="JQ48" s="145" t="s">
        <v>284</v>
      </c>
      <c r="JR48" s="226" t="str">
        <f>IFERROR(AVERAGE(FC48:$FC48),"")</f>
        <v/>
      </c>
      <c r="JS48" s="226" t="str">
        <f>IFERROR(AVERAGE($FC48:FD48),"")</f>
        <v/>
      </c>
      <c r="JT48" s="226" t="str">
        <f>IFERROR(AVERAGE($FC48:FE48),"")</f>
        <v/>
      </c>
      <c r="JU48" s="226" t="str">
        <f>IFERROR(AVERAGE($FC48:FF48),"")</f>
        <v/>
      </c>
      <c r="JV48" s="226" t="str">
        <f>IFERROR(AVERAGE($FC48:FG48),"")</f>
        <v/>
      </c>
      <c r="JW48" s="226" t="str">
        <f>IFERROR(AVERAGE($FC48:FH48),"")</f>
        <v/>
      </c>
      <c r="JX48" s="226" t="str">
        <f>IFERROR(AVERAGE($FC48:FI48),"")</f>
        <v/>
      </c>
      <c r="JY48" s="226" t="str">
        <f>IFERROR(AVERAGE($FC48:FJ48),"")</f>
        <v/>
      </c>
      <c r="JZ48" s="226" t="str">
        <f>IFERROR(AVERAGE($FC48:FK48),"")</f>
        <v/>
      </c>
      <c r="KA48" s="226" t="str">
        <f>IFERROR(AVERAGE($FC48:FL48),"")</f>
        <v/>
      </c>
      <c r="KB48" s="226" t="str">
        <f>IFERROR(AVERAGE($FC48:FM48),"")</f>
        <v/>
      </c>
      <c r="KC48" s="226" t="str">
        <f>IFERROR(AVERAGE($FC48:FN48),"")</f>
        <v/>
      </c>
      <c r="KD48" s="226" t="str">
        <f>IFERROR(AVERAGE($FC48:FO48),"")</f>
        <v/>
      </c>
      <c r="KE48" s="226" t="str">
        <f>IFERROR(AVERAGE($FC48:FP48),"")</f>
        <v/>
      </c>
      <c r="KF48" s="226">
        <f>IFERROR(AVERAGE($FC48:FQ48),"")</f>
        <v>1.1000000000000001</v>
      </c>
      <c r="KG48" s="226">
        <f>IFERROR(AVERAGE($FC48:FR48),"")</f>
        <v>6</v>
      </c>
      <c r="KH48" s="226">
        <f>IFERROR(AVERAGE($FC48:FS48),"")</f>
        <v>5.333333333333333</v>
      </c>
      <c r="KI48" s="226">
        <f>IFERROR(AVERAGE($FC48:FT48),"")</f>
        <v>5.0250000000000004</v>
      </c>
      <c r="KJ48" s="226">
        <f>IFERROR(AVERAGE($FC48:FU48),"")</f>
        <v>6.0400000000000009</v>
      </c>
      <c r="KK48" s="226">
        <f>IFERROR(AVERAGE($FC48:FV48),"")</f>
        <v>5.7833333333333341</v>
      </c>
      <c r="KL48" s="226">
        <f>IFERROR(AVERAGE($FC48:FW48),"")</f>
        <v>6.6714285714285717</v>
      </c>
      <c r="KM48" s="226">
        <f>IFERROR(AVERAGE($FC48:FX48),"")</f>
        <v>6.125</v>
      </c>
      <c r="KN48" s="226">
        <f>IFERROR(AVERAGE($FC48:FY48),"")</f>
        <v>6</v>
      </c>
      <c r="KO48" s="226">
        <f>IFERROR(AVERAGE($FC48:FZ48),"")</f>
        <v>5.85</v>
      </c>
      <c r="KP48" s="226">
        <f>IFERROR(AVERAGE($FC48:GA48),"")</f>
        <v>5.4909090909090912</v>
      </c>
      <c r="KQ48" s="226">
        <f>IFERROR(AVERAGE($FC48:GB48),"")</f>
        <v>5.95</v>
      </c>
      <c r="KR48" s="226">
        <f>IFERROR(AVERAGE($FC48:GC48),"")</f>
        <v>6.5692307692307699</v>
      </c>
      <c r="KS48" s="226">
        <f>IFERROR(AVERAGE($FC48:GD48),"")</f>
        <v>8.2428571428571438</v>
      </c>
      <c r="KT48" s="226">
        <f>IFERROR(AVERAGE($FC48:GE48),"")</f>
        <v>8.3333333333333339</v>
      </c>
      <c r="KU48" s="226">
        <f>IFERROR(AVERAGE($FC48:GF48),"")</f>
        <v>8.2437500000000004</v>
      </c>
      <c r="KV48" s="226">
        <f>IFERROR(AVERAGE($FC48:GG48),"")</f>
        <v>8.264705882352942</v>
      </c>
      <c r="KW48" s="226">
        <f>IFERROR(AVERAGE($FC48:GH48),"")</f>
        <v>8.2666666666666675</v>
      </c>
      <c r="KX48" s="226">
        <f>IFERROR(AVERAGE($FC48:GI48),"")</f>
        <v>8.094736842105263</v>
      </c>
      <c r="KY48" s="226">
        <f>IFERROR(AVERAGE($FC48:GJ48),"")</f>
        <v>7.875</v>
      </c>
      <c r="KZ48" s="226">
        <f>IFERROR(AVERAGE($FC48:GK48),"")</f>
        <v>8.0714285714285712</v>
      </c>
      <c r="LA48" s="226">
        <f>IFERROR(AVERAGE($FC48:GL48),"")</f>
        <v>8.0636363636363644</v>
      </c>
      <c r="LB48" s="226">
        <f>IFERROR(AVERAGE($FC48:GM48),"")</f>
        <v>7.8695652173913047</v>
      </c>
      <c r="LC48" s="226">
        <f>IFERROR(AVERAGE($FC48:GN48),"")</f>
        <v>8.1666666666666661</v>
      </c>
      <c r="LD48" s="226">
        <f>IFERROR(AVERAGE($FC48:GO48),"")</f>
        <v>8.1879999999999988</v>
      </c>
      <c r="LE48" s="226">
        <f>IFERROR(AVERAGE($FC48:GP48),"")</f>
        <v>8.2576923076923077</v>
      </c>
      <c r="LF48" s="226">
        <f>IFERROR(AVERAGE($FC48:GQ48),"")</f>
        <v>8.2185185185185183</v>
      </c>
      <c r="LG48" s="226">
        <f>IFERROR(AVERAGE($FC48:GR48),"")</f>
        <v>7.9249999999999989</v>
      </c>
      <c r="LH48" s="226">
        <f>IFERROR(AVERAGE($FC48:GS48),"")</f>
        <v>7.9249999999999989</v>
      </c>
      <c r="LI48" s="226">
        <f>IFERROR(AVERAGE($FC48:GT48),"")</f>
        <v>7.9249999999999989</v>
      </c>
      <c r="LJ48" s="226">
        <f>IFERROR(AVERAGE($FC48:GU48),"")</f>
        <v>7.9249999999999989</v>
      </c>
      <c r="LK48" s="226">
        <f>IFERROR(AVERAGE($FC48:GV48),"")</f>
        <v>7.9249999999999989</v>
      </c>
      <c r="LL48" s="226">
        <f>IFERROR(AVERAGE($FC48:GW48),"")</f>
        <v>7.9249999999999989</v>
      </c>
      <c r="LM48" s="226">
        <f>IFERROR(AVERAGE($FC48:GX48),"")</f>
        <v>7.9249999999999989</v>
      </c>
      <c r="LN48" s="226">
        <f>IFERROR(AVERAGE($FC48:GY48),"")</f>
        <v>7.9249999999999989</v>
      </c>
      <c r="LO48" s="226">
        <f>IFERROR(AVERAGE($FC48:GZ48),"")</f>
        <v>7.9249999999999989</v>
      </c>
      <c r="LP48" s="226">
        <f>IFERROR(AVERAGE($FC48:HA48),"")</f>
        <v>7.9249999999999989</v>
      </c>
      <c r="LQ48" s="226">
        <f>IFERROR(AVERAGE($FC48:HB48),"")</f>
        <v>7.9249999999999989</v>
      </c>
      <c r="LR48" s="226">
        <f>IFERROR(AVERAGE($FC48:HC48),"")</f>
        <v>7.9249999999999989</v>
      </c>
      <c r="LT48" s="136" t="str">
        <f>+$C48</f>
        <v>KPI Q1</v>
      </c>
      <c r="LU48" s="144" t="str">
        <f>+$D48</f>
        <v>Quality</v>
      </c>
      <c r="LV48" s="144" t="str">
        <f t="shared" si="158"/>
        <v>Quality Defects / Items Output as a percentage</v>
      </c>
      <c r="LW48" s="145" t="str">
        <f t="shared" si="159"/>
        <v>Percentage</v>
      </c>
      <c r="LX48" s="145" t="s">
        <v>285</v>
      </c>
      <c r="LY48" s="214" t="str">
        <f>IFERROR(AVERAGE($HJ48:HJ48),"")</f>
        <v/>
      </c>
      <c r="LZ48" s="214">
        <f>IFERROR(IF(LAD$7&gt;$D$3,"",AVERAGE($HJ48:HK48)),"")</f>
        <v>2.5</v>
      </c>
      <c r="MA48" s="214">
        <f>IFERROR(IF(MA$7&gt;$D$3,"",AVERAGE($HJ48:HL48)),"")</f>
        <v>2.5</v>
      </c>
      <c r="MB48" s="214">
        <f>IFERROR(IF(MB$7&gt;$D$3,"",AVERAGE($HJ48:HM48)),"")</f>
        <v>2.5</v>
      </c>
      <c r="MC48" s="214">
        <f>IFERROR(IF(MC$7&gt;$D$3,"",AVERAGE($HJ48:HN48)),"")</f>
        <v>2.5</v>
      </c>
      <c r="MD48" s="214">
        <f>IFERROR(IF(MD$7&gt;$D$3,"",AVERAGE($HJ48:HO48)),"")</f>
        <v>2.5</v>
      </c>
      <c r="ME48" s="214">
        <f>IFERROR(IF(ME$7&gt;$D$3,"",AVERAGE($HJ48:HP48)),"")</f>
        <v>2.5</v>
      </c>
      <c r="MF48" s="214">
        <f>IFERROR(IF(MF$7&gt;$D$3,"",AVERAGE($HJ48:HQ48)),"")</f>
        <v>2.5</v>
      </c>
      <c r="MG48" s="214">
        <f>IFERROR(IF(MG$7&gt;$D$3,"",AVERAGE($HJ48:HR48)),"")</f>
        <v>2.5</v>
      </c>
      <c r="MH48" s="214">
        <f>IFERROR(IF(MH$7&gt;$D$3,"",AVERAGE($HJ48:HS48)),"")</f>
        <v>2.5</v>
      </c>
      <c r="MI48" s="214">
        <f>IFERROR(IF(MI$7&gt;$D$3,"",AVERAGE($HJ48:HT48)),"")</f>
        <v>2.5</v>
      </c>
      <c r="MJ48" s="214">
        <f>IFERROR(IF(MJ$7&gt;$D$3,"",AVERAGE($HJ48:HU48)),"")</f>
        <v>2.5</v>
      </c>
      <c r="MK48" s="214">
        <f>IFERROR(IF(MK$7&gt;$D$3,"",AVERAGE($HJ48:HV48)),"")</f>
        <v>2.5</v>
      </c>
      <c r="ML48" s="214">
        <f>IFERROR(IF(ML$7&gt;$D$3,"",AVERAGE($HJ48:HW48)),"")</f>
        <v>2.5</v>
      </c>
      <c r="MM48" s="214">
        <f>IFERROR(IF(MM$7&gt;$D$3,"",AVERAGE($HJ48:HX48)),"")</f>
        <v>2.5</v>
      </c>
      <c r="MN48" s="214">
        <f>IFERROR(IF(MN$7&gt;$D$3,"",AVERAGE($HJ48:HY48)),"")</f>
        <v>2.5</v>
      </c>
      <c r="MO48" s="214">
        <f>IFERROR(IF(MO$7&gt;$D$3,"",AVERAGE($HJ48:HZ48)),"")</f>
        <v>2.5</v>
      </c>
      <c r="MP48" s="214">
        <f>IFERROR(IF(MP$7&gt;$D$3,"",AVERAGE($HJ48:IA48)),"")</f>
        <v>2.5</v>
      </c>
      <c r="MQ48" s="214">
        <f>IFERROR(IF(MQ$7&gt;$D$3,"",AVERAGE($HJ48:IB48)),"")</f>
        <v>2.5</v>
      </c>
      <c r="MR48" s="214">
        <f>IFERROR(IF(MR$7&gt;$D$3,"",AVERAGE($HJ48:IC48)),"")</f>
        <v>2.5</v>
      </c>
      <c r="MS48" s="214">
        <f>IFERROR(IF(MS$7&gt;$D$3,"",AVERAGE($HJ48:ID48)),"")</f>
        <v>2.5</v>
      </c>
      <c r="MT48" s="214">
        <f>IFERROR(IF(MT$7&gt;$D$3,"",AVERAGE($HJ48:IE48)),"")</f>
        <v>2.5</v>
      </c>
      <c r="MU48" s="214">
        <f>IFERROR(IF(MU$7&gt;$D$3,"",AVERAGE($HJ48:IF48)),"")</f>
        <v>2.5</v>
      </c>
      <c r="MV48" s="214">
        <f>IFERROR(IF(MV$7&gt;$D$3,"",AVERAGE($HJ48:IG48)),"")</f>
        <v>2.5</v>
      </c>
      <c r="MW48" s="214">
        <f>IFERROR(IF(MW$7&gt;$D$3,"",AVERAGE($HJ48:IH48)),"")</f>
        <v>2.5</v>
      </c>
      <c r="MX48" s="214">
        <f>IFERROR(IF(MX$7&gt;$D$3,"",AVERAGE($HJ48:II48)),"")</f>
        <v>2.5</v>
      </c>
      <c r="MY48" s="214">
        <f>IFERROR(IF(MY$7&gt;$D$3,"",AVERAGE($HJ48:IJ48)),"")</f>
        <v>2.5</v>
      </c>
      <c r="MZ48" s="214">
        <f>IFERROR(IF(MZ$7&gt;$D$3,"",AVERAGE($HJ48:IK48)),"")</f>
        <v>2.5</v>
      </c>
      <c r="NA48" s="214">
        <f>IFERROR(IF(NA$7&gt;$D$3,"",AVERAGE($HJ48:IL48)),"")</f>
        <v>2.5</v>
      </c>
      <c r="NB48" s="214">
        <f>IFERROR(IF(NB$7&gt;$D$3,"",AVERAGE($HJ48:IM48)),"")</f>
        <v>2.5</v>
      </c>
      <c r="NC48" s="214">
        <f>IFERROR(IF(NC$7&gt;$D$3,"",AVERAGE($HJ48:IN48)),"")</f>
        <v>2.5</v>
      </c>
      <c r="ND48" s="214">
        <f>IFERROR(IF(ND$7&gt;$D$3,"",AVERAGE($HJ48:IO48)),"")</f>
        <v>2.5</v>
      </c>
      <c r="NE48" s="214">
        <f>IFERROR(IF(NE$7&gt;$D$3,"",AVERAGE($HJ48:IP48)),"")</f>
        <v>2.5</v>
      </c>
      <c r="NF48" s="214">
        <f>IFERROR(IF(NF$7&gt;$D$3,"",AVERAGE($HJ48:IQ48)),"")</f>
        <v>2.5</v>
      </c>
      <c r="NG48" s="214">
        <f>IFERROR(IF(NG$7&gt;$D$3,"",AVERAGE($HJ48:IR48)),"")</f>
        <v>2.5</v>
      </c>
      <c r="NH48" s="214">
        <f>IFERROR(IF(NH$7&gt;$D$3,"",AVERAGE($HJ48:IS48)),"")</f>
        <v>2.5</v>
      </c>
      <c r="NI48" s="214">
        <f>IFERROR(IF(NI$7&gt;$D$3,"",AVERAGE($HJ48:IT48)),"")</f>
        <v>2.5</v>
      </c>
      <c r="NJ48" s="214">
        <f>IFERROR(IF(NJ$7&gt;$D$3,"",AVERAGE($HJ48:IU48)),"")</f>
        <v>2.5</v>
      </c>
      <c r="NK48" s="214">
        <f>IFERROR(IF(NK$7&gt;$D$3,"",AVERAGE($HJ48:IV48)),"")</f>
        <v>2.5</v>
      </c>
      <c r="NL48" s="214">
        <f>IFERROR(IF(NL$7&gt;$D$3,"",AVERAGE($HJ48:IW48)),"")</f>
        <v>2.5</v>
      </c>
      <c r="NM48" s="214">
        <f>IFERROR(IF(NM$7&gt;$D$3,"",AVERAGE($HJ48:IX48)),"")</f>
        <v>2.5</v>
      </c>
      <c r="NN48" s="214">
        <f>IFERROR(IF(NN$7&gt;$D$3,"",AVERAGE($HJ48:IY48)),"")</f>
        <v>2.5</v>
      </c>
      <c r="NO48" s="214" t="str">
        <f>IFERROR(IF(NO$7&gt;$D$3,"",AVERAGE($HJ48:IZ48)),"")</f>
        <v/>
      </c>
      <c r="NP48" s="214" t="str">
        <f>IFERROR(IF(NP$7&gt;$D$3,"",AVERAGE($HJ48:JA48)),"")</f>
        <v/>
      </c>
      <c r="NQ48" s="214" t="str">
        <f>IFERROR(IF(NQ$7&gt;$D$3,"",AVERAGE($HJ48:JB48)),"")</f>
        <v/>
      </c>
      <c r="NR48" s="214" t="str">
        <f>IFERROR(IF(NR$7&gt;$D$3,"",AVERAGE($HJ48:JC48)),"")</f>
        <v/>
      </c>
      <c r="NS48" s="214" t="str">
        <f>IFERROR(IF(NS$7&gt;$D$3,"",AVERAGE($HJ48:JD48)),"")</f>
        <v/>
      </c>
      <c r="NT48" s="214" t="str">
        <f>IFERROR(IF(NT$7&gt;$D$3,"",AVERAGE($HJ48:JE48)),"")</f>
        <v/>
      </c>
      <c r="NU48" s="214" t="str">
        <f>IFERROR(IF(NU$7&gt;$D$3,"",AVERAGE($HJ48:JF48)),"")</f>
        <v/>
      </c>
      <c r="NV48" s="214" t="str">
        <f>IFERROR(IF(NV$7&gt;$D$3,"",AVERAGE($HJ48:JG48)),"")</f>
        <v/>
      </c>
      <c r="NW48" s="214" t="str">
        <f>IFERROR(IF(NW$7&gt;$D$3,"",AVERAGE($HJ48:JH48)),"")</f>
        <v/>
      </c>
      <c r="NX48" s="214" t="str">
        <f>IFERROR(IF(NX$7&gt;$D$3,"",AVERAGE($HJ48:JI48)),"")</f>
        <v/>
      </c>
      <c r="NY48" s="214" t="str">
        <f>IFERROR(IF(NY$7&gt;$D$3,"",AVERAGE($HJ48:JJ48)),"")</f>
        <v/>
      </c>
    </row>
    <row r="49" spans="1:389" ht="15" thickBot="1" x14ac:dyDescent="0.35">
      <c r="A49" t="str">
        <f>$B$44&amp;"-"&amp;C49</f>
        <v>Product Eng - BE-KPI C1</v>
      </c>
      <c r="B49" s="138"/>
      <c r="C49" s="138" t="str">
        <f>+'KPI Stats'!C54</f>
        <v>KPI C1</v>
      </c>
      <c r="D49" s="146" t="str">
        <f>+'KPI Stats'!D54</f>
        <v>Cost</v>
      </c>
      <c r="E49" s="146" t="str">
        <f>+'KPI Stats'!E54</f>
        <v>Cost Transfer Value per Day</v>
      </c>
      <c r="F49" s="147" t="str">
        <f>+'KPI Stats'!F54</f>
        <v>£'s</v>
      </c>
      <c r="G49" s="170" t="str">
        <f>+'KPI Stats'!G54</f>
        <v>Over</v>
      </c>
      <c r="J49" s="160" t="str">
        <f>_xlfn.XLOOKUP(J$7,$AM$7:$CM$7,$AM49:$CM49,,FALSE)</f>
        <v>OD</v>
      </c>
      <c r="K49" s="266">
        <f>_xlfn.XLOOKUP(K$7,$FC$7:$HC$7,$FC49:$HC49,,FALSE)</f>
        <v>0</v>
      </c>
      <c r="L49" s="279">
        <f>_xlfn.XLOOKUP(L$7,$HJ$7:$JJ$7,$HJ49:$JJ49,,FALSE)</f>
        <v>110</v>
      </c>
      <c r="M49" s="286" t="str">
        <f>_xlfn.XLOOKUP(M$7,$CU$7:$EU$7,$CU49:$EU49,,FALSE)</f>
        <v>OD</v>
      </c>
      <c r="P49" s="160" t="str">
        <f>_xlfn.XLOOKUP(P$7,$AM$7:$CM$7,$AM49:$CM49,,FALSE)</f>
        <v>OD</v>
      </c>
      <c r="Q49" s="266">
        <f t="shared" si="162"/>
        <v>0</v>
      </c>
      <c r="R49" s="279">
        <f t="shared" si="162"/>
        <v>66</v>
      </c>
      <c r="S49" s="266" t="str">
        <f t="shared" si="163"/>
        <v>OD</v>
      </c>
      <c r="T49" s="279">
        <f t="shared" si="163"/>
        <v>1.6666666666666667</v>
      </c>
      <c r="U49" s="296" t="str">
        <f>IF(F44&lt;$R$2,"Not Complete",IF(Q49=R49,"Same −",IF($G49="Over",IF(Q49&lt;R49,"Better ↑","Worse ↓"),IF($G49="Under",IF(Q49&gt;R49,"Better ↑","Worse ↓"),"err"))))</f>
        <v>Better ↑</v>
      </c>
      <c r="X49" s="160" t="str">
        <f t="shared" si="164"/>
        <v>R</v>
      </c>
      <c r="Y49" s="164">
        <f>_xlfn.XLOOKUP(Y$7,$JR$7:$LR$7,$JR49:$LR49,FALSE)</f>
        <v>130.04878048780489</v>
      </c>
      <c r="Z49" s="164">
        <f>_xlfn.XLOOKUP(Z$7,$LY$7:$NY$7,$LY49:$NY49,FALSE)</f>
        <v>110</v>
      </c>
      <c r="AA49" s="165">
        <f>IF(G49="Undefined","",IF(G49="under",Y49/Z49,IF(G49="over",Z49/Y49,"err")))</f>
        <v>0.84583645911477856</v>
      </c>
      <c r="AB49" s="296" t="str">
        <f>IF(F44&lt;$R$2,"TBC",IF(Y49=Z49,"Same −",IF($G49="Over",IF(Z49&lt;Y49,"Better ↑ ","Worse ↓ "),IF($G49="Under",IF(Y49&gt;Z49,"Better ↑ ","Worse ↓ "),"err"))))</f>
        <v xml:space="preserve">Better ↑ </v>
      </c>
      <c r="AC49" s="160" t="str">
        <f>IF(AND(G49="above adero",AD49&gt;0),"R",IF(AF49&gt;1,"G",IF(AF49&gt;0.95,"A","R")))</f>
        <v>R</v>
      </c>
      <c r="AD49" s="164">
        <f>_xlfn.XLOOKUP(AD$7,$JR$7:$LR$7,$JR49:$LR49,FALSE)</f>
        <v>133.30000000000001</v>
      </c>
      <c r="AE49" s="164">
        <f>_xlfn.XLOOKUP(AE$7,$LY$7:$NY$7,$LY49:$NY49,FALSE)</f>
        <v>110</v>
      </c>
      <c r="AF49" s="165">
        <f t="shared" si="167"/>
        <v>0.82520630157539376</v>
      </c>
      <c r="AH49" s="465" t="str">
        <f>+$A49</f>
        <v>Product Eng - BE-KPI C1</v>
      </c>
      <c r="AI49" s="138" t="str">
        <f t="shared" si="165"/>
        <v>KPI C1</v>
      </c>
      <c r="AJ49" s="146" t="str">
        <f t="shared" si="165"/>
        <v>Cost</v>
      </c>
      <c r="AK49" s="146" t="str">
        <f t="shared" si="141"/>
        <v>Cost Transfer Value per Day</v>
      </c>
      <c r="AL49" s="147" t="str">
        <f t="shared" si="141"/>
        <v>£'s</v>
      </c>
      <c r="AM49" s="160" t="str">
        <f>IF(AM$7&gt;$D$3,"",_xlfn.XLOOKUP(AM$7,'Product Eng - BE'!$M$6:$BM$6,'Product Eng - BE'!$M$22:$BM$22))</f>
        <v>Blank</v>
      </c>
      <c r="AN49" s="200" t="str">
        <f>IF(AN$7&gt;$D$3,"",_xlfn.XLOOKUP(AN$7,'Product Eng - BE'!$M$6:$BM$6,'Product Eng - BE'!$M$22:$BM$22))</f>
        <v>R</v>
      </c>
      <c r="AO49" s="160" t="str">
        <f>IF(AO$7&gt;$D$3,"",_xlfn.XLOOKUP(AO$7,'Product Eng - BE'!$M$6:$BM$6,'Product Eng - BE'!$M$22:$BM$22))</f>
        <v>G</v>
      </c>
      <c r="AP49" s="160" t="str">
        <f>IF(AP$7&gt;$D$3,"",_xlfn.XLOOKUP(AP$7,'Product Eng - BE'!$M$6:$BM$6,'Product Eng - BE'!$M$22:$BM$22))</f>
        <v>G</v>
      </c>
      <c r="AQ49" s="160" t="str">
        <f>IF(AQ$7&gt;$D$3,"",_xlfn.XLOOKUP(AQ$7,'Product Eng - BE'!$M$6:$BM$6,'Product Eng - BE'!$M$22:$BM$22))</f>
        <v>G</v>
      </c>
      <c r="AR49" s="160" t="str">
        <f>IF(AR$7&gt;$D$3,"",_xlfn.XLOOKUP(AR$7,'Product Eng - BE'!$M$6:$BM$6,'Product Eng - BE'!$M$22:$BM$22))</f>
        <v>G</v>
      </c>
      <c r="AS49" s="160" t="str">
        <f>IF(AS$7&gt;$D$3,"",_xlfn.XLOOKUP(AS$7,'Product Eng - BE'!$M$6:$BM$6,'Product Eng - BE'!$M$22:$BM$22))</f>
        <v>G</v>
      </c>
      <c r="AT49" s="160" t="str">
        <f>IF(AT$7&gt;$D$3,"",_xlfn.XLOOKUP(AT$7,'Product Eng - BE'!$M$6:$BM$6,'Product Eng - BE'!$M$22:$BM$22))</f>
        <v>R</v>
      </c>
      <c r="AU49" s="160" t="str">
        <f>IF(AU$7&gt;$D$3,"",_xlfn.XLOOKUP(AU$7,'Product Eng - BE'!$M$6:$BM$6,'Product Eng - BE'!$M$22:$BM$22))</f>
        <v>R</v>
      </c>
      <c r="AV49" s="160" t="str">
        <f>IF(AV$7&gt;$D$3,"",_xlfn.XLOOKUP(AV$7,'Product Eng - BE'!$M$6:$BM$6,'Product Eng - BE'!$M$22:$BM$22))</f>
        <v>R</v>
      </c>
      <c r="AW49" s="160" t="str">
        <f>IF(AW$7&gt;$D$3,"",_xlfn.XLOOKUP(AW$7,'Product Eng - BE'!$M$6:$BM$6,'Product Eng - BE'!$M$22:$BM$22))</f>
        <v>R</v>
      </c>
      <c r="AX49" s="160" t="str">
        <f>IF(AX$7&gt;$D$3,"",_xlfn.XLOOKUP(AX$7,'Product Eng - BE'!$M$6:$BM$6,'Product Eng - BE'!$M$22:$BM$22))</f>
        <v>R</v>
      </c>
      <c r="AY49" s="160" t="str">
        <f>IF(AY$7&gt;$D$3,"",_xlfn.XLOOKUP(AY$7,'Product Eng - BE'!$M$6:$BM$6,'Product Eng - BE'!$M$22:$BM$22))</f>
        <v>R</v>
      </c>
      <c r="AZ49" s="160" t="str">
        <f>IF(AZ$7&gt;$D$3,"",_xlfn.XLOOKUP(AZ$7,'Product Eng - BE'!$M$6:$BM$6,'Product Eng - BE'!$M$22:$BM$22))</f>
        <v>R</v>
      </c>
      <c r="BA49" s="160" t="str">
        <f>IF(BA$7&gt;$D$3,"",_xlfn.XLOOKUP(BA$7,'Product Eng - BE'!$M$6:$BM$6,'Product Eng - BE'!$M$22:$BM$22))</f>
        <v>R</v>
      </c>
      <c r="BB49" s="160" t="str">
        <f>IF(BB$7&gt;$D$3,"",_xlfn.XLOOKUP(BB$7,'Product Eng - BE'!$M$6:$BM$6,'Product Eng - BE'!$M$22:$BM$22))</f>
        <v>G</v>
      </c>
      <c r="BC49" s="160" t="str">
        <f>IF(BC$7&gt;$D$3,"",_xlfn.XLOOKUP(BC$7,'Product Eng - BE'!$M$6:$BM$6,'Product Eng - BE'!$M$22:$BM$22))</f>
        <v>R</v>
      </c>
      <c r="BD49" s="160" t="str">
        <f>IF(BD$7&gt;$D$3,"",_xlfn.XLOOKUP(BD$7,'Product Eng - BE'!$M$6:$BM$6,'Product Eng - BE'!$M$22:$BM$22))</f>
        <v>R</v>
      </c>
      <c r="BE49" s="160" t="str">
        <f>IF(BE$7&gt;$D$3,"",_xlfn.XLOOKUP(BE$7,'Product Eng - BE'!$M$6:$BM$6,'Product Eng - BE'!$M$22:$BM$22))</f>
        <v>G</v>
      </c>
      <c r="BF49" s="160" t="str">
        <f>IF(BF$7&gt;$D$3,"",_xlfn.XLOOKUP(BF$7,'Product Eng - BE'!$M$6:$BM$6,'Product Eng - BE'!$M$22:$BM$22))</f>
        <v>R</v>
      </c>
      <c r="BG49" s="160" t="str">
        <f>IF(BG$7&gt;$D$3,"",_xlfn.XLOOKUP(BG$7,'Product Eng - BE'!$M$6:$BM$6,'Product Eng - BE'!$M$22:$BM$22))</f>
        <v>R</v>
      </c>
      <c r="BH49" s="160" t="str">
        <f>IF(BH$7&gt;$D$3,"",_xlfn.XLOOKUP(BH$7,'Product Eng - BE'!$M$6:$BM$6,'Product Eng - BE'!$M$22:$BM$22))</f>
        <v>R</v>
      </c>
      <c r="BI49" s="160" t="str">
        <f>IF(BI$7&gt;$D$3,"",_xlfn.XLOOKUP(BI$7,'Product Eng - BE'!$M$6:$BM$6,'Product Eng - BE'!$M$22:$BM$22))</f>
        <v>G</v>
      </c>
      <c r="BJ49" s="160" t="str">
        <f>IF(BJ$7&gt;$D$3,"",_xlfn.XLOOKUP(BJ$7,'Product Eng - BE'!$M$6:$BM$6,'Product Eng - BE'!$M$22:$BM$22))</f>
        <v>G</v>
      </c>
      <c r="BK49" s="160" t="str">
        <f>IF(BK$7&gt;$D$3,"",_xlfn.XLOOKUP(BK$7,'Product Eng - BE'!$M$6:$BM$6,'Product Eng - BE'!$M$22:$BM$22))</f>
        <v>G</v>
      </c>
      <c r="BL49" s="160" t="str">
        <f>IF(BL$7&gt;$D$3,"",_xlfn.XLOOKUP(BL$7,'Product Eng - BE'!$M$6:$BM$6,'Product Eng - BE'!$M$22:$BM$22))</f>
        <v>R</v>
      </c>
      <c r="BM49" s="160" t="str">
        <f>IF(BM$7&gt;$D$3,"",_xlfn.XLOOKUP(BM$7,'Product Eng - BE'!$M$6:$BM$6,'Product Eng - BE'!$M$22:$BM$22))</f>
        <v>R</v>
      </c>
      <c r="BN49" s="160" t="str">
        <f>IF(BN$7&gt;$D$3,"",_xlfn.XLOOKUP(BN$7,'Product Eng - BE'!$M$6:$BM$6,'Product Eng - BE'!$M$22:$BM$22))</f>
        <v>G</v>
      </c>
      <c r="BO49" s="160" t="str">
        <f>IF(BO$7&gt;$D$3,"",_xlfn.XLOOKUP(BO$7,'Product Eng - BE'!$M$6:$BM$6,'Product Eng - BE'!$M$22:$BM$22))</f>
        <v>R</v>
      </c>
      <c r="BP49" s="160" t="str">
        <f>IF(BP$7&gt;$D$3,"",_xlfn.XLOOKUP(BP$7,'Product Eng - BE'!$M$6:$BM$6,'Product Eng - BE'!$M$22:$BM$22))</f>
        <v>R</v>
      </c>
      <c r="BQ49" s="160" t="str">
        <f>IF(BQ$7&gt;$D$3,"",_xlfn.XLOOKUP(BQ$7,'Product Eng - BE'!$M$6:$BM$6,'Product Eng - BE'!$M$22:$BM$22))</f>
        <v>R</v>
      </c>
      <c r="BR49" s="160" t="str">
        <f>IF(BR$7&gt;$D$3,"",_xlfn.XLOOKUP(BR$7,'Product Eng - BE'!$M$6:$BM$6,'Product Eng - BE'!$M$22:$BM$22))</f>
        <v>R</v>
      </c>
      <c r="BS49" s="160" t="str">
        <f>IF(BS$7&gt;$D$3,"",_xlfn.XLOOKUP(BS$7,'Product Eng - BE'!$M$6:$BM$6,'Product Eng - BE'!$M$22:$BM$22))</f>
        <v>G</v>
      </c>
      <c r="BT49" s="160" t="str">
        <f>IF(BT$7&gt;$D$3,"",_xlfn.XLOOKUP(BT$7,'Product Eng - BE'!$M$6:$BM$6,'Product Eng - BE'!$M$22:$BM$22))</f>
        <v>G</v>
      </c>
      <c r="BU49" s="160" t="str">
        <f>IF(BU$7&gt;$D$3,"",_xlfn.XLOOKUP(BU$7,'Product Eng - BE'!$M$6:$BM$6,'Product Eng - BE'!$M$22:$BM$22))</f>
        <v>G</v>
      </c>
      <c r="BV49" s="160" t="str">
        <f>IF(BV$7&gt;$D$3,"",_xlfn.XLOOKUP(BV$7,'Product Eng - BE'!$M$6:$BM$6,'Product Eng - BE'!$M$22:$BM$22))</f>
        <v>G</v>
      </c>
      <c r="BW49" s="160" t="str">
        <f>IF(BW$7&gt;$D$3,"",_xlfn.XLOOKUP(BW$7,'Product Eng - BE'!$M$6:$BM$6,'Product Eng - BE'!$M$22:$BM$22))</f>
        <v>G</v>
      </c>
      <c r="BX49" s="160" t="str">
        <f>IF(BX$7&gt;$D$3,"",_xlfn.XLOOKUP(BX$7,'Product Eng - BE'!$M$6:$BM$6,'Product Eng - BE'!$M$22:$BM$22))</f>
        <v>G</v>
      </c>
      <c r="BY49" s="160" t="str">
        <f>IF(BY$7&gt;$D$3,"",_xlfn.XLOOKUP(BY$7,'Product Eng - BE'!$M$6:$BM$6,'Product Eng - BE'!$M$22:$BM$22))</f>
        <v>G</v>
      </c>
      <c r="BZ49" s="160" t="str">
        <f>IF(BZ$7&gt;$D$3,"",_xlfn.XLOOKUP(BZ$7,'Product Eng - BE'!$M$6:$BM$6,'Product Eng - BE'!$M$22:$BM$22))</f>
        <v>G</v>
      </c>
      <c r="CA49" s="160" t="str">
        <f>IF(CA$7&gt;$D$3,"",_xlfn.XLOOKUP(CA$7,'Product Eng - BE'!$M$6:$BM$6,'Product Eng - BE'!$M$22:$BM$22))</f>
        <v>G</v>
      </c>
      <c r="CB49" s="160" t="str">
        <f>IF(CB$7&gt;$D$3,"",_xlfn.XLOOKUP(CB$7,'Product Eng - BE'!$M$6:$BM$6,'Product Eng - BE'!$M$22:$BM$22))</f>
        <v>OD</v>
      </c>
      <c r="CC49" s="160" t="str">
        <f>IF(CC$7&gt;$D$3,"",_xlfn.XLOOKUP(CC$7,'Product Eng - BE'!$M$6:$BM$6,'Product Eng - BE'!$M$22:$BM$22))</f>
        <v/>
      </c>
      <c r="CD49" s="160" t="str">
        <f>IF(CD$7&gt;$D$3,"",_xlfn.XLOOKUP(CD$7,'Product Eng - BE'!$M$6:$BM$6,'Product Eng - BE'!$M$22:$BM$22))</f>
        <v/>
      </c>
      <c r="CE49" s="160" t="str">
        <f>IF(CE$7&gt;$D$3,"",_xlfn.XLOOKUP(CE$7,'Product Eng - BE'!$M$6:$BM$6,'Product Eng - BE'!$M$22:$BM$22))</f>
        <v/>
      </c>
      <c r="CF49" s="160" t="str">
        <f>IF(CF$7&gt;$D$3,"",_xlfn.XLOOKUP(CF$7,'Product Eng - BE'!$M$6:$BM$6,'Product Eng - BE'!$M$22:$BM$22))</f>
        <v/>
      </c>
      <c r="CG49" s="160" t="str">
        <f>IF(CG$7&gt;$D$3,"",_xlfn.XLOOKUP(CG$7,'Product Eng - BE'!$M$6:$BM$6,'Product Eng - BE'!$M$22:$BM$22))</f>
        <v/>
      </c>
      <c r="CH49" s="160" t="str">
        <f>IF(CH$7&gt;$D$3,"",_xlfn.XLOOKUP(CH$7,'Product Eng - BE'!$M$6:$BM$6,'Product Eng - BE'!$M$22:$BM$22))</f>
        <v/>
      </c>
      <c r="CI49" s="160" t="str">
        <f>IF(CI$7&gt;$D$3,"",_xlfn.XLOOKUP(CI$7,'Product Eng - BE'!$M$6:$BM$6,'Product Eng - BE'!$M$22:$BM$22))</f>
        <v/>
      </c>
      <c r="CJ49" s="160" t="str">
        <f>IF(CJ$7&gt;$D$3,"",_xlfn.XLOOKUP(CJ$7,'Product Eng - BE'!$M$6:$BM$6,'Product Eng - BE'!$M$22:$BM$22))</f>
        <v/>
      </c>
      <c r="CK49" s="160" t="str">
        <f>IF(CK$7&gt;$D$3,"",_xlfn.XLOOKUP(CK$7,'Product Eng - BE'!$M$6:$BM$6,'Product Eng - BE'!$M$22:$BM$22))</f>
        <v/>
      </c>
      <c r="CL49" s="160" t="str">
        <f>IF(CL$7&gt;$D$3,"",_xlfn.XLOOKUP(CL$7,'Product Eng - BE'!$M$6:$BM$6,'Product Eng - BE'!$M$22:$BM$22))</f>
        <v/>
      </c>
      <c r="CM49" s="160" t="str">
        <f>IF(CM$7&gt;$D$3,"",_xlfn.XLOOKUP(CM$7,'Product Eng - BE'!$M$6:$BM$6,'Product Eng - BE'!$M$22:$BM$22))</f>
        <v/>
      </c>
      <c r="CO49" s="465" t="str">
        <f>+$A49</f>
        <v>Product Eng - BE-KPI C1</v>
      </c>
      <c r="CP49" s="138" t="str">
        <f t="shared" si="166"/>
        <v>KPI C1</v>
      </c>
      <c r="CQ49" s="146" t="str">
        <f t="shared" si="166"/>
        <v>Cost</v>
      </c>
      <c r="CR49" s="146" t="str">
        <f t="shared" si="166"/>
        <v>Cost Transfer Value per Day</v>
      </c>
      <c r="CS49" s="147" t="str">
        <f t="shared" si="166"/>
        <v>£'s</v>
      </c>
      <c r="CT49" s="208" t="s">
        <v>246</v>
      </c>
      <c r="CU49" s="424" t="str">
        <f>IF(CU$7&gt;$D$3,"",_xlfn.XLOOKUP(CU$7,'Product Eng - MB'!$M$6:$BM$6,'Product Eng - MB'!$M$22:$BM$22))</f>
        <v>Blank</v>
      </c>
      <c r="CV49" s="324">
        <f>IFERROR(IF(CV$7&gt;$D$3,"",IF(AN49="OD","OD",IF(AN49="Missed","Missed",IF(AN49="TBC","TBC",IF(AN49="Undefined","Undefined",IF(AN49="OD","OD",_xlfn.XLOOKUP(CV$7,'Product Eng - BE'!$M$6:$BM$6,'Product Eng - BE'!$M$20:$BM$20)/_xlfn.XLOOKUP(CV$7,'Product Eng - BE'!$M$6:$BM$6,'Product Eng - BE'!$M$21:$BM$21))))))),CQ6)</f>
        <v>0.82089552238805974</v>
      </c>
      <c r="CW49" s="325">
        <f>IFERROR(IF(CW$7&gt;$D$3,"",IF(AO49="OD","OD",IF(AO49="Missed","Missed",IF(AO49="TBC","TBC",IF(AO49="Undefined","Undefined",IF(AO49="OD","OD",_xlfn.XLOOKUP(CW$7,'Product Eng - BE'!$M$6:$BM$6,'Product Eng - BE'!$M$20:$BM$20)/_xlfn.XLOOKUP(CW$7,'Product Eng - BE'!$M$6:$BM$6,'Product Eng - BE'!$M$21:$BM$21))))))),CR6)</f>
        <v>2</v>
      </c>
      <c r="CX49" s="325">
        <f>IFERROR(IF(CX$7&gt;$D$3,"",IF(AP49="OD","OD",IF(AP49="Missed","Missed",IF(AP49="TBC","TBC",IF(AP49="Undefined","Undefined",IF(AP49="OD","OD",_xlfn.XLOOKUP(CX$7,'Product Eng - BE'!$M$6:$BM$6,'Product Eng - BE'!$M$20:$BM$20)/_xlfn.XLOOKUP(CX$7,'Product Eng - BE'!$M$6:$BM$6,'Product Eng - BE'!$M$21:$BM$21))))))),CS6)</f>
        <v>1.4473684210526316</v>
      </c>
      <c r="CY49" s="325">
        <f>IFERROR(IF(CY$7&gt;$D$3,"",IF(AQ49="OD","OD",IF(AQ49="Missed","Missed",IF(AQ49="TBC","TBC",IF(AQ49="Undefined","Undefined",IF(AQ49="OD","OD",_xlfn.XLOOKUP(CY$7,'Product Eng - BE'!$M$6:$BM$6,'Product Eng - BE'!$M$20:$BM$20)/_xlfn.XLOOKUP(CY$7,'Product Eng - BE'!$M$6:$BM$6,'Product Eng - BE'!$M$21:$BM$21))))))),CT6)</f>
        <v>1.5277777777777777</v>
      </c>
      <c r="CZ49" s="325">
        <f>IFERROR(IF(CZ$7&gt;$D$3,"",IF(AR49="OD","OD",IF(AR49="Missed","Missed",IF(AR49="TBC","TBC",IF(AR49="Undefined","Undefined",IF(AR49="OD","OD",_xlfn.XLOOKUP(CZ$7,'Product Eng - BE'!$M$6:$BM$6,'Product Eng - BE'!$M$20:$BM$20)/_xlfn.XLOOKUP(CZ$7,'Product Eng - BE'!$M$6:$BM$6,'Product Eng - BE'!$M$21:$BM$21))))))),CU6)</f>
        <v>1.1956521739130435</v>
      </c>
      <c r="DA49" s="325">
        <f>IFERROR(IF(DA$7&gt;$D$3,"",IF(AS49="OD","OD",IF(AS49="Missed","Missed",IF(AS49="TBC","TBC",IF(AS49="Undefined","Undefined",IF(AS49="OD","OD",_xlfn.XLOOKUP(DA$7,'Product Eng - BE'!$M$6:$BM$6,'Product Eng - BE'!$M$20:$BM$20)/_xlfn.XLOOKUP(DA$7,'Product Eng - BE'!$M$6:$BM$6,'Product Eng - BE'!$M$21:$BM$21))))))),CV6)</f>
        <v>1.2222222222222223</v>
      </c>
      <c r="DB49" s="325">
        <f>IFERROR(IF(DB$7&gt;$D$3,"",IF(AT49="OD","OD",IF(AT49="Missed","Missed",IF(AT49="TBC","TBC",IF(AT49="Undefined","Undefined",IF(AT49="OD","OD",_xlfn.XLOOKUP(DB$7,'Product Eng - BE'!$M$6:$BM$6,'Product Eng - BE'!$M$20:$BM$20)/_xlfn.XLOOKUP(DB$7,'Product Eng - BE'!$M$6:$BM$6,'Product Eng - BE'!$M$21:$BM$21))))))),CW6)</f>
        <v>0.82706766917293228</v>
      </c>
      <c r="DC49" s="325">
        <f>IFERROR(IF(DC$7&gt;$D$3,"",IF(AU49="OD","OD",IF(AU49="Missed","Missed",IF(AU49="TBC","TBC",IF(AU49="Undefined","Undefined",IF(AU49="OD","OD",_xlfn.XLOOKUP(DC$7,'Product Eng - BE'!$M$6:$BM$6,'Product Eng - BE'!$M$20:$BM$20)/_xlfn.XLOOKUP(DC$7,'Product Eng - BE'!$M$6:$BM$6,'Product Eng - BE'!$M$21:$BM$21))))))),CX6)</f>
        <v>0.5670103092783505</v>
      </c>
      <c r="DD49" s="325">
        <f>IFERROR(IF(DD$7&gt;$D$3,"",IF(AV49="OD","OD",IF(AV49="Missed","Missed",IF(AV49="TBC","TBC",IF(AV49="Undefined","Undefined",IF(AV49="OD","OD",_xlfn.XLOOKUP(DD$7,'Product Eng - BE'!$M$6:$BM$6,'Product Eng - BE'!$M$20:$BM$20)/_xlfn.XLOOKUP(DD$7,'Product Eng - BE'!$M$6:$BM$6,'Product Eng - BE'!$M$21:$BM$21))))))),CY6)</f>
        <v>0.53398058252427183</v>
      </c>
      <c r="DE49" s="325">
        <f>IFERROR(IF(DE$7&gt;$D$3,"",IF(AW49="OD","OD",IF(AW49="Missed","Missed",IF(AW49="TBC","TBC",IF(AW49="Undefined","Undefined",IF(AW49="OD","OD",_xlfn.XLOOKUP(DE$7,'Product Eng - BE'!$M$6:$BM$6,'Product Eng - BE'!$M$20:$BM$20)/_xlfn.XLOOKUP(DE$7,'Product Eng - BE'!$M$6:$BM$6,'Product Eng - BE'!$M$21:$BM$21))))))),CZ6)</f>
        <v>0.63583815028901736</v>
      </c>
      <c r="DF49" s="325">
        <f>IFERROR(IF(DF$7&gt;$D$3,"",IF(AX49="OD","OD",IF(AX49="Missed","Missed",IF(AX49="TBC","TBC",IF(AX49="Undefined","Undefined",IF(AX49="OD","OD",_xlfn.XLOOKUP(DF$7,'Product Eng - BE'!$M$6:$BM$6,'Product Eng - BE'!$M$20:$BM$20)/_xlfn.XLOOKUP(DF$7,'Product Eng - BE'!$M$6:$BM$6,'Product Eng - BE'!$M$21:$BM$21))))))),DA6)</f>
        <v>0.69620253164556967</v>
      </c>
      <c r="DG49" s="325">
        <f>IFERROR(IF(DG$7&gt;$D$3,"",IF(AY49="OD","OD",IF(AY49="Missed","Missed",IF(AY49="TBC","TBC",IF(AY49="Undefined","Undefined",IF(AY49="OD","OD",_xlfn.XLOOKUP(DG$7,'Product Eng - BE'!$M$6:$BM$6,'Product Eng - BE'!$M$20:$BM$20)/_xlfn.XLOOKUP(DG$7,'Product Eng - BE'!$M$6:$BM$6,'Product Eng - BE'!$M$21:$BM$21))))))),DB6)</f>
        <v>0.6875</v>
      </c>
      <c r="DH49" s="325">
        <f>IFERROR(IF(DH$7&gt;$D$3,"",IF(AZ49="OD","OD",IF(AZ49="Missed","Missed",IF(AZ49="TBC","TBC",IF(AZ49="Undefined","Undefined",IF(AZ49="OD","OD",_xlfn.XLOOKUP(DH$7,'Product Eng - BE'!$M$6:$BM$6,'Product Eng - BE'!$M$20:$BM$20)/_xlfn.XLOOKUP(DH$7,'Product Eng - BE'!$M$6:$BM$6,'Product Eng - BE'!$M$21:$BM$21))))))),DC6)</f>
        <v>0.72847682119205293</v>
      </c>
      <c r="DI49" s="325">
        <f>IFERROR(IF(DI$7&gt;$D$3,"",IF(BA49="OD","OD",IF(BA49="Missed","Missed",IF(BA49="TBC","TBC",IF(BA49="Undefined","Undefined",IF(BA49="OD","OD",_xlfn.XLOOKUP(DI$7,'Product Eng - BE'!$M$6:$BM$6,'Product Eng - BE'!$M$20:$BM$20)/_xlfn.XLOOKUP(DI$7,'Product Eng - BE'!$M$6:$BM$6,'Product Eng - BE'!$M$21:$BM$21))))))),DD6)</f>
        <v>0.73333333333333328</v>
      </c>
      <c r="DJ49" s="325">
        <f>IFERROR(IF(DJ$7&gt;$D$3,"",IF(BB49="OD","OD",IF(BB49="Missed","Missed",IF(BB49="TBC","TBC",IF(BB49="Undefined","Undefined",IF(BB49="OD","OD",_xlfn.XLOOKUP(DJ$7,'Product Eng - BE'!$M$6:$BM$6,'Product Eng - BE'!$M$20:$BM$20)/_xlfn.XLOOKUP(DJ$7,'Product Eng - BE'!$M$6:$BM$6,'Product Eng - BE'!$M$21:$BM$21))))))),DE6)</f>
        <v>1.02803738317757</v>
      </c>
      <c r="DK49" s="325">
        <f>IFERROR(IF(DK$7&gt;$D$3,"",IF(BC49="OD","OD",IF(BC49="Missed","Missed",IF(BC49="TBC","TBC",IF(BC49="Undefined","Undefined",IF(BC49="OD","OD",_xlfn.XLOOKUP(DK$7,'Product Eng - BE'!$M$6:$BM$6,'Product Eng - BE'!$M$20:$BM$20)/_xlfn.XLOOKUP(DK$7,'Product Eng - BE'!$M$6:$BM$6,'Product Eng - BE'!$M$21:$BM$21))))))),DF6)</f>
        <v>0.32258064516129031</v>
      </c>
      <c r="DL49" s="325">
        <f>IFERROR(IF(DL$7&gt;$D$3,"",IF(BD49="OD","OD",IF(BD49="Missed","Missed",IF(BD49="TBC","TBC",IF(BD49="Undefined","Undefined",IF(BD49="OD","OD",_xlfn.XLOOKUP(DL$7,'Product Eng - BE'!$M$6:$BM$6,'Product Eng - BE'!$M$20:$BM$20)/_xlfn.XLOOKUP(DL$7,'Product Eng - BE'!$M$6:$BM$6,'Product Eng - BE'!$M$21:$BM$21))))))),DG6)</f>
        <v>0.39855072463768115</v>
      </c>
      <c r="DM49" s="325">
        <f>IFERROR(IF(DM$7&gt;$D$3,"",IF(BE49="OD","OD",IF(BE49="Missed","Missed",IF(BE49="TBC","TBC",IF(BE49="Undefined","Undefined",IF(BE49="OD","OD",_xlfn.XLOOKUP(DM$7,'Product Eng - BE'!$M$6:$BM$6,'Product Eng - BE'!$M$20:$BM$20)/_xlfn.XLOOKUP(DM$7,'Product Eng - BE'!$M$6:$BM$6,'Product Eng - BE'!$M$21:$BM$21))))))),DH6)</f>
        <v>1.0185185185185186</v>
      </c>
      <c r="DN49" s="325">
        <f>IFERROR(IF(DN$7&gt;$D$3,"",IF(BF49="OD","OD",IF(BF49="Missed","Missed",IF(BF49="TBC","TBC",IF(BF49="Undefined","Undefined",IF(BF49="OD","OD",_xlfn.XLOOKUP(DN$7,'Product Eng - BE'!$M$6:$BM$6,'Product Eng - BE'!$M$20:$BM$20)/_xlfn.XLOOKUP(DN$7,'Product Eng - BE'!$M$6:$BM$6,'Product Eng - BE'!$M$21:$BM$21))))))),DI6)</f>
        <v>0.48888888888888887</v>
      </c>
      <c r="DO49" s="325">
        <f>IFERROR(IF(DO$7&gt;$D$3,"",IF(BG49="OD","OD",IF(BG49="Missed","Missed",IF(BG49="TBC","TBC",IF(BG49="Undefined","Undefined",IF(BG49="OD","OD",_xlfn.XLOOKUP(DO$7,'Product Eng - BE'!$M$6:$BM$6,'Product Eng - BE'!$M$20:$BM$20)/_xlfn.XLOOKUP(DO$7,'Product Eng - BE'!$M$6:$BM$6,'Product Eng - BE'!$M$21:$BM$21))))))),DJ6)</f>
        <v>0.41353383458646614</v>
      </c>
      <c r="DP49" s="325">
        <f>IFERROR(IF(DP$7&gt;$D$3,"",IF(BH49="OD","OD",IF(BH49="Missed","Missed",IF(BH49="TBC","TBC",IF(BH49="Undefined","Undefined",IF(BH49="OD","OD",_xlfn.XLOOKUP(DP$7,'Product Eng - BE'!$M$6:$BM$6,'Product Eng - BE'!$M$20:$BM$20)/_xlfn.XLOOKUP(DP$7,'Product Eng - BE'!$M$6:$BM$6,'Product Eng - BE'!$M$21:$BM$21))))))),DK6)</f>
        <v>0.58201058201058198</v>
      </c>
      <c r="DQ49" s="325">
        <f>IFERROR(IF(DQ$7&gt;$D$3,"",IF(BI49="OD","OD",IF(BI49="Missed","Missed",IF(BI49="TBC","TBC",IF(BI49="Undefined","Undefined",IF(BI49="OD","OD",_xlfn.XLOOKUP(DQ$7,'Product Eng - BE'!$M$6:$BM$6,'Product Eng - BE'!$M$20:$BM$20)/_xlfn.XLOOKUP(DQ$7,'Product Eng - BE'!$M$6:$BM$6,'Product Eng - BE'!$M$21:$BM$21))))))),DL6)</f>
        <v>1.1702127659574468</v>
      </c>
      <c r="DR49" s="325">
        <f>IFERROR(IF(DR$7&gt;$D$3,"",IF(BJ49="OD","OD",IF(BJ49="Missed","Missed",IF(BJ49="TBC","TBC",IF(BJ49="Undefined","Undefined",IF(BJ49="OD","OD",_xlfn.XLOOKUP(DR$7,'Product Eng - BE'!$M$6:$BM$6,'Product Eng - BE'!$M$20:$BM$20)/_xlfn.XLOOKUP(DR$7,'Product Eng - BE'!$M$6:$BM$6,'Product Eng - BE'!$M$21:$BM$21))))))),DM6)</f>
        <v>1.8644067796610169</v>
      </c>
      <c r="DS49" s="325">
        <f>IFERROR(IF(DS$7&gt;$D$3,"",IF(BK49="OD","OD",IF(BK49="Missed","Missed",IF(BK49="TBC","TBC",IF(BK49="Undefined","Undefined",IF(BK49="OD","OD",_xlfn.XLOOKUP(DS$7,'Product Eng - BE'!$M$6:$BM$6,'Product Eng - BE'!$M$20:$BM$20)/_xlfn.XLOOKUP(DS$7,'Product Eng - BE'!$M$6:$BM$6,'Product Eng - BE'!$M$21:$BM$21))))))),DN6)</f>
        <v>5</v>
      </c>
      <c r="DT49" s="325">
        <f>IFERROR(IF(DT$7&gt;$D$3,"",IF(BL49="OD","OD",IF(BL49="Missed","Missed",IF(BL49="TBC","TBC",IF(BL49="Undefined","Undefined",IF(BL49="OD","OD",_xlfn.XLOOKUP(DT$7,'Product Eng - BE'!$M$6:$BM$6,'Product Eng - BE'!$M$20:$BM$20)/_xlfn.XLOOKUP(DT$7,'Product Eng - BE'!$M$6:$BM$6,'Product Eng - BE'!$M$21:$BM$21))))))),DO6)</f>
        <v>0.7432432432432432</v>
      </c>
      <c r="DU49" s="325">
        <f>IFERROR(IF(DU$7&gt;$D$3,"",IF(BM49="OD","OD",IF(BM49="Missed","Missed",IF(BM49="TBC","TBC",IF(BM49="Undefined","Undefined",IF(BM49="OD","OD",_xlfn.XLOOKUP(DU$7,'Product Eng - BE'!$M$6:$BM$6,'Product Eng - BE'!$M$20:$BM$20)/_xlfn.XLOOKUP(DU$7,'Product Eng - BE'!$M$6:$BM$6,'Product Eng - BE'!$M$21:$BM$21))))))),DP6)</f>
        <v>0.44715447154471544</v>
      </c>
      <c r="DV49" s="325">
        <f>IFERROR(IF(DV$7&gt;$D$3,"",IF(BN49="OD","OD",IF(BN49="Missed","Missed",IF(BN49="TBC","TBC",IF(BN49="Undefined","Undefined",IF(BN49="OD","OD",_xlfn.XLOOKUP(DV$7,'Product Eng - BE'!$M$6:$BM$6,'Product Eng - BE'!$M$20:$BM$20)/_xlfn.XLOOKUP(DV$7,'Product Eng - BE'!$M$6:$BM$6,'Product Eng - BE'!$M$21:$BM$21))))))),DQ6)</f>
        <v>3.1428571428571428</v>
      </c>
      <c r="DW49" s="325">
        <f>IFERROR(IF(DW$7&gt;$D$3,"",IF(BO49="OD","OD",IF(BO49="Missed","Missed",IF(BO49="TBC","TBC",IF(BO49="Undefined","Undefined",IF(BO49="OD","OD",_xlfn.XLOOKUP(DW$7,'Product Eng - BE'!$M$6:$BM$6,'Product Eng - BE'!$M$20:$BM$20)/_xlfn.XLOOKUP(DW$7,'Product Eng - BE'!$M$6:$BM$6,'Product Eng - BE'!$M$21:$BM$21))))))),DR6)</f>
        <v>0.87301587301587302</v>
      </c>
      <c r="DX49" s="325">
        <f>IFERROR(IF(DX$7&gt;$D$3,"",IF(BP49="OD","OD",IF(BP49="Missed","Missed",IF(BP49="TBC","TBC",IF(BP49="Undefined","Undefined",IF(BP49="OD","OD",_xlfn.XLOOKUP(DX$7,'Product Eng - BE'!$M$6:$BM$6,'Product Eng - BE'!$M$20:$BM$20)/_xlfn.XLOOKUP(DX$7,'Product Eng - BE'!$M$6:$BM$6,'Product Eng - BE'!$M$21:$BM$21))))))),DS6)</f>
        <v>0.59782608695652173</v>
      </c>
      <c r="DY49" s="325">
        <f>IFERROR(IF(DY$7&gt;$D$3,"",IF(BQ49="OD","OD",IF(BQ49="Missed","Missed",IF(BQ49="TBC","TBC",IF(BQ49="Undefined","Undefined",IF(BQ49="OD","OD",_xlfn.XLOOKUP(DY$7,'Product Eng - BE'!$M$6:$BM$6,'Product Eng - BE'!$M$20:$BM$20)/_xlfn.XLOOKUP(DY$7,'Product Eng - BE'!$M$6:$BM$6,'Product Eng - BE'!$M$21:$BM$21))))))),DT6)</f>
        <v>0.53921568627450978</v>
      </c>
      <c r="DZ49" s="325">
        <f>IFERROR(IF(DZ$7&gt;$D$3,"",IF(BR49="OD","OD",IF(BR49="Missed","Missed",IF(BR49="TBC","TBC",IF(BR49="Undefined","Undefined",IF(BR49="OD","OD",_xlfn.XLOOKUP(DZ$7,'Product Eng - BE'!$M$6:$BM$6,'Product Eng - BE'!$M$20:$BM$20)/_xlfn.XLOOKUP(DZ$7,'Product Eng - BE'!$M$6:$BM$6,'Product Eng - BE'!$M$21:$BM$21))))))),DU6)</f>
        <v>0.48458149779735682</v>
      </c>
      <c r="EA49" s="325">
        <f>IFERROR(IF(EA$7&gt;$D$3,"",IF(BS49="OD","OD",IF(BS49="Missed","Missed",IF(BS49="TBC","TBC",IF(BS49="Undefined","Undefined",IF(BS49="OD","OD",_xlfn.XLOOKUP(EA$7,'Product Eng - BE'!$M$6:$BM$6,'Product Eng - BE'!$M$20:$BM$20)/_xlfn.XLOOKUP(EA$7,'Product Eng - BE'!$M$6:$BM$6,'Product Eng - BE'!$M$21:$BM$21))))))),DV6)</f>
        <v>2.0754716981132075</v>
      </c>
      <c r="EB49" s="325">
        <f>IFERROR(IF(EB$7&gt;$D$3,"",IF(BT49="OD","OD",IF(BT49="Missed","Missed",IF(BT49="TBC","TBC",IF(BT49="Undefined","Undefined",IF(BT49="OD","OD",_xlfn.XLOOKUP(EB$7,'Product Eng - BE'!$M$6:$BM$6,'Product Eng - BE'!$M$20:$BM$20)/_xlfn.XLOOKUP(EB$7,'Product Eng - BE'!$M$6:$BM$6,'Product Eng - BE'!$M$21:$BM$21))))))),DW6)</f>
        <v>1.4285714285714286</v>
      </c>
      <c r="EC49" s="325">
        <f>IFERROR(IF(EC$7&gt;$D$3,"",IF(BU49="OD","OD",IF(BU49="Missed","Missed",IF(BU49="TBC","TBC",IF(BU49="Undefined","Undefined",IF(BU49="OD","OD",_xlfn.XLOOKUP(EC$7,'Product Eng - BE'!$M$6:$BM$6,'Product Eng - BE'!$M$20:$BM$20)/_xlfn.XLOOKUP(EC$7,'Product Eng - BE'!$M$6:$BM$6,'Product Eng - BE'!$M$21:$BM$21))))))),DX6)</f>
        <v>1.5714285714285714</v>
      </c>
      <c r="ED49" s="325">
        <f>IFERROR(IF(ED$7&gt;$D$3,"",IF(BV49="OD","OD",IF(BV49="Missed","Missed",IF(BV49="TBC","TBC",IF(BV49="Undefined","Undefined",IF(BV49="OD","OD",_xlfn.XLOOKUP(ED$7,'Product Eng - BE'!$M$6:$BM$6,'Product Eng - BE'!$M$20:$BM$20)/_xlfn.XLOOKUP(ED$7,'Product Eng - BE'!$M$6:$BM$6,'Product Eng - BE'!$M$21:$BM$21))))))),DY6)</f>
        <v>1.2222222222222223</v>
      </c>
      <c r="EE49" s="325">
        <f>IFERROR(IF(EE$7&gt;$D$3,"",IF(BW49="OD","OD",IF(BW49="Missed","Missed",IF(BW49="TBC","TBC",IF(BW49="Undefined","Undefined",IF(BW49="OD","OD",_xlfn.XLOOKUP(EE$7,'Product Eng - BE'!$M$6:$BM$6,'Product Eng - BE'!$M$20:$BM$20)/_xlfn.XLOOKUP(EE$7,'Product Eng - BE'!$M$6:$BM$6,'Product Eng - BE'!$M$21:$BM$21))))))),DZ6)</f>
        <v>1.4102564102564104</v>
      </c>
      <c r="EF49" s="325">
        <f>IFERROR(IF(EF$7&gt;$D$3,"",IF(BX49="OD","OD",IF(BX49="Missed","Missed",IF(BX49="TBC","TBC",IF(BX49="Undefined","Undefined",IF(BX49="OD","OD",_xlfn.XLOOKUP(EF$7,'Product Eng - BE'!$M$6:$BM$6,'Product Eng - BE'!$M$20:$BM$20)/_xlfn.XLOOKUP(EF$7,'Product Eng - BE'!$M$6:$BM$6,'Product Eng - BE'!$M$21:$BM$21))))))),EA6)</f>
        <v>1.7741935483870968</v>
      </c>
      <c r="EG49" s="325">
        <f>IFERROR(IF(EG$7&gt;$D$3,"",IF(BY49="OD","OD",IF(BY49="Missed","Missed",IF(BY49="TBC","TBC",IF(BY49="Undefined","Undefined",IF(BY49="OD","OD",_xlfn.XLOOKUP(EG$7,'Product Eng - BE'!$M$6:$BM$6,'Product Eng - BE'!$M$20:$BM$20)/_xlfn.XLOOKUP(EG$7,'Product Eng - BE'!$M$6:$BM$6,'Product Eng - BE'!$M$21:$BM$21))))))),EB6)</f>
        <v>1.8032786885245902</v>
      </c>
      <c r="EH49" s="325">
        <f>IFERROR(IF(EH$7&gt;$D$3,"",IF(BZ49="OD","OD",IF(BZ49="Missed","Missed",IF(BZ49="TBC","TBC",IF(BZ49="Undefined","Undefined",IF(BZ49="OD","OD",_xlfn.XLOOKUP(EH$7,'Product Eng - BE'!$M$6:$BM$6,'Product Eng - BE'!$M$20:$BM$20)/_xlfn.XLOOKUP(EH$7,'Product Eng - BE'!$M$6:$BM$6,'Product Eng - BE'!$M$21:$BM$21))))))),EC6)</f>
        <v>1.4864864864864864</v>
      </c>
      <c r="EI49" s="325">
        <f>IFERROR(IF(EI$7&gt;$D$3,"",IF(CA49="OD","OD",IF(CA49="Missed","Missed",IF(CA49="TBC","TBC",IF(CA49="Undefined","Undefined",IF(CA49="OD","OD",_xlfn.XLOOKUP(EI$7,'Product Eng - BE'!$M$6:$BM$6,'Product Eng - BE'!$M$20:$BM$20)/_xlfn.XLOOKUP(EI$7,'Product Eng - BE'!$M$6:$BM$6,'Product Eng - BE'!$M$21:$BM$21))))))),ED6)</f>
        <v>1.6666666666666667</v>
      </c>
      <c r="EJ49" s="325" t="str">
        <f>IFERROR(IF(EJ$7&gt;$D$3,"",IF(CB49="OD","OD",IF(CB49="Missed","Missed",IF(CB49="TBC","TBC",IF(CB49="Undefined","Undefined",IF(CB49="OD","OD",_xlfn.XLOOKUP(EJ$7,'Product Eng - BE'!$M$6:$BM$6,'Product Eng - BE'!$M$20:$BM$20)/_xlfn.XLOOKUP(EJ$7,'Product Eng - BE'!$M$6:$BM$6,'Product Eng - BE'!$M$21:$BM$21))))))),EE6)</f>
        <v>OD</v>
      </c>
      <c r="EK49" s="325" t="str">
        <f>IFERROR(IF(EK$7&gt;$D$3,"",IF(CC49="OD","OD",IF(CC49="Missed","Missed",IF(CC49="TBC","TBC",IF(CC49="Undefined","Undefined",IF(CC49="OD","OD",_xlfn.XLOOKUP(EK$7,'Product Eng - BE'!$M$6:$BM$6,'Product Eng - BE'!$M$20:$BM$20)/_xlfn.XLOOKUP(EK$7,'Product Eng - BE'!$M$6:$BM$6,'Product Eng - BE'!$M$21:$BM$21))))))),EF6)</f>
        <v/>
      </c>
      <c r="EL49" s="325" t="str">
        <f>IFERROR(IF(EL$7&gt;$D$3,"",IF(CD49="OD","OD",IF(CD49="Missed","Missed",IF(CD49="TBC","TBC",IF(CD49="Undefined","Undefined",IF(CD49="OD","OD",_xlfn.XLOOKUP(EL$7,'Product Eng - BE'!$M$6:$BM$6,'Product Eng - BE'!$M$20:$BM$20)/_xlfn.XLOOKUP(EL$7,'Product Eng - BE'!$M$6:$BM$6,'Product Eng - BE'!$M$21:$BM$21))))))),EG6)</f>
        <v/>
      </c>
      <c r="EM49" s="325" t="str">
        <f>IFERROR(IF(EM$7&gt;$D$3,"",IF(CE49="OD","OD",IF(CE49="Missed","Missed",IF(CE49="TBC","TBC",IF(CE49="Undefined","Undefined",IF(CE49="OD","OD",_xlfn.XLOOKUP(EM$7,'Product Eng - BE'!$M$6:$BM$6,'Product Eng - BE'!$M$20:$BM$20)/_xlfn.XLOOKUP(EM$7,'Product Eng - BE'!$M$6:$BM$6,'Product Eng - BE'!$M$21:$BM$21))))))),EH6)</f>
        <v/>
      </c>
      <c r="EN49" s="325" t="str">
        <f>IFERROR(IF(EN$7&gt;$D$3,"",IF(CF49="OD","OD",IF(CF49="Missed","Missed",IF(CF49="TBC","TBC",IF(CF49="Undefined","Undefined",IF(CF49="OD","OD",_xlfn.XLOOKUP(EN$7,'Product Eng - BE'!$M$6:$BM$6,'Product Eng - BE'!$M$20:$BM$20)/_xlfn.XLOOKUP(EN$7,'Product Eng - BE'!$M$6:$BM$6,'Product Eng - BE'!$M$21:$BM$21))))))),EI6)</f>
        <v/>
      </c>
      <c r="EO49" s="325" t="str">
        <f>IFERROR(IF(EO$7&gt;$D$3,"",IF(CG49="OD","OD",IF(CG49="Missed","Missed",IF(CG49="TBC","TBC",IF(CG49="Undefined","Undefined",IF(CG49="OD","OD",_xlfn.XLOOKUP(EO$7,'Product Eng - BE'!$M$6:$BM$6,'Product Eng - BE'!$M$20:$BM$20)/_xlfn.XLOOKUP(EO$7,'Product Eng - BE'!$M$6:$BM$6,'Product Eng - BE'!$M$21:$BM$21))))))),EJ6)</f>
        <v/>
      </c>
      <c r="EP49" s="325" t="str">
        <f>IFERROR(IF(EP$7&gt;$D$3,"",IF(CH49="OD","OD",IF(CH49="Missed","Missed",IF(CH49="TBC","TBC",IF(CH49="Undefined","Undefined",IF(CH49="OD","OD",_xlfn.XLOOKUP(EP$7,'Product Eng - BE'!$M$6:$BM$6,'Product Eng - BE'!$M$20:$BM$20)/_xlfn.XLOOKUP(EP$7,'Product Eng - BE'!$M$6:$BM$6,'Product Eng - BE'!$M$21:$BM$21))))))),EK6)</f>
        <v/>
      </c>
      <c r="EQ49" s="325" t="str">
        <f>IFERROR(IF(EQ$7&gt;$D$3,"",IF(CI49="OD","OD",IF(CI49="Missed","Missed",IF(CI49="TBC","TBC",IF(CI49="Undefined","Undefined",IF(CI49="OD","OD",_xlfn.XLOOKUP(EQ$7,'Product Eng - BE'!$M$6:$BM$6,'Product Eng - BE'!$M$20:$BM$20)/_xlfn.XLOOKUP(EQ$7,'Product Eng - BE'!$M$6:$BM$6,'Product Eng - BE'!$M$21:$BM$21))))))),EL6)</f>
        <v/>
      </c>
      <c r="ER49" s="325" t="str">
        <f>IFERROR(IF(ER$7&gt;$D$3,"",IF(CJ49="OD","OD",IF(CJ49="Missed","Missed",IF(CJ49="TBC","TBC",IF(CJ49="Undefined","Undefined",IF(CJ49="OD","OD",_xlfn.XLOOKUP(ER$7,'Product Eng - BE'!$M$6:$BM$6,'Product Eng - BE'!$M$20:$BM$20)/_xlfn.XLOOKUP(ER$7,'Product Eng - BE'!$M$6:$BM$6,'Product Eng - BE'!$M$21:$BM$21))))))),EM6)</f>
        <v/>
      </c>
      <c r="ES49" s="325" t="str">
        <f>IFERROR(IF(ES$7&gt;$D$3,"",IF(CK49="OD","OD",IF(CK49="Missed","Missed",IF(CK49="TBC","TBC",IF(CK49="Undefined","Undefined",IF(CK49="OD","OD",_xlfn.XLOOKUP(ES$7,'Product Eng - BE'!$M$6:$BM$6,'Product Eng - BE'!$M$20:$BM$20)/_xlfn.XLOOKUP(ES$7,'Product Eng - BE'!$M$6:$BM$6,'Product Eng - BE'!$M$21:$BM$21))))))),EN6)</f>
        <v/>
      </c>
      <c r="ET49" s="325" t="str">
        <f>IFERROR(IF(ET$7&gt;$D$3,"",IF(CL49="OD","OD",IF(CL49="Missed","Missed",IF(CL49="TBC","TBC",IF(CL49="Undefined","Undefined",IF(CL49="OD","OD",_xlfn.XLOOKUP(ET$7,'Product Eng - BE'!$M$6:$BM$6,'Product Eng - BE'!$M$20:$BM$20)/_xlfn.XLOOKUP(ET$7,'Product Eng - BE'!$M$6:$BM$6,'Product Eng - BE'!$M$21:$BM$21))))))),EO6)</f>
        <v/>
      </c>
      <c r="EU49" s="325" t="str">
        <f>IFERROR(IF(EU$7&gt;$D$3,"",IF(CM49="OD","OD",IF(CM49="Missed","Missed",IF(CM49="TBC","TBC",IF(CM49="Undefined","Undefined",IF(CM49="OD","OD",_xlfn.XLOOKUP(EU$7,'Product Eng - BE'!$M$6:$BM$6,'Product Eng - BE'!$M$20:$BM$20)/_xlfn.XLOOKUP(EU$7,'Product Eng - BE'!$M$6:$BM$6,'Product Eng - BE'!$M$21:$BM$21))))))),EP6)</f>
        <v/>
      </c>
      <c r="EW49" s="465" t="str">
        <f>+$A49</f>
        <v>Product Eng - BE-KPI C1</v>
      </c>
      <c r="EX49" s="138" t="str">
        <f>+$C49</f>
        <v>KPI C1</v>
      </c>
      <c r="EY49" s="146" t="str">
        <f>+$D49</f>
        <v>Cost</v>
      </c>
      <c r="EZ49" s="146" t="str">
        <f t="shared" si="145"/>
        <v>Cost Transfer Value per Day</v>
      </c>
      <c r="FA49" s="147" t="str">
        <f t="shared" si="146"/>
        <v>£'s</v>
      </c>
      <c r="FB49" s="147" t="s">
        <v>251</v>
      </c>
      <c r="FC49" s="213" t="str">
        <f>IF(FC$7&gt;$D$3,"",IF($FA44&lt;FC$7,"OD",_xlfn.XLOOKUP(FC$7,'Product Eng - BE'!$M$6:$BM$6,'Product Eng - BE'!$M$21:$BM$21)))</f>
        <v>Blank</v>
      </c>
      <c r="FD49" s="213">
        <f>IF(FD$7&gt;$D$3,"",IF($FA44&lt;FD$7,"OD",_xlfn.XLOOKUP(FD$7,'Product Eng - BE'!$M$6:$BM$6,'Product Eng - BE'!$M$21:$BM$21)))</f>
        <v>134</v>
      </c>
      <c r="FE49" s="213">
        <f>IF(FE$7&gt;$D$3,"",IF($FA44&lt;FE$7,"OD",_xlfn.XLOOKUP(FE$7,'Product Eng - BE'!$M$6:$BM$6,'Product Eng - BE'!$M$21:$BM$21)))</f>
        <v>55</v>
      </c>
      <c r="FF49" s="213">
        <f>IF(FF$7&gt;$D$3,"",IF($FA44&lt;FF$7,"OD",_xlfn.XLOOKUP(FF$7,'Product Eng - BE'!$M$6:$BM$6,'Product Eng - BE'!$M$21:$BM$21)))</f>
        <v>76</v>
      </c>
      <c r="FG49" s="213">
        <f>IF(FG$7&gt;$D$3,"",IF($FA44&lt;FG$7,"OD",_xlfn.XLOOKUP(FG$7,'Product Eng - BE'!$M$6:$BM$6,'Product Eng - BE'!$M$21:$BM$21)))</f>
        <v>72</v>
      </c>
      <c r="FH49" s="213">
        <f>IF(FH$7&gt;$D$3,"",IF($FA44&lt;FH$7,"OD",_xlfn.XLOOKUP(FH$7,'Product Eng - BE'!$M$6:$BM$6,'Product Eng - BE'!$M$21:$BM$21)))</f>
        <v>92</v>
      </c>
      <c r="FI49" s="213">
        <f>IF(FI$7&gt;$D$3,"",IF($FA44&lt;FI$7,"OD",_xlfn.XLOOKUP(FI$7,'Product Eng - BE'!$M$6:$BM$6,'Product Eng - BE'!$M$21:$BM$21)))</f>
        <v>90</v>
      </c>
      <c r="FJ49" s="213">
        <f>IF(FJ$7&gt;$D$3,"",IF($FA44&lt;FJ$7,"OD",_xlfn.XLOOKUP(FJ$7,'Product Eng - BE'!$M$6:$BM$6,'Product Eng - BE'!$M$21:$BM$21)))</f>
        <v>133</v>
      </c>
      <c r="FK49" s="213">
        <f>IF(FK$7&gt;$D$3,"",IF($FA44&lt;FK$7,"OD",_xlfn.XLOOKUP(FK$7,'Product Eng - BE'!$M$6:$BM$6,'Product Eng - BE'!$M$21:$BM$21)))</f>
        <v>194</v>
      </c>
      <c r="FL49" s="213">
        <f>IF(FL$7&gt;$D$3,"",IF($FA44&lt;FL$7,"OD",_xlfn.XLOOKUP(FL$7,'Product Eng - BE'!$M$6:$BM$6,'Product Eng - BE'!$M$21:$BM$21)))</f>
        <v>206</v>
      </c>
      <c r="FM49" s="213">
        <f>IF(FM$7&gt;$D$3,"",IF($FA44&lt;FM$7,"OD",_xlfn.XLOOKUP(FM$7,'Product Eng - BE'!$M$6:$BM$6,'Product Eng - BE'!$M$21:$BM$21)))</f>
        <v>173</v>
      </c>
      <c r="FN49" s="213">
        <f>IF(FN$7&gt;$D$3,"",IF($FA44&lt;FN$7,"OD",_xlfn.XLOOKUP(FN$7,'Product Eng - BE'!$M$6:$BM$6,'Product Eng - BE'!$M$21:$BM$21)))</f>
        <v>158</v>
      </c>
      <c r="FO49" s="213">
        <f>IF(FO$7&gt;$D$3,"",IF($FA44&lt;FO$7,"OD",_xlfn.XLOOKUP(FO$7,'Product Eng - BE'!$M$6:$BM$6,'Product Eng - BE'!$M$21:$BM$21)))</f>
        <v>160</v>
      </c>
      <c r="FP49" s="213">
        <f>IF(FP$7&gt;$D$3,"",IF($FA44&lt;FP$7,"OD",_xlfn.XLOOKUP(FP$7,'Product Eng - BE'!$M$6:$BM$6,'Product Eng - BE'!$M$21:$BM$21)))</f>
        <v>151</v>
      </c>
      <c r="FQ49" s="213">
        <f>IF(FQ$7&gt;$D$3,"",IF($FA44&lt;FQ$7,"OD",_xlfn.XLOOKUP(FQ$7,'Product Eng - BE'!$M$6:$BM$6,'Product Eng - BE'!$M$21:$BM$21)))</f>
        <v>150</v>
      </c>
      <c r="FR49" s="213">
        <f>IF(FR$7&gt;$D$3,"",IF($FA44&lt;FR$7,"OD",_xlfn.XLOOKUP(FR$7,'Product Eng - BE'!$M$6:$BM$6,'Product Eng - BE'!$M$21:$BM$21)))</f>
        <v>107</v>
      </c>
      <c r="FS49" s="213">
        <f>IF(FS$7&gt;$D$3,"",IF($FA44&lt;FS$7,"OD",_xlfn.XLOOKUP(FS$7,'Product Eng - BE'!$M$6:$BM$6,'Product Eng - BE'!$M$21:$BM$21)))</f>
        <v>341</v>
      </c>
      <c r="FT49" s="213">
        <f>IF(FT$7&gt;$D$3,"",IF($FA44&lt;FT$7,"OD",_xlfn.XLOOKUP(FT$7,'Product Eng - BE'!$M$6:$BM$6,'Product Eng - BE'!$M$21:$BM$21)))</f>
        <v>276</v>
      </c>
      <c r="FU49" s="213">
        <f>IF(FU$7&gt;$D$3,"",IF($FA44&lt;FU$7,"OD",_xlfn.XLOOKUP(FU$7,'Product Eng - BE'!$M$6:$BM$6,'Product Eng - BE'!$M$21:$BM$21)))</f>
        <v>108</v>
      </c>
      <c r="FV49" s="213">
        <f>IF(FV$7&gt;$D$3,"",IF($FA44&lt;FV$7,"OD",_xlfn.XLOOKUP(FV$7,'Product Eng - BE'!$M$6:$BM$6,'Product Eng - BE'!$M$21:$BM$21)))</f>
        <v>225</v>
      </c>
      <c r="FW49" s="213">
        <f>IF(FW$7&gt;$D$3,"",IF($FA44&lt;FW$7,"OD",_xlfn.XLOOKUP(FW$7,'Product Eng - BE'!$M$6:$BM$6,'Product Eng - BE'!$M$21:$BM$21)))</f>
        <v>266</v>
      </c>
      <c r="FX49" s="213">
        <f>IF(FX$7&gt;$D$3,"",IF($FA44&lt;FX$7,"OD",_xlfn.XLOOKUP(FX$7,'Product Eng - BE'!$M$6:$BM$6,'Product Eng - BE'!$M$21:$BM$21)))</f>
        <v>189</v>
      </c>
      <c r="FY49" s="213">
        <f>IF(FY$7&gt;$D$3,"",IF($FA44&lt;FY$7,"OD",_xlfn.XLOOKUP(FY$7,'Product Eng - BE'!$M$6:$BM$6,'Product Eng - BE'!$M$21:$BM$21)))</f>
        <v>94</v>
      </c>
      <c r="FZ49" s="213">
        <f>IF(FZ$7&gt;$D$3,"",IF($FA44&lt;FZ$7,"OD",_xlfn.XLOOKUP(FZ$7,'Product Eng - BE'!$M$6:$BM$6,'Product Eng - BE'!$M$21:$BM$21)))</f>
        <v>59</v>
      </c>
      <c r="GA49" s="213">
        <f>IF(GA$7&gt;$D$3,"",IF($FA44&lt;GA$7,"OD",_xlfn.XLOOKUP(GA$7,'Product Eng - BE'!$M$6:$BM$6,'Product Eng - BE'!$M$21:$BM$21)))</f>
        <v>22</v>
      </c>
      <c r="GB49" s="213">
        <f>IF(GB$7&gt;$D$3,"",IF($FA44&lt;GB$7,"OD",_xlfn.XLOOKUP(GB$7,'Product Eng - BE'!$M$6:$BM$6,'Product Eng - BE'!$M$21:$BM$21)))</f>
        <v>148</v>
      </c>
      <c r="GC49" s="213">
        <f>IF(GC$7&gt;$D$3,"",IF($FA44&lt;GC$7,"OD",_xlfn.XLOOKUP(GC$7,'Product Eng - BE'!$M$6:$BM$6,'Product Eng - BE'!$M$21:$BM$21)))</f>
        <v>246</v>
      </c>
      <c r="GD49" s="213">
        <f>IF(GD$7&gt;$D$3,"",IF($FA44&lt;GD$7,"OD",_xlfn.XLOOKUP(GD$7,'Product Eng - BE'!$M$6:$BM$6,'Product Eng - BE'!$M$21:$BM$21)))</f>
        <v>35</v>
      </c>
      <c r="GE49" s="213">
        <f>IF(GE$7&gt;$D$3,"",IF($FA44&lt;GE$7,"OD",_xlfn.XLOOKUP(GE$7,'Product Eng - BE'!$M$6:$BM$6,'Product Eng - BE'!$M$21:$BM$21)))</f>
        <v>126</v>
      </c>
      <c r="GF49" s="213">
        <f>IF(GF$7&gt;$D$3,"",IF($FA44&lt;GF$7,"OD",_xlfn.XLOOKUP(GF$7,'Product Eng - BE'!$M$6:$BM$6,'Product Eng - BE'!$M$21:$BM$21)))</f>
        <v>184</v>
      </c>
      <c r="GG49" s="213">
        <f>IF(GG$7&gt;$D$3,"",IF($FA44&lt;GG$7,"OD",_xlfn.XLOOKUP(GG$7,'Product Eng - BE'!$M$6:$BM$6,'Product Eng - BE'!$M$21:$BM$21)))</f>
        <v>204</v>
      </c>
      <c r="GH49" s="213">
        <f>IF(GH$7&gt;$D$3,"",IF($FA44&lt;GH$7,"OD",_xlfn.XLOOKUP(GH$7,'Product Eng - BE'!$M$6:$BM$6,'Product Eng - BE'!$M$21:$BM$21)))</f>
        <v>227</v>
      </c>
      <c r="GI49" s="213">
        <f>IF(GI$7&gt;$D$3,"",IF($FA44&lt;GI$7,"OD",_xlfn.XLOOKUP(GI$7,'Product Eng - BE'!$M$6:$BM$6,'Product Eng - BE'!$M$21:$BM$21)))</f>
        <v>53</v>
      </c>
      <c r="GJ49" s="213">
        <f>IF(GJ$7&gt;$D$3,"",IF($FA44&lt;GJ$7,"OD",_xlfn.XLOOKUP(GJ$7,'Product Eng - BE'!$M$6:$BM$6,'Product Eng - BE'!$M$21:$BM$21)))</f>
        <v>77</v>
      </c>
      <c r="GK49" s="213">
        <f>IF(GK$7&gt;$D$3,"",IF($FA44&lt;GK$7,"OD",_xlfn.XLOOKUP(GK$7,'Product Eng - BE'!$M$6:$BM$6,'Product Eng - BE'!$M$21:$BM$21)))</f>
        <v>70</v>
      </c>
      <c r="GL49" s="213">
        <f>IF(GL$7&gt;$D$3,"",IF($FA44&lt;GL$7,"OD",_xlfn.XLOOKUP(GL$7,'Product Eng - BE'!$M$6:$BM$6,'Product Eng - BE'!$M$21:$BM$21)))</f>
        <v>90</v>
      </c>
      <c r="GM49" s="213">
        <f>IF(GM$7&gt;$D$3,"",IF($FA44&lt;GM$7,"OD",_xlfn.XLOOKUP(GM$7,'Product Eng - BE'!$M$6:$BM$6,'Product Eng - BE'!$M$21:$BM$21)))</f>
        <v>78</v>
      </c>
      <c r="GN49" s="213">
        <f>IF(GN$7&gt;$D$3,"",IF($FA44&lt;GN$7,"OD",_xlfn.XLOOKUP(GN$7,'Product Eng - BE'!$M$6:$BM$6,'Product Eng - BE'!$M$21:$BM$21)))</f>
        <v>62</v>
      </c>
      <c r="GO49" s="213">
        <f>IF(GO$7&gt;$D$3,"",IF($FA44&lt;GO$7,"OD",_xlfn.XLOOKUP(GO$7,'Product Eng - BE'!$M$6:$BM$6,'Product Eng - BE'!$M$21:$BM$21)))</f>
        <v>61</v>
      </c>
      <c r="GP49" s="213">
        <f>IF(GP$7&gt;$D$3,"",IF($FA44&lt;GP$7,"OD",_xlfn.XLOOKUP(GP$7,'Product Eng - BE'!$M$6:$BM$6,'Product Eng - BE'!$M$21:$BM$21)))</f>
        <v>74</v>
      </c>
      <c r="GQ49" s="213">
        <f>IF(GQ$7&gt;$D$3,"",IF($FA44&lt;GQ$7,"OD",_xlfn.XLOOKUP(GQ$7,'Product Eng - BE'!$M$6:$BM$6,'Product Eng - BE'!$M$21:$BM$21)))</f>
        <v>66</v>
      </c>
      <c r="GR49" s="213">
        <f>IF(GR$7&gt;$D$3,"",IF($FA44&lt;GR$7,"OD",_xlfn.XLOOKUP(GR$7,'Product Eng - BE'!$M$6:$BM$6,'Product Eng - BE'!$M$21:$BM$21)))</f>
        <v>0</v>
      </c>
      <c r="GS49" s="213" t="str">
        <f>IF(GS$7&gt;$D$3,"",IF($FA44&lt;GS$7,"OD",_xlfn.XLOOKUP(GS$7,'Product Eng - BE'!$M$6:$BM$6,'Product Eng - BE'!$M$21:$BM$21)))</f>
        <v/>
      </c>
      <c r="GT49" s="213" t="str">
        <f>IF(GT$7&gt;$D$3,"",IF($FA44&lt;GT$7,"OD",_xlfn.XLOOKUP(GT$7,'Product Eng - BE'!$M$6:$BM$6,'Product Eng - BE'!$M$21:$BM$21)))</f>
        <v/>
      </c>
      <c r="GU49" s="213" t="str">
        <f>IF(GU$7&gt;$D$3,"",IF($FA44&lt;GU$7,"OD",_xlfn.XLOOKUP(GU$7,'Product Eng - BE'!$M$6:$BM$6,'Product Eng - BE'!$M$21:$BM$21)))</f>
        <v/>
      </c>
      <c r="GV49" s="213" t="str">
        <f>IF(GV$7&gt;$D$3,"",IF($FA44&lt;GV$7,"OD",_xlfn.XLOOKUP(GV$7,'Product Eng - BE'!$M$6:$BM$6,'Product Eng - BE'!$M$21:$BM$21)))</f>
        <v/>
      </c>
      <c r="GW49" s="213" t="str">
        <f>IF(GW$7&gt;$D$3,"",IF($FA44&lt;GW$7,"OD",_xlfn.XLOOKUP(GW$7,'Product Eng - BE'!$M$6:$BM$6,'Product Eng - BE'!$M$21:$BM$21)))</f>
        <v/>
      </c>
      <c r="GX49" s="213" t="str">
        <f>IF(GX$7&gt;$D$3,"",IF($FA44&lt;GX$7,"OD",_xlfn.XLOOKUP(GX$7,'Product Eng - BE'!$M$6:$BM$6,'Product Eng - BE'!$M$21:$BM$21)))</f>
        <v/>
      </c>
      <c r="GY49" s="213" t="str">
        <f>IF(GY$7&gt;$D$3,"",IF($FA44&lt;GY$7,"OD",_xlfn.XLOOKUP(GY$7,'Product Eng - BE'!$M$6:$BM$6,'Product Eng - BE'!$M$21:$BM$21)))</f>
        <v/>
      </c>
      <c r="GZ49" s="213" t="str">
        <f>IF(GZ$7&gt;$D$3,"",IF($FA44&lt;GZ$7,"OD",_xlfn.XLOOKUP(GZ$7,'Product Eng - BE'!$M$6:$BM$6,'Product Eng - BE'!$M$21:$BM$21)))</f>
        <v/>
      </c>
      <c r="HA49" s="213" t="str">
        <f>IF(HA$7&gt;$D$3,"",IF($FA44&lt;HA$7,"OD",_xlfn.XLOOKUP(HA$7,'Product Eng - BE'!$M$6:$BM$6,'Product Eng - BE'!$M$21:$BM$21)))</f>
        <v/>
      </c>
      <c r="HB49" s="213" t="str">
        <f>IF(HB$7&gt;$D$3,"",IF($FA44&lt;HB$7,"OD",_xlfn.XLOOKUP(HB$7,'Product Eng - BE'!$M$6:$BM$6,'Product Eng - BE'!$M$21:$BM$21)))</f>
        <v/>
      </c>
      <c r="HC49" s="213" t="str">
        <f>IF(HC$7&gt;$D$3,"",IF($FA44&lt;HC$7,"OD",_xlfn.XLOOKUP(HC$7,'Product Eng - BE'!$M$6:$BM$6,'Product Eng - BE'!$M$21:$BM$21)))</f>
        <v/>
      </c>
      <c r="HE49" s="138" t="str">
        <f>+$C49</f>
        <v>KPI C1</v>
      </c>
      <c r="HF49" s="146" t="str">
        <f>+$D49</f>
        <v>Cost</v>
      </c>
      <c r="HG49" s="146" t="str">
        <f t="shared" si="149"/>
        <v>Cost Transfer Value per Day</v>
      </c>
      <c r="HH49" s="147" t="str">
        <f t="shared" si="150"/>
        <v>£'s</v>
      </c>
      <c r="HI49" s="147" t="s">
        <v>44</v>
      </c>
      <c r="HJ49" s="213" t="s">
        <v>122</v>
      </c>
      <c r="HK49" s="213">
        <f>IF(HK$7&gt;$D$3,"",IF($FA44&lt;HK$7,"OD",_xlfn.XLOOKUP(HK$7,'Product Eng - BE'!$M$6:$BM$6,'Product Eng - BE'!$M$20:$BM$20)))</f>
        <v>110</v>
      </c>
      <c r="HL49" s="213">
        <f>IF(HL$7&gt;$D$3,"",IF($FA44&lt;HL$7,"OD",_xlfn.XLOOKUP(HL$7,'Product Eng - BE'!$M$6:$BM$6,'Product Eng - BE'!$M$20:$BM$20)))</f>
        <v>110</v>
      </c>
      <c r="HM49" s="213">
        <f>IF(HM$7&gt;$D$3,"",IF($FA44&lt;HM$7,"OD",_xlfn.XLOOKUP(HM$7,'Product Eng - BE'!$M$6:$BM$6,'Product Eng - BE'!$M$20:$BM$20)))</f>
        <v>110</v>
      </c>
      <c r="HN49" s="213">
        <f>IF(HN$7&gt;$D$3,"",IF($FA44&lt;HN$7,"OD",_xlfn.XLOOKUP(HN$7,'Product Eng - BE'!$M$6:$BM$6,'Product Eng - BE'!$M$20:$BM$20)))</f>
        <v>110</v>
      </c>
      <c r="HO49" s="213">
        <f>IF(HO$7&gt;$D$3,"",IF($FA44&lt;HO$7,"OD",_xlfn.XLOOKUP(HO$7,'Product Eng - BE'!$M$6:$BM$6,'Product Eng - BE'!$M$20:$BM$20)))</f>
        <v>110</v>
      </c>
      <c r="HP49" s="213">
        <f>IF(HP$7&gt;$D$3,"",IF($FA44&lt;HP$7,"OD",_xlfn.XLOOKUP(HP$7,'Product Eng - BE'!$M$6:$BM$6,'Product Eng - BE'!$M$20:$BM$20)))</f>
        <v>110</v>
      </c>
      <c r="HQ49" s="213">
        <f>IF(HQ$7&gt;$D$3,"",IF($FA44&lt;HQ$7,"OD",_xlfn.XLOOKUP(HQ$7,'Product Eng - BE'!$M$6:$BM$6,'Product Eng - BE'!$M$20:$BM$20)))</f>
        <v>110</v>
      </c>
      <c r="HR49" s="213">
        <f>IF(HR$7&gt;$D$3,"",IF($FA44&lt;HR$7,"OD",_xlfn.XLOOKUP(HR$7,'Product Eng - BE'!$M$6:$BM$6,'Product Eng - BE'!$M$20:$BM$20)))</f>
        <v>110</v>
      </c>
      <c r="HS49" s="213">
        <f>IF(HS$7&gt;$D$3,"",IF($FA44&lt;HS$7,"OD",_xlfn.XLOOKUP(HS$7,'Product Eng - BE'!$M$6:$BM$6,'Product Eng - BE'!$M$20:$BM$20)))</f>
        <v>110</v>
      </c>
      <c r="HT49" s="213">
        <f>IF(HT$7&gt;$D$3,"",IF($FA44&lt;HT$7,"OD",_xlfn.XLOOKUP(HT$7,'Product Eng - BE'!$M$6:$BM$6,'Product Eng - BE'!$M$20:$BM$20)))</f>
        <v>110</v>
      </c>
      <c r="HU49" s="213">
        <f>IF(HU$7&gt;$D$3,"",IF($FA44&lt;HU$7,"OD",_xlfn.XLOOKUP(HU$7,'Product Eng - BE'!$M$6:$BM$6,'Product Eng - BE'!$M$20:$BM$20)))</f>
        <v>110</v>
      </c>
      <c r="HV49" s="213">
        <f>IF(HV$7&gt;$D$3,"",IF($FA44&lt;HV$7,"OD",_xlfn.XLOOKUP(HV$7,'Product Eng - BE'!$M$6:$BM$6,'Product Eng - BE'!$M$20:$BM$20)))</f>
        <v>110</v>
      </c>
      <c r="HW49" s="213">
        <f>IF(HW$7&gt;$D$3,"",IF($FA44&lt;HW$7,"OD",_xlfn.XLOOKUP(HW$7,'Product Eng - BE'!$M$6:$BM$6,'Product Eng - BE'!$M$20:$BM$20)))</f>
        <v>110</v>
      </c>
      <c r="HX49" s="213">
        <f>IF(HX$7&gt;$D$3,"",IF($FA44&lt;HX$7,"OD",_xlfn.XLOOKUP(HX$7,'Product Eng - BE'!$M$6:$BM$6,'Product Eng - BE'!$M$20:$BM$20)))</f>
        <v>110</v>
      </c>
      <c r="HY49" s="213">
        <f>IF(HY$7&gt;$D$3,"",IF($FA44&lt;HY$7,"OD",_xlfn.XLOOKUP(HY$7,'Product Eng - BE'!$M$6:$BM$6,'Product Eng - BE'!$M$20:$BM$20)))</f>
        <v>110</v>
      </c>
      <c r="HZ49" s="213">
        <f>IF(HZ$7&gt;$D$3,"",IF($FA44&lt;HZ$7,"OD",_xlfn.XLOOKUP(HZ$7,'Product Eng - BE'!$M$6:$BM$6,'Product Eng - BE'!$M$20:$BM$20)))</f>
        <v>110</v>
      </c>
      <c r="IA49" s="213">
        <f>IF(IA$7&gt;$D$3,"",IF($FA44&lt;IA$7,"OD",_xlfn.XLOOKUP(IA$7,'Product Eng - BE'!$M$6:$BM$6,'Product Eng - BE'!$M$20:$BM$20)))</f>
        <v>110</v>
      </c>
      <c r="IB49" s="213">
        <f>IF(IB$7&gt;$D$3,"",IF($FA44&lt;IB$7,"OD",_xlfn.XLOOKUP(IB$7,'Product Eng - BE'!$M$6:$BM$6,'Product Eng - BE'!$M$20:$BM$20)))</f>
        <v>110</v>
      </c>
      <c r="IC49" s="213">
        <f>IF(IC$7&gt;$D$3,"",IF($FA44&lt;IC$7,"OD",_xlfn.XLOOKUP(IC$7,'Product Eng - BE'!$M$6:$BM$6,'Product Eng - BE'!$M$20:$BM$20)))</f>
        <v>110</v>
      </c>
      <c r="ID49" s="213">
        <f>IF(ID$7&gt;$D$3,"",IF($FA44&lt;ID$7,"OD",_xlfn.XLOOKUP(ID$7,'Product Eng - BE'!$M$6:$BM$6,'Product Eng - BE'!$M$20:$BM$20)))</f>
        <v>110</v>
      </c>
      <c r="IE49" s="213">
        <f>IF(IE$7&gt;$D$3,"",IF($FA44&lt;IE$7,"OD",_xlfn.XLOOKUP(IE$7,'Product Eng - BE'!$M$6:$BM$6,'Product Eng - BE'!$M$20:$BM$20)))</f>
        <v>110</v>
      </c>
      <c r="IF49" s="213">
        <f>IF(IF$7&gt;$D$3,"",IF($FA44&lt;IF$7,"OD",_xlfn.XLOOKUP(IF$7,'Product Eng - BE'!$M$6:$BM$6,'Product Eng - BE'!$M$20:$BM$20)))</f>
        <v>110</v>
      </c>
      <c r="IG49" s="213">
        <f>IF(IG$7&gt;$D$3,"",IF($FA44&lt;IG$7,"OD",_xlfn.XLOOKUP(IG$7,'Product Eng - BE'!$M$6:$BM$6,'Product Eng - BE'!$M$20:$BM$20)))</f>
        <v>110</v>
      </c>
      <c r="IH49" s="213">
        <f>IF(IH$7&gt;$D$3,"",IF($FA44&lt;IH$7,"OD",_xlfn.XLOOKUP(IH$7,'Product Eng - BE'!$M$6:$BM$6,'Product Eng - BE'!$M$20:$BM$20)))</f>
        <v>110</v>
      </c>
      <c r="II49" s="213">
        <f>IF(II$7&gt;$D$3,"",IF($FA44&lt;II$7,"OD",_xlfn.XLOOKUP(II$7,'Product Eng - BE'!$M$6:$BM$6,'Product Eng - BE'!$M$20:$BM$20)))</f>
        <v>110</v>
      </c>
      <c r="IJ49" s="213">
        <f>IF(IJ$7&gt;$D$3,"",IF($FA44&lt;IJ$7,"OD",_xlfn.XLOOKUP(IJ$7,'Product Eng - BE'!$M$6:$BM$6,'Product Eng - BE'!$M$20:$BM$20)))</f>
        <v>110</v>
      </c>
      <c r="IK49" s="213">
        <f>IF(IK$7&gt;$D$3,"",IF($FA44&lt;IK$7,"OD",_xlfn.XLOOKUP(IK$7,'Product Eng - BE'!$M$6:$BM$6,'Product Eng - BE'!$M$20:$BM$20)))</f>
        <v>110</v>
      </c>
      <c r="IL49" s="213">
        <f>IF(IL$7&gt;$D$3,"",IF($FA44&lt;IL$7,"OD",_xlfn.XLOOKUP(IL$7,'Product Eng - BE'!$M$6:$BM$6,'Product Eng - BE'!$M$20:$BM$20)))</f>
        <v>110</v>
      </c>
      <c r="IM49" s="213">
        <f>IF(IM$7&gt;$D$3,"",IF($FA44&lt;IM$7,"OD",_xlfn.XLOOKUP(IM$7,'Product Eng - BE'!$M$6:$BM$6,'Product Eng - BE'!$M$20:$BM$20)))</f>
        <v>110</v>
      </c>
      <c r="IN49" s="213">
        <f>IF(IN$7&gt;$D$3,"",IF($FA44&lt;IN$7,"OD",_xlfn.XLOOKUP(IN$7,'Product Eng - BE'!$M$6:$BM$6,'Product Eng - BE'!$M$20:$BM$20)))</f>
        <v>110</v>
      </c>
      <c r="IO49" s="213">
        <f>IF(IO$7&gt;$D$3,"",IF($FA44&lt;IO$7,"OD",_xlfn.XLOOKUP(IO$7,'Product Eng - BE'!$M$6:$BM$6,'Product Eng - BE'!$M$20:$BM$20)))</f>
        <v>110</v>
      </c>
      <c r="IP49" s="213">
        <f>IF(IP$7&gt;$D$3,"",IF($FA44&lt;IP$7,"OD",_xlfn.XLOOKUP(IP$7,'Product Eng - BE'!$M$6:$BM$6,'Product Eng - BE'!$M$20:$BM$20)))</f>
        <v>110</v>
      </c>
      <c r="IQ49" s="213">
        <f>IF(IQ$7&gt;$D$3,"",IF($FA44&lt;IQ$7,"OD",_xlfn.XLOOKUP(IQ$7,'Product Eng - BE'!$M$6:$BM$6,'Product Eng - BE'!$M$20:$BM$20)))</f>
        <v>110</v>
      </c>
      <c r="IR49" s="213">
        <f>IF(IR$7&gt;$D$3,"",IF($FA44&lt;IR$7,"OD",_xlfn.XLOOKUP(IR$7,'Product Eng - BE'!$M$6:$BM$6,'Product Eng - BE'!$M$20:$BM$20)))</f>
        <v>110</v>
      </c>
      <c r="IS49" s="213">
        <f>IF(IS$7&gt;$D$3,"",IF($FA44&lt;IS$7,"OD",_xlfn.XLOOKUP(IS$7,'Product Eng - BE'!$M$6:$BM$6,'Product Eng - BE'!$M$20:$BM$20)))</f>
        <v>110</v>
      </c>
      <c r="IT49" s="213">
        <f>IF(IT$7&gt;$D$3,"",IF($FA44&lt;IT$7,"OD",_xlfn.XLOOKUP(IT$7,'Product Eng - BE'!$M$6:$BM$6,'Product Eng - BE'!$M$20:$BM$20)))</f>
        <v>110</v>
      </c>
      <c r="IU49" s="213">
        <f>IF(IU$7&gt;$D$3,"",IF($FA44&lt;IU$7,"OD",_xlfn.XLOOKUP(IU$7,'Product Eng - BE'!$M$6:$BM$6,'Product Eng - BE'!$M$20:$BM$20)))</f>
        <v>110</v>
      </c>
      <c r="IV49" s="213">
        <f>IF(IV$7&gt;$D$3,"",IF($FA44&lt;IV$7,"OD",_xlfn.XLOOKUP(IV$7,'Product Eng - BE'!$M$6:$BM$6,'Product Eng - BE'!$M$20:$BM$20)))</f>
        <v>110</v>
      </c>
      <c r="IW49" s="213">
        <f>IF(IW$7&gt;$D$3,"",IF($FA44&lt;IW$7,"OD",_xlfn.XLOOKUP(IW$7,'Product Eng - BE'!$M$6:$BM$6,'Product Eng - BE'!$M$20:$BM$20)))</f>
        <v>110</v>
      </c>
      <c r="IX49" s="213">
        <f>IF(IX$7&gt;$D$3,"",IF($FA44&lt;IX$7,"OD",_xlfn.XLOOKUP(IX$7,'Product Eng - BE'!$M$6:$BM$6,'Product Eng - BE'!$M$20:$BM$20)))</f>
        <v>110</v>
      </c>
      <c r="IY49" s="213">
        <f>IF(IY$7&gt;$D$3,"",IF($FA44&lt;IY$7,"OD",_xlfn.XLOOKUP(IY$7,'Product Eng - BE'!$M$6:$BM$6,'Product Eng - BE'!$M$20:$BM$20)))</f>
        <v>110</v>
      </c>
      <c r="IZ49" s="213" t="str">
        <f>IF(IZ$7&gt;$D$3,"",IF($FA44&lt;IZ$7,"OD",_xlfn.XLOOKUP(IZ$7,'Product Eng - BE'!$M$6:$BM$6,'Product Eng - BE'!$M$20:$BM$20)))</f>
        <v/>
      </c>
      <c r="JA49" s="213" t="str">
        <f>IF(JA$7&gt;$D$3,"",IF($FA44&lt;JA$7,"OD",_xlfn.XLOOKUP(JA$7,'Product Eng - BE'!$M$6:$BM$6,'Product Eng - BE'!$M$20:$BM$20)))</f>
        <v/>
      </c>
      <c r="JB49" s="213" t="str">
        <f>IF(JB$7&gt;$D$3,"",IF($FA44&lt;JB$7,"OD",_xlfn.XLOOKUP(JB$7,'Product Eng - BE'!$M$6:$BM$6,'Product Eng - BE'!$M$20:$BM$20)))</f>
        <v/>
      </c>
      <c r="JC49" s="213" t="str">
        <f>IF(JC$7&gt;$D$3,"",IF($FA44&lt;JC$7,"OD",_xlfn.XLOOKUP(JC$7,'Product Eng - BE'!$M$6:$BM$6,'Product Eng - BE'!$M$20:$BM$20)))</f>
        <v/>
      </c>
      <c r="JD49" s="213" t="str">
        <f>IF(JD$7&gt;$D$3,"",IF($FA44&lt;JD$7,"OD",_xlfn.XLOOKUP(JD$7,'Product Eng - BE'!$M$6:$BM$6,'Product Eng - BE'!$M$20:$BM$20)))</f>
        <v/>
      </c>
      <c r="JE49" s="213" t="str">
        <f>IF(JE$7&gt;$D$3,"",IF($FA44&lt;JE$7,"OD",_xlfn.XLOOKUP(JE$7,'Product Eng - BE'!$M$6:$BM$6,'Product Eng - BE'!$M$20:$BM$20)))</f>
        <v/>
      </c>
      <c r="JF49" s="213" t="str">
        <f>IF(JF$7&gt;$D$3,"",IF($FA44&lt;JF$7,"OD",_xlfn.XLOOKUP(JF$7,'Product Eng - BE'!$M$6:$BM$6,'Product Eng - BE'!$M$20:$BM$20)))</f>
        <v/>
      </c>
      <c r="JG49" s="213" t="str">
        <f>IF(JG$7&gt;$D$3,"",IF($FA44&lt;JG$7,"OD",_xlfn.XLOOKUP(JG$7,'Product Eng - BE'!$M$6:$BM$6,'Product Eng - BE'!$M$20:$BM$20)))</f>
        <v/>
      </c>
      <c r="JH49" s="213" t="str">
        <f>IF(JH$7&gt;$D$3,"",IF($FA44&lt;JH$7,"OD",_xlfn.XLOOKUP(JH$7,'Product Eng - BE'!$M$6:$BM$6,'Product Eng - BE'!$M$20:$BM$20)))</f>
        <v/>
      </c>
      <c r="JI49" s="213" t="str">
        <f>IF(JI$7&gt;$D$3,"",IF($FA44&lt;JI$7,"OD",_xlfn.XLOOKUP(JI$7,'Product Eng - BE'!$M$6:$BM$6,'Product Eng - BE'!$M$20:$BM$20)))</f>
        <v/>
      </c>
      <c r="JJ49" s="213" t="str">
        <f>IF(JJ$7&gt;$D$3,"",IF($FA44&lt;JJ$7,"OD",_xlfn.XLOOKUP(JJ$7,'Product Eng - BE'!$M$6:$BM$6,'Product Eng - BE'!$M$20:$BM$20)))</f>
        <v/>
      </c>
      <c r="JM49" s="138" t="str">
        <f>+$C49</f>
        <v>KPI C1</v>
      </c>
      <c r="JN49" s="146" t="str">
        <f>+$D49</f>
        <v>Cost</v>
      </c>
      <c r="JO49" s="146" t="str">
        <f t="shared" si="154"/>
        <v>Cost Transfer Value per Day</v>
      </c>
      <c r="JP49" s="147" t="str">
        <f t="shared" si="155"/>
        <v>£'s</v>
      </c>
      <c r="JQ49" s="147" t="s">
        <v>284</v>
      </c>
      <c r="JR49" s="227" t="str">
        <f>IFERROR(AVERAGE(FC49:$FC49),"")</f>
        <v/>
      </c>
      <c r="JS49" s="227">
        <f>IFERROR(AVERAGE($FC49:FD49),"")</f>
        <v>134</v>
      </c>
      <c r="JT49" s="227">
        <f>IFERROR(AVERAGE($FC49:FE49),"")</f>
        <v>94.5</v>
      </c>
      <c r="JU49" s="227">
        <f>IFERROR(AVERAGE($FC49:FF49),"")</f>
        <v>88.333333333333329</v>
      </c>
      <c r="JV49" s="227">
        <f>IFERROR(AVERAGE($FC49:FG49),"")</f>
        <v>84.25</v>
      </c>
      <c r="JW49" s="227">
        <f>IFERROR(AVERAGE($FC49:FH49),"")</f>
        <v>85.8</v>
      </c>
      <c r="JX49" s="227">
        <f>IFERROR(AVERAGE($FC49:FI49),"")</f>
        <v>86.5</v>
      </c>
      <c r="JY49" s="227">
        <f>IFERROR(AVERAGE($FC49:FJ49),"")</f>
        <v>93.142857142857139</v>
      </c>
      <c r="JZ49" s="227">
        <f>IFERROR(AVERAGE($FC49:FK49),"")</f>
        <v>105.75</v>
      </c>
      <c r="KA49" s="227">
        <f>IFERROR(AVERAGE($FC49:FL49),"")</f>
        <v>116.88888888888889</v>
      </c>
      <c r="KB49" s="227">
        <f>IFERROR(AVERAGE($FC49:FM49),"")</f>
        <v>122.5</v>
      </c>
      <c r="KC49" s="227">
        <f>IFERROR(AVERAGE($FC49:FN49),"")</f>
        <v>125.72727272727273</v>
      </c>
      <c r="KD49" s="227">
        <f>IFERROR(AVERAGE($FC49:FO49),"")</f>
        <v>128.58333333333334</v>
      </c>
      <c r="KE49" s="227">
        <f>IFERROR(AVERAGE($FC49:FP49),"")</f>
        <v>130.30769230769232</v>
      </c>
      <c r="KF49" s="227">
        <f>IFERROR(AVERAGE($FC49:FQ49),"")</f>
        <v>131.71428571428572</v>
      </c>
      <c r="KG49" s="227">
        <f>IFERROR(AVERAGE($FC49:FR49),"")</f>
        <v>130.06666666666666</v>
      </c>
      <c r="KH49" s="227">
        <f>IFERROR(AVERAGE($FC49:FS49),"")</f>
        <v>143.25</v>
      </c>
      <c r="KI49" s="227">
        <f>IFERROR(AVERAGE($FC49:FT49),"")</f>
        <v>151.05882352941177</v>
      </c>
      <c r="KJ49" s="227">
        <f>IFERROR(AVERAGE($FC49:FU49),"")</f>
        <v>148.66666666666666</v>
      </c>
      <c r="KK49" s="227">
        <f>IFERROR(AVERAGE($FC49:FV49),"")</f>
        <v>152.68421052631578</v>
      </c>
      <c r="KL49" s="227">
        <f>IFERROR(AVERAGE($FC49:FW49),"")</f>
        <v>158.35</v>
      </c>
      <c r="KM49" s="227">
        <f>IFERROR(AVERAGE($FC49:FX49),"")</f>
        <v>159.8095238095238</v>
      </c>
      <c r="KN49" s="227">
        <f>IFERROR(AVERAGE($FC49:FY49),"")</f>
        <v>156.81818181818181</v>
      </c>
      <c r="KO49" s="227">
        <f>IFERROR(AVERAGE($FC49:FZ49),"")</f>
        <v>152.56521739130434</v>
      </c>
      <c r="KP49" s="227">
        <f>IFERROR(AVERAGE($FC49:GA49),"")</f>
        <v>147.125</v>
      </c>
      <c r="KQ49" s="227">
        <f>IFERROR(AVERAGE($FC49:GB49),"")</f>
        <v>147.16</v>
      </c>
      <c r="KR49" s="227">
        <f>IFERROR(AVERAGE($FC49:GC49),"")</f>
        <v>150.96153846153845</v>
      </c>
      <c r="KS49" s="227">
        <f>IFERROR(AVERAGE($FC49:GD49),"")</f>
        <v>146.66666666666666</v>
      </c>
      <c r="KT49" s="227">
        <f>IFERROR(AVERAGE($FC49:GE49),"")</f>
        <v>145.92857142857142</v>
      </c>
      <c r="KU49" s="227">
        <f>IFERROR(AVERAGE($FC49:GF49),"")</f>
        <v>147.24137931034483</v>
      </c>
      <c r="KV49" s="227">
        <f>IFERROR(AVERAGE($FC49:GG49),"")</f>
        <v>149.13333333333333</v>
      </c>
      <c r="KW49" s="227">
        <f>IFERROR(AVERAGE($FC49:GH49),"")</f>
        <v>151.64516129032259</v>
      </c>
      <c r="KX49" s="227">
        <f>IFERROR(AVERAGE($FC49:GI49),"")</f>
        <v>148.5625</v>
      </c>
      <c r="KY49" s="227">
        <f>IFERROR(AVERAGE($FC49:GJ49),"")</f>
        <v>146.39393939393941</v>
      </c>
      <c r="KZ49" s="227">
        <f>IFERROR(AVERAGE($FC49:GK49),"")</f>
        <v>144.14705882352942</v>
      </c>
      <c r="LA49" s="227">
        <f>IFERROR(AVERAGE($FC49:GL49),"")</f>
        <v>142.6</v>
      </c>
      <c r="LB49" s="227">
        <f>IFERROR(AVERAGE($FC49:GM49),"")</f>
        <v>140.80555555555554</v>
      </c>
      <c r="LC49" s="227">
        <f>IFERROR(AVERAGE($FC49:GN49),"")</f>
        <v>138.67567567567568</v>
      </c>
      <c r="LD49" s="227">
        <f>IFERROR(AVERAGE($FC49:GO49),"")</f>
        <v>136.63157894736841</v>
      </c>
      <c r="LE49" s="227">
        <f>IFERROR(AVERAGE($FC49:GP49),"")</f>
        <v>135.02564102564102</v>
      </c>
      <c r="LF49" s="227">
        <f>IFERROR(AVERAGE($FC49:GQ49),"")</f>
        <v>133.30000000000001</v>
      </c>
      <c r="LG49" s="227">
        <f>IFERROR(AVERAGE($FC49:GR49),"")</f>
        <v>130.04878048780489</v>
      </c>
      <c r="LH49" s="227">
        <f>IFERROR(AVERAGE($FC49:GS49),"")</f>
        <v>130.04878048780489</v>
      </c>
      <c r="LI49" s="227">
        <f>IFERROR(AVERAGE($FC49:GT49),"")</f>
        <v>130.04878048780489</v>
      </c>
      <c r="LJ49" s="227">
        <f>IFERROR(AVERAGE($FC49:GU49),"")</f>
        <v>130.04878048780489</v>
      </c>
      <c r="LK49" s="227">
        <f>IFERROR(AVERAGE($FC49:GV49),"")</f>
        <v>130.04878048780489</v>
      </c>
      <c r="LL49" s="227">
        <f>IFERROR(AVERAGE($FC49:GW49),"")</f>
        <v>130.04878048780489</v>
      </c>
      <c r="LM49" s="227">
        <f>IFERROR(AVERAGE($FC49:GX49),"")</f>
        <v>130.04878048780489</v>
      </c>
      <c r="LN49" s="227">
        <f>IFERROR(AVERAGE($FC49:GY49),"")</f>
        <v>130.04878048780489</v>
      </c>
      <c r="LO49" s="227">
        <f>IFERROR(AVERAGE($FC49:GZ49),"")</f>
        <v>130.04878048780489</v>
      </c>
      <c r="LP49" s="227">
        <f>IFERROR(AVERAGE($FC49:HA49),"")</f>
        <v>130.04878048780489</v>
      </c>
      <c r="LQ49" s="227">
        <f>IFERROR(AVERAGE($FC49:HB49),"")</f>
        <v>130.04878048780489</v>
      </c>
      <c r="LR49" s="227">
        <f>IFERROR(AVERAGE($FC49:HC49),"")</f>
        <v>130.04878048780489</v>
      </c>
      <c r="LT49" s="138" t="str">
        <f>+$C49</f>
        <v>KPI C1</v>
      </c>
      <c r="LU49" s="146" t="str">
        <f>+$D49</f>
        <v>Cost</v>
      </c>
      <c r="LV49" s="146" t="str">
        <f t="shared" si="158"/>
        <v>Cost Transfer Value per Day</v>
      </c>
      <c r="LW49" s="147" t="str">
        <f t="shared" si="159"/>
        <v>£'s</v>
      </c>
      <c r="LX49" s="147" t="s">
        <v>285</v>
      </c>
      <c r="LY49" s="213" t="str">
        <f>IFERROR(AVERAGE($HJ49:HJ49),"")</f>
        <v/>
      </c>
      <c r="LZ49" s="213">
        <f>IFERROR(IF(LAD$7&gt;$D$3,"",AVERAGE($HJ49:HK49)),"")</f>
        <v>110</v>
      </c>
      <c r="MA49" s="213">
        <f>IFERROR(IF(MA$7&gt;$D$3,"",AVERAGE($HJ49:HL49)),"")</f>
        <v>110</v>
      </c>
      <c r="MB49" s="213">
        <f>IFERROR(IF(MB$7&gt;$D$3,"",AVERAGE($HJ49:HM49)),"")</f>
        <v>110</v>
      </c>
      <c r="MC49" s="213">
        <f>IFERROR(IF(MC$7&gt;$D$3,"",AVERAGE($HJ49:HN49)),"")</f>
        <v>110</v>
      </c>
      <c r="MD49" s="213">
        <f>IFERROR(IF(MD$7&gt;$D$3,"",AVERAGE($HJ49:HO49)),"")</f>
        <v>110</v>
      </c>
      <c r="ME49" s="213">
        <f>IFERROR(IF(ME$7&gt;$D$3,"",AVERAGE($HJ49:HP49)),"")</f>
        <v>110</v>
      </c>
      <c r="MF49" s="213">
        <f>IFERROR(IF(MF$7&gt;$D$3,"",AVERAGE($HJ49:HQ49)),"")</f>
        <v>110</v>
      </c>
      <c r="MG49" s="213">
        <f>IFERROR(IF(MG$7&gt;$D$3,"",AVERAGE($HJ49:HR49)),"")</f>
        <v>110</v>
      </c>
      <c r="MH49" s="213">
        <f>IFERROR(IF(MH$7&gt;$D$3,"",AVERAGE($HJ49:HS49)),"")</f>
        <v>110</v>
      </c>
      <c r="MI49" s="213">
        <f>IFERROR(IF(MI$7&gt;$D$3,"",AVERAGE($HJ49:HT49)),"")</f>
        <v>110</v>
      </c>
      <c r="MJ49" s="213">
        <f>IFERROR(IF(MJ$7&gt;$D$3,"",AVERAGE($HJ49:HU49)),"")</f>
        <v>110</v>
      </c>
      <c r="MK49" s="213">
        <f>IFERROR(IF(MK$7&gt;$D$3,"",AVERAGE($HJ49:HV49)),"")</f>
        <v>110</v>
      </c>
      <c r="ML49" s="213">
        <f>IFERROR(IF(ML$7&gt;$D$3,"",AVERAGE($HJ49:HW49)),"")</f>
        <v>110</v>
      </c>
      <c r="MM49" s="213">
        <f>IFERROR(IF(MM$7&gt;$D$3,"",AVERAGE($HJ49:HX49)),"")</f>
        <v>110</v>
      </c>
      <c r="MN49" s="213">
        <f>IFERROR(IF(MN$7&gt;$D$3,"",AVERAGE($HJ49:HY49)),"")</f>
        <v>110</v>
      </c>
      <c r="MO49" s="213">
        <f>IFERROR(IF(MO$7&gt;$D$3,"",AVERAGE($HJ49:HZ49)),"")</f>
        <v>110</v>
      </c>
      <c r="MP49" s="213">
        <f>IFERROR(IF(MP$7&gt;$D$3,"",AVERAGE($HJ49:IA49)),"")</f>
        <v>110</v>
      </c>
      <c r="MQ49" s="213">
        <f>IFERROR(IF(MQ$7&gt;$D$3,"",AVERAGE($HJ49:IB49)),"")</f>
        <v>110</v>
      </c>
      <c r="MR49" s="213">
        <f>IFERROR(IF(MR$7&gt;$D$3,"",AVERAGE($HJ49:IC49)),"")</f>
        <v>110</v>
      </c>
      <c r="MS49" s="213">
        <f>IFERROR(IF(MS$7&gt;$D$3,"",AVERAGE($HJ49:ID49)),"")</f>
        <v>110</v>
      </c>
      <c r="MT49" s="213">
        <f>IFERROR(IF(MT$7&gt;$D$3,"",AVERAGE($HJ49:IE49)),"")</f>
        <v>110</v>
      </c>
      <c r="MU49" s="213">
        <f>IFERROR(IF(MU$7&gt;$D$3,"",AVERAGE($HJ49:IF49)),"")</f>
        <v>110</v>
      </c>
      <c r="MV49" s="213">
        <f>IFERROR(IF(MV$7&gt;$D$3,"",AVERAGE($HJ49:IG49)),"")</f>
        <v>110</v>
      </c>
      <c r="MW49" s="213">
        <f>IFERROR(IF(MW$7&gt;$D$3,"",AVERAGE($HJ49:IH49)),"")</f>
        <v>110</v>
      </c>
      <c r="MX49" s="213">
        <f>IFERROR(IF(MX$7&gt;$D$3,"",AVERAGE($HJ49:II49)),"")</f>
        <v>110</v>
      </c>
      <c r="MY49" s="213">
        <f>IFERROR(IF(MY$7&gt;$D$3,"",AVERAGE($HJ49:IJ49)),"")</f>
        <v>110</v>
      </c>
      <c r="MZ49" s="213">
        <f>IFERROR(IF(MZ$7&gt;$D$3,"",AVERAGE($HJ49:IK49)),"")</f>
        <v>110</v>
      </c>
      <c r="NA49" s="213">
        <f>IFERROR(IF(NA$7&gt;$D$3,"",AVERAGE($HJ49:IL49)),"")</f>
        <v>110</v>
      </c>
      <c r="NB49" s="213">
        <f>IFERROR(IF(NB$7&gt;$D$3,"",AVERAGE($HJ49:IM49)),"")</f>
        <v>110</v>
      </c>
      <c r="NC49" s="213">
        <f>IFERROR(IF(NC$7&gt;$D$3,"",AVERAGE($HJ49:IN49)),"")</f>
        <v>110</v>
      </c>
      <c r="ND49" s="213">
        <f>IFERROR(IF(ND$7&gt;$D$3,"",AVERAGE($HJ49:IO49)),"")</f>
        <v>110</v>
      </c>
      <c r="NE49" s="213">
        <f>IFERROR(IF(NE$7&gt;$D$3,"",AVERAGE($HJ49:IP49)),"")</f>
        <v>110</v>
      </c>
      <c r="NF49" s="213">
        <f>IFERROR(IF(NF$7&gt;$D$3,"",AVERAGE($HJ49:IQ49)),"")</f>
        <v>110</v>
      </c>
      <c r="NG49" s="213">
        <f>IFERROR(IF(NG$7&gt;$D$3,"",AVERAGE($HJ49:IR49)),"")</f>
        <v>110</v>
      </c>
      <c r="NH49" s="213">
        <f>IFERROR(IF(NH$7&gt;$D$3,"",AVERAGE($HJ49:IS49)),"")</f>
        <v>110</v>
      </c>
      <c r="NI49" s="213">
        <f>IFERROR(IF(NI$7&gt;$D$3,"",AVERAGE($HJ49:IT49)),"")</f>
        <v>110</v>
      </c>
      <c r="NJ49" s="213">
        <f>IFERROR(IF(NJ$7&gt;$D$3,"",AVERAGE($HJ49:IU49)),"")</f>
        <v>110</v>
      </c>
      <c r="NK49" s="213">
        <f>IFERROR(IF(NK$7&gt;$D$3,"",AVERAGE($HJ49:IV49)),"")</f>
        <v>110</v>
      </c>
      <c r="NL49" s="213">
        <f>IFERROR(IF(NL$7&gt;$D$3,"",AVERAGE($HJ49:IW49)),"")</f>
        <v>110</v>
      </c>
      <c r="NM49" s="213">
        <f>IFERROR(IF(NM$7&gt;$D$3,"",AVERAGE($HJ49:IX49)),"")</f>
        <v>110</v>
      </c>
      <c r="NN49" s="213">
        <f>IFERROR(IF(NN$7&gt;$D$3,"",AVERAGE($HJ49:IY49)),"")</f>
        <v>110</v>
      </c>
      <c r="NO49" s="213" t="str">
        <f>IFERROR(IF(NO$7&gt;$D$3,"",AVERAGE($HJ49:IZ49)),"")</f>
        <v/>
      </c>
      <c r="NP49" s="213" t="str">
        <f>IFERROR(IF(NP$7&gt;$D$3,"",AVERAGE($HJ49:JA49)),"")</f>
        <v/>
      </c>
      <c r="NQ49" s="213" t="str">
        <f>IFERROR(IF(NQ$7&gt;$D$3,"",AVERAGE($HJ49:JB49)),"")</f>
        <v/>
      </c>
      <c r="NR49" s="213" t="str">
        <f>IFERROR(IF(NR$7&gt;$D$3,"",AVERAGE($HJ49:JC49)),"")</f>
        <v/>
      </c>
      <c r="NS49" s="213" t="str">
        <f>IFERROR(IF(NS$7&gt;$D$3,"",AVERAGE($HJ49:JD49)),"")</f>
        <v/>
      </c>
      <c r="NT49" s="213" t="str">
        <f>IFERROR(IF(NT$7&gt;$D$3,"",AVERAGE($HJ49:JE49)),"")</f>
        <v/>
      </c>
      <c r="NU49" s="213" t="str">
        <f>IFERROR(IF(NU$7&gt;$D$3,"",AVERAGE($HJ49:JF49)),"")</f>
        <v/>
      </c>
      <c r="NV49" s="213" t="str">
        <f>IFERROR(IF(NV$7&gt;$D$3,"",AVERAGE($HJ49:JG49)),"")</f>
        <v/>
      </c>
      <c r="NW49" s="213" t="str">
        <f>IFERROR(IF(NW$7&gt;$D$3,"",AVERAGE($HJ49:JH49)),"")</f>
        <v/>
      </c>
      <c r="NX49" s="213" t="str">
        <f>IFERROR(IF(NX$7&gt;$D$3,"",AVERAGE($HJ49:JI49)),"")</f>
        <v/>
      </c>
      <c r="NY49" s="213" t="str">
        <f>IFERROR(IF(NY$7&gt;$D$3,"",AVERAGE($HJ49:JJ49)),"")</f>
        <v/>
      </c>
    </row>
    <row r="50" spans="1:389" ht="15" thickBot="1" x14ac:dyDescent="0.35">
      <c r="AB50" s="292"/>
      <c r="AH50" s="465"/>
      <c r="AN50" s="201"/>
      <c r="CO50" s="465"/>
      <c r="CV50" s="316"/>
      <c r="CW50" s="316"/>
      <c r="CX50" s="316"/>
      <c r="CY50" s="316"/>
      <c r="CZ50" s="316"/>
      <c r="DA50" s="316"/>
      <c r="DB50" s="316"/>
      <c r="DC50" s="316"/>
      <c r="DD50" s="316"/>
      <c r="DE50" s="316"/>
      <c r="DF50" s="316"/>
      <c r="DG50" s="316"/>
      <c r="DH50" s="316"/>
      <c r="DI50" s="316"/>
      <c r="DJ50" s="316"/>
      <c r="DK50" s="316"/>
      <c r="DL50" s="316"/>
      <c r="DM50" s="316"/>
      <c r="DN50" s="316"/>
      <c r="DO50" s="316"/>
      <c r="DP50" s="316"/>
      <c r="DQ50" s="316"/>
      <c r="DR50" s="316"/>
      <c r="DS50" s="316"/>
      <c r="DT50" s="316"/>
      <c r="DU50" s="316"/>
      <c r="DV50" s="316"/>
      <c r="DW50" s="316"/>
      <c r="DX50" s="316"/>
      <c r="DY50" s="316"/>
      <c r="DZ50" s="316"/>
      <c r="EA50" s="316"/>
      <c r="EB50" s="316"/>
      <c r="EC50" s="316"/>
      <c r="ED50" s="316"/>
      <c r="EE50" s="316"/>
      <c r="EF50" s="316"/>
      <c r="EG50" s="316"/>
      <c r="EH50" s="316"/>
      <c r="EI50" s="316"/>
      <c r="EJ50" s="316"/>
      <c r="EK50" s="316"/>
      <c r="EL50" s="316"/>
      <c r="EM50" s="316"/>
      <c r="EN50" s="316"/>
      <c r="EO50" s="316"/>
      <c r="EP50" s="316"/>
      <c r="EQ50" s="316"/>
      <c r="ER50" s="316"/>
      <c r="ES50" s="316"/>
      <c r="ET50" s="316"/>
      <c r="EU50" s="316"/>
      <c r="EW50" s="465"/>
      <c r="FC50" s="201"/>
      <c r="FD50" s="201"/>
      <c r="FE50" s="201"/>
      <c r="FF50" s="201"/>
      <c r="FG50" s="201"/>
      <c r="FH50" s="201"/>
      <c r="FI50" s="201"/>
      <c r="FJ50" s="201"/>
      <c r="FK50" s="201"/>
      <c r="FL50" s="201"/>
      <c r="FM50" s="201"/>
      <c r="FN50" s="201"/>
      <c r="FO50" s="201"/>
      <c r="FP50" s="201"/>
      <c r="FQ50" s="201"/>
      <c r="FR50" s="201"/>
      <c r="FS50" s="201"/>
      <c r="FT50" s="201"/>
      <c r="FU50" s="201"/>
      <c r="FV50" s="201"/>
      <c r="FW50" s="201"/>
      <c r="FX50" s="201"/>
      <c r="FY50" s="201"/>
      <c r="FZ50" s="201"/>
      <c r="GA50" s="201"/>
      <c r="GB50" s="201"/>
      <c r="GC50" s="201"/>
      <c r="GD50" s="201"/>
      <c r="GE50" s="201"/>
      <c r="GF50" s="201"/>
      <c r="GG50" s="201"/>
      <c r="GH50" s="201"/>
      <c r="GI50" s="201"/>
      <c r="GJ50" s="201"/>
      <c r="GK50" s="201"/>
      <c r="GL50" s="201"/>
      <c r="GM50" s="201"/>
      <c r="GN50" s="201"/>
      <c r="GO50" s="201"/>
      <c r="GP50" s="201"/>
      <c r="GQ50" s="201"/>
      <c r="GR50" s="201"/>
      <c r="GS50" s="201"/>
      <c r="GT50" s="201"/>
      <c r="GU50" s="201"/>
      <c r="GV50" s="201"/>
      <c r="GW50" s="201"/>
      <c r="GX50" s="201"/>
      <c r="GY50" s="201"/>
      <c r="GZ50" s="201"/>
      <c r="HA50" s="201"/>
      <c r="HB50" s="201"/>
      <c r="HC50" s="201"/>
      <c r="HJ50" s="201"/>
      <c r="HK50" s="201"/>
      <c r="HL50" s="249"/>
      <c r="HM50" s="249"/>
      <c r="HN50" s="249"/>
      <c r="HO50" s="249"/>
      <c r="HP50" s="249"/>
      <c r="HQ50" s="249"/>
      <c r="HR50" s="249"/>
      <c r="HS50" s="249"/>
      <c r="HT50" s="249"/>
      <c r="HU50" s="249"/>
      <c r="HV50" s="249"/>
      <c r="HW50" s="249"/>
      <c r="HX50" s="249"/>
      <c r="HY50" s="249"/>
      <c r="HZ50" s="249"/>
      <c r="IA50" s="249"/>
      <c r="IB50" s="249"/>
      <c r="IC50" s="249"/>
      <c r="ID50" s="249"/>
      <c r="IE50" s="249"/>
      <c r="IF50" s="249"/>
      <c r="IG50" s="249"/>
      <c r="IH50" s="249"/>
      <c r="II50" s="249"/>
      <c r="IJ50" s="249"/>
      <c r="IK50" s="249"/>
      <c r="IL50" s="249"/>
      <c r="IM50" s="249"/>
      <c r="IN50" s="249"/>
      <c r="IO50" s="249"/>
      <c r="IP50" s="249"/>
      <c r="IQ50" s="249"/>
      <c r="IR50" s="249"/>
      <c r="IS50" s="249"/>
      <c r="IT50" s="249"/>
      <c r="IU50" s="249"/>
      <c r="IV50" s="249"/>
      <c r="IW50" s="249"/>
      <c r="IX50" s="249"/>
      <c r="IY50" s="249"/>
      <c r="IZ50" s="249"/>
      <c r="JA50" s="249"/>
      <c r="JB50" s="249"/>
      <c r="JC50" s="249"/>
      <c r="JD50" s="249"/>
      <c r="JE50" s="249"/>
      <c r="JF50" s="249"/>
      <c r="JG50" s="249"/>
      <c r="JH50" s="249"/>
      <c r="JI50" s="249"/>
      <c r="JJ50" s="249"/>
      <c r="JR50" s="249"/>
      <c r="JS50" s="249"/>
      <c r="JT50" s="249"/>
      <c r="JU50" s="249"/>
      <c r="JV50" s="249"/>
      <c r="JW50" s="249"/>
      <c r="JX50" s="249"/>
      <c r="JY50" s="249"/>
      <c r="JZ50" s="249"/>
      <c r="KA50" s="249"/>
      <c r="KB50" s="249"/>
      <c r="KC50" s="249"/>
      <c r="KD50" s="249"/>
      <c r="KE50" s="249"/>
      <c r="KF50" s="249"/>
      <c r="KG50" s="249"/>
      <c r="KH50" s="249"/>
      <c r="KI50" s="249"/>
      <c r="KJ50" s="249"/>
      <c r="KK50" s="249"/>
      <c r="KL50" s="249"/>
      <c r="KM50" s="249"/>
      <c r="KN50" s="249"/>
      <c r="KO50" s="249"/>
      <c r="KP50" s="249"/>
      <c r="KQ50" s="249"/>
      <c r="KR50" s="249"/>
      <c r="KS50" s="249"/>
      <c r="KT50" s="249"/>
      <c r="KU50" s="249"/>
      <c r="KV50" s="249"/>
      <c r="KW50" s="249"/>
      <c r="KX50" s="249"/>
      <c r="KY50" s="249"/>
      <c r="KZ50" s="249"/>
      <c r="LA50" s="249"/>
      <c r="LB50" s="249"/>
      <c r="LC50" s="249"/>
      <c r="LD50" s="249"/>
      <c r="LE50" s="249"/>
      <c r="LF50" s="249"/>
      <c r="LG50" s="249"/>
      <c r="LH50" s="249"/>
      <c r="LI50" s="249"/>
      <c r="LJ50" s="249"/>
      <c r="LK50" s="249"/>
      <c r="LL50" s="249"/>
      <c r="LM50" s="249"/>
      <c r="LN50" s="249"/>
      <c r="LO50" s="249"/>
      <c r="LP50" s="249"/>
      <c r="LQ50" s="249"/>
      <c r="LR50" s="249"/>
      <c r="LY50" s="201"/>
      <c r="LZ50" s="201"/>
      <c r="MA50" s="201"/>
      <c r="MB50" s="201"/>
      <c r="MC50" s="201"/>
      <c r="MD50" s="201"/>
      <c r="ME50" s="201"/>
      <c r="MF50" s="201"/>
      <c r="MG50" s="201"/>
      <c r="MH50" s="201"/>
      <c r="MI50" s="201"/>
      <c r="MJ50" s="201"/>
      <c r="MK50" s="201"/>
      <c r="ML50" s="201"/>
      <c r="MM50" s="201"/>
      <c r="MN50" s="201"/>
      <c r="MO50" s="201"/>
      <c r="MP50" s="201"/>
      <c r="MQ50" s="201"/>
      <c r="MR50" s="201"/>
      <c r="MS50" s="201"/>
      <c r="MT50" s="201"/>
      <c r="MU50" s="201"/>
      <c r="MV50" s="201"/>
      <c r="MW50" s="201"/>
      <c r="MX50" s="201"/>
      <c r="MY50" s="201"/>
      <c r="MZ50" s="201"/>
      <c r="NA50" s="201"/>
      <c r="NB50" s="201"/>
      <c r="NC50" s="201"/>
      <c r="ND50" s="201"/>
      <c r="NE50" s="201"/>
      <c r="NF50" s="201"/>
      <c r="NG50" s="201"/>
      <c r="NH50" s="201"/>
      <c r="NI50" s="201"/>
      <c r="NJ50" s="201"/>
      <c r="NK50" s="201"/>
      <c r="NL50" s="201"/>
      <c r="NM50" s="201"/>
      <c r="NN50" s="201"/>
      <c r="NO50" s="201"/>
      <c r="NP50" s="201"/>
      <c r="NQ50" s="201"/>
      <c r="NR50" s="201"/>
      <c r="NS50" s="201"/>
      <c r="NT50" s="201"/>
      <c r="NU50" s="201"/>
      <c r="NV50" s="201"/>
      <c r="NW50" s="201"/>
      <c r="NX50" s="201"/>
      <c r="NY50" s="201"/>
    </row>
    <row r="51" spans="1:389" ht="30" customHeight="1" thickBot="1" x14ac:dyDescent="0.35">
      <c r="B51" s="180" t="str">
        <f>+'KPI Stats'!B29</f>
        <v>Design</v>
      </c>
      <c r="C51" s="133" t="str">
        <f>+'KPI Stats'!C29</f>
        <v>Andrew Skitt</v>
      </c>
      <c r="D51" s="134"/>
      <c r="E51" s="141" t="str">
        <f>+'KPI Stats'!E29</f>
        <v>Completed to Week</v>
      </c>
      <c r="F51" s="141">
        <f>+'KPI Stats'!F29</f>
        <v>42</v>
      </c>
      <c r="G51" s="181" t="s">
        <v>506</v>
      </c>
      <c r="J51" s="181" t="str">
        <f>+$B51</f>
        <v>Design</v>
      </c>
      <c r="K51" s="181"/>
      <c r="L51" s="182"/>
      <c r="M51" s="183"/>
      <c r="P51" s="181" t="str">
        <f>+$B51</f>
        <v>Design</v>
      </c>
      <c r="Q51" s="181"/>
      <c r="R51" s="181"/>
      <c r="S51" s="183"/>
      <c r="T51" s="183"/>
      <c r="U51" s="291"/>
      <c r="X51" s="181" t="str">
        <f>+$B51</f>
        <v>Design</v>
      </c>
      <c r="Y51" s="181"/>
      <c r="Z51" s="181"/>
      <c r="AA51" s="183"/>
      <c r="AB51" s="291"/>
      <c r="AC51" s="181" t="str">
        <f>+$B51</f>
        <v>Design</v>
      </c>
      <c r="AD51" s="181"/>
      <c r="AE51" s="181"/>
      <c r="AF51" s="183"/>
      <c r="AH51" s="465"/>
      <c r="AI51" s="191" t="str">
        <f>+B52</f>
        <v>Design &amp; R&amp;D</v>
      </c>
      <c r="AJ51" s="192"/>
      <c r="AK51" s="141" t="str">
        <f t="shared" ref="AK51:AL55" si="168">+E51</f>
        <v>Completed to Week</v>
      </c>
      <c r="AL51" s="141">
        <f t="shared" si="168"/>
        <v>42</v>
      </c>
      <c r="AM51" s="181" t="str">
        <f>+$B51</f>
        <v>Design</v>
      </c>
      <c r="AN51" s="197" t="str">
        <f t="shared" ref="AN51:CM51" si="169">+$B51</f>
        <v>Design</v>
      </c>
      <c r="AO51" s="181" t="str">
        <f t="shared" si="169"/>
        <v>Design</v>
      </c>
      <c r="AP51" s="181" t="str">
        <f t="shared" si="169"/>
        <v>Design</v>
      </c>
      <c r="AQ51" s="181" t="str">
        <f t="shared" si="169"/>
        <v>Design</v>
      </c>
      <c r="AR51" s="181" t="str">
        <f t="shared" si="169"/>
        <v>Design</v>
      </c>
      <c r="AS51" s="181" t="str">
        <f t="shared" si="169"/>
        <v>Design</v>
      </c>
      <c r="AT51" s="181" t="str">
        <f t="shared" si="169"/>
        <v>Design</v>
      </c>
      <c r="AU51" s="181" t="str">
        <f t="shared" si="169"/>
        <v>Design</v>
      </c>
      <c r="AV51" s="181" t="str">
        <f t="shared" si="169"/>
        <v>Design</v>
      </c>
      <c r="AW51" s="181" t="str">
        <f t="shared" si="169"/>
        <v>Design</v>
      </c>
      <c r="AX51" s="181" t="str">
        <f t="shared" si="169"/>
        <v>Design</v>
      </c>
      <c r="AY51" s="181" t="str">
        <f t="shared" si="169"/>
        <v>Design</v>
      </c>
      <c r="AZ51" s="181" t="str">
        <f t="shared" si="169"/>
        <v>Design</v>
      </c>
      <c r="BA51" s="181" t="str">
        <f t="shared" si="169"/>
        <v>Design</v>
      </c>
      <c r="BB51" s="181" t="str">
        <f t="shared" si="169"/>
        <v>Design</v>
      </c>
      <c r="BC51" s="181" t="str">
        <f t="shared" si="169"/>
        <v>Design</v>
      </c>
      <c r="BD51" s="181" t="str">
        <f t="shared" si="169"/>
        <v>Design</v>
      </c>
      <c r="BE51" s="181" t="str">
        <f t="shared" si="169"/>
        <v>Design</v>
      </c>
      <c r="BF51" s="181" t="str">
        <f t="shared" si="169"/>
        <v>Design</v>
      </c>
      <c r="BG51" s="181" t="str">
        <f t="shared" si="169"/>
        <v>Design</v>
      </c>
      <c r="BH51" s="181" t="str">
        <f t="shared" si="169"/>
        <v>Design</v>
      </c>
      <c r="BI51" s="181" t="str">
        <f t="shared" si="169"/>
        <v>Design</v>
      </c>
      <c r="BJ51" s="181" t="str">
        <f t="shared" si="169"/>
        <v>Design</v>
      </c>
      <c r="BK51" s="181" t="str">
        <f t="shared" si="169"/>
        <v>Design</v>
      </c>
      <c r="BL51" s="181" t="str">
        <f t="shared" si="169"/>
        <v>Design</v>
      </c>
      <c r="BM51" s="181" t="str">
        <f t="shared" si="169"/>
        <v>Design</v>
      </c>
      <c r="BN51" s="181" t="str">
        <f t="shared" si="169"/>
        <v>Design</v>
      </c>
      <c r="BO51" s="181" t="str">
        <f t="shared" si="169"/>
        <v>Design</v>
      </c>
      <c r="BP51" s="181" t="str">
        <f t="shared" si="169"/>
        <v>Design</v>
      </c>
      <c r="BQ51" s="181" t="str">
        <f t="shared" si="169"/>
        <v>Design</v>
      </c>
      <c r="BR51" s="181" t="str">
        <f t="shared" si="169"/>
        <v>Design</v>
      </c>
      <c r="BS51" s="181" t="str">
        <f t="shared" si="169"/>
        <v>Design</v>
      </c>
      <c r="BT51" s="181" t="str">
        <f t="shared" si="169"/>
        <v>Design</v>
      </c>
      <c r="BU51" s="181" t="str">
        <f t="shared" si="169"/>
        <v>Design</v>
      </c>
      <c r="BV51" s="181" t="str">
        <f t="shared" si="169"/>
        <v>Design</v>
      </c>
      <c r="BW51" s="181" t="str">
        <f t="shared" si="169"/>
        <v>Design</v>
      </c>
      <c r="BX51" s="181" t="str">
        <f t="shared" si="169"/>
        <v>Design</v>
      </c>
      <c r="BY51" s="181" t="str">
        <f t="shared" si="169"/>
        <v>Design</v>
      </c>
      <c r="BZ51" s="181" t="str">
        <f t="shared" si="169"/>
        <v>Design</v>
      </c>
      <c r="CA51" s="181" t="str">
        <f t="shared" si="169"/>
        <v>Design</v>
      </c>
      <c r="CB51" s="181" t="str">
        <f t="shared" si="169"/>
        <v>Design</v>
      </c>
      <c r="CC51" s="181" t="str">
        <f t="shared" si="169"/>
        <v>Design</v>
      </c>
      <c r="CD51" s="181" t="str">
        <f t="shared" si="169"/>
        <v>Design</v>
      </c>
      <c r="CE51" s="181" t="str">
        <f t="shared" si="169"/>
        <v>Design</v>
      </c>
      <c r="CF51" s="181" t="str">
        <f t="shared" si="169"/>
        <v>Design</v>
      </c>
      <c r="CG51" s="181" t="str">
        <f t="shared" si="169"/>
        <v>Design</v>
      </c>
      <c r="CH51" s="181" t="str">
        <f t="shared" si="169"/>
        <v>Design</v>
      </c>
      <c r="CI51" s="181" t="str">
        <f t="shared" si="169"/>
        <v>Design</v>
      </c>
      <c r="CJ51" s="181" t="str">
        <f t="shared" si="169"/>
        <v>Design</v>
      </c>
      <c r="CK51" s="181" t="str">
        <f t="shared" si="169"/>
        <v>Design</v>
      </c>
      <c r="CL51" s="181" t="str">
        <f t="shared" si="169"/>
        <v>Design</v>
      </c>
      <c r="CM51" s="181" t="str">
        <f t="shared" si="169"/>
        <v>Design</v>
      </c>
      <c r="CO51" s="465"/>
      <c r="CP51" s="191" t="str">
        <f>+B52</f>
        <v>Design &amp; R&amp;D</v>
      </c>
      <c r="CQ51" s="192"/>
      <c r="CR51" s="141" t="str">
        <f t="shared" ref="CR51:CS55" si="170">+E51</f>
        <v>Completed to Week</v>
      </c>
      <c r="CS51" s="141">
        <f t="shared" si="170"/>
        <v>42</v>
      </c>
      <c r="CT51" s="351" t="str">
        <f>+G51</f>
        <v>Weekly KPI</v>
      </c>
      <c r="CU51" s="181" t="str">
        <f>+$B51</f>
        <v>Design</v>
      </c>
      <c r="CV51" s="317" t="str">
        <f t="shared" ref="CV51:EU51" si="171">+$B51</f>
        <v>Design</v>
      </c>
      <c r="CW51" s="317" t="str">
        <f t="shared" si="171"/>
        <v>Design</v>
      </c>
      <c r="CX51" s="317" t="str">
        <f t="shared" si="171"/>
        <v>Design</v>
      </c>
      <c r="CY51" s="317" t="str">
        <f t="shared" si="171"/>
        <v>Design</v>
      </c>
      <c r="CZ51" s="317" t="str">
        <f t="shared" si="171"/>
        <v>Design</v>
      </c>
      <c r="DA51" s="317" t="str">
        <f t="shared" si="171"/>
        <v>Design</v>
      </c>
      <c r="DB51" s="317" t="str">
        <f t="shared" si="171"/>
        <v>Design</v>
      </c>
      <c r="DC51" s="317" t="str">
        <f t="shared" si="171"/>
        <v>Design</v>
      </c>
      <c r="DD51" s="317" t="str">
        <f t="shared" si="171"/>
        <v>Design</v>
      </c>
      <c r="DE51" s="317" t="str">
        <f t="shared" si="171"/>
        <v>Design</v>
      </c>
      <c r="DF51" s="317" t="str">
        <f t="shared" si="171"/>
        <v>Design</v>
      </c>
      <c r="DG51" s="317" t="str">
        <f t="shared" si="171"/>
        <v>Design</v>
      </c>
      <c r="DH51" s="317" t="str">
        <f t="shared" si="171"/>
        <v>Design</v>
      </c>
      <c r="DI51" s="317" t="str">
        <f t="shared" si="171"/>
        <v>Design</v>
      </c>
      <c r="DJ51" s="317" t="str">
        <f t="shared" si="171"/>
        <v>Design</v>
      </c>
      <c r="DK51" s="317" t="str">
        <f t="shared" si="171"/>
        <v>Design</v>
      </c>
      <c r="DL51" s="317" t="str">
        <f t="shared" si="171"/>
        <v>Design</v>
      </c>
      <c r="DM51" s="317" t="str">
        <f t="shared" si="171"/>
        <v>Design</v>
      </c>
      <c r="DN51" s="317" t="str">
        <f t="shared" si="171"/>
        <v>Design</v>
      </c>
      <c r="DO51" s="317" t="str">
        <f t="shared" si="171"/>
        <v>Design</v>
      </c>
      <c r="DP51" s="317" t="str">
        <f t="shared" si="171"/>
        <v>Design</v>
      </c>
      <c r="DQ51" s="317" t="str">
        <f t="shared" si="171"/>
        <v>Design</v>
      </c>
      <c r="DR51" s="317" t="str">
        <f t="shared" si="171"/>
        <v>Design</v>
      </c>
      <c r="DS51" s="317" t="str">
        <f t="shared" si="171"/>
        <v>Design</v>
      </c>
      <c r="DT51" s="317" t="str">
        <f t="shared" si="171"/>
        <v>Design</v>
      </c>
      <c r="DU51" s="317" t="str">
        <f t="shared" si="171"/>
        <v>Design</v>
      </c>
      <c r="DV51" s="317" t="str">
        <f t="shared" si="171"/>
        <v>Design</v>
      </c>
      <c r="DW51" s="317" t="str">
        <f t="shared" si="171"/>
        <v>Design</v>
      </c>
      <c r="DX51" s="317" t="str">
        <f t="shared" si="171"/>
        <v>Design</v>
      </c>
      <c r="DY51" s="317" t="str">
        <f t="shared" si="171"/>
        <v>Design</v>
      </c>
      <c r="DZ51" s="317" t="str">
        <f t="shared" si="171"/>
        <v>Design</v>
      </c>
      <c r="EA51" s="317" t="str">
        <f t="shared" si="171"/>
        <v>Design</v>
      </c>
      <c r="EB51" s="317" t="str">
        <f t="shared" si="171"/>
        <v>Design</v>
      </c>
      <c r="EC51" s="317" t="str">
        <f t="shared" si="171"/>
        <v>Design</v>
      </c>
      <c r="ED51" s="317" t="str">
        <f t="shared" si="171"/>
        <v>Design</v>
      </c>
      <c r="EE51" s="317" t="str">
        <f t="shared" si="171"/>
        <v>Design</v>
      </c>
      <c r="EF51" s="317" t="str">
        <f t="shared" si="171"/>
        <v>Design</v>
      </c>
      <c r="EG51" s="317" t="str">
        <f t="shared" si="171"/>
        <v>Design</v>
      </c>
      <c r="EH51" s="317" t="str">
        <f t="shared" si="171"/>
        <v>Design</v>
      </c>
      <c r="EI51" s="317" t="str">
        <f t="shared" si="171"/>
        <v>Design</v>
      </c>
      <c r="EJ51" s="317" t="str">
        <f t="shared" si="171"/>
        <v>Design</v>
      </c>
      <c r="EK51" s="317" t="str">
        <f t="shared" si="171"/>
        <v>Design</v>
      </c>
      <c r="EL51" s="317" t="str">
        <f t="shared" si="171"/>
        <v>Design</v>
      </c>
      <c r="EM51" s="317" t="str">
        <f t="shared" si="171"/>
        <v>Design</v>
      </c>
      <c r="EN51" s="317" t="str">
        <f t="shared" si="171"/>
        <v>Design</v>
      </c>
      <c r="EO51" s="317" t="str">
        <f t="shared" si="171"/>
        <v>Design</v>
      </c>
      <c r="EP51" s="317" t="str">
        <f t="shared" si="171"/>
        <v>Design</v>
      </c>
      <c r="EQ51" s="317" t="str">
        <f t="shared" si="171"/>
        <v>Design</v>
      </c>
      <c r="ER51" s="317" t="str">
        <f t="shared" si="171"/>
        <v>Design</v>
      </c>
      <c r="ES51" s="317" t="str">
        <f t="shared" si="171"/>
        <v>Design</v>
      </c>
      <c r="ET51" s="317" t="str">
        <f t="shared" si="171"/>
        <v>Design</v>
      </c>
      <c r="EU51" s="317" t="str">
        <f t="shared" si="171"/>
        <v>Design</v>
      </c>
      <c r="EW51" s="465"/>
      <c r="EX51" s="191" t="str">
        <f t="shared" ref="EX51" si="172">+$B51</f>
        <v>Design</v>
      </c>
      <c r="EY51" s="192"/>
      <c r="EZ51" s="141" t="str">
        <f>+$E51</f>
        <v>Completed to Week</v>
      </c>
      <c r="FA51" s="141">
        <f>+$F51</f>
        <v>42</v>
      </c>
      <c r="FB51" s="141"/>
      <c r="FC51" s="197" t="str">
        <f t="shared" ref="FC51:HC51" si="173">+$B51</f>
        <v>Design</v>
      </c>
      <c r="FD51" s="197" t="str">
        <f t="shared" si="173"/>
        <v>Design</v>
      </c>
      <c r="FE51" s="197" t="str">
        <f t="shared" si="173"/>
        <v>Design</v>
      </c>
      <c r="FF51" s="197" t="str">
        <f t="shared" si="173"/>
        <v>Design</v>
      </c>
      <c r="FG51" s="197" t="str">
        <f t="shared" si="173"/>
        <v>Design</v>
      </c>
      <c r="FH51" s="197" t="str">
        <f t="shared" si="173"/>
        <v>Design</v>
      </c>
      <c r="FI51" s="197" t="str">
        <f t="shared" si="173"/>
        <v>Design</v>
      </c>
      <c r="FJ51" s="197" t="str">
        <f t="shared" si="173"/>
        <v>Design</v>
      </c>
      <c r="FK51" s="197" t="str">
        <f t="shared" si="173"/>
        <v>Design</v>
      </c>
      <c r="FL51" s="197" t="str">
        <f t="shared" si="173"/>
        <v>Design</v>
      </c>
      <c r="FM51" s="197" t="str">
        <f t="shared" si="173"/>
        <v>Design</v>
      </c>
      <c r="FN51" s="197" t="str">
        <f t="shared" si="173"/>
        <v>Design</v>
      </c>
      <c r="FO51" s="197" t="str">
        <f t="shared" si="173"/>
        <v>Design</v>
      </c>
      <c r="FP51" s="197" t="str">
        <f t="shared" si="173"/>
        <v>Design</v>
      </c>
      <c r="FQ51" s="197" t="str">
        <f t="shared" si="173"/>
        <v>Design</v>
      </c>
      <c r="FR51" s="197" t="str">
        <f t="shared" si="173"/>
        <v>Design</v>
      </c>
      <c r="FS51" s="197" t="str">
        <f t="shared" si="173"/>
        <v>Design</v>
      </c>
      <c r="FT51" s="197" t="str">
        <f t="shared" si="173"/>
        <v>Design</v>
      </c>
      <c r="FU51" s="197" t="str">
        <f t="shared" si="173"/>
        <v>Design</v>
      </c>
      <c r="FV51" s="197" t="str">
        <f t="shared" si="173"/>
        <v>Design</v>
      </c>
      <c r="FW51" s="197" t="str">
        <f t="shared" si="173"/>
        <v>Design</v>
      </c>
      <c r="FX51" s="197" t="str">
        <f t="shared" si="173"/>
        <v>Design</v>
      </c>
      <c r="FY51" s="197" t="str">
        <f t="shared" si="173"/>
        <v>Design</v>
      </c>
      <c r="FZ51" s="197" t="str">
        <f t="shared" si="173"/>
        <v>Design</v>
      </c>
      <c r="GA51" s="197" t="str">
        <f t="shared" si="173"/>
        <v>Design</v>
      </c>
      <c r="GB51" s="197" t="str">
        <f t="shared" si="173"/>
        <v>Design</v>
      </c>
      <c r="GC51" s="197" t="str">
        <f t="shared" si="173"/>
        <v>Design</v>
      </c>
      <c r="GD51" s="197" t="str">
        <f t="shared" si="173"/>
        <v>Design</v>
      </c>
      <c r="GE51" s="197" t="str">
        <f t="shared" si="173"/>
        <v>Design</v>
      </c>
      <c r="GF51" s="197" t="str">
        <f t="shared" si="173"/>
        <v>Design</v>
      </c>
      <c r="GG51" s="197" t="str">
        <f t="shared" si="173"/>
        <v>Design</v>
      </c>
      <c r="GH51" s="197" t="str">
        <f t="shared" si="173"/>
        <v>Design</v>
      </c>
      <c r="GI51" s="197" t="str">
        <f t="shared" si="173"/>
        <v>Design</v>
      </c>
      <c r="GJ51" s="197" t="str">
        <f t="shared" si="173"/>
        <v>Design</v>
      </c>
      <c r="GK51" s="197" t="str">
        <f t="shared" si="173"/>
        <v>Design</v>
      </c>
      <c r="GL51" s="197" t="str">
        <f t="shared" si="173"/>
        <v>Design</v>
      </c>
      <c r="GM51" s="197" t="str">
        <f t="shared" si="173"/>
        <v>Design</v>
      </c>
      <c r="GN51" s="197" t="str">
        <f t="shared" si="173"/>
        <v>Design</v>
      </c>
      <c r="GO51" s="197" t="str">
        <f t="shared" si="173"/>
        <v>Design</v>
      </c>
      <c r="GP51" s="197" t="str">
        <f t="shared" si="173"/>
        <v>Design</v>
      </c>
      <c r="GQ51" s="197" t="str">
        <f t="shared" si="173"/>
        <v>Design</v>
      </c>
      <c r="GR51" s="197" t="str">
        <f t="shared" si="173"/>
        <v>Design</v>
      </c>
      <c r="GS51" s="197" t="str">
        <f t="shared" si="173"/>
        <v>Design</v>
      </c>
      <c r="GT51" s="197" t="str">
        <f t="shared" si="173"/>
        <v>Design</v>
      </c>
      <c r="GU51" s="197" t="str">
        <f t="shared" si="173"/>
        <v>Design</v>
      </c>
      <c r="GV51" s="197" t="str">
        <f t="shared" si="173"/>
        <v>Design</v>
      </c>
      <c r="GW51" s="197" t="str">
        <f t="shared" si="173"/>
        <v>Design</v>
      </c>
      <c r="GX51" s="197" t="str">
        <f t="shared" si="173"/>
        <v>Design</v>
      </c>
      <c r="GY51" s="197" t="str">
        <f t="shared" si="173"/>
        <v>Design</v>
      </c>
      <c r="GZ51" s="197" t="str">
        <f t="shared" si="173"/>
        <v>Design</v>
      </c>
      <c r="HA51" s="197" t="str">
        <f t="shared" si="173"/>
        <v>Design</v>
      </c>
      <c r="HB51" s="197" t="str">
        <f t="shared" si="173"/>
        <v>Design</v>
      </c>
      <c r="HC51" s="197" t="str">
        <f t="shared" si="173"/>
        <v>Design</v>
      </c>
      <c r="HE51" s="191" t="str">
        <f>+$B51</f>
        <v>Design</v>
      </c>
      <c r="HF51" s="192"/>
      <c r="HG51" s="141" t="str">
        <f>+$E51</f>
        <v>Completed to Week</v>
      </c>
      <c r="HH51" s="141">
        <f>+$F51</f>
        <v>42</v>
      </c>
      <c r="HI51" s="141" t="str">
        <f>+GJ51</f>
        <v>Design</v>
      </c>
      <c r="HJ51" s="197" t="str">
        <f t="shared" ref="HJ51:HK51" si="174">+$B51</f>
        <v>Design</v>
      </c>
      <c r="HK51" s="197" t="str">
        <f t="shared" si="174"/>
        <v>Design</v>
      </c>
      <c r="HL51" s="250" t="str">
        <f t="shared" ref="HL51:JJ51" si="175">+$B51</f>
        <v>Design</v>
      </c>
      <c r="HM51" s="250" t="str">
        <f t="shared" si="175"/>
        <v>Design</v>
      </c>
      <c r="HN51" s="250" t="str">
        <f t="shared" si="175"/>
        <v>Design</v>
      </c>
      <c r="HO51" s="250" t="str">
        <f t="shared" si="175"/>
        <v>Design</v>
      </c>
      <c r="HP51" s="250" t="str">
        <f t="shared" si="175"/>
        <v>Design</v>
      </c>
      <c r="HQ51" s="250" t="str">
        <f t="shared" si="175"/>
        <v>Design</v>
      </c>
      <c r="HR51" s="250" t="str">
        <f t="shared" si="175"/>
        <v>Design</v>
      </c>
      <c r="HS51" s="250" t="str">
        <f t="shared" si="175"/>
        <v>Design</v>
      </c>
      <c r="HT51" s="250" t="str">
        <f t="shared" si="175"/>
        <v>Design</v>
      </c>
      <c r="HU51" s="250" t="str">
        <f t="shared" si="175"/>
        <v>Design</v>
      </c>
      <c r="HV51" s="250" t="str">
        <f t="shared" si="175"/>
        <v>Design</v>
      </c>
      <c r="HW51" s="250" t="str">
        <f t="shared" si="175"/>
        <v>Design</v>
      </c>
      <c r="HX51" s="250" t="str">
        <f t="shared" si="175"/>
        <v>Design</v>
      </c>
      <c r="HY51" s="250" t="str">
        <f t="shared" si="175"/>
        <v>Design</v>
      </c>
      <c r="HZ51" s="250" t="str">
        <f t="shared" si="175"/>
        <v>Design</v>
      </c>
      <c r="IA51" s="250" t="str">
        <f t="shared" si="175"/>
        <v>Design</v>
      </c>
      <c r="IB51" s="250" t="str">
        <f t="shared" si="175"/>
        <v>Design</v>
      </c>
      <c r="IC51" s="250" t="str">
        <f t="shared" si="175"/>
        <v>Design</v>
      </c>
      <c r="ID51" s="250" t="str">
        <f t="shared" si="175"/>
        <v>Design</v>
      </c>
      <c r="IE51" s="250" t="str">
        <f t="shared" si="175"/>
        <v>Design</v>
      </c>
      <c r="IF51" s="250" t="str">
        <f t="shared" si="175"/>
        <v>Design</v>
      </c>
      <c r="IG51" s="250" t="str">
        <f t="shared" si="175"/>
        <v>Design</v>
      </c>
      <c r="IH51" s="250" t="str">
        <f t="shared" si="175"/>
        <v>Design</v>
      </c>
      <c r="II51" s="250" t="str">
        <f t="shared" si="175"/>
        <v>Design</v>
      </c>
      <c r="IJ51" s="250" t="str">
        <f t="shared" si="175"/>
        <v>Design</v>
      </c>
      <c r="IK51" s="250" t="str">
        <f t="shared" si="175"/>
        <v>Design</v>
      </c>
      <c r="IL51" s="250" t="str">
        <f t="shared" si="175"/>
        <v>Design</v>
      </c>
      <c r="IM51" s="250" t="str">
        <f t="shared" si="175"/>
        <v>Design</v>
      </c>
      <c r="IN51" s="250" t="str">
        <f t="shared" si="175"/>
        <v>Design</v>
      </c>
      <c r="IO51" s="250" t="str">
        <f t="shared" si="175"/>
        <v>Design</v>
      </c>
      <c r="IP51" s="250" t="str">
        <f t="shared" si="175"/>
        <v>Design</v>
      </c>
      <c r="IQ51" s="250" t="str">
        <f t="shared" si="175"/>
        <v>Design</v>
      </c>
      <c r="IR51" s="250" t="str">
        <f t="shared" si="175"/>
        <v>Design</v>
      </c>
      <c r="IS51" s="250" t="str">
        <f t="shared" si="175"/>
        <v>Design</v>
      </c>
      <c r="IT51" s="250" t="str">
        <f t="shared" si="175"/>
        <v>Design</v>
      </c>
      <c r="IU51" s="250" t="str">
        <f t="shared" si="175"/>
        <v>Design</v>
      </c>
      <c r="IV51" s="250" t="str">
        <f t="shared" si="175"/>
        <v>Design</v>
      </c>
      <c r="IW51" s="250" t="str">
        <f t="shared" si="175"/>
        <v>Design</v>
      </c>
      <c r="IX51" s="250" t="str">
        <f t="shared" si="175"/>
        <v>Design</v>
      </c>
      <c r="IY51" s="250" t="str">
        <f t="shared" si="175"/>
        <v>Design</v>
      </c>
      <c r="IZ51" s="250" t="str">
        <f t="shared" si="175"/>
        <v>Design</v>
      </c>
      <c r="JA51" s="250" t="str">
        <f t="shared" si="175"/>
        <v>Design</v>
      </c>
      <c r="JB51" s="250" t="str">
        <f t="shared" si="175"/>
        <v>Design</v>
      </c>
      <c r="JC51" s="250" t="str">
        <f t="shared" si="175"/>
        <v>Design</v>
      </c>
      <c r="JD51" s="250" t="str">
        <f t="shared" si="175"/>
        <v>Design</v>
      </c>
      <c r="JE51" s="250" t="str">
        <f t="shared" si="175"/>
        <v>Design</v>
      </c>
      <c r="JF51" s="250" t="str">
        <f t="shared" si="175"/>
        <v>Design</v>
      </c>
      <c r="JG51" s="250" t="str">
        <f t="shared" si="175"/>
        <v>Design</v>
      </c>
      <c r="JH51" s="250" t="str">
        <f t="shared" si="175"/>
        <v>Design</v>
      </c>
      <c r="JI51" s="250" t="str">
        <f t="shared" si="175"/>
        <v>Design</v>
      </c>
      <c r="JJ51" s="250" t="str">
        <f t="shared" si="175"/>
        <v>Design</v>
      </c>
      <c r="JM51" s="191" t="str">
        <f t="shared" ref="JM51" si="176">+$B51</f>
        <v>Design</v>
      </c>
      <c r="JN51" s="192"/>
      <c r="JO51" s="141" t="str">
        <f>+$E51</f>
        <v>Completed to Week</v>
      </c>
      <c r="JP51" s="141">
        <f>+$F51</f>
        <v>42</v>
      </c>
      <c r="JQ51" s="141"/>
      <c r="JR51" s="250" t="str">
        <f t="shared" ref="JR51:LR51" si="177">+$B51</f>
        <v>Design</v>
      </c>
      <c r="JS51" s="250" t="str">
        <f t="shared" si="177"/>
        <v>Design</v>
      </c>
      <c r="JT51" s="250" t="str">
        <f t="shared" si="177"/>
        <v>Design</v>
      </c>
      <c r="JU51" s="250" t="str">
        <f t="shared" si="177"/>
        <v>Design</v>
      </c>
      <c r="JV51" s="250" t="str">
        <f t="shared" si="177"/>
        <v>Design</v>
      </c>
      <c r="JW51" s="250" t="str">
        <f t="shared" si="177"/>
        <v>Design</v>
      </c>
      <c r="JX51" s="250" t="str">
        <f t="shared" si="177"/>
        <v>Design</v>
      </c>
      <c r="JY51" s="250" t="str">
        <f t="shared" si="177"/>
        <v>Design</v>
      </c>
      <c r="JZ51" s="250" t="str">
        <f t="shared" si="177"/>
        <v>Design</v>
      </c>
      <c r="KA51" s="250" t="str">
        <f t="shared" si="177"/>
        <v>Design</v>
      </c>
      <c r="KB51" s="250" t="str">
        <f t="shared" si="177"/>
        <v>Design</v>
      </c>
      <c r="KC51" s="250" t="str">
        <f t="shared" si="177"/>
        <v>Design</v>
      </c>
      <c r="KD51" s="250" t="str">
        <f t="shared" si="177"/>
        <v>Design</v>
      </c>
      <c r="KE51" s="250" t="str">
        <f t="shared" si="177"/>
        <v>Design</v>
      </c>
      <c r="KF51" s="250" t="str">
        <f t="shared" si="177"/>
        <v>Design</v>
      </c>
      <c r="KG51" s="250" t="str">
        <f t="shared" si="177"/>
        <v>Design</v>
      </c>
      <c r="KH51" s="250" t="str">
        <f t="shared" si="177"/>
        <v>Design</v>
      </c>
      <c r="KI51" s="250" t="str">
        <f t="shared" si="177"/>
        <v>Design</v>
      </c>
      <c r="KJ51" s="250" t="str">
        <f t="shared" si="177"/>
        <v>Design</v>
      </c>
      <c r="KK51" s="250" t="str">
        <f t="shared" si="177"/>
        <v>Design</v>
      </c>
      <c r="KL51" s="250" t="str">
        <f t="shared" si="177"/>
        <v>Design</v>
      </c>
      <c r="KM51" s="250" t="str">
        <f t="shared" si="177"/>
        <v>Design</v>
      </c>
      <c r="KN51" s="250" t="str">
        <f t="shared" si="177"/>
        <v>Design</v>
      </c>
      <c r="KO51" s="250" t="str">
        <f t="shared" si="177"/>
        <v>Design</v>
      </c>
      <c r="KP51" s="250" t="str">
        <f t="shared" si="177"/>
        <v>Design</v>
      </c>
      <c r="KQ51" s="250" t="str">
        <f t="shared" si="177"/>
        <v>Design</v>
      </c>
      <c r="KR51" s="250" t="str">
        <f t="shared" si="177"/>
        <v>Design</v>
      </c>
      <c r="KS51" s="250" t="str">
        <f t="shared" si="177"/>
        <v>Design</v>
      </c>
      <c r="KT51" s="250" t="str">
        <f t="shared" si="177"/>
        <v>Design</v>
      </c>
      <c r="KU51" s="250" t="str">
        <f t="shared" si="177"/>
        <v>Design</v>
      </c>
      <c r="KV51" s="250" t="str">
        <f t="shared" si="177"/>
        <v>Design</v>
      </c>
      <c r="KW51" s="250" t="str">
        <f t="shared" si="177"/>
        <v>Design</v>
      </c>
      <c r="KX51" s="250" t="str">
        <f t="shared" si="177"/>
        <v>Design</v>
      </c>
      <c r="KY51" s="250" t="str">
        <f t="shared" si="177"/>
        <v>Design</v>
      </c>
      <c r="KZ51" s="250" t="str">
        <f t="shared" si="177"/>
        <v>Design</v>
      </c>
      <c r="LA51" s="250" t="str">
        <f t="shared" si="177"/>
        <v>Design</v>
      </c>
      <c r="LB51" s="250" t="str">
        <f t="shared" si="177"/>
        <v>Design</v>
      </c>
      <c r="LC51" s="250" t="str">
        <f t="shared" si="177"/>
        <v>Design</v>
      </c>
      <c r="LD51" s="250" t="str">
        <f t="shared" si="177"/>
        <v>Design</v>
      </c>
      <c r="LE51" s="250" t="str">
        <f t="shared" si="177"/>
        <v>Design</v>
      </c>
      <c r="LF51" s="250" t="str">
        <f t="shared" si="177"/>
        <v>Design</v>
      </c>
      <c r="LG51" s="250" t="str">
        <f t="shared" si="177"/>
        <v>Design</v>
      </c>
      <c r="LH51" s="250" t="str">
        <f t="shared" si="177"/>
        <v>Design</v>
      </c>
      <c r="LI51" s="250" t="str">
        <f t="shared" si="177"/>
        <v>Design</v>
      </c>
      <c r="LJ51" s="250" t="str">
        <f t="shared" si="177"/>
        <v>Design</v>
      </c>
      <c r="LK51" s="250" t="str">
        <f t="shared" si="177"/>
        <v>Design</v>
      </c>
      <c r="LL51" s="250" t="str">
        <f t="shared" si="177"/>
        <v>Design</v>
      </c>
      <c r="LM51" s="250" t="str">
        <f t="shared" si="177"/>
        <v>Design</v>
      </c>
      <c r="LN51" s="250" t="str">
        <f t="shared" si="177"/>
        <v>Design</v>
      </c>
      <c r="LO51" s="250" t="str">
        <f t="shared" si="177"/>
        <v>Design</v>
      </c>
      <c r="LP51" s="250" t="str">
        <f t="shared" si="177"/>
        <v>Design</v>
      </c>
      <c r="LQ51" s="250" t="str">
        <f t="shared" si="177"/>
        <v>Design</v>
      </c>
      <c r="LR51" s="250" t="str">
        <f t="shared" si="177"/>
        <v>Design</v>
      </c>
      <c r="LT51" s="191" t="str">
        <f>+$B51</f>
        <v>Design</v>
      </c>
      <c r="LU51" s="192"/>
      <c r="LV51" s="141" t="str">
        <f>+$E51</f>
        <v>Completed to Week</v>
      </c>
      <c r="LW51" s="141">
        <f>+$F51</f>
        <v>42</v>
      </c>
      <c r="LX51" s="141"/>
      <c r="LY51" s="197" t="str">
        <f t="shared" ref="LY51:NY51" si="178">+$B51</f>
        <v>Design</v>
      </c>
      <c r="LZ51" s="197" t="str">
        <f t="shared" si="178"/>
        <v>Design</v>
      </c>
      <c r="MA51" s="197" t="str">
        <f t="shared" si="178"/>
        <v>Design</v>
      </c>
      <c r="MB51" s="197" t="str">
        <f t="shared" si="178"/>
        <v>Design</v>
      </c>
      <c r="MC51" s="197" t="str">
        <f t="shared" si="178"/>
        <v>Design</v>
      </c>
      <c r="MD51" s="197" t="str">
        <f t="shared" si="178"/>
        <v>Design</v>
      </c>
      <c r="ME51" s="197" t="str">
        <f t="shared" si="178"/>
        <v>Design</v>
      </c>
      <c r="MF51" s="197" t="str">
        <f t="shared" si="178"/>
        <v>Design</v>
      </c>
      <c r="MG51" s="197" t="str">
        <f t="shared" si="178"/>
        <v>Design</v>
      </c>
      <c r="MH51" s="197" t="str">
        <f t="shared" si="178"/>
        <v>Design</v>
      </c>
      <c r="MI51" s="197" t="str">
        <f t="shared" si="178"/>
        <v>Design</v>
      </c>
      <c r="MJ51" s="197" t="str">
        <f t="shared" si="178"/>
        <v>Design</v>
      </c>
      <c r="MK51" s="197" t="str">
        <f t="shared" si="178"/>
        <v>Design</v>
      </c>
      <c r="ML51" s="197" t="str">
        <f t="shared" si="178"/>
        <v>Design</v>
      </c>
      <c r="MM51" s="197" t="str">
        <f t="shared" si="178"/>
        <v>Design</v>
      </c>
      <c r="MN51" s="197" t="str">
        <f t="shared" si="178"/>
        <v>Design</v>
      </c>
      <c r="MO51" s="197" t="str">
        <f t="shared" si="178"/>
        <v>Design</v>
      </c>
      <c r="MP51" s="197" t="str">
        <f t="shared" si="178"/>
        <v>Design</v>
      </c>
      <c r="MQ51" s="197" t="str">
        <f t="shared" si="178"/>
        <v>Design</v>
      </c>
      <c r="MR51" s="197" t="str">
        <f t="shared" si="178"/>
        <v>Design</v>
      </c>
      <c r="MS51" s="197" t="str">
        <f t="shared" si="178"/>
        <v>Design</v>
      </c>
      <c r="MT51" s="197" t="str">
        <f t="shared" si="178"/>
        <v>Design</v>
      </c>
      <c r="MU51" s="197" t="str">
        <f t="shared" si="178"/>
        <v>Design</v>
      </c>
      <c r="MV51" s="197" t="str">
        <f t="shared" si="178"/>
        <v>Design</v>
      </c>
      <c r="MW51" s="197" t="str">
        <f t="shared" si="178"/>
        <v>Design</v>
      </c>
      <c r="MX51" s="197" t="str">
        <f t="shared" si="178"/>
        <v>Design</v>
      </c>
      <c r="MY51" s="197" t="str">
        <f t="shared" si="178"/>
        <v>Design</v>
      </c>
      <c r="MZ51" s="197" t="str">
        <f t="shared" si="178"/>
        <v>Design</v>
      </c>
      <c r="NA51" s="197" t="str">
        <f t="shared" si="178"/>
        <v>Design</v>
      </c>
      <c r="NB51" s="197" t="str">
        <f t="shared" si="178"/>
        <v>Design</v>
      </c>
      <c r="NC51" s="197" t="str">
        <f t="shared" si="178"/>
        <v>Design</v>
      </c>
      <c r="ND51" s="197" t="str">
        <f t="shared" si="178"/>
        <v>Design</v>
      </c>
      <c r="NE51" s="197" t="str">
        <f t="shared" si="178"/>
        <v>Design</v>
      </c>
      <c r="NF51" s="197" t="str">
        <f t="shared" si="178"/>
        <v>Design</v>
      </c>
      <c r="NG51" s="197" t="str">
        <f t="shared" si="178"/>
        <v>Design</v>
      </c>
      <c r="NH51" s="197" t="str">
        <f t="shared" si="178"/>
        <v>Design</v>
      </c>
      <c r="NI51" s="197" t="str">
        <f t="shared" si="178"/>
        <v>Design</v>
      </c>
      <c r="NJ51" s="197" t="str">
        <f t="shared" si="178"/>
        <v>Design</v>
      </c>
      <c r="NK51" s="197" t="str">
        <f t="shared" si="178"/>
        <v>Design</v>
      </c>
      <c r="NL51" s="197" t="str">
        <f t="shared" si="178"/>
        <v>Design</v>
      </c>
      <c r="NM51" s="197" t="str">
        <f t="shared" si="178"/>
        <v>Design</v>
      </c>
      <c r="NN51" s="197" t="str">
        <f t="shared" si="178"/>
        <v>Design</v>
      </c>
      <c r="NO51" s="197" t="str">
        <f t="shared" si="178"/>
        <v>Design</v>
      </c>
      <c r="NP51" s="197" t="str">
        <f t="shared" si="178"/>
        <v>Design</v>
      </c>
      <c r="NQ51" s="197" t="str">
        <f t="shared" si="178"/>
        <v>Design</v>
      </c>
      <c r="NR51" s="197" t="str">
        <f t="shared" si="178"/>
        <v>Design</v>
      </c>
      <c r="NS51" s="197" t="str">
        <f t="shared" si="178"/>
        <v>Design</v>
      </c>
      <c r="NT51" s="197" t="str">
        <f t="shared" si="178"/>
        <v>Design</v>
      </c>
      <c r="NU51" s="197" t="str">
        <f t="shared" si="178"/>
        <v>Design</v>
      </c>
      <c r="NV51" s="197" t="str">
        <f t="shared" si="178"/>
        <v>Design</v>
      </c>
      <c r="NW51" s="197" t="str">
        <f t="shared" si="178"/>
        <v>Design</v>
      </c>
      <c r="NX51" s="197" t="str">
        <f t="shared" si="178"/>
        <v>Design</v>
      </c>
      <c r="NY51" s="197" t="str">
        <f t="shared" si="178"/>
        <v>Design</v>
      </c>
    </row>
    <row r="52" spans="1:389" x14ac:dyDescent="0.3">
      <c r="A52" t="str">
        <f>$B$51&amp;"-"&amp;C52</f>
        <v>Design-KPI P1</v>
      </c>
      <c r="B52" s="917" t="str">
        <f>+'KPI Stats'!B30</f>
        <v>Design &amp; R&amp;D</v>
      </c>
      <c r="C52" s="133" t="str">
        <f>+'KPI Stats'!C30</f>
        <v>KPI P1</v>
      </c>
      <c r="D52" s="142" t="str">
        <f>+'KPI Stats'!D30</f>
        <v>Productivity</v>
      </c>
      <c r="E52" s="142" t="str">
        <f>+'KPI Stats'!E30</f>
        <v>Design requests closed</v>
      </c>
      <c r="F52" s="143" t="str">
        <f>+'KPI Stats'!F30</f>
        <v>Count</v>
      </c>
      <c r="G52" s="168" t="str">
        <f>+'KPI Stats'!G30</f>
        <v>Under</v>
      </c>
      <c r="J52" s="159" t="str">
        <f>_xlfn.XLOOKUP(J$7,$AM$7:$CM$7,$AM52:$CM52,,FALSE)</f>
        <v>R</v>
      </c>
      <c r="K52" s="262">
        <f>_xlfn.XLOOKUP(K$7,$FC$7:$HC$7,$FC52:$HC52,,FALSE)</f>
        <v>24</v>
      </c>
      <c r="L52" s="277">
        <f>_xlfn.XLOOKUP(L$7,$HJ$7:$JJ$7,$HJ52:$JJ52,,FALSE)</f>
        <v>35</v>
      </c>
      <c r="M52" s="271">
        <f>IFERROR(_xlfn.XLOOKUP(M$7,$CU$7:$EU$7,$CU52:$EU52,,FALSE),"")</f>
        <v>0.68571428571428572</v>
      </c>
      <c r="P52" s="159" t="str">
        <f>_xlfn.XLOOKUP(P$7,$AM$7:$CM$7,$AM52:$CM52,,FALSE)</f>
        <v>R</v>
      </c>
      <c r="Q52" s="262">
        <f t="shared" ref="Q52:R55" si="179">_xlfn.XLOOKUP(Q$7,$FC$7:$HC$7,$FC52:$HC52,FALSE)</f>
        <v>24</v>
      </c>
      <c r="R52" s="277">
        <f t="shared" si="179"/>
        <v>27</v>
      </c>
      <c r="S52" s="287">
        <f>IFERROR(_xlfn.XLOOKUP(S$7,$CU$7:$EU$7,$CU52:$EU52,,FALSE),"")</f>
        <v>0.68571428571428572</v>
      </c>
      <c r="T52" s="263">
        <f>_xlfn.XLOOKUP(T$7,$CU$7:$EU$7,$CU52:$EU52,,FALSE)</f>
        <v>0.77142857142857146</v>
      </c>
      <c r="U52" s="294" t="str">
        <f>IF(F51&lt;$R$2,"Not Complete",IF(Q52=R52,"Same −",IF($G52="Over",IF(Q52&lt;R52,"Better ↑","Worse ↓"),IF($G52="Under",IF(Q52&gt;R52,"Better ↑","Worse ↓"),"err"))))</f>
        <v>Worse ↓</v>
      </c>
      <c r="X52" s="159" t="str">
        <f t="shared" ref="X52:X55" si="180">IF(Y52="","",IF(Y52="Blank","",IF(AND(G52="above zero",Y52&gt;0),"R",IF(AA52&gt;1,"G",IF(AA52&gt;0.95,"A","R")))))</f>
        <v>R</v>
      </c>
      <c r="Y52" s="262">
        <f>_xlfn.XLOOKUP(Y$7,$JR$7:$LR$7,$JR52:$LR52,FALSE)</f>
        <v>30.048780487804876</v>
      </c>
      <c r="Z52" s="277">
        <f>_xlfn.XLOOKUP(Z$7,$LY$7:$NY$7,$LY52:$NY52,FALSE)</f>
        <v>35</v>
      </c>
      <c r="AA52" s="271">
        <f>IF(G52="under",Y52/Z52,IF(G52="over",Z52/Y52,"err"))</f>
        <v>0.85853658536585364</v>
      </c>
      <c r="AB52" s="294" t="str">
        <f t="shared" ref="AB52" si="181">IF(F51&lt;$R$2,"TBC",IF(Y52=Z52,"Same −",IF($G52="Over",IF(Z52&lt;Y52,"Better ↑ ","Worse ↓ "),IF($G52="Under",IF(Y52&gt;Z52,"Better ↑ ","Worse ↓ "),"err"))))</f>
        <v xml:space="preserve">Worse ↓ </v>
      </c>
      <c r="AC52" s="159" t="str">
        <f>IF(AND(G52="above adero",AD52&gt;0),"R",IF(AF52&gt;1,"G",IF(AF52&gt;0.95,"A","R")))</f>
        <v>R</v>
      </c>
      <c r="AD52" s="161">
        <f>_xlfn.XLOOKUP(AD$7,$JR$7:$LR$7,$JR52:$LR52,FALSE)</f>
        <v>30.2</v>
      </c>
      <c r="AE52" s="161">
        <f>_xlfn.XLOOKUP(AE$7,$LY$7:$NY$7,$LY52:$NY52,FALSE)</f>
        <v>35</v>
      </c>
      <c r="AF52" s="259">
        <f>IF(G52="under",AD52/AE52,IF(G52="over",AE52/AD52,"err"))</f>
        <v>0.86285714285714288</v>
      </c>
      <c r="AH52" s="465" t="str">
        <f>+$A52</f>
        <v>Design-KPI P1</v>
      </c>
      <c r="AI52" s="133" t="str">
        <f t="shared" ref="AI52:AJ55" si="182">+C52</f>
        <v>KPI P1</v>
      </c>
      <c r="AJ52" s="142" t="str">
        <f t="shared" si="182"/>
        <v>Productivity</v>
      </c>
      <c r="AK52" s="142" t="str">
        <f t="shared" si="168"/>
        <v>Design requests closed</v>
      </c>
      <c r="AL52" s="143" t="str">
        <f t="shared" si="168"/>
        <v>Count</v>
      </c>
      <c r="AM52" s="159" t="str">
        <f>IF(AM$7&gt;$D$3,"",_xlfn.XLOOKUP(AM$7,Design!$M$6:$BM$6,Design!$M$10:$BM$10))</f>
        <v>Blank</v>
      </c>
      <c r="AN52" s="198" t="str">
        <f>IF(AN$7&gt;$D$3,"",_xlfn.XLOOKUP(AN$7,Design!$M$6:$BM$6,Design!$M$10:$BM$10))</f>
        <v>R</v>
      </c>
      <c r="AO52" s="159" t="str">
        <f>IF(AO$7&gt;$D$3,"",_xlfn.XLOOKUP(AO$7,Design!$M$6:$BM$6,Design!$M$10:$BM$10))</f>
        <v>R</v>
      </c>
      <c r="AP52" s="159" t="str">
        <f>IF(AP$7&gt;$D$3,"",_xlfn.XLOOKUP(AP$7,Design!$M$6:$BM$6,Design!$M$10:$BM$10))</f>
        <v>R</v>
      </c>
      <c r="AQ52" s="159" t="str">
        <f>IF(AQ$7&gt;$D$3,"",_xlfn.XLOOKUP(AQ$7,Design!$M$6:$BM$6,Design!$M$10:$BM$10))</f>
        <v>G</v>
      </c>
      <c r="AR52" s="159" t="str">
        <f>IF(AR$7&gt;$D$3,"",_xlfn.XLOOKUP(AR$7,Design!$M$6:$BM$6,Design!$M$10:$BM$10))</f>
        <v>G</v>
      </c>
      <c r="AS52" s="159" t="str">
        <f>IF(AS$7&gt;$D$3,"",_xlfn.XLOOKUP(AS$7,Design!$M$6:$BM$6,Design!$M$10:$BM$10))</f>
        <v>G</v>
      </c>
      <c r="AT52" s="159" t="str">
        <f>IF(AT$7&gt;$D$3,"",_xlfn.XLOOKUP(AT$7,Design!$M$6:$BM$6,Design!$M$10:$BM$10))</f>
        <v>R</v>
      </c>
      <c r="AU52" s="159" t="str">
        <f>IF(AU$7&gt;$D$3,"",_xlfn.XLOOKUP(AU$7,Design!$M$6:$BM$6,Design!$M$10:$BM$10))</f>
        <v>R</v>
      </c>
      <c r="AV52" s="159" t="str">
        <f>IF(AV$7&gt;$D$3,"",_xlfn.XLOOKUP(AV$7,Design!$M$6:$BM$6,Design!$M$10:$BM$10))</f>
        <v>R</v>
      </c>
      <c r="AW52" s="159" t="str">
        <f>IF(AW$7&gt;$D$3,"",_xlfn.XLOOKUP(AW$7,Design!$M$6:$BM$6,Design!$M$10:$BM$10))</f>
        <v>G</v>
      </c>
      <c r="AX52" s="159" t="str">
        <f>IF(AX$7&gt;$D$3,"",_xlfn.XLOOKUP(AX$7,Design!$M$6:$BM$6,Design!$M$10:$BM$10))</f>
        <v>R</v>
      </c>
      <c r="AY52" s="159" t="str">
        <f>IF(AY$7&gt;$D$3,"",_xlfn.XLOOKUP(AY$7,Design!$M$6:$BM$6,Design!$M$10:$BM$10))</f>
        <v>G</v>
      </c>
      <c r="AZ52" s="159" t="str">
        <f>IF(AZ$7&gt;$D$3,"",_xlfn.XLOOKUP(AZ$7,Design!$M$6:$BM$6,Design!$M$10:$BM$10))</f>
        <v>G</v>
      </c>
      <c r="BA52" s="159" t="str">
        <f>IF(BA$7&gt;$D$3,"",_xlfn.XLOOKUP(BA$7,Design!$M$6:$BM$6,Design!$M$10:$BM$10))</f>
        <v>G</v>
      </c>
      <c r="BB52" s="159" t="str">
        <f>IF(BB$7&gt;$D$3,"",_xlfn.XLOOKUP(BB$7,Design!$M$6:$BM$6,Design!$M$10:$BM$10))</f>
        <v>R</v>
      </c>
      <c r="BC52" s="159" t="str">
        <f>IF(BC$7&gt;$D$3,"",_xlfn.XLOOKUP(BC$7,Design!$M$6:$BM$6,Design!$M$10:$BM$10))</f>
        <v>R</v>
      </c>
      <c r="BD52" s="159" t="str">
        <f>IF(BD$7&gt;$D$3,"",_xlfn.XLOOKUP(BD$7,Design!$M$6:$BM$6,Design!$M$10:$BM$10))</f>
        <v>R</v>
      </c>
      <c r="BE52" s="159" t="str">
        <f>IF(BE$7&gt;$D$3,"",_xlfn.XLOOKUP(BE$7,Design!$M$6:$BM$6,Design!$M$10:$BM$10))</f>
        <v>A</v>
      </c>
      <c r="BF52" s="159" t="str">
        <f>IF(BF$7&gt;$D$3,"",_xlfn.XLOOKUP(BF$7,Design!$M$6:$BM$6,Design!$M$10:$BM$10))</f>
        <v>G</v>
      </c>
      <c r="BG52" s="159" t="str">
        <f>IF(BG$7&gt;$D$3,"",_xlfn.XLOOKUP(BG$7,Design!$M$6:$BM$6,Design!$M$10:$BM$10))</f>
        <v>G</v>
      </c>
      <c r="BH52" s="159" t="str">
        <f>IF(BH$7&gt;$D$3,"",_xlfn.XLOOKUP(BH$7,Design!$M$6:$BM$6,Design!$M$10:$BM$10))</f>
        <v>R</v>
      </c>
      <c r="BI52" s="159" t="str">
        <f>IF(BI$7&gt;$D$3,"",_xlfn.XLOOKUP(BI$7,Design!$M$6:$BM$6,Design!$M$10:$BM$10))</f>
        <v>R</v>
      </c>
      <c r="BJ52" s="159" t="str">
        <f>IF(BJ$7&gt;$D$3,"",_xlfn.XLOOKUP(BJ$7,Design!$M$6:$BM$6,Design!$M$10:$BM$10))</f>
        <v>R</v>
      </c>
      <c r="BK52" s="159" t="str">
        <f>IF(BK$7&gt;$D$3,"",_xlfn.XLOOKUP(BK$7,Design!$M$6:$BM$6,Design!$M$10:$BM$10))</f>
        <v>R</v>
      </c>
      <c r="BL52" s="159" t="str">
        <f>IF(BL$7&gt;$D$3,"",_xlfn.XLOOKUP(BL$7,Design!$M$6:$BM$6,Design!$M$10:$BM$10))</f>
        <v>G</v>
      </c>
      <c r="BM52" s="159" t="str">
        <f>IF(BM$7&gt;$D$3,"",_xlfn.XLOOKUP(BM$7,Design!$M$6:$BM$6,Design!$M$10:$BM$10))</f>
        <v>G</v>
      </c>
      <c r="BN52" s="159" t="str">
        <f>IF(BN$7&gt;$D$3,"",_xlfn.XLOOKUP(BN$7,Design!$M$6:$BM$6,Design!$M$10:$BM$10))</f>
        <v>R</v>
      </c>
      <c r="BO52" s="159" t="str">
        <f>IF(BO$7&gt;$D$3,"",_xlfn.XLOOKUP(BO$7,Design!$M$6:$BM$6,Design!$M$10:$BM$10))</f>
        <v>R</v>
      </c>
      <c r="BP52" s="159" t="str">
        <f>IF(BP$7&gt;$D$3,"",_xlfn.XLOOKUP(BP$7,Design!$M$6:$BM$6,Design!$M$10:$BM$10))</f>
        <v>G</v>
      </c>
      <c r="BQ52" s="159" t="str">
        <f>IF(BQ$7&gt;$D$3,"",_xlfn.XLOOKUP(BQ$7,Design!$M$6:$BM$6,Design!$M$10:$BM$10))</f>
        <v>R</v>
      </c>
      <c r="BR52" s="159" t="str">
        <f>IF(BR$7&gt;$D$3,"",_xlfn.XLOOKUP(BR$7,Design!$M$6:$BM$6,Design!$M$10:$BM$10))</f>
        <v>R</v>
      </c>
      <c r="BS52" s="159" t="str">
        <f>IF(BS$7&gt;$D$3,"",_xlfn.XLOOKUP(BS$7,Design!$M$6:$BM$6,Design!$M$10:$BM$10))</f>
        <v>R</v>
      </c>
      <c r="BT52" s="159" t="str">
        <f>IF(BT$7&gt;$D$3,"",_xlfn.XLOOKUP(BT$7,Design!$M$6:$BM$6,Design!$M$10:$BM$10))</f>
        <v>R</v>
      </c>
      <c r="BU52" s="159" t="str">
        <f>IF(BU$7&gt;$D$3,"",_xlfn.XLOOKUP(BU$7,Design!$M$6:$BM$6,Design!$M$10:$BM$10))</f>
        <v>G</v>
      </c>
      <c r="BV52" s="159" t="str">
        <f>IF(BV$7&gt;$D$3,"",_xlfn.XLOOKUP(BV$7,Design!$M$6:$BM$6,Design!$M$10:$BM$10))</f>
        <v>R</v>
      </c>
      <c r="BW52" s="159" t="str">
        <f>IF(BW$7&gt;$D$3,"",_xlfn.XLOOKUP(BW$7,Design!$M$6:$BM$6,Design!$M$10:$BM$10))</f>
        <v>R</v>
      </c>
      <c r="BX52" s="159" t="str">
        <f>IF(BX$7&gt;$D$3,"",_xlfn.XLOOKUP(BX$7,Design!$M$6:$BM$6,Design!$M$10:$BM$10))</f>
        <v>R</v>
      </c>
      <c r="BY52" s="159" t="str">
        <f>IF(BY$7&gt;$D$3,"",_xlfn.XLOOKUP(BY$7,Design!$M$6:$BM$6,Design!$M$10:$BM$10))</f>
        <v>R</v>
      </c>
      <c r="BZ52" s="159" t="str">
        <f>IF(BZ$7&gt;$D$3,"",_xlfn.XLOOKUP(BZ$7,Design!$M$6:$BM$6,Design!$M$10:$BM$10))</f>
        <v>R</v>
      </c>
      <c r="CA52" s="159" t="str">
        <f>IF(CA$7&gt;$D$3,"",_xlfn.XLOOKUP(CA$7,Design!$M$6:$BM$6,Design!$M$10:$BM$10))</f>
        <v>R</v>
      </c>
      <c r="CB52" s="159" t="str">
        <f>IF(CB$7&gt;$D$3,"",_xlfn.XLOOKUP(CB$7,Design!$M$6:$BM$6,Design!$M$10:$BM$10))</f>
        <v>R</v>
      </c>
      <c r="CC52" s="159" t="str">
        <f>IF(CC$7&gt;$D$3,"",_xlfn.XLOOKUP(CC$7,Design!$M$6:$BM$6,Design!$M$10:$BM$10))</f>
        <v/>
      </c>
      <c r="CD52" s="159" t="str">
        <f>IF(CD$7&gt;$D$3,"",_xlfn.XLOOKUP(CD$7,Design!$M$6:$BM$6,Design!$M$10:$BM$10))</f>
        <v/>
      </c>
      <c r="CE52" s="159" t="str">
        <f>IF(CE$7&gt;$D$3,"",_xlfn.XLOOKUP(CE$7,Design!$M$6:$BM$6,Design!$M$10:$BM$10))</f>
        <v/>
      </c>
      <c r="CF52" s="159" t="str">
        <f>IF(CF$7&gt;$D$3,"",_xlfn.XLOOKUP(CF$7,Design!$M$6:$BM$6,Design!$M$10:$BM$10))</f>
        <v/>
      </c>
      <c r="CG52" s="159" t="str">
        <f>IF(CG$7&gt;$D$3,"",_xlfn.XLOOKUP(CG$7,Design!$M$6:$BM$6,Design!$M$10:$BM$10))</f>
        <v/>
      </c>
      <c r="CH52" s="159" t="str">
        <f>IF(CH$7&gt;$D$3,"",_xlfn.XLOOKUP(CH$7,Design!$M$6:$BM$6,Design!$M$10:$BM$10))</f>
        <v/>
      </c>
      <c r="CI52" s="159" t="str">
        <f>IF(CI$7&gt;$D$3,"",_xlfn.XLOOKUP(CI$7,Design!$M$6:$BM$6,Design!$M$10:$BM$10))</f>
        <v/>
      </c>
      <c r="CJ52" s="159" t="str">
        <f>IF(CJ$7&gt;$D$3,"",_xlfn.XLOOKUP(CJ$7,Design!$M$6:$BM$6,Design!$M$10:$BM$10))</f>
        <v/>
      </c>
      <c r="CK52" s="159" t="str">
        <f>IF(CK$7&gt;$D$3,"",_xlfn.XLOOKUP(CK$7,Design!$M$6:$BM$6,Design!$M$10:$BM$10))</f>
        <v/>
      </c>
      <c r="CL52" s="159" t="str">
        <f>IF(CL$7&gt;$D$3,"",_xlfn.XLOOKUP(CL$7,Design!$M$6:$BM$6,Design!$M$10:$BM$10))</f>
        <v/>
      </c>
      <c r="CM52" s="159" t="str">
        <f>IF(CM$7&gt;$D$3,"",_xlfn.XLOOKUP(CM$7,Design!$M$6:$BM$6,Design!$M$10:$BM$10))</f>
        <v/>
      </c>
      <c r="CO52" s="465" t="str">
        <f>+$A52</f>
        <v>Design-KPI P1</v>
      </c>
      <c r="CP52" s="133" t="str">
        <f t="shared" ref="CP52:CQ55" si="183">+C52</f>
        <v>KPI P1</v>
      </c>
      <c r="CQ52" s="142" t="str">
        <f t="shared" si="183"/>
        <v>Productivity</v>
      </c>
      <c r="CR52" s="142" t="str">
        <f t="shared" si="170"/>
        <v>Design requests closed</v>
      </c>
      <c r="CS52" s="143" t="str">
        <f t="shared" si="170"/>
        <v>Count</v>
      </c>
      <c r="CT52" s="206" t="s">
        <v>246</v>
      </c>
      <c r="CU52" s="624" t="str">
        <f>IF(CU$7&gt;$D$3,"",_xlfn.XLOOKUP(CU$7,Design!$M$6:$BM$6,Design!$M$10:$BM$10))</f>
        <v>Blank</v>
      </c>
      <c r="CV52" s="323" cm="1">
        <f t="array" ref="CV52">IFERROR(IF(CV$7&gt;$D$3,"",IF(AN52="OD","OD",IF(AN52="OD","OD",IF(AN52="OD","OD",IF(AN52="OD","OD",_xlfn.XLOOKUP(CV$7,Design!$M$6:$BM$6,Design!$M$9:$BM$9/_xlfn.XLOOKUP(CV$7,Design!$M$6:$BM$6,Design!$M$8:$BM$8))))))),0)</f>
        <v>0.94285714285714284</v>
      </c>
      <c r="CW52" s="315" cm="1">
        <f t="array" ref="CW52">IFERROR(IF(CW$7&gt;$D$3,"",IF(AO52="OD","OD",IF(AO52="OD","OD",IF(AO52="OD","OD",IF(AO52="OD","OD",_xlfn.XLOOKUP(CW$7,Design!$M$6:$BM$6,Design!$M$9:$BM$9/_xlfn.XLOOKUP(CW$7,Design!$M$6:$BM$6,Design!$M$8:$BM$8))))))),0)</f>
        <v>0.8571428571428571</v>
      </c>
      <c r="CX52" s="315" cm="1">
        <f t="array" ref="CX52">IFERROR(IF(CX$7&gt;$D$3,"",IF(AP52="OD","OD",IF(AP52="OD","OD",IF(AP52="OD","OD",IF(AP52="OD","OD",_xlfn.XLOOKUP(CX$7,Design!$M$6:$BM$6,Design!$M$9:$BM$9/_xlfn.XLOOKUP(CX$7,Design!$M$6:$BM$6,Design!$M$8:$BM$8))))))),0)</f>
        <v>0.94285714285714284</v>
      </c>
      <c r="CY52" s="315" cm="1">
        <f t="array" ref="CY52">IFERROR(IF(CY$7&gt;$D$3,"",IF(AQ52="OD","OD",IF(AQ52="OD","OD",IF(AQ52="OD","OD",IF(AQ52="OD","OD",_xlfn.XLOOKUP(CY$7,Design!$M$6:$BM$6,Design!$M$9:$BM$9/_xlfn.XLOOKUP(CY$7,Design!$M$6:$BM$6,Design!$M$8:$BM$8))))))),0)</f>
        <v>1.0285714285714285</v>
      </c>
      <c r="CZ52" s="315" cm="1">
        <f t="array" ref="CZ52">IFERROR(IF(CZ$7&gt;$D$3,"",IF(AR52="OD","OD",IF(AR52="OD","OD",IF(AR52="OD","OD",IF(AR52="OD","OD",_xlfn.XLOOKUP(CZ$7,Design!$M$6:$BM$6,Design!$M$9:$BM$9/_xlfn.XLOOKUP(CZ$7,Design!$M$6:$BM$6,Design!$M$8:$BM$8))))))),0)</f>
        <v>1.0285714285714285</v>
      </c>
      <c r="DA52" s="315" cm="1">
        <f t="array" ref="DA52">IFERROR(IF(DA$7&gt;$D$3,"",IF(AS52="OD","OD",IF(AS52="OD","OD",IF(AS52="OD","OD",IF(AS52="OD","OD",_xlfn.XLOOKUP(DA$7,Design!$M$6:$BM$6,Design!$M$9:$BM$9/_xlfn.XLOOKUP(DA$7,Design!$M$6:$BM$6,Design!$M$8:$BM$8))))))),0)</f>
        <v>1.0857142857142856</v>
      </c>
      <c r="DB52" s="315" cm="1">
        <f t="array" ref="DB52">IFERROR(IF(DB$7&gt;$D$3,"",IF(AT52="OD","OD",IF(AT52="OD","OD",IF(AT52="OD","OD",IF(AT52="OD","OD",_xlfn.XLOOKUP(DB$7,Design!$M$6:$BM$6,Design!$M$9:$BM$9/_xlfn.XLOOKUP(DB$7,Design!$M$6:$BM$6,Design!$M$8:$BM$8))))))),0)</f>
        <v>0.91428571428571426</v>
      </c>
      <c r="DC52" s="315" cm="1">
        <f t="array" ref="DC52">IFERROR(IF(DC$7&gt;$D$3,"",IF(AU52="OD","OD",IF(AU52="OD","OD",IF(AU52="OD","OD",IF(AU52="OD","OD",_xlfn.XLOOKUP(DC$7,Design!$M$6:$BM$6,Design!$M$9:$BM$9/_xlfn.XLOOKUP(DC$7,Design!$M$6:$BM$6,Design!$M$8:$BM$8))))))),0)</f>
        <v>0.88571428571428568</v>
      </c>
      <c r="DD52" s="315" cm="1">
        <f t="array" ref="DD52">IFERROR(IF(DD$7&gt;$D$3,"",IF(AV52="OD","OD",IF(AV52="OD","OD",IF(AV52="OD","OD",IF(AV52="OD","OD",_xlfn.XLOOKUP(DD$7,Design!$M$6:$BM$6,Design!$M$9:$BM$9/_xlfn.XLOOKUP(DD$7,Design!$M$6:$BM$6,Design!$M$8:$BM$8))))))),0)</f>
        <v>0.7142857142857143</v>
      </c>
      <c r="DE52" s="315" cm="1">
        <f t="array" ref="DE52">IFERROR(IF(DE$7&gt;$D$3,"",IF(AW52="OD","OD",IF(AW52="OD","OD",IF(AW52="OD","OD",IF(AW52="OD","OD",_xlfn.XLOOKUP(DE$7,Design!$M$6:$BM$6,Design!$M$9:$BM$9/_xlfn.XLOOKUP(DE$7,Design!$M$6:$BM$6,Design!$M$8:$BM$8))))))),0)</f>
        <v>1.0857142857142856</v>
      </c>
      <c r="DF52" s="315" cm="1">
        <f t="array" ref="DF52">IFERROR(IF(DF$7&gt;$D$3,"",IF(AX52="OD","OD",IF(AX52="OD","OD",IF(AX52="OD","OD",IF(AX52="OD","OD",_xlfn.XLOOKUP(DF$7,Design!$M$6:$BM$6,Design!$M$9:$BM$9/_xlfn.XLOOKUP(DF$7,Design!$M$6:$BM$6,Design!$M$8:$BM$8))))))),0)</f>
        <v>0.94285714285714284</v>
      </c>
      <c r="DG52" s="315" cm="1">
        <f t="array" ref="DG52">IFERROR(IF(DG$7&gt;$D$3,"",IF(AY52="OD","OD",IF(AY52="OD","OD",IF(AY52="OD","OD",IF(AY52="OD","OD",_xlfn.XLOOKUP(DG$7,Design!$M$6:$BM$6,Design!$M$9:$BM$9/_xlfn.XLOOKUP(DG$7,Design!$M$6:$BM$6,Design!$M$8:$BM$8))))))),0)</f>
        <v>1.0571428571428572</v>
      </c>
      <c r="DH52" s="315" cm="1">
        <f t="array" ref="DH52">IFERROR(IF(DH$7&gt;$D$3,"",IF(AZ52="OD","OD",IF(AZ52="OD","OD",IF(AZ52="OD","OD",IF(AZ52="OD","OD",_xlfn.XLOOKUP(DH$7,Design!$M$6:$BM$6,Design!$M$9:$BM$9/_xlfn.XLOOKUP(DH$7,Design!$M$6:$BM$6,Design!$M$8:$BM$8))))))),0)</f>
        <v>1</v>
      </c>
      <c r="DI52" s="315" cm="1">
        <f t="array" ref="DI52">IFERROR(IF(DI$7&gt;$D$3,"",IF(BA52="OD","OD",IF(BA52="OD","OD",IF(BA52="OD","OD",IF(BA52="OD","OD",_xlfn.XLOOKUP(DI$7,Design!$M$6:$BM$6,Design!$M$9:$BM$9/_xlfn.XLOOKUP(DI$7,Design!$M$6:$BM$6,Design!$M$8:$BM$8))))))),0)</f>
        <v>1</v>
      </c>
      <c r="DJ52" s="315" cm="1">
        <f t="array" ref="DJ52">IFERROR(IF(DJ$7&gt;$D$3,"",IF(BB52="OD","OD",IF(BB52="OD","OD",IF(BB52="OD","OD",IF(BB52="OD","OD",_xlfn.XLOOKUP(DJ$7,Design!$M$6:$BM$6,Design!$M$9:$BM$9/_xlfn.XLOOKUP(DJ$7,Design!$M$6:$BM$6,Design!$M$8:$BM$8))))))),0)</f>
        <v>0.6</v>
      </c>
      <c r="DK52" s="315" cm="1">
        <f t="array" ref="DK52">IFERROR(IF(DK$7&gt;$D$3,"",IF(BC52="OD","OD",IF(BC52="OD","OD",IF(BC52="OD","OD",IF(BC52="OD","OD",_xlfn.XLOOKUP(DK$7,Design!$M$6:$BM$6,Design!$M$9:$BM$9/_xlfn.XLOOKUP(DK$7,Design!$M$6:$BM$6,Design!$M$8:$BM$8))))))),0)</f>
        <v>0.45714285714285713</v>
      </c>
      <c r="DL52" s="315" cm="1">
        <f t="array" ref="DL52">IFERROR(IF(DL$7&gt;$D$3,"",IF(BD52="OD","OD",IF(BD52="OD","OD",IF(BD52="OD","OD",IF(BD52="OD","OD",_xlfn.XLOOKUP(DL$7,Design!$M$6:$BM$6,Design!$M$9:$BM$9/_xlfn.XLOOKUP(DL$7,Design!$M$6:$BM$6,Design!$M$8:$BM$8))))))),0)</f>
        <v>0.94285714285714284</v>
      </c>
      <c r="DM52" s="315" cm="1">
        <f t="array" ref="DM52">IFERROR(IF(DM$7&gt;$D$3,"",IF(BE52="OD","OD",IF(BE52="OD","OD",IF(BE52="OD","OD",IF(BE52="OD","OD",_xlfn.XLOOKUP(DM$7,Design!$M$6:$BM$6,Design!$M$9:$BM$9/_xlfn.XLOOKUP(DM$7,Design!$M$6:$BM$6,Design!$M$8:$BM$8))))))),0)</f>
        <v>0.97142857142857142</v>
      </c>
      <c r="DN52" s="315" cm="1">
        <f t="array" ref="DN52">IFERROR(IF(DN$7&gt;$D$3,"",IF(BF52="OD","OD",IF(BF52="OD","OD",IF(BF52="OD","OD",IF(BF52="OD","OD",_xlfn.XLOOKUP(DN$7,Design!$M$6:$BM$6,Design!$M$9:$BM$9/_xlfn.XLOOKUP(DN$7,Design!$M$6:$BM$6,Design!$M$8:$BM$8))))))),0)</f>
        <v>1.0571428571428572</v>
      </c>
      <c r="DO52" s="315" cm="1">
        <f t="array" ref="DO52">IFERROR(IF(DO$7&gt;$D$3,"",IF(BG52="OD","OD",IF(BG52="OD","OD",IF(BG52="OD","OD",IF(BG52="OD","OD",_xlfn.XLOOKUP(DO$7,Design!$M$6:$BM$6,Design!$M$9:$BM$9/_xlfn.XLOOKUP(DO$7,Design!$M$6:$BM$6,Design!$M$8:$BM$8))))))),0)</f>
        <v>1.0285714285714285</v>
      </c>
      <c r="DP52" s="315" cm="1">
        <f t="array" ref="DP52">IFERROR(IF(DP$7&gt;$D$3,"",IF(BH52="OD","OD",IF(BH52="OD","OD",IF(BH52="OD","OD",IF(BH52="OD","OD",_xlfn.XLOOKUP(DP$7,Design!$M$6:$BM$6,Design!$M$9:$BM$9/_xlfn.XLOOKUP(DP$7,Design!$M$6:$BM$6,Design!$M$8:$BM$8))))))),0)</f>
        <v>0.5714285714285714</v>
      </c>
      <c r="DQ52" s="315" cm="1">
        <f t="array" ref="DQ52">IFERROR(IF(DQ$7&gt;$D$3,"",IF(BI52="OD","OD",IF(BI52="OD","OD",IF(BI52="OD","OD",IF(BI52="OD","OD",_xlfn.XLOOKUP(DQ$7,Design!$M$6:$BM$6,Design!$M$9:$BM$9/_xlfn.XLOOKUP(DQ$7,Design!$M$6:$BM$6,Design!$M$8:$BM$8))))))),0)</f>
        <v>0.94285714285714284</v>
      </c>
      <c r="DR52" s="315" cm="1">
        <f t="array" ref="DR52">IFERROR(IF(DR$7&gt;$D$3,"",IF(BJ52="OD","OD",IF(BJ52="OD","OD",IF(BJ52="OD","OD",IF(BJ52="OD","OD",_xlfn.XLOOKUP(DR$7,Design!$M$6:$BM$6,Design!$M$9:$BM$9/_xlfn.XLOOKUP(DR$7,Design!$M$6:$BM$6,Design!$M$8:$BM$8))))))),0)</f>
        <v>0.68571428571428572</v>
      </c>
      <c r="DS52" s="315" cm="1">
        <f t="array" ref="DS52">IFERROR(IF(DS$7&gt;$D$3,"",IF(BK52="OD","OD",IF(BK52="OD","OD",IF(BK52="OD","OD",IF(BK52="OD","OD",_xlfn.XLOOKUP(DS$7,Design!$M$6:$BM$6,Design!$M$9:$BM$9/_xlfn.XLOOKUP(DS$7,Design!$M$6:$BM$6,Design!$M$8:$BM$8))))))),0)</f>
        <v>0.62857142857142856</v>
      </c>
      <c r="DT52" s="315" cm="1">
        <f t="array" ref="DT52">IFERROR(IF(DT$7&gt;$D$3,"",IF(BL52="OD","OD",IF(BL52="OD","OD",IF(BL52="OD","OD",IF(BL52="OD","OD",_xlfn.XLOOKUP(DT$7,Design!$M$6:$BM$6,Design!$M$9:$BM$9/_xlfn.XLOOKUP(DT$7,Design!$M$6:$BM$6,Design!$M$8:$BM$8))))))),0)</f>
        <v>1.0857142857142856</v>
      </c>
      <c r="DU52" s="315" cm="1">
        <f t="array" ref="DU52">IFERROR(IF(DU$7&gt;$D$3,"",IF(BM52="OD","OD",IF(BM52="OD","OD",IF(BM52="OD","OD",IF(BM52="OD","OD",_xlfn.XLOOKUP(DU$7,Design!$M$6:$BM$6,Design!$M$9:$BM$9/_xlfn.XLOOKUP(DU$7,Design!$M$6:$BM$6,Design!$M$8:$BM$8))))))),0)</f>
        <v>1.1428571428571428</v>
      </c>
      <c r="DV52" s="315" cm="1">
        <f t="array" ref="DV52">IFERROR(IF(DV$7&gt;$D$3,"",IF(BN52="OD","OD",IF(BN52="OD","OD",IF(BN52="OD","OD",IF(BN52="OD","OD",_xlfn.XLOOKUP(DV$7,Design!$M$6:$BM$6,Design!$M$9:$BM$9/_xlfn.XLOOKUP(DV$7,Design!$M$6:$BM$6,Design!$M$8:$BM$8))))))),0)</f>
        <v>0.82857142857142863</v>
      </c>
      <c r="DW52" s="315" cm="1">
        <f t="array" ref="DW52">IFERROR(IF(DW$7&gt;$D$3,"",IF(BO52="OD","OD",IF(BO52="OD","OD",IF(BO52="OD","OD",IF(BO52="OD","OD",_xlfn.XLOOKUP(DW$7,Design!$M$6:$BM$6,Design!$M$9:$BM$9/_xlfn.XLOOKUP(DW$7,Design!$M$6:$BM$6,Design!$M$8:$BM$8))))))),0)</f>
        <v>0.7142857142857143</v>
      </c>
      <c r="DX52" s="315" cm="1">
        <f t="array" ref="DX52">IFERROR(IF(DX$7&gt;$D$3,"",IF(BP52="OD","OD",IF(BP52="OD","OD",IF(BP52="OD","OD",IF(BP52="OD","OD",_xlfn.XLOOKUP(DX$7,Design!$M$6:$BM$6,Design!$M$9:$BM$9/_xlfn.XLOOKUP(DX$7,Design!$M$6:$BM$6,Design!$M$8:$BM$8))))))),0)</f>
        <v>1.1714285714285715</v>
      </c>
      <c r="DY52" s="315" cm="1">
        <f t="array" ref="DY52">IFERROR(IF(DY$7&gt;$D$3,"",IF(BQ52="OD","OD",IF(BQ52="OD","OD",IF(BQ52="OD","OD",IF(BQ52="OD","OD",_xlfn.XLOOKUP(DY$7,Design!$M$6:$BM$6,Design!$M$9:$BM$9/_xlfn.XLOOKUP(DY$7,Design!$M$6:$BM$6,Design!$M$8:$BM$8))))))),0)</f>
        <v>0.91428571428571426</v>
      </c>
      <c r="DZ52" s="315" cm="1">
        <f t="array" ref="DZ52">IFERROR(IF(DZ$7&gt;$D$3,"",IF(BR52="OD","OD",IF(BR52="OD","OD",IF(BR52="OD","OD",IF(BR52="OD","OD",_xlfn.XLOOKUP(DZ$7,Design!$M$6:$BM$6,Design!$M$9:$BM$9/_xlfn.XLOOKUP(DZ$7,Design!$M$6:$BM$6,Design!$M$8:$BM$8))))))),0)</f>
        <v>0.94285714285714284</v>
      </c>
      <c r="EA52" s="315" cm="1">
        <f t="array" ref="EA52">IFERROR(IF(EA$7&gt;$D$3,"",IF(BS52="OD","OD",IF(BS52="OD","OD",IF(BS52="OD","OD",IF(BS52="OD","OD",_xlfn.XLOOKUP(EA$7,Design!$M$6:$BM$6,Design!$M$9:$BM$9/_xlfn.XLOOKUP(EA$7,Design!$M$6:$BM$6,Design!$M$8:$BM$8))))))),0)</f>
        <v>0.31428571428571428</v>
      </c>
      <c r="EB52" s="315" cm="1">
        <f t="array" ref="EB52">IFERROR(IF(EB$7&gt;$D$3,"",IF(BT52="OD","OD",IF(BT52="OD","OD",IF(BT52="OD","OD",IF(BT52="OD","OD",_xlfn.XLOOKUP(EB$7,Design!$M$6:$BM$6,Design!$M$9:$BM$9/_xlfn.XLOOKUP(EB$7,Design!$M$6:$BM$6,Design!$M$8:$BM$8))))))),0)</f>
        <v>0.22857142857142856</v>
      </c>
      <c r="EC52" s="315" cm="1">
        <f t="array" ref="EC52">IFERROR(IF(EC$7&gt;$D$3,"",IF(BU52="OD","OD",IF(BU52="OD","OD",IF(BU52="OD","OD",IF(BU52="OD","OD",_xlfn.XLOOKUP(EC$7,Design!$M$6:$BM$6,Design!$M$9:$BM$9/_xlfn.XLOOKUP(EC$7,Design!$M$6:$BM$6,Design!$M$8:$BM$8))))))),0)</f>
        <v>1.7428571428571429</v>
      </c>
      <c r="ED52" s="315" cm="1">
        <f t="array" ref="ED52">IFERROR(IF(ED$7&gt;$D$3,"",IF(BV52="OD","OD",IF(BV52="OD","OD",IF(BV52="OD","OD",IF(BV52="OD","OD",_xlfn.XLOOKUP(ED$7,Design!$M$6:$BM$6,Design!$M$9:$BM$9/_xlfn.XLOOKUP(ED$7,Design!$M$6:$BM$6,Design!$M$8:$BM$8))))))),0)</f>
        <v>0.4</v>
      </c>
      <c r="EE52" s="315" cm="1">
        <f t="array" ref="EE52">IFERROR(IF(EE$7&gt;$D$3,"",IF(BW52="OD","OD",IF(BW52="OD","OD",IF(BW52="OD","OD",IF(BW52="OD","OD",_xlfn.XLOOKUP(EE$7,Design!$M$6:$BM$6,Design!$M$9:$BM$9/_xlfn.XLOOKUP(EE$7,Design!$M$6:$BM$6,Design!$M$8:$BM$8))))))),0)</f>
        <v>0.8</v>
      </c>
      <c r="EF52" s="315" cm="1">
        <f t="array" ref="EF52">IFERROR(IF(EF$7&gt;$D$3,"",IF(BX52="OD","OD",IF(BX52="OD","OD",IF(BX52="OD","OD",IF(BX52="OD","OD",_xlfn.XLOOKUP(EF$7,Design!$M$6:$BM$6,Design!$M$9:$BM$9/_xlfn.XLOOKUP(EF$7,Design!$M$6:$BM$6,Design!$M$8:$BM$8))))))),0)</f>
        <v>0.7142857142857143</v>
      </c>
      <c r="EG52" s="315" cm="1">
        <f t="array" ref="EG52">IFERROR(IF(EG$7&gt;$D$3,"",IF(BY52="OD","OD",IF(BY52="OD","OD",IF(BY52="OD","OD",IF(BY52="OD","OD",_xlfn.XLOOKUP(EG$7,Design!$M$6:$BM$6,Design!$M$9:$BM$9/_xlfn.XLOOKUP(EG$7,Design!$M$6:$BM$6,Design!$M$8:$BM$8))))))),0)</f>
        <v>0.62857142857142856</v>
      </c>
      <c r="EH52" s="315" cm="1">
        <f t="array" ref="EH52">IFERROR(IF(EH$7&gt;$D$3,"",IF(BZ52="OD","OD",IF(BZ52="OD","OD",IF(BZ52="OD","OD",IF(BZ52="OD","OD",_xlfn.XLOOKUP(EH$7,Design!$M$6:$BM$6,Design!$M$9:$BM$9/_xlfn.XLOOKUP(EH$7,Design!$M$6:$BM$6,Design!$M$8:$BM$8))))))),0)</f>
        <v>0.74285714285714288</v>
      </c>
      <c r="EI52" s="315" cm="1">
        <f t="array" ref="EI52">IFERROR(IF(EI$7&gt;$D$3,"",IF(CA52="OD","OD",IF(CA52="OD","OD",IF(CA52="OD","OD",IF(CA52="OD","OD",_xlfn.XLOOKUP(EI$7,Design!$M$6:$BM$6,Design!$M$9:$BM$9/_xlfn.XLOOKUP(EI$7,Design!$M$6:$BM$6,Design!$M$8:$BM$8))))))),0)</f>
        <v>0.77142857142857146</v>
      </c>
      <c r="EJ52" s="315" cm="1">
        <f t="array" ref="EJ52">IFERROR(IF(EJ$7&gt;$D$3,"",IF(CB52="OD","OD",IF(CB52="OD","OD",IF(CB52="OD","OD",IF(CB52="OD","OD",_xlfn.XLOOKUP(EJ$7,Design!$M$6:$BM$6,Design!$M$9:$BM$9/_xlfn.XLOOKUP(EJ$7,Design!$M$6:$BM$6,Design!$M$8:$BM$8))))))),0)</f>
        <v>0.68571428571428572</v>
      </c>
      <c r="EK52" s="315" t="str" cm="1">
        <f t="array" ref="EK52">IFERROR(IF(EK$7&gt;$D$3,"",IF(CC52="OD","OD",IF(CC52="OD","OD",IF(CC52="OD","OD",IF(CC52="OD","OD",_xlfn.XLOOKUP(EK$7,Design!$M$6:$BM$6,Design!$M$9:$BM$9/_xlfn.XLOOKUP(EK$7,Design!$M$6:$BM$6,Design!$M$8:$BM$8))))))),0)</f>
        <v/>
      </c>
      <c r="EL52" s="315" t="str" cm="1">
        <f t="array" ref="EL52">IFERROR(IF(EL$7&gt;$D$3,"",IF(CD52="OD","OD",IF(CD52="OD","OD",IF(CD52="OD","OD",IF(CD52="OD","OD",_xlfn.XLOOKUP(EL$7,Design!$M$6:$BM$6,Design!$M$9:$BM$9/_xlfn.XLOOKUP(EL$7,Design!$M$6:$BM$6,Design!$M$8:$BM$8))))))),0)</f>
        <v/>
      </c>
      <c r="EM52" s="315" t="str" cm="1">
        <f t="array" ref="EM52">IFERROR(IF(EM$7&gt;$D$3,"",IF(CE52="OD","OD",IF(CE52="OD","OD",IF(CE52="OD","OD",IF(CE52="OD","OD",_xlfn.XLOOKUP(EM$7,Design!$M$6:$BM$6,Design!$M$9:$BM$9/_xlfn.XLOOKUP(EM$7,Design!$M$6:$BM$6,Design!$M$8:$BM$8))))))),0)</f>
        <v/>
      </c>
      <c r="EN52" s="315" t="str" cm="1">
        <f t="array" ref="EN52">IFERROR(IF(EN$7&gt;$D$3,"",IF(CF52="OD","OD",IF(CF52="OD","OD",IF(CF52="OD","OD",IF(CF52="OD","OD",_xlfn.XLOOKUP(EN$7,Design!$M$6:$BM$6,Design!$M$9:$BM$9/_xlfn.XLOOKUP(EN$7,Design!$M$6:$BM$6,Design!$M$8:$BM$8))))))),0)</f>
        <v/>
      </c>
      <c r="EO52" s="315" t="str" cm="1">
        <f t="array" ref="EO52">IFERROR(IF(EO$7&gt;$D$3,"",IF(CG52="OD","OD",IF(CG52="OD","OD",IF(CG52="OD","OD",IF(CG52="OD","OD",_xlfn.XLOOKUP(EO$7,Design!$M$6:$BM$6,Design!$M$9:$BM$9/_xlfn.XLOOKUP(EO$7,Design!$M$6:$BM$6,Design!$M$8:$BM$8))))))),0)</f>
        <v/>
      </c>
      <c r="EP52" s="315" t="str" cm="1">
        <f t="array" ref="EP52">IFERROR(IF(EP$7&gt;$D$3,"",IF(CH52="OD","OD",IF(CH52="OD","OD",IF(CH52="OD","OD",IF(CH52="OD","OD",_xlfn.XLOOKUP(EP$7,Design!$M$6:$BM$6,Design!$M$9:$BM$9/_xlfn.XLOOKUP(EP$7,Design!$M$6:$BM$6,Design!$M$8:$BM$8))))))),0)</f>
        <v/>
      </c>
      <c r="EQ52" s="315" t="str" cm="1">
        <f t="array" ref="EQ52">IFERROR(IF(EQ$7&gt;$D$3,"",IF(CI52="OD","OD",IF(CI52="OD","OD",IF(CI52="OD","OD",IF(CI52="OD","OD",_xlfn.XLOOKUP(EQ$7,Design!$M$6:$BM$6,Design!$M$9:$BM$9/_xlfn.XLOOKUP(EQ$7,Design!$M$6:$BM$6,Design!$M$8:$BM$8))))))),0)</f>
        <v/>
      </c>
      <c r="ER52" s="315" t="str" cm="1">
        <f t="array" ref="ER52">IFERROR(IF(ER$7&gt;$D$3,"",IF(CJ52="OD","OD",IF(CJ52="OD","OD",IF(CJ52="OD","OD",IF(CJ52="OD","OD",_xlfn.XLOOKUP(ER$7,Design!$M$6:$BM$6,Design!$M$9:$BM$9/_xlfn.XLOOKUP(ER$7,Design!$M$6:$BM$6,Design!$M$8:$BM$8))))))),0)</f>
        <v/>
      </c>
      <c r="ES52" s="315" t="str" cm="1">
        <f t="array" ref="ES52">IFERROR(IF(ES$7&gt;$D$3,"",IF(CK52="OD","OD",IF(CK52="OD","OD",IF(CK52="OD","OD",IF(CK52="OD","OD",_xlfn.XLOOKUP(ES$7,Design!$M$6:$BM$6,Design!$M$9:$BM$9/_xlfn.XLOOKUP(ES$7,Design!$M$6:$BM$6,Design!$M$8:$BM$8))))))),0)</f>
        <v/>
      </c>
      <c r="ET52" s="315" t="str" cm="1">
        <f t="array" ref="ET52">IFERROR(IF(ET$7&gt;$D$3,"",IF(CL52="OD","OD",IF(CL52="OD","OD",IF(CL52="OD","OD",IF(CL52="OD","OD",_xlfn.XLOOKUP(ET$7,Design!$M$6:$BM$6,Design!$M$9:$BM$9/_xlfn.XLOOKUP(ET$7,Design!$M$6:$BM$6,Design!$M$8:$BM$8))))))),0)</f>
        <v/>
      </c>
      <c r="EU52" s="315" t="str" cm="1">
        <f t="array" ref="EU52">IFERROR(IF(EU$7&gt;$D$3,"",IF(CM52="OD","OD",IF(CM52="OD","OD",IF(CM52="OD","OD",IF(CM52="OD","OD",_xlfn.XLOOKUP(EU$7,Design!$M$6:$BM$6,Design!$M$9:$BM$9/_xlfn.XLOOKUP(EU$7,Design!$M$6:$BM$6,Design!$M$8:$BM$8))))))),0)</f>
        <v/>
      </c>
      <c r="EW52" s="465" t="str">
        <f>+$A52</f>
        <v>Design-KPI P1</v>
      </c>
      <c r="EX52" s="133" t="str">
        <f>+$C52</f>
        <v>KPI P1</v>
      </c>
      <c r="EY52" s="142" t="str">
        <f>+$D52</f>
        <v>Productivity</v>
      </c>
      <c r="EZ52" s="142" t="str">
        <f>+$E52</f>
        <v>Design requests closed</v>
      </c>
      <c r="FA52" s="143" t="str">
        <f>+$F52</f>
        <v>Count</v>
      </c>
      <c r="FB52" s="143" t="s">
        <v>251</v>
      </c>
      <c r="FC52" s="225" t="str">
        <f>IF(FC$7&gt;$D$3,"",IF($FA51&lt;FC$7,"OD",_xlfn.XLOOKUP(FC$7,Design!$M$6:$BM$6,Design!$M$9:$BM$9)))</f>
        <v>Blank</v>
      </c>
      <c r="FD52" s="225">
        <f>IF(FD$7&gt;$D$3,"",IF($FA51&lt;FD$7,"OD",_xlfn.XLOOKUP(FD$7,Design!$M$6:$BM$6,Design!$M$9:$BM$9)))</f>
        <v>33</v>
      </c>
      <c r="FE52" s="225">
        <f>IF(FE$7&gt;$D$3,"",IF($FA51&lt;FE$7,"OD",_xlfn.XLOOKUP(FE$7,Design!$M$6:$BM$6,Design!$M$9:$BM$9)))</f>
        <v>30</v>
      </c>
      <c r="FF52" s="225">
        <f>IF(FF$7&gt;$D$3,"",IF($FA51&lt;FF$7,"OD",_xlfn.XLOOKUP(FF$7,Design!$M$6:$BM$6,Design!$M$9:$BM$9)))</f>
        <v>33</v>
      </c>
      <c r="FG52" s="225">
        <f>IF(FG$7&gt;$D$3,"",IF($FA51&lt;FG$7,"OD",_xlfn.XLOOKUP(FG$7,Design!$M$6:$BM$6,Design!$M$9:$BM$9)))</f>
        <v>36</v>
      </c>
      <c r="FH52" s="225">
        <f>IF(FH$7&gt;$D$3,"",IF($FA51&lt;FH$7,"OD",_xlfn.XLOOKUP(FH$7,Design!$M$6:$BM$6,Design!$M$9:$BM$9)))</f>
        <v>36</v>
      </c>
      <c r="FI52" s="225">
        <f>IF(FI$7&gt;$D$3,"",IF($FA51&lt;FI$7,"OD",_xlfn.XLOOKUP(FI$7,Design!$M$6:$BM$6,Design!$M$9:$BM$9)))</f>
        <v>38</v>
      </c>
      <c r="FJ52" s="225">
        <f>IF(FJ$7&gt;$D$3,"",IF($FA51&lt;FJ$7,"OD",_xlfn.XLOOKUP(FJ$7,Design!$M$6:$BM$6,Design!$M$9:$BM$9)))</f>
        <v>32</v>
      </c>
      <c r="FK52" s="225">
        <f>IF(FK$7&gt;$D$3,"",IF($FA51&lt;FK$7,"OD",_xlfn.XLOOKUP(FK$7,Design!$M$6:$BM$6,Design!$M$9:$BM$9)))</f>
        <v>31</v>
      </c>
      <c r="FL52" s="225">
        <f>IF(FL$7&gt;$D$3,"",IF($FA51&lt;FL$7,"OD",_xlfn.XLOOKUP(FL$7,Design!$M$6:$BM$6,Design!$M$9:$BM$9)))</f>
        <v>25</v>
      </c>
      <c r="FM52" s="225">
        <f>IF(FM$7&gt;$D$3,"",IF($FA51&lt;FM$7,"OD",_xlfn.XLOOKUP(FM$7,Design!$M$6:$BM$6,Design!$M$9:$BM$9)))</f>
        <v>38</v>
      </c>
      <c r="FN52" s="225">
        <f>IF(FN$7&gt;$D$3,"",IF($FA51&lt;FN$7,"OD",_xlfn.XLOOKUP(FN$7,Design!$M$6:$BM$6,Design!$M$9:$BM$9)))</f>
        <v>33</v>
      </c>
      <c r="FO52" s="225">
        <f>IF(FO$7&gt;$D$3,"",IF($FA51&lt;FO$7,"OD",_xlfn.XLOOKUP(FO$7,Design!$M$6:$BM$6,Design!$M$9:$BM$9)))</f>
        <v>37</v>
      </c>
      <c r="FP52" s="225">
        <f>IF(FP$7&gt;$D$3,"",IF($FA51&lt;FP$7,"OD",_xlfn.XLOOKUP(FP$7,Design!$M$6:$BM$6,Design!$M$9:$BM$9)))</f>
        <v>35</v>
      </c>
      <c r="FQ52" s="225">
        <f>IF(FQ$7&gt;$D$3,"",IF($FA51&lt;FQ$7,"OD",_xlfn.XLOOKUP(FQ$7,Design!$M$6:$BM$6,Design!$M$9:$BM$9)))</f>
        <v>35</v>
      </c>
      <c r="FR52" s="225">
        <f>IF(FR$7&gt;$D$3,"",IF($FA51&lt;FR$7,"OD",_xlfn.XLOOKUP(FR$7,Design!$M$6:$BM$6,Design!$M$9:$BM$9)))</f>
        <v>21</v>
      </c>
      <c r="FS52" s="225">
        <f>IF(FS$7&gt;$D$3,"",IF($FA51&lt;FS$7,"OD",_xlfn.XLOOKUP(FS$7,Design!$M$6:$BM$6,Design!$M$9:$BM$9)))</f>
        <v>16</v>
      </c>
      <c r="FT52" s="225">
        <f>IF(FT$7&gt;$D$3,"",IF($FA51&lt;FT$7,"OD",_xlfn.XLOOKUP(FT$7,Design!$M$6:$BM$6,Design!$M$9:$BM$9)))</f>
        <v>33</v>
      </c>
      <c r="FU52" s="225">
        <f>IF(FU$7&gt;$D$3,"",IF($FA51&lt;FU$7,"OD",_xlfn.XLOOKUP(FU$7,Design!$M$6:$BM$6,Design!$M$9:$BM$9)))</f>
        <v>34</v>
      </c>
      <c r="FV52" s="225">
        <f>IF(FV$7&gt;$D$3,"",IF($FA51&lt;FV$7,"OD",_xlfn.XLOOKUP(FV$7,Design!$M$6:$BM$6,Design!$M$9:$BM$9)))</f>
        <v>37</v>
      </c>
      <c r="FW52" s="225">
        <f>IF(FW$7&gt;$D$3,"",IF($FA51&lt;FW$7,"OD",_xlfn.XLOOKUP(FW$7,Design!$M$6:$BM$6,Design!$M$9:$BM$9)))</f>
        <v>36</v>
      </c>
      <c r="FX52" s="225">
        <f>IF(FX$7&gt;$D$3,"",IF($FA51&lt;FX$7,"OD",_xlfn.XLOOKUP(FX$7,Design!$M$6:$BM$6,Design!$M$9:$BM$9)))</f>
        <v>20</v>
      </c>
      <c r="FY52" s="225">
        <f>IF(FY$7&gt;$D$3,"",IF($FA51&lt;FY$7,"OD",_xlfn.XLOOKUP(FY$7,Design!$M$6:$BM$6,Design!$M$9:$BM$9)))</f>
        <v>33</v>
      </c>
      <c r="FZ52" s="225">
        <f>IF(FZ$7&gt;$D$3,"",IF($FA51&lt;FZ$7,"OD",_xlfn.XLOOKUP(FZ$7,Design!$M$6:$BM$6,Design!$M$9:$BM$9)))</f>
        <v>24</v>
      </c>
      <c r="GA52" s="225">
        <f>IF(GA$7&gt;$D$3,"",IF($FA51&lt;GA$7,"OD",_xlfn.XLOOKUP(GA$7,Design!$M$6:$BM$6,Design!$M$9:$BM$9)))</f>
        <v>22</v>
      </c>
      <c r="GB52" s="225">
        <f>IF(GB$7&gt;$D$3,"",IF($FA51&lt;GB$7,"OD",_xlfn.XLOOKUP(GB$7,Design!$M$6:$BM$6,Design!$M$9:$BM$9)))</f>
        <v>38</v>
      </c>
      <c r="GC52" s="225">
        <f>IF(GC$7&gt;$D$3,"",IF($FA51&lt;GC$7,"OD",_xlfn.XLOOKUP(GC$7,Design!$M$6:$BM$6,Design!$M$9:$BM$9)))</f>
        <v>40</v>
      </c>
      <c r="GD52" s="225">
        <f>IF(GD$7&gt;$D$3,"",IF($FA51&lt;GD$7,"OD",_xlfn.XLOOKUP(GD$7,Design!$M$6:$BM$6,Design!$M$9:$BM$9)))</f>
        <v>29</v>
      </c>
      <c r="GE52" s="225">
        <f>IF(GE$7&gt;$D$3,"",IF($FA51&lt;GE$7,"OD",_xlfn.XLOOKUP(GE$7,Design!$M$6:$BM$6,Design!$M$9:$BM$9)))</f>
        <v>25</v>
      </c>
      <c r="GF52" s="225">
        <f>IF(GF$7&gt;$D$3,"",IF($FA51&lt;GF$7,"OD",_xlfn.XLOOKUP(GF$7,Design!$M$6:$BM$6,Design!$M$9:$BM$9)))</f>
        <v>41</v>
      </c>
      <c r="GG52" s="225">
        <f>IF(GG$7&gt;$D$3,"",IF($FA51&lt;GG$7,"OD",_xlfn.XLOOKUP(GG$7,Design!$M$6:$BM$6,Design!$M$9:$BM$9)))</f>
        <v>32</v>
      </c>
      <c r="GH52" s="225">
        <f>IF(GH$7&gt;$D$3,"",IF($FA51&lt;GH$7,"OD",_xlfn.XLOOKUP(GH$7,Design!$M$6:$BM$6,Design!$M$9:$BM$9)))</f>
        <v>33</v>
      </c>
      <c r="GI52" s="225">
        <f>IF(GI$7&gt;$D$3,"",IF($FA51&lt;GI$7,"OD",_xlfn.XLOOKUP(GI$7,Design!$M$6:$BM$6,Design!$M$9:$BM$9)))</f>
        <v>11</v>
      </c>
      <c r="GJ52" s="225">
        <f>IF(GJ$7&gt;$D$3,"",IF($FA51&lt;GJ$7,"OD",_xlfn.XLOOKUP(GJ$7,Design!$M$6:$BM$6,Design!$M$9:$BM$9)))</f>
        <v>8</v>
      </c>
      <c r="GK52" s="225">
        <f>IF(GK$7&gt;$D$3,"",IF($FA51&lt;GK$7,"OD",_xlfn.XLOOKUP(GK$7,Design!$M$6:$BM$6,Design!$M$9:$BM$9)))</f>
        <v>61</v>
      </c>
      <c r="GL52" s="225">
        <f>IF(GL$7&gt;$D$3,"",IF($FA51&lt;GL$7,"OD",_xlfn.XLOOKUP(GL$7,Design!$M$6:$BM$6,Design!$M$9:$BM$9)))</f>
        <v>14</v>
      </c>
      <c r="GM52" s="225">
        <f>IF(GM$7&gt;$D$3,"",IF($FA51&lt;GM$7,"OD",_xlfn.XLOOKUP(GM$7,Design!$M$6:$BM$6,Design!$M$9:$BM$9)))</f>
        <v>28</v>
      </c>
      <c r="GN52" s="225">
        <f>IF(GN$7&gt;$D$3,"",IF($FA51&lt;GN$7,"OD",_xlfn.XLOOKUP(GN$7,Design!$M$6:$BM$6,Design!$M$9:$BM$9)))</f>
        <v>25</v>
      </c>
      <c r="GO52" s="225">
        <f>IF(GO$7&gt;$D$3,"",IF($FA51&lt;GO$7,"OD",_xlfn.XLOOKUP(GO$7,Design!$M$6:$BM$6,Design!$M$9:$BM$9)))</f>
        <v>22</v>
      </c>
      <c r="GP52" s="225">
        <f>IF(GP$7&gt;$D$3,"",IF($FA51&lt;GP$7,"OD",_xlfn.XLOOKUP(GP$7,Design!$M$6:$BM$6,Design!$M$9:$BM$9)))</f>
        <v>26</v>
      </c>
      <c r="GQ52" s="225">
        <f>IF(GQ$7&gt;$D$3,"",IF($FA51&lt;GQ$7,"OD",_xlfn.XLOOKUP(GQ$7,Design!$M$6:$BM$6,Design!$M$9:$BM$9)))</f>
        <v>27</v>
      </c>
      <c r="GR52" s="225">
        <f>IF(GR$7&gt;$D$3,"",IF($FA51&lt;GR$7,"OD",_xlfn.XLOOKUP(GR$7,Design!$M$6:$BM$6,Design!$M$9:$BM$9)))</f>
        <v>24</v>
      </c>
      <c r="GS52" s="225" t="str">
        <f>IF(GS$7&gt;$D$3,"",IF($FA51&lt;GS$7,"OD",_xlfn.XLOOKUP(GS$7,Design!$M$6:$BM$6,Design!$M$9:$BM$9)))</f>
        <v/>
      </c>
      <c r="GT52" s="225" t="str">
        <f>IF(GT$7&gt;$D$3,"",IF($FA51&lt;GT$7,"OD",_xlfn.XLOOKUP(GT$7,Design!$M$6:$BM$6,Design!$M$9:$BM$9)))</f>
        <v/>
      </c>
      <c r="GU52" s="225" t="str">
        <f>IF(GU$7&gt;$D$3,"",IF($FA51&lt;GU$7,"OD",_xlfn.XLOOKUP(GU$7,Design!$M$6:$BM$6,Design!$M$9:$BM$9)))</f>
        <v/>
      </c>
      <c r="GV52" s="225" t="str">
        <f>IF(GV$7&gt;$D$3,"",IF($FA51&lt;GV$7,"OD",_xlfn.XLOOKUP(GV$7,Design!$M$6:$BM$6,Design!$M$9:$BM$9)))</f>
        <v/>
      </c>
      <c r="GW52" s="225" t="str">
        <f>IF(GW$7&gt;$D$3,"",IF($FA51&lt;GW$7,"OD",_xlfn.XLOOKUP(GW$7,Design!$M$6:$BM$6,Design!$M$9:$BM$9)))</f>
        <v/>
      </c>
      <c r="GX52" s="225" t="str">
        <f>IF(GX$7&gt;$D$3,"",IF($FA51&lt;GX$7,"OD",_xlfn.XLOOKUP(GX$7,Design!$M$6:$BM$6,Design!$M$9:$BM$9)))</f>
        <v/>
      </c>
      <c r="GY52" s="225" t="str">
        <f>IF(GY$7&gt;$D$3,"",IF($FA51&lt;GY$7,"OD",_xlfn.XLOOKUP(GY$7,Design!$M$6:$BM$6,Design!$M$9:$BM$9)))</f>
        <v/>
      </c>
      <c r="GZ52" s="225" t="str">
        <f>IF(GZ$7&gt;$D$3,"",IF($FA51&lt;GZ$7,"OD",_xlfn.XLOOKUP(GZ$7,Design!$M$6:$BM$6,Design!$M$9:$BM$9)))</f>
        <v/>
      </c>
      <c r="HA52" s="225" t="str">
        <f>IF(HA$7&gt;$D$3,"",IF($FA51&lt;HA$7,"OD",_xlfn.XLOOKUP(HA$7,Design!$M$6:$BM$6,Design!$M$9:$BM$9)))</f>
        <v/>
      </c>
      <c r="HB52" s="225" t="str">
        <f>IF(HB$7&gt;$D$3,"",IF($FA51&lt;HB$7,"OD",_xlfn.XLOOKUP(HB$7,Design!$M$6:$BM$6,Design!$M$9:$BM$9)))</f>
        <v/>
      </c>
      <c r="HC52" s="225" t="str">
        <f>IF(HC$7&gt;$D$3,"",IF($FA51&lt;HC$7,"OD",_xlfn.XLOOKUP(HC$7,Design!$M$6:$BM$6,Design!$M$9:$BM$9)))</f>
        <v/>
      </c>
      <c r="HE52" s="133" t="str">
        <f>+$C52</f>
        <v>KPI P1</v>
      </c>
      <c r="HF52" s="142" t="str">
        <f>+$D52</f>
        <v>Productivity</v>
      </c>
      <c r="HG52" s="142" t="str">
        <f>+$E52</f>
        <v>Design requests closed</v>
      </c>
      <c r="HH52" s="143" t="str">
        <f>+$F52</f>
        <v>Count</v>
      </c>
      <c r="HI52" s="143" t="s">
        <v>44</v>
      </c>
      <c r="HJ52" s="225" t="s">
        <v>122</v>
      </c>
      <c r="HK52" s="225">
        <f>IF(HK$7&gt;$D$3,"",IF($FA51&lt;HK$7,"OD",_xlfn.XLOOKUP(HK$7,Design!$M$6:$BM$6,Design!$M$8:$BM$8)))</f>
        <v>35</v>
      </c>
      <c r="HL52" s="225">
        <f>IF(HL$7&gt;$D$3,"",IF($FA51&lt;HL$7,"OD",_xlfn.XLOOKUP(HL$7,Design!$M$6:$BM$6,Design!$M$8:$BM$8)))</f>
        <v>35</v>
      </c>
      <c r="HM52" s="225">
        <f>IF(HM$7&gt;$D$3,"",IF($FA51&lt;HM$7,"OD",_xlfn.XLOOKUP(HM$7,Design!$M$6:$BM$6,Design!$M$8:$BM$8)))</f>
        <v>35</v>
      </c>
      <c r="HN52" s="225">
        <f>IF(HN$7&gt;$D$3,"",IF($FA51&lt;HN$7,"OD",_xlfn.XLOOKUP(HN$7,Design!$M$6:$BM$6,Design!$M$8:$BM$8)))</f>
        <v>35</v>
      </c>
      <c r="HO52" s="225">
        <f>IF(HO$7&gt;$D$3,"",IF($FA51&lt;HO$7,"OD",_xlfn.XLOOKUP(HO$7,Design!$M$6:$BM$6,Design!$M$8:$BM$8)))</f>
        <v>35</v>
      </c>
      <c r="HP52" s="225">
        <f>IF(HP$7&gt;$D$3,"",IF($FA51&lt;HP$7,"OD",_xlfn.XLOOKUP(HP$7,Design!$M$6:$BM$6,Design!$M$8:$BM$8)))</f>
        <v>35</v>
      </c>
      <c r="HQ52" s="225">
        <f>IF(HQ$7&gt;$D$3,"",IF($FA51&lt;HQ$7,"OD",_xlfn.XLOOKUP(HQ$7,Design!$M$6:$BM$6,Design!$M$8:$BM$8)))</f>
        <v>35</v>
      </c>
      <c r="HR52" s="225">
        <f>IF(HR$7&gt;$D$3,"",IF($FA51&lt;HR$7,"OD",_xlfn.XLOOKUP(HR$7,Design!$M$6:$BM$6,Design!$M$8:$BM$8)))</f>
        <v>35</v>
      </c>
      <c r="HS52" s="225">
        <f>IF(HS$7&gt;$D$3,"",IF($FA51&lt;HS$7,"OD",_xlfn.XLOOKUP(HS$7,Design!$M$6:$BM$6,Design!$M$8:$BM$8)))</f>
        <v>35</v>
      </c>
      <c r="HT52" s="225">
        <f>IF(HT$7&gt;$D$3,"",IF($FA51&lt;HT$7,"OD",_xlfn.XLOOKUP(HT$7,Design!$M$6:$BM$6,Design!$M$8:$BM$8)))</f>
        <v>35</v>
      </c>
      <c r="HU52" s="225">
        <f>IF(HU$7&gt;$D$3,"",IF($FA51&lt;HU$7,"OD",_xlfn.XLOOKUP(HU$7,Design!$M$6:$BM$6,Design!$M$8:$BM$8)))</f>
        <v>35</v>
      </c>
      <c r="HV52" s="225">
        <f>IF(HV$7&gt;$D$3,"",IF($FA51&lt;HV$7,"OD",_xlfn.XLOOKUP(HV$7,Design!$M$6:$BM$6,Design!$M$8:$BM$8)))</f>
        <v>35</v>
      </c>
      <c r="HW52" s="225">
        <f>IF(HW$7&gt;$D$3,"",IF($FA51&lt;HW$7,"OD",_xlfn.XLOOKUP(HW$7,Design!$M$6:$BM$6,Design!$M$8:$BM$8)))</f>
        <v>35</v>
      </c>
      <c r="HX52" s="225">
        <f>IF(HX$7&gt;$D$3,"",IF($FA51&lt;HX$7,"OD",_xlfn.XLOOKUP(HX$7,Design!$M$6:$BM$6,Design!$M$8:$BM$8)))</f>
        <v>35</v>
      </c>
      <c r="HY52" s="225">
        <f>IF(HY$7&gt;$D$3,"",IF($FA51&lt;HY$7,"OD",_xlfn.XLOOKUP(HY$7,Design!$M$6:$BM$6,Design!$M$8:$BM$8)))</f>
        <v>35</v>
      </c>
      <c r="HZ52" s="225">
        <f>IF(HZ$7&gt;$D$3,"",IF($FA51&lt;HZ$7,"OD",_xlfn.XLOOKUP(HZ$7,Design!$M$6:$BM$6,Design!$M$8:$BM$8)))</f>
        <v>35</v>
      </c>
      <c r="IA52" s="225">
        <f>IF(IA$7&gt;$D$3,"",IF($FA51&lt;IA$7,"OD",_xlfn.XLOOKUP(IA$7,Design!$M$6:$BM$6,Design!$M$8:$BM$8)))</f>
        <v>35</v>
      </c>
      <c r="IB52" s="225">
        <f>IF(IB$7&gt;$D$3,"",IF($FA51&lt;IB$7,"OD",_xlfn.XLOOKUP(IB$7,Design!$M$6:$BM$6,Design!$M$8:$BM$8)))</f>
        <v>35</v>
      </c>
      <c r="IC52" s="225">
        <f>IF(IC$7&gt;$D$3,"",IF($FA51&lt;IC$7,"OD",_xlfn.XLOOKUP(IC$7,Design!$M$6:$BM$6,Design!$M$8:$BM$8)))</f>
        <v>35</v>
      </c>
      <c r="ID52" s="225">
        <f>IF(ID$7&gt;$D$3,"",IF($FA51&lt;ID$7,"OD",_xlfn.XLOOKUP(ID$7,Design!$M$6:$BM$6,Design!$M$8:$BM$8)))</f>
        <v>35</v>
      </c>
      <c r="IE52" s="225">
        <f>IF(IE$7&gt;$D$3,"",IF($FA51&lt;IE$7,"OD",_xlfn.XLOOKUP(IE$7,Design!$M$6:$BM$6,Design!$M$8:$BM$8)))</f>
        <v>35</v>
      </c>
      <c r="IF52" s="225">
        <f>IF(IF$7&gt;$D$3,"",IF($FA51&lt;IF$7,"OD",_xlfn.XLOOKUP(IF$7,Design!$M$6:$BM$6,Design!$M$8:$BM$8)))</f>
        <v>35</v>
      </c>
      <c r="IG52" s="225">
        <f>IF(IG$7&gt;$D$3,"",IF($FA51&lt;IG$7,"OD",_xlfn.XLOOKUP(IG$7,Design!$M$6:$BM$6,Design!$M$8:$BM$8)))</f>
        <v>35</v>
      </c>
      <c r="IH52" s="225">
        <f>IF(IH$7&gt;$D$3,"",IF($FA51&lt;IH$7,"OD",_xlfn.XLOOKUP(IH$7,Design!$M$6:$BM$6,Design!$M$8:$BM$8)))</f>
        <v>35</v>
      </c>
      <c r="II52" s="225">
        <f>IF(II$7&gt;$D$3,"",IF($FA51&lt;II$7,"OD",_xlfn.XLOOKUP(II$7,Design!$M$6:$BM$6,Design!$M$8:$BM$8)))</f>
        <v>35</v>
      </c>
      <c r="IJ52" s="225">
        <f>IF(IJ$7&gt;$D$3,"",IF($FA51&lt;IJ$7,"OD",_xlfn.XLOOKUP(IJ$7,Design!$M$6:$BM$6,Design!$M$8:$BM$8)))</f>
        <v>35</v>
      </c>
      <c r="IK52" s="225">
        <f>IF(IK$7&gt;$D$3,"",IF($FA51&lt;IK$7,"OD",_xlfn.XLOOKUP(IK$7,Design!$M$6:$BM$6,Design!$M$8:$BM$8)))</f>
        <v>35</v>
      </c>
      <c r="IL52" s="225">
        <f>IF(IL$7&gt;$D$3,"",IF($FA51&lt;IL$7,"OD",_xlfn.XLOOKUP(IL$7,Design!$M$6:$BM$6,Design!$M$8:$BM$8)))</f>
        <v>35</v>
      </c>
      <c r="IM52" s="225">
        <f>IF(IM$7&gt;$D$3,"",IF($FA51&lt;IM$7,"OD",_xlfn.XLOOKUP(IM$7,Design!$M$6:$BM$6,Design!$M$8:$BM$8)))</f>
        <v>35</v>
      </c>
      <c r="IN52" s="225">
        <f>IF(IN$7&gt;$D$3,"",IF($FA51&lt;IN$7,"OD",_xlfn.XLOOKUP(IN$7,Design!$M$6:$BM$6,Design!$M$8:$BM$8)))</f>
        <v>35</v>
      </c>
      <c r="IO52" s="225">
        <f>IF(IO$7&gt;$D$3,"",IF($FA51&lt;IO$7,"OD",_xlfn.XLOOKUP(IO$7,Design!$M$6:$BM$6,Design!$M$8:$BM$8)))</f>
        <v>35</v>
      </c>
      <c r="IP52" s="225">
        <f>IF(IP$7&gt;$D$3,"",IF($FA51&lt;IP$7,"OD",_xlfn.XLOOKUP(IP$7,Design!$M$6:$BM$6,Design!$M$8:$BM$8)))</f>
        <v>35</v>
      </c>
      <c r="IQ52" s="225">
        <f>IF(IQ$7&gt;$D$3,"",IF($FA51&lt;IQ$7,"OD",_xlfn.XLOOKUP(IQ$7,Design!$M$6:$BM$6,Design!$M$8:$BM$8)))</f>
        <v>35</v>
      </c>
      <c r="IR52" s="225">
        <f>IF(IR$7&gt;$D$3,"",IF($FA51&lt;IR$7,"OD",_xlfn.XLOOKUP(IR$7,Design!$M$6:$BM$6,Design!$M$8:$BM$8)))</f>
        <v>35</v>
      </c>
      <c r="IS52" s="225">
        <f>IF(IS$7&gt;$D$3,"",IF($FA51&lt;IS$7,"OD",_xlfn.XLOOKUP(IS$7,Design!$M$6:$BM$6,Design!$M$8:$BM$8)))</f>
        <v>35</v>
      </c>
      <c r="IT52" s="225">
        <f>IF(IT$7&gt;$D$3,"",IF($FA51&lt;IT$7,"OD",_xlfn.XLOOKUP(IT$7,Design!$M$6:$BM$6,Design!$M$8:$BM$8)))</f>
        <v>35</v>
      </c>
      <c r="IU52" s="225">
        <f>IF(IU$7&gt;$D$3,"",IF($FA51&lt;IU$7,"OD",_xlfn.XLOOKUP(IU$7,Design!$M$6:$BM$6,Design!$M$8:$BM$8)))</f>
        <v>35</v>
      </c>
      <c r="IV52" s="225">
        <f>IF(IV$7&gt;$D$3,"",IF($FA51&lt;IV$7,"OD",_xlfn.XLOOKUP(IV$7,Design!$M$6:$BM$6,Design!$M$8:$BM$8)))</f>
        <v>35</v>
      </c>
      <c r="IW52" s="225">
        <f>IF(IW$7&gt;$D$3,"",IF($FA51&lt;IW$7,"OD",_xlfn.XLOOKUP(IW$7,Design!$M$6:$BM$6,Design!$M$8:$BM$8)))</f>
        <v>35</v>
      </c>
      <c r="IX52" s="225">
        <f>IF(IX$7&gt;$D$3,"",IF($FA51&lt;IX$7,"OD",_xlfn.XLOOKUP(IX$7,Design!$M$6:$BM$6,Design!$M$8:$BM$8)))</f>
        <v>35</v>
      </c>
      <c r="IY52" s="225">
        <f>IF(IY$7&gt;$D$3,"",IF($FA51&lt;IY$7,"OD",_xlfn.XLOOKUP(IY$7,Design!$M$6:$BM$6,Design!$M$8:$BM$8)))</f>
        <v>35</v>
      </c>
      <c r="IZ52" s="225" t="str">
        <f>IF(IZ$7&gt;$D$3,"",IF($FA51&lt;IZ$7,"OD",_xlfn.XLOOKUP(IZ$7,Design!$M$6:$BM$6,Design!$M$8:$BM$8)))</f>
        <v/>
      </c>
      <c r="JA52" s="225" t="str">
        <f>IF(JA$7&gt;$D$3,"",IF($FA51&lt;JA$7,"OD",_xlfn.XLOOKUP(JA$7,Design!$M$6:$BM$6,Design!$M$8:$BM$8)))</f>
        <v/>
      </c>
      <c r="JB52" s="225" t="str">
        <f>IF(JB$7&gt;$D$3,"",IF($FA51&lt;JB$7,"OD",_xlfn.XLOOKUP(JB$7,Design!$M$6:$BM$6,Design!$M$8:$BM$8)))</f>
        <v/>
      </c>
      <c r="JC52" s="225" t="str">
        <f>IF(JC$7&gt;$D$3,"",IF($FA51&lt;JC$7,"OD",_xlfn.XLOOKUP(JC$7,Design!$M$6:$BM$6,Design!$M$8:$BM$8)))</f>
        <v/>
      </c>
      <c r="JD52" s="225" t="str">
        <f>IF(JD$7&gt;$D$3,"",IF($FA51&lt;JD$7,"OD",_xlfn.XLOOKUP(JD$7,Design!$M$6:$BM$6,Design!$M$8:$BM$8)))</f>
        <v/>
      </c>
      <c r="JE52" s="225" t="str">
        <f>IF(JE$7&gt;$D$3,"",IF($FA51&lt;JE$7,"OD",_xlfn.XLOOKUP(JE$7,Design!$M$6:$BM$6,Design!$M$8:$BM$8)))</f>
        <v/>
      </c>
      <c r="JF52" s="225" t="str">
        <f>IF(JF$7&gt;$D$3,"",IF($FA51&lt;JF$7,"OD",_xlfn.XLOOKUP(JF$7,Design!$M$6:$BM$6,Design!$M$8:$BM$8)))</f>
        <v/>
      </c>
      <c r="JG52" s="225" t="str">
        <f>IF(JG$7&gt;$D$3,"",IF($FA51&lt;JG$7,"OD",_xlfn.XLOOKUP(JG$7,Design!$M$6:$BM$6,Design!$M$8:$BM$8)))</f>
        <v/>
      </c>
      <c r="JH52" s="225" t="str">
        <f>IF(JH$7&gt;$D$3,"",IF($FA51&lt;JH$7,"OD",_xlfn.XLOOKUP(JH$7,Design!$M$6:$BM$6,Design!$M$8:$BM$8)))</f>
        <v/>
      </c>
      <c r="JI52" s="225" t="str">
        <f>IF(JI$7&gt;$D$3,"",IF($FA51&lt;JI$7,"OD",_xlfn.XLOOKUP(JI$7,Design!$M$6:$BM$6,Design!$M$8:$BM$8)))</f>
        <v/>
      </c>
      <c r="JJ52" s="225" t="str">
        <f>IF(JJ$7&gt;$D$3,"",IF($FA51&lt;JJ$7,"OD",_xlfn.XLOOKUP(JJ$7,Design!$M$6:$BM$6,Design!$M$8:$BM$8)))</f>
        <v/>
      </c>
      <c r="JM52" s="133" t="str">
        <f>+$C52</f>
        <v>KPI P1</v>
      </c>
      <c r="JN52" s="142" t="str">
        <f>+$D52</f>
        <v>Productivity</v>
      </c>
      <c r="JO52" s="142" t="str">
        <f>+$E52</f>
        <v>Design requests closed</v>
      </c>
      <c r="JP52" s="143" t="str">
        <f>+$F52</f>
        <v>Count</v>
      </c>
      <c r="JQ52" s="143" t="s">
        <v>284</v>
      </c>
      <c r="JR52" s="225" t="str">
        <f>IFERROR(AVERAGE(FC52:$FC52),"")</f>
        <v/>
      </c>
      <c r="JS52" s="225">
        <f>IFERROR(AVERAGE($FC52:FD52),"")</f>
        <v>33</v>
      </c>
      <c r="JT52" s="225">
        <f>IFERROR(AVERAGE($FC52:FE52),"")</f>
        <v>31.5</v>
      </c>
      <c r="JU52" s="225">
        <f>IFERROR(AVERAGE($FC52:FF52),"")</f>
        <v>32</v>
      </c>
      <c r="JV52" s="225">
        <f>IFERROR(AVERAGE($FC52:FG52),"")</f>
        <v>33</v>
      </c>
      <c r="JW52" s="225">
        <f>IFERROR(AVERAGE($FC52:FH52),"")</f>
        <v>33.6</v>
      </c>
      <c r="JX52" s="225">
        <f>IFERROR(AVERAGE($FC52:FI52),"")</f>
        <v>34.333333333333336</v>
      </c>
      <c r="JY52" s="225">
        <f>IFERROR(AVERAGE($FC52:FJ52),"")</f>
        <v>34</v>
      </c>
      <c r="JZ52" s="225">
        <f>IFERROR(AVERAGE($FC52:FK52),"")</f>
        <v>33.625</v>
      </c>
      <c r="KA52" s="225">
        <f>IFERROR(AVERAGE($FC52:FL52),"")</f>
        <v>32.666666666666664</v>
      </c>
      <c r="KB52" s="225">
        <f>IFERROR(AVERAGE($FC52:FM52),"")</f>
        <v>33.200000000000003</v>
      </c>
      <c r="KC52" s="225">
        <f>IFERROR(AVERAGE($FC52:FN52),"")</f>
        <v>33.18181818181818</v>
      </c>
      <c r="KD52" s="225">
        <f>IFERROR(AVERAGE($FC52:FO52),"")</f>
        <v>33.5</v>
      </c>
      <c r="KE52" s="225">
        <f>IFERROR(AVERAGE($FC52:FP52),"")</f>
        <v>33.615384615384613</v>
      </c>
      <c r="KF52" s="225">
        <f>IFERROR(AVERAGE($FC52:FQ52),"")</f>
        <v>33.714285714285715</v>
      </c>
      <c r="KG52" s="225">
        <f>IFERROR(AVERAGE($FC52:FR52),"")</f>
        <v>32.866666666666667</v>
      </c>
      <c r="KH52" s="225">
        <f>IFERROR(AVERAGE($FC52:FS52),"")</f>
        <v>31.8125</v>
      </c>
      <c r="KI52" s="225">
        <f>IFERROR(AVERAGE($FC52:FT52),"")</f>
        <v>31.882352941176471</v>
      </c>
      <c r="KJ52" s="225">
        <f>IFERROR(AVERAGE($FC52:FU52),"")</f>
        <v>32</v>
      </c>
      <c r="KK52" s="225">
        <f>IFERROR(AVERAGE($FC52:FV52),"")</f>
        <v>32.263157894736842</v>
      </c>
      <c r="KL52" s="225">
        <f>IFERROR(AVERAGE($FC52:FW52),"")</f>
        <v>32.450000000000003</v>
      </c>
      <c r="KM52" s="225">
        <f>IFERROR(AVERAGE($FC52:FX52),"")</f>
        <v>31.857142857142858</v>
      </c>
      <c r="KN52" s="225">
        <f>IFERROR(AVERAGE($FC52:FY52),"")</f>
        <v>31.90909090909091</v>
      </c>
      <c r="KO52" s="225">
        <f>IFERROR(AVERAGE($FC52:FZ52),"")</f>
        <v>31.565217391304348</v>
      </c>
      <c r="KP52" s="225">
        <f>IFERROR(AVERAGE($FC52:GA52),"")</f>
        <v>31.166666666666668</v>
      </c>
      <c r="KQ52" s="225">
        <f>IFERROR(AVERAGE($FC52:GB52),"")</f>
        <v>31.44</v>
      </c>
      <c r="KR52" s="225">
        <f>IFERROR(AVERAGE($FC52:GC52),"")</f>
        <v>31.76923076923077</v>
      </c>
      <c r="KS52" s="225">
        <f>IFERROR(AVERAGE($FC52:GD52),"")</f>
        <v>31.666666666666668</v>
      </c>
      <c r="KT52" s="225">
        <f>IFERROR(AVERAGE($FC52:GE52),"")</f>
        <v>31.428571428571427</v>
      </c>
      <c r="KU52" s="225">
        <f>IFERROR(AVERAGE($FC52:GF52),"")</f>
        <v>31.758620689655171</v>
      </c>
      <c r="KV52" s="225">
        <f>IFERROR(AVERAGE($FC52:GG52),"")</f>
        <v>31.766666666666666</v>
      </c>
      <c r="KW52" s="225">
        <f>IFERROR(AVERAGE($FC52:GH52),"")</f>
        <v>31.806451612903224</v>
      </c>
      <c r="KX52" s="225">
        <f>IFERROR(AVERAGE($FC52:GI52),"")</f>
        <v>31.15625</v>
      </c>
      <c r="KY52" s="225">
        <f>IFERROR(AVERAGE($FC52:GJ52),"")</f>
        <v>30.454545454545453</v>
      </c>
      <c r="KZ52" s="225">
        <f>IFERROR(AVERAGE($FC52:GK52),"")</f>
        <v>31.352941176470587</v>
      </c>
      <c r="LA52" s="225">
        <f>IFERROR(AVERAGE($FC52:GL52),"")</f>
        <v>30.857142857142858</v>
      </c>
      <c r="LB52" s="225">
        <f>IFERROR(AVERAGE($FC52:GM52),"")</f>
        <v>30.777777777777779</v>
      </c>
      <c r="LC52" s="225">
        <f>IFERROR(AVERAGE($FC52:GN52),"")</f>
        <v>30.621621621621621</v>
      </c>
      <c r="LD52" s="225">
        <f>IFERROR(AVERAGE($FC52:GO52),"")</f>
        <v>30.394736842105264</v>
      </c>
      <c r="LE52" s="225">
        <f>IFERROR(AVERAGE($FC52:GP52),"")</f>
        <v>30.282051282051281</v>
      </c>
      <c r="LF52" s="225">
        <f>IFERROR(AVERAGE($FC52:GQ52),"")</f>
        <v>30.2</v>
      </c>
      <c r="LG52" s="225">
        <f>IFERROR(AVERAGE($FC52:GR52),"")</f>
        <v>30.048780487804876</v>
      </c>
      <c r="LH52" s="225">
        <f>IFERROR(AVERAGE($FC52:GS52),"")</f>
        <v>30.048780487804876</v>
      </c>
      <c r="LI52" s="225">
        <f>IFERROR(AVERAGE($FC52:GT52),"")</f>
        <v>30.048780487804876</v>
      </c>
      <c r="LJ52" s="225">
        <f>IFERROR(AVERAGE($FC52:GU52),"")</f>
        <v>30.048780487804876</v>
      </c>
      <c r="LK52" s="225">
        <f>IFERROR(AVERAGE($FC52:GV52),"")</f>
        <v>30.048780487804876</v>
      </c>
      <c r="LL52" s="225">
        <f>IFERROR(AVERAGE($FC52:GW52),"")</f>
        <v>30.048780487804876</v>
      </c>
      <c r="LM52" s="225">
        <f>IFERROR(AVERAGE($FC52:GX52),"")</f>
        <v>30.048780487804876</v>
      </c>
      <c r="LN52" s="225">
        <f>IFERROR(AVERAGE($FC52:GY52),"")</f>
        <v>30.048780487804876</v>
      </c>
      <c r="LO52" s="225">
        <f>IFERROR(AVERAGE($FC52:GZ52),"")</f>
        <v>30.048780487804876</v>
      </c>
      <c r="LP52" s="225">
        <f>IFERROR(AVERAGE($FC52:HA52),"")</f>
        <v>30.048780487804876</v>
      </c>
      <c r="LQ52" s="225">
        <f>IFERROR(AVERAGE($FC52:HB52),"")</f>
        <v>30.048780487804876</v>
      </c>
      <c r="LR52" s="225">
        <f>IFERROR(AVERAGE($FC52:HC52),"")</f>
        <v>30.048780487804876</v>
      </c>
      <c r="LT52" s="133" t="str">
        <f>+$C52</f>
        <v>KPI P1</v>
      </c>
      <c r="LU52" s="142" t="str">
        <f>+$D52</f>
        <v>Productivity</v>
      </c>
      <c r="LV52" s="142" t="str">
        <f>+$E52</f>
        <v>Design requests closed</v>
      </c>
      <c r="LW52" s="143" t="str">
        <f>+$F52</f>
        <v>Count</v>
      </c>
      <c r="LX52" s="143" t="s">
        <v>285</v>
      </c>
      <c r="LY52" s="225" t="str">
        <f>IFERROR(AVERAGE($HJ52:HJ52),"")</f>
        <v/>
      </c>
      <c r="LZ52" s="225">
        <f>IFERROR(IF(LAD$7&gt;$D$3,"",AVERAGE($HJ52:HK52)),"")</f>
        <v>35</v>
      </c>
      <c r="MA52" s="225">
        <f>IFERROR(IF(MA$7&gt;$D$3,"",AVERAGE($HJ52:HL52)),"")</f>
        <v>35</v>
      </c>
      <c r="MB52" s="225">
        <f>IFERROR(IF(MB$7&gt;$D$3,"",AVERAGE($HJ52:HM52)),"")</f>
        <v>35</v>
      </c>
      <c r="MC52" s="225">
        <f>IFERROR(IF(MC$7&gt;$D$3,"",AVERAGE($HJ52:HN52)),"")</f>
        <v>35</v>
      </c>
      <c r="MD52" s="225">
        <f>IFERROR(IF(MD$7&gt;$D$3,"",AVERAGE($HJ52:HO52)),"")</f>
        <v>35</v>
      </c>
      <c r="ME52" s="225">
        <f>IFERROR(IF(ME$7&gt;$D$3,"",AVERAGE($HJ52:HP52)),"")</f>
        <v>35</v>
      </c>
      <c r="MF52" s="225">
        <f>IFERROR(IF(MF$7&gt;$D$3,"",AVERAGE($HJ52:HQ52)),"")</f>
        <v>35</v>
      </c>
      <c r="MG52" s="225">
        <f>IFERROR(IF(MG$7&gt;$D$3,"",AVERAGE($HJ52:HR52)),"")</f>
        <v>35</v>
      </c>
      <c r="MH52" s="225">
        <f>IFERROR(IF(MH$7&gt;$D$3,"",AVERAGE($HJ52:HS52)),"")</f>
        <v>35</v>
      </c>
      <c r="MI52" s="225">
        <f>IFERROR(IF(MI$7&gt;$D$3,"",AVERAGE($HJ52:HT52)),"")</f>
        <v>35</v>
      </c>
      <c r="MJ52" s="225">
        <f>IFERROR(IF(MJ$7&gt;$D$3,"",AVERAGE($HJ52:HU52)),"")</f>
        <v>35</v>
      </c>
      <c r="MK52" s="225">
        <f>IFERROR(IF(MK$7&gt;$D$3,"",AVERAGE($HJ52:HV52)),"")</f>
        <v>35</v>
      </c>
      <c r="ML52" s="225">
        <f>IFERROR(IF(ML$7&gt;$D$3,"",AVERAGE($HJ52:HW52)),"")</f>
        <v>35</v>
      </c>
      <c r="MM52" s="225">
        <f>IFERROR(IF(MM$7&gt;$D$3,"",AVERAGE($HJ52:HX52)),"")</f>
        <v>35</v>
      </c>
      <c r="MN52" s="225">
        <f>IFERROR(IF(MN$7&gt;$D$3,"",AVERAGE($HJ52:HY52)),"")</f>
        <v>35</v>
      </c>
      <c r="MO52" s="225">
        <f>IFERROR(IF(MO$7&gt;$D$3,"",AVERAGE($HJ52:HZ52)),"")</f>
        <v>35</v>
      </c>
      <c r="MP52" s="225">
        <f>IFERROR(IF(MP$7&gt;$D$3,"",AVERAGE($HJ52:IA52)),"")</f>
        <v>35</v>
      </c>
      <c r="MQ52" s="225">
        <f>IFERROR(IF(MQ$7&gt;$D$3,"",AVERAGE($HJ52:IB52)),"")</f>
        <v>35</v>
      </c>
      <c r="MR52" s="225">
        <f>IFERROR(IF(MR$7&gt;$D$3,"",AVERAGE($HJ52:IC52)),"")</f>
        <v>35</v>
      </c>
      <c r="MS52" s="225">
        <f>IFERROR(IF(MS$7&gt;$D$3,"",AVERAGE($HJ52:ID52)),"")</f>
        <v>35</v>
      </c>
      <c r="MT52" s="225">
        <f>IFERROR(IF(MT$7&gt;$D$3,"",AVERAGE($HJ52:IE52)),"")</f>
        <v>35</v>
      </c>
      <c r="MU52" s="225">
        <f>IFERROR(IF(MU$7&gt;$D$3,"",AVERAGE($HJ52:IF52)),"")</f>
        <v>35</v>
      </c>
      <c r="MV52" s="225">
        <f>IFERROR(IF(MV$7&gt;$D$3,"",AVERAGE($HJ52:IG52)),"")</f>
        <v>35</v>
      </c>
      <c r="MW52" s="225">
        <f>IFERROR(IF(MW$7&gt;$D$3,"",AVERAGE($HJ52:IH52)),"")</f>
        <v>35</v>
      </c>
      <c r="MX52" s="225">
        <f>IFERROR(IF(MX$7&gt;$D$3,"",AVERAGE($HJ52:II52)),"")</f>
        <v>35</v>
      </c>
      <c r="MY52" s="225">
        <f>IFERROR(IF(MY$7&gt;$D$3,"",AVERAGE($HJ52:IJ52)),"")</f>
        <v>35</v>
      </c>
      <c r="MZ52" s="225">
        <f>IFERROR(IF(MZ$7&gt;$D$3,"",AVERAGE($HJ52:IK52)),"")</f>
        <v>35</v>
      </c>
      <c r="NA52" s="225">
        <f>IFERROR(IF(NA$7&gt;$D$3,"",AVERAGE($HJ52:IL52)),"")</f>
        <v>35</v>
      </c>
      <c r="NB52" s="225">
        <f>IFERROR(IF(NB$7&gt;$D$3,"",AVERAGE($HJ52:IM52)),"")</f>
        <v>35</v>
      </c>
      <c r="NC52" s="225">
        <f>IFERROR(IF(NC$7&gt;$D$3,"",AVERAGE($HJ52:IN52)),"")</f>
        <v>35</v>
      </c>
      <c r="ND52" s="225">
        <f>IFERROR(IF(ND$7&gt;$D$3,"",AVERAGE($HJ52:IO52)),"")</f>
        <v>35</v>
      </c>
      <c r="NE52" s="225">
        <f>IFERROR(IF(NE$7&gt;$D$3,"",AVERAGE($HJ52:IP52)),"")</f>
        <v>35</v>
      </c>
      <c r="NF52" s="225">
        <f>IFERROR(IF(NF$7&gt;$D$3,"",AVERAGE($HJ52:IQ52)),"")</f>
        <v>35</v>
      </c>
      <c r="NG52" s="225">
        <f>IFERROR(IF(NG$7&gt;$D$3,"",AVERAGE($HJ52:IR52)),"")</f>
        <v>35</v>
      </c>
      <c r="NH52" s="225">
        <f>IFERROR(IF(NH$7&gt;$D$3,"",AVERAGE($HJ52:IS52)),"")</f>
        <v>35</v>
      </c>
      <c r="NI52" s="225">
        <f>IFERROR(IF(NI$7&gt;$D$3,"",AVERAGE($HJ52:IT52)),"")</f>
        <v>35</v>
      </c>
      <c r="NJ52" s="225">
        <f>IFERROR(IF(NJ$7&gt;$D$3,"",AVERAGE($HJ52:IU52)),"")</f>
        <v>35</v>
      </c>
      <c r="NK52" s="225">
        <f>IFERROR(IF(NK$7&gt;$D$3,"",AVERAGE($HJ52:IV52)),"")</f>
        <v>35</v>
      </c>
      <c r="NL52" s="225">
        <f>IFERROR(IF(NL$7&gt;$D$3,"",AVERAGE($HJ52:IW52)),"")</f>
        <v>35</v>
      </c>
      <c r="NM52" s="225">
        <f>IFERROR(IF(NM$7&gt;$D$3,"",AVERAGE($HJ52:IX52)),"")</f>
        <v>35</v>
      </c>
      <c r="NN52" s="225">
        <f>IFERROR(IF(NN$7&gt;$D$3,"",AVERAGE($HJ52:IY52)),"")</f>
        <v>35</v>
      </c>
      <c r="NO52" s="225" t="str">
        <f>IFERROR(IF(NO$7&gt;$D$3,"",AVERAGE($HJ52:IZ52)),"")</f>
        <v/>
      </c>
      <c r="NP52" s="225" t="str">
        <f>IFERROR(IF(NP$7&gt;$D$3,"",AVERAGE($HJ52:JA52)),"")</f>
        <v/>
      </c>
      <c r="NQ52" s="225" t="str">
        <f>IFERROR(IF(NQ$7&gt;$D$3,"",AVERAGE($HJ52:JB52)),"")</f>
        <v/>
      </c>
      <c r="NR52" s="225" t="str">
        <f>IFERROR(IF(NR$7&gt;$D$3,"",AVERAGE($HJ52:JC52)),"")</f>
        <v/>
      </c>
      <c r="NS52" s="225" t="str">
        <f>IFERROR(IF(NS$7&gt;$D$3,"",AVERAGE($HJ52:JD52)),"")</f>
        <v/>
      </c>
      <c r="NT52" s="225" t="str">
        <f>IFERROR(IF(NT$7&gt;$D$3,"",AVERAGE($HJ52:JE52)),"")</f>
        <v/>
      </c>
      <c r="NU52" s="225" t="str">
        <f>IFERROR(IF(NU$7&gt;$D$3,"",AVERAGE($HJ52:JF52)),"")</f>
        <v/>
      </c>
      <c r="NV52" s="225" t="str">
        <f>IFERROR(IF(NV$7&gt;$D$3,"",AVERAGE($HJ52:JG52)),"")</f>
        <v/>
      </c>
      <c r="NW52" s="225" t="str">
        <f>IFERROR(IF(NW$7&gt;$D$3,"",AVERAGE($HJ52:JH52)),"")</f>
        <v/>
      </c>
      <c r="NX52" s="225" t="str">
        <f>IFERROR(IF(NX$7&gt;$D$3,"",AVERAGE($HJ52:JI52)),"")</f>
        <v/>
      </c>
      <c r="NY52" s="225" t="str">
        <f>IFERROR(IF(NY$7&gt;$D$3,"",AVERAGE($HJ52:JJ52)),"")</f>
        <v/>
      </c>
    </row>
    <row r="53" spans="1:389" x14ac:dyDescent="0.3">
      <c r="A53" t="str">
        <f>$B$51&amp;"-"&amp;C53</f>
        <v>Design-KPI D1</v>
      </c>
      <c r="B53" s="918" t="str">
        <f>+'KPI Stats'!B31</f>
        <v>Andrew Skitt</v>
      </c>
      <c r="C53" s="136" t="str">
        <f>+'KPI Stats'!C31</f>
        <v>KPI D1</v>
      </c>
      <c r="D53" s="144" t="str">
        <f>+'KPI Stats'!D31</f>
        <v>Delivery</v>
      </c>
      <c r="E53" s="144" t="str">
        <f>+'KPI Stats'!E31</f>
        <v>Designs completed to internal days estimate</v>
      </c>
      <c r="F53" s="145" t="str">
        <f>+'KPI Stats'!F31</f>
        <v>Percentage</v>
      </c>
      <c r="G53" s="169" t="str">
        <f>+'KPI Stats'!G31</f>
        <v>Under</v>
      </c>
      <c r="J53" s="69" t="str">
        <f>_xlfn.XLOOKUP(J$7,$AM$7:$CM$7,$AM53:$CM53,,FALSE)</f>
        <v>R</v>
      </c>
      <c r="K53" s="264">
        <f>_xlfn.XLOOKUP(K$7,$FC$7:$HC$7,$FC53:$HC53,,FALSE)</f>
        <v>76</v>
      </c>
      <c r="L53" s="278">
        <f>_xlfn.XLOOKUP(L$7,$HJ$7:$JJ$7,$HJ53:$JJ53,,FALSE)</f>
        <v>100</v>
      </c>
      <c r="M53" s="272">
        <f>IFERROR(_xlfn.XLOOKUP(M$7,$CU$7:$EU$7,$CU53:$EU53,,FALSE),"")</f>
        <v>0.76</v>
      </c>
      <c r="P53" s="69" t="str">
        <f>_xlfn.XLOOKUP(P$7,$AM$7:$CM$7,$AM53:$CM53,,FALSE)</f>
        <v>R</v>
      </c>
      <c r="Q53" s="264">
        <f t="shared" si="179"/>
        <v>76</v>
      </c>
      <c r="R53" s="278">
        <f t="shared" si="179"/>
        <v>81</v>
      </c>
      <c r="S53" s="288">
        <f>IFERROR(_xlfn.XLOOKUP(S$7,$CU$7:$EU$7,$CU53:$EU53,,FALSE),"")</f>
        <v>0.76</v>
      </c>
      <c r="T53" s="265">
        <f>_xlfn.XLOOKUP(T$7,$CU$7:$EU$7,$CU53:$EU53,,FALSE)</f>
        <v>0.81</v>
      </c>
      <c r="U53" s="295" t="str">
        <f>IF(F51&lt;$R$2,"Not Complete",IF(Q53=R53,"Same −",IF($G53="Over",IF(Q53&lt;R53,"Better ↑","Worse ↓"),IF($G53="Under",IF(Q53&gt;R53,"Better ↑","Worse ↓"),"err"))))</f>
        <v>Worse ↓</v>
      </c>
      <c r="X53" s="69" t="str">
        <f t="shared" si="180"/>
        <v>R</v>
      </c>
      <c r="Y53" s="264">
        <f>_xlfn.XLOOKUP(Y$7,$JR$7:$LR$7,$JR53:$LR53,FALSE)</f>
        <v>81.114954131069013</v>
      </c>
      <c r="Z53" s="278">
        <f>_xlfn.XLOOKUP(Z$7,$LY$7:$NY$7,$LY53:$NY53,FALSE)</f>
        <v>100</v>
      </c>
      <c r="AA53" s="272">
        <f>IF(G53="under",Y53/Z53,IF(G53="over",Z53/Y53,"err"))</f>
        <v>0.81114954131069017</v>
      </c>
      <c r="AB53" s="295" t="str">
        <f>IF(F51&lt;$R$2,"TBC",IF(Y53=Z53,"Same −",IF($G53="Over",IF(Z53&lt;Y53,"Better ↑ ","Worse ↓ "),IF($G53="Under",IF(Y53&gt;Z53,"Better ↑ ","Worse ↓ "),"err"))))</f>
        <v xml:space="preserve">Worse ↓ </v>
      </c>
      <c r="AC53" s="69" t="str">
        <f>IF(AND(G53="above adero",AD53&gt;0),"R",IF(AF53&gt;1,"G",IF(AF53&gt;0.95,"A","R")))</f>
        <v>R</v>
      </c>
      <c r="AD53" s="114">
        <f>_xlfn.XLOOKUP(AD$7,$JR$7:$LR$7,$JR53:$LR53,FALSE)</f>
        <v>81.242827984345737</v>
      </c>
      <c r="AE53" s="114">
        <f>_xlfn.XLOOKUP(AE$7,$LY$7:$NY$7,$LY53:$NY53,FALSE)</f>
        <v>100</v>
      </c>
      <c r="AF53" s="252">
        <f>IF(G53="under",AD53/AE53,IF(G53="over",AE53/AD53,"err"))</f>
        <v>0.81242827984345733</v>
      </c>
      <c r="AH53" s="465" t="str">
        <f>+$A53</f>
        <v>Design-KPI D1</v>
      </c>
      <c r="AI53" s="136" t="str">
        <f t="shared" si="182"/>
        <v>KPI D1</v>
      </c>
      <c r="AJ53" s="144" t="str">
        <f t="shared" si="182"/>
        <v>Delivery</v>
      </c>
      <c r="AK53" s="144" t="str">
        <f t="shared" si="168"/>
        <v>Designs completed to internal days estimate</v>
      </c>
      <c r="AL53" s="145" t="str">
        <f t="shared" si="168"/>
        <v>Percentage</v>
      </c>
      <c r="AM53" s="69" t="str">
        <f>IF(AM$7&gt;$D$3,"",_xlfn.XLOOKUP(AM$7,Design!$M$6:$BM$6,Design!$M$13:$BM$13))</f>
        <v>Blank</v>
      </c>
      <c r="AN53" s="199" t="str">
        <f>IF(AN$7&gt;$D$3,"",_xlfn.XLOOKUP(AN$7,Design!$M$6:$BM$6,Design!$M$13:$BM$13))</f>
        <v>R</v>
      </c>
      <c r="AO53" s="69" t="str">
        <f>IF(AO$7&gt;$D$3,"",_xlfn.XLOOKUP(AO$7,Design!$M$6:$BM$6,Design!$M$13:$BM$13))</f>
        <v>G</v>
      </c>
      <c r="AP53" s="69" t="str">
        <f>IF(AP$7&gt;$D$3,"",_xlfn.XLOOKUP(AP$7,Design!$M$6:$BM$6,Design!$M$13:$BM$13))</f>
        <v>R</v>
      </c>
      <c r="AQ53" s="69" t="str">
        <f>IF(AQ$7&gt;$D$3,"",_xlfn.XLOOKUP(AQ$7,Design!$M$6:$BM$6,Design!$M$13:$BM$13))</f>
        <v>A</v>
      </c>
      <c r="AR53" s="69" t="str">
        <f>IF(AR$7&gt;$D$3,"",_xlfn.XLOOKUP(AR$7,Design!$M$6:$BM$6,Design!$M$13:$BM$13))</f>
        <v>R</v>
      </c>
      <c r="AS53" s="69" t="str">
        <f>IF(AS$7&gt;$D$3,"",_xlfn.XLOOKUP(AS$7,Design!$M$6:$BM$6,Design!$M$13:$BM$13))</f>
        <v>R</v>
      </c>
      <c r="AT53" s="69" t="str">
        <f>IF(AT$7&gt;$D$3,"",_xlfn.XLOOKUP(AT$7,Design!$M$6:$BM$6,Design!$M$13:$BM$13))</f>
        <v>R</v>
      </c>
      <c r="AU53" s="69" t="str">
        <f>IF(AU$7&gt;$D$3,"",_xlfn.XLOOKUP(AU$7,Design!$M$6:$BM$6,Design!$M$13:$BM$13))</f>
        <v>R</v>
      </c>
      <c r="AV53" s="69" t="str">
        <f>IF(AV$7&gt;$D$3,"",_xlfn.XLOOKUP(AV$7,Design!$M$6:$BM$6,Design!$M$13:$BM$13))</f>
        <v>R</v>
      </c>
      <c r="AW53" s="69" t="str">
        <f>IF(AW$7&gt;$D$3,"",_xlfn.XLOOKUP(AW$7,Design!$M$6:$BM$6,Design!$M$13:$BM$13))</f>
        <v>R</v>
      </c>
      <c r="AX53" s="69" t="str">
        <f>IF(AX$7&gt;$D$3,"",_xlfn.XLOOKUP(AX$7,Design!$M$6:$BM$6,Design!$M$13:$BM$13))</f>
        <v>R</v>
      </c>
      <c r="AY53" s="69" t="str">
        <f>IF(AY$7&gt;$D$3,"",_xlfn.XLOOKUP(AY$7,Design!$M$6:$BM$6,Design!$M$13:$BM$13))</f>
        <v>R</v>
      </c>
      <c r="AZ53" s="69" t="str">
        <f>IF(AZ$7&gt;$D$3,"",_xlfn.XLOOKUP(AZ$7,Design!$M$6:$BM$6,Design!$M$13:$BM$13))</f>
        <v>R</v>
      </c>
      <c r="BA53" s="69" t="str">
        <f>IF(BA$7&gt;$D$3,"",_xlfn.XLOOKUP(BA$7,Design!$M$6:$BM$6,Design!$M$13:$BM$13))</f>
        <v>R</v>
      </c>
      <c r="BB53" s="69" t="str">
        <f>IF(BB$7&gt;$D$3,"",_xlfn.XLOOKUP(BB$7,Design!$M$6:$BM$6,Design!$M$13:$BM$13))</f>
        <v>R</v>
      </c>
      <c r="BC53" s="69" t="str">
        <f>IF(BC$7&gt;$D$3,"",_xlfn.XLOOKUP(BC$7,Design!$M$6:$BM$6,Design!$M$13:$BM$13))</f>
        <v>R</v>
      </c>
      <c r="BD53" s="69" t="str">
        <f>IF(BD$7&gt;$D$3,"",_xlfn.XLOOKUP(BD$7,Design!$M$6:$BM$6,Design!$M$13:$BM$13))</f>
        <v>R</v>
      </c>
      <c r="BE53" s="69" t="str">
        <f>IF(BE$7&gt;$D$3,"",_xlfn.XLOOKUP(BE$7,Design!$M$6:$BM$6,Design!$M$13:$BM$13))</f>
        <v>R</v>
      </c>
      <c r="BF53" s="69" t="str">
        <f>IF(BF$7&gt;$D$3,"",_xlfn.XLOOKUP(BF$7,Design!$M$6:$BM$6,Design!$M$13:$BM$13))</f>
        <v>R</v>
      </c>
      <c r="BG53" s="69" t="str">
        <f>IF(BG$7&gt;$D$3,"",_xlfn.XLOOKUP(BG$7,Design!$M$6:$BM$6,Design!$M$13:$BM$13))</f>
        <v>R</v>
      </c>
      <c r="BH53" s="69" t="str">
        <f>IF(BH$7&gt;$D$3,"",_xlfn.XLOOKUP(BH$7,Design!$M$6:$BM$6,Design!$M$13:$BM$13))</f>
        <v>R</v>
      </c>
      <c r="BI53" s="69" t="str">
        <f>IF(BI$7&gt;$D$3,"",_xlfn.XLOOKUP(BI$7,Design!$M$6:$BM$6,Design!$M$13:$BM$13))</f>
        <v>R</v>
      </c>
      <c r="BJ53" s="69" t="str">
        <f>IF(BJ$7&gt;$D$3,"",_xlfn.XLOOKUP(BJ$7,Design!$M$6:$BM$6,Design!$M$13:$BM$13))</f>
        <v>R</v>
      </c>
      <c r="BK53" s="69" t="str">
        <f>IF(BK$7&gt;$D$3,"",_xlfn.XLOOKUP(BK$7,Design!$M$6:$BM$6,Design!$M$13:$BM$13))</f>
        <v>R</v>
      </c>
      <c r="BL53" s="69" t="str">
        <f>IF(BL$7&gt;$D$3,"",_xlfn.XLOOKUP(BL$7,Design!$M$6:$BM$6,Design!$M$13:$BM$13))</f>
        <v>R</v>
      </c>
      <c r="BM53" s="69" t="str">
        <f>IF(BM$7&gt;$D$3,"",_xlfn.XLOOKUP(BM$7,Design!$M$6:$BM$6,Design!$M$13:$BM$13))</f>
        <v>R</v>
      </c>
      <c r="BN53" s="69" t="str">
        <f>IF(BN$7&gt;$D$3,"",_xlfn.XLOOKUP(BN$7,Design!$M$6:$BM$6,Design!$M$13:$BM$13))</f>
        <v>R</v>
      </c>
      <c r="BO53" s="69" t="str">
        <f>IF(BO$7&gt;$D$3,"",_xlfn.XLOOKUP(BO$7,Design!$M$6:$BM$6,Design!$M$13:$BM$13))</f>
        <v>R</v>
      </c>
      <c r="BP53" s="69" t="str">
        <f>IF(BP$7&gt;$D$3,"",_xlfn.XLOOKUP(BP$7,Design!$M$6:$BM$6,Design!$M$13:$BM$13))</f>
        <v>R</v>
      </c>
      <c r="BQ53" s="69" t="str">
        <f>IF(BQ$7&gt;$D$3,"",_xlfn.XLOOKUP(BQ$7,Design!$M$6:$BM$6,Design!$M$13:$BM$13))</f>
        <v>R</v>
      </c>
      <c r="BR53" s="69" t="str">
        <f>IF(BR$7&gt;$D$3,"",_xlfn.XLOOKUP(BR$7,Design!$M$6:$BM$6,Design!$M$13:$BM$13))</f>
        <v>R</v>
      </c>
      <c r="BS53" s="69" t="str">
        <f>IF(BS$7&gt;$D$3,"",_xlfn.XLOOKUP(BS$7,Design!$M$6:$BM$6,Design!$M$13:$BM$13))</f>
        <v>R</v>
      </c>
      <c r="BT53" s="69" t="str">
        <f>IF(BT$7&gt;$D$3,"",_xlfn.XLOOKUP(BT$7,Design!$M$6:$BM$6,Design!$M$13:$BM$13))</f>
        <v>G</v>
      </c>
      <c r="BU53" s="69" t="str">
        <f>IF(BU$7&gt;$D$3,"",_xlfn.XLOOKUP(BU$7,Design!$M$6:$BM$6,Design!$M$13:$BM$13))</f>
        <v>R</v>
      </c>
      <c r="BV53" s="69" t="str">
        <f>IF(BV$7&gt;$D$3,"",_xlfn.XLOOKUP(BV$7,Design!$M$6:$BM$6,Design!$M$13:$BM$13))</f>
        <v>R</v>
      </c>
      <c r="BW53" s="69" t="str">
        <f>IF(BW$7&gt;$D$3,"",_xlfn.XLOOKUP(BW$7,Design!$M$6:$BM$6,Design!$M$13:$BM$13))</f>
        <v>R</v>
      </c>
      <c r="BX53" s="69" t="str">
        <f>IF(BX$7&gt;$D$3,"",_xlfn.XLOOKUP(BX$7,Design!$M$6:$BM$6,Design!$M$13:$BM$13))</f>
        <v>R</v>
      </c>
      <c r="BY53" s="69" t="str">
        <f>IF(BY$7&gt;$D$3,"",_xlfn.XLOOKUP(BY$7,Design!$M$6:$BM$6,Design!$M$13:$BM$13))</f>
        <v>R</v>
      </c>
      <c r="BZ53" s="69" t="str">
        <f>IF(BZ$7&gt;$D$3,"",_xlfn.XLOOKUP(BZ$7,Design!$M$6:$BM$6,Design!$M$13:$BM$13))</f>
        <v>R</v>
      </c>
      <c r="CA53" s="69" t="str">
        <f>IF(CA$7&gt;$D$3,"",_xlfn.XLOOKUP(CA$7,Design!$M$6:$BM$6,Design!$M$13:$BM$13))</f>
        <v>R</v>
      </c>
      <c r="CB53" s="69" t="str">
        <f>IF(CB$7&gt;$D$3,"",_xlfn.XLOOKUP(CB$7,Design!$M$6:$BM$6,Design!$M$13:$BM$13))</f>
        <v>R</v>
      </c>
      <c r="CC53" s="69" t="str">
        <f>IF(CC$7&gt;$D$3,"",_xlfn.XLOOKUP(CC$7,Design!$M$6:$BM$6,Design!$M$13:$BM$13))</f>
        <v/>
      </c>
      <c r="CD53" s="69" t="str">
        <f>IF(CD$7&gt;$D$3,"",_xlfn.XLOOKUP(CD$7,Design!$M$6:$BM$6,Design!$M$13:$BM$13))</f>
        <v/>
      </c>
      <c r="CE53" s="69" t="str">
        <f>IF(CE$7&gt;$D$3,"",_xlfn.XLOOKUP(CE$7,Design!$M$6:$BM$6,Design!$M$13:$BM$13))</f>
        <v/>
      </c>
      <c r="CF53" s="69" t="str">
        <f>IF(CF$7&gt;$D$3,"",_xlfn.XLOOKUP(CF$7,Design!$M$6:$BM$6,Design!$M$13:$BM$13))</f>
        <v/>
      </c>
      <c r="CG53" s="69" t="str">
        <f>IF(CG$7&gt;$D$3,"",_xlfn.XLOOKUP(CG$7,Design!$M$6:$BM$6,Design!$M$13:$BM$13))</f>
        <v/>
      </c>
      <c r="CH53" s="69" t="str">
        <f>IF(CH$7&gt;$D$3,"",_xlfn.XLOOKUP(CH$7,Design!$M$6:$BM$6,Design!$M$13:$BM$13))</f>
        <v/>
      </c>
      <c r="CI53" s="69" t="str">
        <f>IF(CI$7&gt;$D$3,"",_xlfn.XLOOKUP(CI$7,Design!$M$6:$BM$6,Design!$M$13:$BM$13))</f>
        <v/>
      </c>
      <c r="CJ53" s="69" t="str">
        <f>IF(CJ$7&gt;$D$3,"",_xlfn.XLOOKUP(CJ$7,Design!$M$6:$BM$6,Design!$M$13:$BM$13))</f>
        <v/>
      </c>
      <c r="CK53" s="69" t="str">
        <f>IF(CK$7&gt;$D$3,"",_xlfn.XLOOKUP(CK$7,Design!$M$6:$BM$6,Design!$M$13:$BM$13))</f>
        <v/>
      </c>
      <c r="CL53" s="69" t="str">
        <f>IF(CL$7&gt;$D$3,"",_xlfn.XLOOKUP(CL$7,Design!$M$6:$BM$6,Design!$M$13:$BM$13))</f>
        <v/>
      </c>
      <c r="CM53" s="69" t="str">
        <f>IF(CM$7&gt;$D$3,"",_xlfn.XLOOKUP(CM$7,Design!$M$6:$BM$6,Design!$M$13:$BM$13))</f>
        <v/>
      </c>
      <c r="CO53" s="465" t="str">
        <f>+$A53</f>
        <v>Design-KPI D1</v>
      </c>
      <c r="CP53" s="136" t="str">
        <f t="shared" si="183"/>
        <v>KPI D1</v>
      </c>
      <c r="CQ53" s="144" t="str">
        <f t="shared" si="183"/>
        <v>Delivery</v>
      </c>
      <c r="CR53" s="144" t="str">
        <f t="shared" si="170"/>
        <v>Designs completed to internal days estimate</v>
      </c>
      <c r="CS53" s="145" t="str">
        <f t="shared" si="170"/>
        <v>Percentage</v>
      </c>
      <c r="CT53" s="207" t="s">
        <v>246</v>
      </c>
      <c r="CU53" s="423" t="str">
        <f>IF(CU$7&gt;$D$3,"",_xlfn.XLOOKUP(CU$7,Design!$M$6:$BM$6,Design!$M$13:$BM$13))</f>
        <v>Blank</v>
      </c>
      <c r="CV53" s="323" cm="1">
        <f t="array" ref="CV53">IFERROR(IF(CV$7&gt;$D$3,"",IF(AN53="OD","OD",IF(AN53="Missed","Missed",IF(AN53="TBC","TBC",IF(AN53="Undefined","Undefined",_xlfn.XLOOKUP(CV$7,Design!$M$6:$BM$6,Design!$M$12:$BM$12/_xlfn.XLOOKUP(CV$7,Design!$M$6:$BM$6,Design!$M$11:$BM$11))))))),0)</f>
        <v>0.87878787878787878</v>
      </c>
      <c r="CW53" s="315" cm="1">
        <f t="array" ref="CW53">IFERROR(IF(CW$7&gt;$D$3,"",IF(AO53="OD","OD",IF(AO53="Missed","Missed",IF(AO53="TBC","TBC",IF(AO53="Undefined","Undefined",_xlfn.XLOOKUP(CW$7,Design!$M$6:$BM$6,Design!$M$12:$BM$12/_xlfn.XLOOKUP(CW$7,Design!$M$6:$BM$6,Design!$M$11:$BM$11))))))),0)</f>
        <v>1</v>
      </c>
      <c r="CX53" s="315" cm="1">
        <f t="array" ref="CX53">IFERROR(IF(CX$7&gt;$D$3,"",IF(AP53="OD","OD",IF(AP53="Missed","Missed",IF(AP53="TBC","TBC",IF(AP53="Undefined","Undefined",_xlfn.XLOOKUP(CX$7,Design!$M$6:$BM$6,Design!$M$12:$BM$12/_xlfn.XLOOKUP(CX$7,Design!$M$6:$BM$6,Design!$M$11:$BM$11))))))),0)</f>
        <v>0.88235294117647056</v>
      </c>
      <c r="CY53" s="315" cm="1">
        <f t="array" ref="CY53">IFERROR(IF(CY$7&gt;$D$3,"",IF(AQ53="OD","OD",IF(AQ53="Missed","Missed",IF(AQ53="TBC","TBC",IF(AQ53="Undefined","Undefined",_xlfn.XLOOKUP(CY$7,Design!$M$6:$BM$6,Design!$M$12:$BM$12/_xlfn.XLOOKUP(CY$7,Design!$M$6:$BM$6,Design!$M$11:$BM$11))))))),0)</f>
        <v>0.96875</v>
      </c>
      <c r="CZ53" s="315" cm="1">
        <f t="array" ref="CZ53">IFERROR(IF(CZ$7&gt;$D$3,"",IF(AR53="OD","OD",IF(AR53="Missed","Missed",IF(AR53="TBC","TBC",IF(AR53="Undefined","Undefined",_xlfn.XLOOKUP(CZ$7,Design!$M$6:$BM$6,Design!$M$12:$BM$12/_xlfn.XLOOKUP(CZ$7,Design!$M$6:$BM$6,Design!$M$11:$BM$11))))))),0)</f>
        <v>0.88571428571428568</v>
      </c>
      <c r="DA53" s="315" cm="1">
        <f t="array" ref="DA53">IFERROR(IF(DA$7&gt;$D$3,"",IF(AS53="OD","OD",IF(AS53="Missed","Missed",IF(AS53="TBC","TBC",IF(AS53="Undefined","Undefined",_xlfn.XLOOKUP(DA$7,Design!$M$6:$BM$6,Design!$M$12:$BM$12/_xlfn.XLOOKUP(DA$7,Design!$M$6:$BM$6,Design!$M$11:$BM$11))))))),0)</f>
        <v>0.88571428571428568</v>
      </c>
      <c r="DB53" s="315" cm="1">
        <f t="array" ref="DB53">IFERROR(IF(DB$7&gt;$D$3,"",IF(AT53="OD","OD",IF(AT53="Missed","Missed",IF(AT53="TBC","TBC",IF(AT53="Undefined","Undefined",_xlfn.XLOOKUP(DB$7,Design!$M$6:$BM$6,Design!$M$12:$BM$12/_xlfn.XLOOKUP(DB$7,Design!$M$6:$BM$6,Design!$M$11:$BM$11))))))),0)</f>
        <v>0.93548387096774188</v>
      </c>
      <c r="DC53" s="315" cm="1">
        <f t="array" ref="DC53">IFERROR(IF(DC$7&gt;$D$3,"",IF(AU53="OD","OD",IF(AU53="Missed","Missed",IF(AU53="TBC","TBC",IF(AU53="Undefined","Undefined",_xlfn.XLOOKUP(DC$7,Design!$M$6:$BM$6,Design!$M$12:$BM$12/_xlfn.XLOOKUP(DC$7,Design!$M$6:$BM$6,Design!$M$11:$BM$11))))))),0)</f>
        <v>0.8484848484848484</v>
      </c>
      <c r="DD53" s="315" cm="1">
        <f t="array" ref="DD53">IFERROR(IF(DD$7&gt;$D$3,"",IF(AV53="OD","OD",IF(AV53="Missed","Missed",IF(AV53="TBC","TBC",IF(AV53="Undefined","Undefined",_xlfn.XLOOKUP(DD$7,Design!$M$6:$BM$6,Design!$M$12:$BM$12/_xlfn.XLOOKUP(DD$7,Design!$M$6:$BM$6,Design!$M$11:$BM$11))))))),0)</f>
        <v>0.88888888888888884</v>
      </c>
      <c r="DE53" s="315" cm="1">
        <f t="array" ref="DE53">IFERROR(IF(DE$7&gt;$D$3,"",IF(AW53="OD","OD",IF(AW53="Missed","Missed",IF(AW53="TBC","TBC",IF(AW53="Undefined","Undefined",_xlfn.XLOOKUP(DE$7,Design!$M$6:$BM$6,Design!$M$12:$BM$12/_xlfn.XLOOKUP(DE$7,Design!$M$6:$BM$6,Design!$M$11:$BM$11))))))),0)</f>
        <v>0.89743589743589736</v>
      </c>
      <c r="DF53" s="315" cm="1">
        <f t="array" ref="DF53">IFERROR(IF(DF$7&gt;$D$3,"",IF(AX53="OD","OD",IF(AX53="Missed","Missed",IF(AX53="TBC","TBC",IF(AX53="Undefined","Undefined",_xlfn.XLOOKUP(DF$7,Design!$M$6:$BM$6,Design!$M$12:$BM$12/_xlfn.XLOOKUP(DF$7,Design!$M$6:$BM$6,Design!$M$11:$BM$11))))))),0)</f>
        <v>0.82352941176470595</v>
      </c>
      <c r="DG53" s="315" cm="1">
        <f t="array" ref="DG53">IFERROR(IF(DG$7&gt;$D$3,"",IF(AY53="OD","OD",IF(AY53="Missed","Missed",IF(AY53="TBC","TBC",IF(AY53="Undefined","Undefined",_xlfn.XLOOKUP(DG$7,Design!$M$6:$BM$6,Design!$M$12:$BM$12/_xlfn.XLOOKUP(DG$7,Design!$M$6:$BM$6,Design!$M$11:$BM$11))))))),0)</f>
        <v>0.94444444444444442</v>
      </c>
      <c r="DH53" s="315" cm="1">
        <f t="array" ref="DH53">IFERROR(IF(DH$7&gt;$D$3,"",IF(AZ53="OD","OD",IF(AZ53="Missed","Missed",IF(AZ53="TBC","TBC",IF(AZ53="Undefined","Undefined",_xlfn.XLOOKUP(DH$7,Design!$M$6:$BM$6,Design!$M$12:$BM$12/_xlfn.XLOOKUP(DH$7,Design!$M$6:$BM$6,Design!$M$11:$BM$11))))))),0)</f>
        <v>0.91428571428571426</v>
      </c>
      <c r="DI53" s="315" cm="1">
        <f t="array" ref="DI53">IFERROR(IF(DI$7&gt;$D$3,"",IF(BA53="OD","OD",IF(BA53="Missed","Missed",IF(BA53="TBC","TBC",IF(BA53="Undefined","Undefined",_xlfn.XLOOKUP(DI$7,Design!$M$6:$BM$6,Design!$M$12:$BM$12/_xlfn.XLOOKUP(DI$7,Design!$M$6:$BM$6,Design!$M$11:$BM$11))))))),0)</f>
        <v>0.8571428571428571</v>
      </c>
      <c r="DJ53" s="315" cm="1">
        <f t="array" ref="DJ53">IFERROR(IF(DJ$7&gt;$D$3,"",IF(BB53="OD","OD",IF(BB53="Missed","Missed",IF(BB53="TBC","TBC",IF(BB53="Undefined","Undefined",_xlfn.XLOOKUP(DJ$7,Design!$M$6:$BM$6,Design!$M$12:$BM$12/_xlfn.XLOOKUP(DJ$7,Design!$M$6:$BM$6,Design!$M$11:$BM$11))))))),0)</f>
        <v>0.80952380952380953</v>
      </c>
      <c r="DK53" s="315" cm="1">
        <f t="array" ref="DK53">IFERROR(IF(DK$7&gt;$D$3,"",IF(BC53="OD","OD",IF(BC53="Missed","Missed",IF(BC53="TBC","TBC",IF(BC53="Undefined","Undefined",_xlfn.XLOOKUP(DK$7,Design!$M$6:$BM$6,Design!$M$12:$BM$12/_xlfn.XLOOKUP(DK$7,Design!$M$6:$BM$6,Design!$M$11:$BM$11))))))),0)</f>
        <v>0.8125</v>
      </c>
      <c r="DL53" s="315" cm="1">
        <f t="array" ref="DL53">IFERROR(IF(DL$7&gt;$D$3,"",IF(BD53="OD","OD",IF(BD53="Missed","Missed",IF(BD53="TBC","TBC",IF(BD53="Undefined","Undefined",_xlfn.XLOOKUP(DL$7,Design!$M$6:$BM$6,Design!$M$12:$BM$12/_xlfn.XLOOKUP(DL$7,Design!$M$6:$BM$6,Design!$M$11:$BM$11))))))),0)</f>
        <v>0.90909090909090906</v>
      </c>
      <c r="DM53" s="315" cm="1">
        <f t="array" ref="DM53">IFERROR(IF(DM$7&gt;$D$3,"",IF(BE53="OD","OD",IF(BE53="Missed","Missed",IF(BE53="TBC","TBC",IF(BE53="Undefined","Undefined",_xlfn.XLOOKUP(DM$7,Design!$M$6:$BM$6,Design!$M$12:$BM$12/_xlfn.XLOOKUP(DM$7,Design!$M$6:$BM$6,Design!$M$11:$BM$11))))))),0)</f>
        <v>0.70588235294117652</v>
      </c>
      <c r="DN53" s="315" cm="1">
        <f t="array" ref="DN53">IFERROR(IF(DN$7&gt;$D$3,"",IF(BF53="OD","OD",IF(BF53="Missed","Missed",IF(BF53="TBC","TBC",IF(BF53="Undefined","Undefined",_xlfn.XLOOKUP(DN$7,Design!$M$6:$BM$6,Design!$M$12:$BM$12/_xlfn.XLOOKUP(DN$7,Design!$M$6:$BM$6,Design!$M$11:$BM$11))))))),0)</f>
        <v>0.81081081081081086</v>
      </c>
      <c r="DO53" s="315" cm="1">
        <f t="array" ref="DO53">IFERROR(IF(DO$7&gt;$D$3,"",IF(BG53="OD","OD",IF(BG53="Missed","Missed",IF(BG53="TBC","TBC",IF(BG53="Undefined","Undefined",_xlfn.XLOOKUP(DO$7,Design!$M$6:$BM$6,Design!$M$12:$BM$12/_xlfn.XLOOKUP(DO$7,Design!$M$6:$BM$6,Design!$M$11:$BM$11))))))),0)</f>
        <v>0.80555555555555558</v>
      </c>
      <c r="DP53" s="315" cm="1">
        <f t="array" ref="DP53">IFERROR(IF(DP$7&gt;$D$3,"",IF(BH53="OD","OD",IF(BH53="Missed","Missed",IF(BH53="TBC","TBC",IF(BH53="Undefined","Undefined",_xlfn.XLOOKUP(DP$7,Design!$M$6:$BM$6,Design!$M$12:$BM$12/_xlfn.XLOOKUP(DP$7,Design!$M$6:$BM$6,Design!$M$11:$BM$11))))))),0)</f>
        <v>0.85</v>
      </c>
      <c r="DQ53" s="315" cm="1">
        <f t="array" ref="DQ53">IFERROR(IF(DQ$7&gt;$D$3,"",IF(BI53="OD","OD",IF(BI53="Missed","Missed",IF(BI53="TBC","TBC",IF(BI53="Undefined","Undefined",_xlfn.XLOOKUP(DQ$7,Design!$M$6:$BM$6,Design!$M$12:$BM$12/_xlfn.XLOOKUP(DQ$7,Design!$M$6:$BM$6,Design!$M$11:$BM$11))))))),0)</f>
        <v>0.75757575757575746</v>
      </c>
      <c r="DR53" s="315" cm="1">
        <f t="array" ref="DR53">IFERROR(IF(DR$7&gt;$D$3,"",IF(BJ53="OD","OD",IF(BJ53="Missed","Missed",IF(BJ53="TBC","TBC",IF(BJ53="Undefined","Undefined",_xlfn.XLOOKUP(DR$7,Design!$M$6:$BM$6,Design!$M$12:$BM$12/_xlfn.XLOOKUP(DR$7,Design!$M$6:$BM$6,Design!$M$11:$BM$11))))))),0)</f>
        <v>0.79166666666666674</v>
      </c>
      <c r="DS53" s="315" cm="1">
        <f t="array" ref="DS53">IFERROR(IF(DS$7&gt;$D$3,"",IF(BK53="OD","OD",IF(BK53="Missed","Missed",IF(BK53="TBC","TBC",IF(BK53="Undefined","Undefined",_xlfn.XLOOKUP(DS$7,Design!$M$6:$BM$6,Design!$M$12:$BM$12/_xlfn.XLOOKUP(DS$7,Design!$M$6:$BM$6,Design!$M$11:$BM$11))))))),0)</f>
        <v>0.63636363636363635</v>
      </c>
      <c r="DT53" s="315" cm="1">
        <f t="array" ref="DT53">IFERROR(IF(DT$7&gt;$D$3,"",IF(BL53="OD","OD",IF(BL53="Missed","Missed",IF(BL53="TBC","TBC",IF(BL53="Undefined","Undefined",_xlfn.XLOOKUP(DT$7,Design!$M$6:$BM$6,Design!$M$12:$BM$12/_xlfn.XLOOKUP(DT$7,Design!$M$6:$BM$6,Design!$M$11:$BM$11))))))),0)</f>
        <v>0.76315789473684204</v>
      </c>
      <c r="DU53" s="315" cm="1">
        <f t="array" ref="DU53">IFERROR(IF(DU$7&gt;$D$3,"",IF(BM53="OD","OD",IF(BM53="Missed","Missed",IF(BM53="TBC","TBC",IF(BM53="Undefined","Undefined",_xlfn.XLOOKUP(DU$7,Design!$M$6:$BM$6,Design!$M$12:$BM$12/_xlfn.XLOOKUP(DU$7,Design!$M$6:$BM$6,Design!$M$11:$BM$11))))))),0)</f>
        <v>0.82499999999999996</v>
      </c>
      <c r="DV53" s="315" cm="1">
        <f t="array" ref="DV53">IFERROR(IF(DV$7&gt;$D$3,"",IF(BN53="OD","OD",IF(BN53="Missed","Missed",IF(BN53="TBC","TBC",IF(BN53="Undefined","Undefined",_xlfn.XLOOKUP(DV$7,Design!$M$6:$BM$6,Design!$M$12:$BM$12/_xlfn.XLOOKUP(DV$7,Design!$M$6:$BM$6,Design!$M$11:$BM$11))))))),0)</f>
        <v>0.72413793103448265</v>
      </c>
      <c r="DW53" s="315" cm="1">
        <f t="array" ref="DW53">IFERROR(IF(DW$7&gt;$D$3,"",IF(BO53="OD","OD",IF(BO53="Missed","Missed",IF(BO53="TBC","TBC",IF(BO53="Undefined","Undefined",_xlfn.XLOOKUP(DW$7,Design!$M$6:$BM$6,Design!$M$12:$BM$12/_xlfn.XLOOKUP(DW$7,Design!$M$6:$BM$6,Design!$M$11:$BM$11))))))),0)</f>
        <v>0.76</v>
      </c>
      <c r="DX53" s="315" cm="1">
        <f t="array" ref="DX53">IFERROR(IF(DX$7&gt;$D$3,"",IF(BP53="OD","OD",IF(BP53="Missed","Missed",IF(BP53="TBC","TBC",IF(BP53="Undefined","Undefined",_xlfn.XLOOKUP(DX$7,Design!$M$6:$BM$6,Design!$M$12:$BM$12/_xlfn.XLOOKUP(DX$7,Design!$M$6:$BM$6,Design!$M$11:$BM$11))))))),0)</f>
        <v>0.65853658536585369</v>
      </c>
      <c r="DY53" s="315" cm="1">
        <f t="array" ref="DY53">IFERROR(IF(DY$7&gt;$D$3,"",IF(BQ53="OD","OD",IF(BQ53="Missed","Missed",IF(BQ53="TBC","TBC",IF(BQ53="Undefined","Undefined",_xlfn.XLOOKUP(DY$7,Design!$M$6:$BM$6,Design!$M$12:$BM$12/_xlfn.XLOOKUP(DY$7,Design!$M$6:$BM$6,Design!$M$11:$BM$11))))))),0)</f>
        <v>0.75</v>
      </c>
      <c r="DZ53" s="315" cm="1">
        <f t="array" ref="DZ53">IFERROR(IF(DZ$7&gt;$D$3,"",IF(BR53="OD","OD",IF(BR53="Missed","Missed",IF(BR53="TBC","TBC",IF(BR53="Undefined","Undefined",_xlfn.XLOOKUP(DZ$7,Design!$M$6:$BM$6,Design!$M$12:$BM$12/_xlfn.XLOOKUP(DZ$7,Design!$M$6:$BM$6,Design!$M$11:$BM$11))))))),0)</f>
        <v>0.69696969696969702</v>
      </c>
      <c r="EA53" s="315" cm="1">
        <f t="array" ref="EA53">IFERROR(IF(EA$7&gt;$D$3,"",IF(BS53="OD","OD",IF(BS53="Missed","Missed",IF(BS53="TBC","TBC",IF(BS53="Undefined","Undefined",_xlfn.XLOOKUP(EA$7,Design!$M$6:$BM$6,Design!$M$12:$BM$12/_xlfn.XLOOKUP(EA$7,Design!$M$6:$BM$6,Design!$M$11:$BM$11))))))),0)</f>
        <v>0.9</v>
      </c>
      <c r="EB53" s="315" cm="1">
        <f t="array" ref="EB53">IFERROR(IF(EB$7&gt;$D$3,"",IF(BT53="OD","OD",IF(BT53="Missed","Missed",IF(BT53="TBC","TBC",IF(BT53="Undefined","Undefined",_xlfn.XLOOKUP(EB$7,Design!$M$6:$BM$6,Design!$M$12:$BM$12/_xlfn.XLOOKUP(EB$7,Design!$M$6:$BM$6,Design!$M$11:$BM$11))))))),0)</f>
        <v>1</v>
      </c>
      <c r="EC53" s="315" cm="1">
        <f t="array" ref="EC53">IFERROR(IF(EC$7&gt;$D$3,"",IF(BU53="OD","OD",IF(BU53="Missed","Missed",IF(BU53="TBC","TBC",IF(BU53="Undefined","Undefined",_xlfn.XLOOKUP(EC$7,Design!$M$6:$BM$6,Design!$M$12:$BM$12/_xlfn.XLOOKUP(EC$7,Design!$M$6:$BM$6,Design!$M$11:$BM$11))))))),0)</f>
        <v>0.63934426229508201</v>
      </c>
      <c r="ED53" s="315" cm="1">
        <f t="array" ref="ED53">IFERROR(IF(ED$7&gt;$D$3,"",IF(BV53="OD","OD",IF(BV53="Missed","Missed",IF(BV53="TBC","TBC",IF(BV53="Undefined","Undefined",_xlfn.XLOOKUP(ED$7,Design!$M$6:$BM$6,Design!$M$12:$BM$12/_xlfn.XLOOKUP(ED$7,Design!$M$6:$BM$6,Design!$M$11:$BM$11))))))),0)</f>
        <v>0.57142857142857151</v>
      </c>
      <c r="EE53" s="315" cm="1">
        <f t="array" ref="EE53">IFERROR(IF(EE$7&gt;$D$3,"",IF(BW53="OD","OD",IF(BW53="Missed","Missed",IF(BW53="TBC","TBC",IF(BW53="Undefined","Undefined",_xlfn.XLOOKUP(EE$7,Design!$M$6:$BM$6,Design!$M$12:$BM$12/_xlfn.XLOOKUP(EE$7,Design!$M$6:$BM$6,Design!$M$11:$BM$11))))))),0)</f>
        <v>0.6785714285714286</v>
      </c>
      <c r="EF53" s="315" cm="1">
        <f t="array" ref="EF53">IFERROR(IF(EF$7&gt;$D$3,"",IF(BX53="OD","OD",IF(BX53="Missed","Missed",IF(BX53="TBC","TBC",IF(BX53="Undefined","Undefined",_xlfn.XLOOKUP(EF$7,Design!$M$6:$BM$6,Design!$M$12:$BM$12/_xlfn.XLOOKUP(EF$7,Design!$M$6:$BM$6,Design!$M$11:$BM$11))))))),0)</f>
        <v>0.68</v>
      </c>
      <c r="EG53" s="315" cm="1">
        <f t="array" ref="EG53">IFERROR(IF(EG$7&gt;$D$3,"",IF(BY53="OD","OD",IF(BY53="Missed","Missed",IF(BY53="TBC","TBC",IF(BY53="Undefined","Undefined",_xlfn.XLOOKUP(EG$7,Design!$M$6:$BM$6,Design!$M$12:$BM$12/_xlfn.XLOOKUP(EG$7,Design!$M$6:$BM$6,Design!$M$11:$BM$11))))))),0)</f>
        <v>0.77</v>
      </c>
      <c r="EH53" s="315" cm="1">
        <f t="array" ref="EH53">IFERROR(IF(EH$7&gt;$D$3,"",IF(BZ53="OD","OD",IF(BZ53="Missed","Missed",IF(BZ53="TBC","TBC",IF(BZ53="Undefined","Undefined",_xlfn.XLOOKUP(EH$7,Design!$M$6:$BM$6,Design!$M$12:$BM$12/_xlfn.XLOOKUP(EH$7,Design!$M$6:$BM$6,Design!$M$11:$BM$11))))))),0)</f>
        <v>0.77</v>
      </c>
      <c r="EI53" s="315" cm="1">
        <f t="array" ref="EI53">IFERROR(IF(EI$7&gt;$D$3,"",IF(CA53="OD","OD",IF(CA53="Missed","Missed",IF(CA53="TBC","TBC",IF(CA53="Undefined","Undefined",_xlfn.XLOOKUP(EI$7,Design!$M$6:$BM$6,Design!$M$12:$BM$12/_xlfn.XLOOKUP(EI$7,Design!$M$6:$BM$6,Design!$M$11:$BM$11))))))),0)</f>
        <v>0.81</v>
      </c>
      <c r="EJ53" s="315" cm="1">
        <f t="array" ref="EJ53">IFERROR(IF(EJ$7&gt;$D$3,"",IF(CB53="OD","OD",IF(CB53="Missed","Missed",IF(CB53="TBC","TBC",IF(CB53="Undefined","Undefined",_xlfn.XLOOKUP(EJ$7,Design!$M$6:$BM$6,Design!$M$12:$BM$12/_xlfn.XLOOKUP(EJ$7,Design!$M$6:$BM$6,Design!$M$11:$BM$11))))))),0)</f>
        <v>0.76</v>
      </c>
      <c r="EK53" s="315" t="str" cm="1">
        <f t="array" ref="EK53">IFERROR(IF(EK$7&gt;$D$3,"",IF(CC53="OD","OD",IF(CC53="Missed","Missed",IF(CC53="TBC","TBC",IF(CC53="Undefined","Undefined",_xlfn.XLOOKUP(EK$7,Design!$M$6:$BM$6,Design!$M$12:$BM$12/_xlfn.XLOOKUP(EK$7,Design!$M$6:$BM$6,Design!$M$11:$BM$11))))))),0)</f>
        <v/>
      </c>
      <c r="EL53" s="315" t="str" cm="1">
        <f t="array" ref="EL53">IFERROR(IF(EL$7&gt;$D$3,"",IF(CD53="OD","OD",IF(CD53="Missed","Missed",IF(CD53="TBC","TBC",IF(CD53="Undefined","Undefined",_xlfn.XLOOKUP(EL$7,Design!$M$6:$BM$6,Design!$M$12:$BM$12/_xlfn.XLOOKUP(EL$7,Design!$M$6:$BM$6,Design!$M$11:$BM$11))))))),0)</f>
        <v/>
      </c>
      <c r="EM53" s="315" t="str" cm="1">
        <f t="array" ref="EM53">IFERROR(IF(EM$7&gt;$D$3,"",IF(CE53="OD","OD",IF(CE53="Missed","Missed",IF(CE53="TBC","TBC",IF(CE53="Undefined","Undefined",_xlfn.XLOOKUP(EM$7,Design!$M$6:$BM$6,Design!$M$12:$BM$12/_xlfn.XLOOKUP(EM$7,Design!$M$6:$BM$6,Design!$M$11:$BM$11))))))),0)</f>
        <v/>
      </c>
      <c r="EN53" s="315" t="str" cm="1">
        <f t="array" ref="EN53">IFERROR(IF(EN$7&gt;$D$3,"",IF(CF53="OD","OD",IF(CF53="Missed","Missed",IF(CF53="TBC","TBC",IF(CF53="Undefined","Undefined",_xlfn.XLOOKUP(EN$7,Design!$M$6:$BM$6,Design!$M$12:$BM$12/_xlfn.XLOOKUP(EN$7,Design!$M$6:$BM$6,Design!$M$11:$BM$11))))))),0)</f>
        <v/>
      </c>
      <c r="EO53" s="315" t="str" cm="1">
        <f t="array" ref="EO53">IFERROR(IF(EO$7&gt;$D$3,"",IF(CG53="OD","OD",IF(CG53="Missed","Missed",IF(CG53="TBC","TBC",IF(CG53="Undefined","Undefined",_xlfn.XLOOKUP(EO$7,Design!$M$6:$BM$6,Design!$M$12:$BM$12/_xlfn.XLOOKUP(EO$7,Design!$M$6:$BM$6,Design!$M$11:$BM$11))))))),0)</f>
        <v/>
      </c>
      <c r="EP53" s="315" t="str" cm="1">
        <f t="array" ref="EP53">IFERROR(IF(EP$7&gt;$D$3,"",IF(CH53="OD","OD",IF(CH53="Missed","Missed",IF(CH53="TBC","TBC",IF(CH53="Undefined","Undefined",_xlfn.XLOOKUP(EP$7,Design!$M$6:$BM$6,Design!$M$12:$BM$12/_xlfn.XLOOKUP(EP$7,Design!$M$6:$BM$6,Design!$M$11:$BM$11))))))),0)</f>
        <v/>
      </c>
      <c r="EQ53" s="315" t="str" cm="1">
        <f t="array" ref="EQ53">IFERROR(IF(EQ$7&gt;$D$3,"",IF(CI53="OD","OD",IF(CI53="Missed","Missed",IF(CI53="TBC","TBC",IF(CI53="Undefined","Undefined",_xlfn.XLOOKUP(EQ$7,Design!$M$6:$BM$6,Design!$M$12:$BM$12/_xlfn.XLOOKUP(EQ$7,Design!$M$6:$BM$6,Design!$M$11:$BM$11))))))),0)</f>
        <v/>
      </c>
      <c r="ER53" s="315" t="str" cm="1">
        <f t="array" ref="ER53">IFERROR(IF(ER$7&gt;$D$3,"",IF(CJ53="OD","OD",IF(CJ53="Missed","Missed",IF(CJ53="TBC","TBC",IF(CJ53="Undefined","Undefined",_xlfn.XLOOKUP(ER$7,Design!$M$6:$BM$6,Design!$M$12:$BM$12/_xlfn.XLOOKUP(ER$7,Design!$M$6:$BM$6,Design!$M$11:$BM$11))))))),0)</f>
        <v/>
      </c>
      <c r="ES53" s="315" t="str" cm="1">
        <f t="array" ref="ES53">IFERROR(IF(ES$7&gt;$D$3,"",IF(CK53="OD","OD",IF(CK53="Missed","Missed",IF(CK53="TBC","TBC",IF(CK53="Undefined","Undefined",_xlfn.XLOOKUP(ES$7,Design!$M$6:$BM$6,Design!$M$12:$BM$12/_xlfn.XLOOKUP(ES$7,Design!$M$6:$BM$6,Design!$M$11:$BM$11))))))),0)</f>
        <v/>
      </c>
      <c r="ET53" s="315" t="str" cm="1">
        <f t="array" ref="ET53">IFERROR(IF(ET$7&gt;$D$3,"",IF(CL53="OD","OD",IF(CL53="Missed","Missed",IF(CL53="TBC","TBC",IF(CL53="Undefined","Undefined",_xlfn.XLOOKUP(ET$7,Design!$M$6:$BM$6,Design!$M$12:$BM$12/_xlfn.XLOOKUP(ET$7,Design!$M$6:$BM$6,Design!$M$11:$BM$11))))))),0)</f>
        <v/>
      </c>
      <c r="EU53" s="315" t="str" cm="1">
        <f t="array" ref="EU53">IFERROR(IF(EU$7&gt;$D$3,"",IF(CM53="OD","OD",IF(CM53="Missed","Missed",IF(CM53="TBC","TBC",IF(CM53="Undefined","Undefined",_xlfn.XLOOKUP(EU$7,Design!$M$6:$BM$6,Design!$M$12:$BM$12/_xlfn.XLOOKUP(EU$7,Design!$M$6:$BM$6,Design!$M$11:$BM$11))))))),0)</f>
        <v/>
      </c>
      <c r="EW53" s="465" t="str">
        <f>+$A53</f>
        <v>Design-KPI D1</v>
      </c>
      <c r="EX53" s="136" t="str">
        <f>+$C53</f>
        <v>KPI D1</v>
      </c>
      <c r="EY53" s="144" t="str">
        <f>+$D53</f>
        <v>Delivery</v>
      </c>
      <c r="EZ53" s="144" t="str">
        <f>+$E53</f>
        <v>Designs completed to internal days estimate</v>
      </c>
      <c r="FA53" s="145" t="str">
        <f>+$F53</f>
        <v>Percentage</v>
      </c>
      <c r="FB53" s="145" t="s">
        <v>251</v>
      </c>
      <c r="FC53" s="226" t="str">
        <f>IF(FC$7&gt;$D$3,"",IF($FA51&lt;FC$7,"OD",_xlfn.XLOOKUP(FC$7,Design!$M$6:$BM$6,Design!$M$12:$BM$12)))</f>
        <v>Blank</v>
      </c>
      <c r="FD53" s="226">
        <f>IF(FD$7&gt;$D$3,"",IF($FA51&lt;FD$7,"OD",_xlfn.XLOOKUP(FD$7,Design!$M$6:$BM$6,Design!$M$12:$BM$12)))</f>
        <v>87.878787878787875</v>
      </c>
      <c r="FE53" s="226">
        <f>IF(FE$7&gt;$D$3,"",IF($FA51&lt;FE$7,"OD",_xlfn.XLOOKUP(FE$7,Design!$M$6:$BM$6,Design!$M$12:$BM$12)))</f>
        <v>100</v>
      </c>
      <c r="FF53" s="226">
        <f>IF(FF$7&gt;$D$3,"",IF($FA51&lt;FF$7,"OD",_xlfn.XLOOKUP(FF$7,Design!$M$6:$BM$6,Design!$M$12:$BM$12)))</f>
        <v>88.235294117647058</v>
      </c>
      <c r="FG53" s="226">
        <f>IF(FG$7&gt;$D$3,"",IF($FA51&lt;FG$7,"OD",_xlfn.XLOOKUP(FG$7,Design!$M$6:$BM$6,Design!$M$12:$BM$12)))</f>
        <v>96.875</v>
      </c>
      <c r="FH53" s="226">
        <f>IF(FH$7&gt;$D$3,"",IF($FA51&lt;FH$7,"OD",_xlfn.XLOOKUP(FH$7,Design!$M$6:$BM$6,Design!$M$12:$BM$12)))</f>
        <v>88.571428571428569</v>
      </c>
      <c r="FI53" s="226">
        <f>IF(FI$7&gt;$D$3,"",IF($FA51&lt;FI$7,"OD",_xlfn.XLOOKUP(FI$7,Design!$M$6:$BM$6,Design!$M$12:$BM$12)))</f>
        <v>88.571428571428569</v>
      </c>
      <c r="FJ53" s="226">
        <f>IF(FJ$7&gt;$D$3,"",IF($FA51&lt;FJ$7,"OD",_xlfn.XLOOKUP(FJ$7,Design!$M$6:$BM$6,Design!$M$12:$BM$12)))</f>
        <v>93.548387096774192</v>
      </c>
      <c r="FK53" s="226">
        <f>IF(FK$7&gt;$D$3,"",IF($FA51&lt;FK$7,"OD",_xlfn.XLOOKUP(FK$7,Design!$M$6:$BM$6,Design!$M$12:$BM$12)))</f>
        <v>84.848484848484844</v>
      </c>
      <c r="FL53" s="226">
        <f>IF(FL$7&gt;$D$3,"",IF($FA51&lt;FL$7,"OD",_xlfn.XLOOKUP(FL$7,Design!$M$6:$BM$6,Design!$M$12:$BM$12)))</f>
        <v>88.888888888888886</v>
      </c>
      <c r="FM53" s="226">
        <f>IF(FM$7&gt;$D$3,"",IF($FA51&lt;FM$7,"OD",_xlfn.XLOOKUP(FM$7,Design!$M$6:$BM$6,Design!$M$12:$BM$12)))</f>
        <v>89.743589743589737</v>
      </c>
      <c r="FN53" s="226">
        <f>IF(FN$7&gt;$D$3,"",IF($FA51&lt;FN$7,"OD",_xlfn.XLOOKUP(FN$7,Design!$M$6:$BM$6,Design!$M$12:$BM$12)))</f>
        <v>82.352941176470594</v>
      </c>
      <c r="FO53" s="226">
        <f>IF(FO$7&gt;$D$3,"",IF($FA51&lt;FO$7,"OD",_xlfn.XLOOKUP(FO$7,Design!$M$6:$BM$6,Design!$M$12:$BM$12)))</f>
        <v>94.444444444444443</v>
      </c>
      <c r="FP53" s="226">
        <f>IF(FP$7&gt;$D$3,"",IF($FA51&lt;FP$7,"OD",_xlfn.XLOOKUP(FP$7,Design!$M$6:$BM$6,Design!$M$12:$BM$12)))</f>
        <v>91.428571428571431</v>
      </c>
      <c r="FQ53" s="226">
        <f>IF(FQ$7&gt;$D$3,"",IF($FA51&lt;FQ$7,"OD",_xlfn.XLOOKUP(FQ$7,Design!$M$6:$BM$6,Design!$M$12:$BM$12)))</f>
        <v>85.714285714285708</v>
      </c>
      <c r="FR53" s="226">
        <f>IF(FR$7&gt;$D$3,"",IF($FA51&lt;FR$7,"OD",_xlfn.XLOOKUP(FR$7,Design!$M$6:$BM$6,Design!$M$12:$BM$12)))</f>
        <v>80.952380952380949</v>
      </c>
      <c r="FS53" s="226">
        <f>IF(FS$7&gt;$D$3,"",IF($FA51&lt;FS$7,"OD",_xlfn.XLOOKUP(FS$7,Design!$M$6:$BM$6,Design!$M$12:$BM$12)))</f>
        <v>81.25</v>
      </c>
      <c r="FT53" s="226">
        <f>IF(FT$7&gt;$D$3,"",IF($FA51&lt;FT$7,"OD",_xlfn.XLOOKUP(FT$7,Design!$M$6:$BM$6,Design!$M$12:$BM$12)))</f>
        <v>90.909090909090907</v>
      </c>
      <c r="FU53" s="226">
        <f>IF(FU$7&gt;$D$3,"",IF($FA51&lt;FU$7,"OD",_xlfn.XLOOKUP(FU$7,Design!$M$6:$BM$6,Design!$M$12:$BM$12)))</f>
        <v>70.588235294117652</v>
      </c>
      <c r="FV53" s="226">
        <f>IF(FV$7&gt;$D$3,"",IF($FA51&lt;FV$7,"OD",_xlfn.XLOOKUP(FV$7,Design!$M$6:$BM$6,Design!$M$12:$BM$12)))</f>
        <v>81.081081081081081</v>
      </c>
      <c r="FW53" s="226">
        <f>IF(FW$7&gt;$D$3,"",IF($FA51&lt;FW$7,"OD",_xlfn.XLOOKUP(FW$7,Design!$M$6:$BM$6,Design!$M$12:$BM$12)))</f>
        <v>80.555555555555557</v>
      </c>
      <c r="FX53" s="226">
        <f>IF(FX$7&gt;$D$3,"",IF($FA51&lt;FX$7,"OD",_xlfn.XLOOKUP(FX$7,Design!$M$6:$BM$6,Design!$M$12:$BM$12)))</f>
        <v>85</v>
      </c>
      <c r="FY53" s="226">
        <f>IF(FY$7&gt;$D$3,"",IF($FA51&lt;FY$7,"OD",_xlfn.XLOOKUP(FY$7,Design!$M$6:$BM$6,Design!$M$12:$BM$12)))</f>
        <v>75.757575757575751</v>
      </c>
      <c r="FZ53" s="226">
        <f>IF(FZ$7&gt;$D$3,"",IF($FA51&lt;FZ$7,"OD",_xlfn.XLOOKUP(FZ$7,Design!$M$6:$BM$6,Design!$M$12:$BM$12)))</f>
        <v>79.166666666666671</v>
      </c>
      <c r="GA53" s="226">
        <f>IF(GA$7&gt;$D$3,"",IF($FA51&lt;GA$7,"OD",_xlfn.XLOOKUP(GA$7,Design!$M$6:$BM$6,Design!$M$12:$BM$12)))</f>
        <v>63.636363636363633</v>
      </c>
      <c r="GB53" s="226">
        <f>IF(GB$7&gt;$D$3,"",IF($FA51&lt;GB$7,"OD",_xlfn.XLOOKUP(GB$7,Design!$M$6:$BM$6,Design!$M$12:$BM$12)))</f>
        <v>76.315789473684205</v>
      </c>
      <c r="GC53" s="226">
        <f>IF(GC$7&gt;$D$3,"",IF($FA51&lt;GC$7,"OD",_xlfn.XLOOKUP(GC$7,Design!$M$6:$BM$6,Design!$M$12:$BM$12)))</f>
        <v>82.5</v>
      </c>
      <c r="GD53" s="226">
        <f>IF(GD$7&gt;$D$3,"",IF($FA51&lt;GD$7,"OD",_xlfn.XLOOKUP(GD$7,Design!$M$6:$BM$6,Design!$M$12:$BM$12)))</f>
        <v>72.41379310344827</v>
      </c>
      <c r="GE53" s="226">
        <f>IF(GE$7&gt;$D$3,"",IF($FA51&lt;GE$7,"OD",_xlfn.XLOOKUP(GE$7,Design!$M$6:$BM$6,Design!$M$12:$BM$12)))</f>
        <v>76</v>
      </c>
      <c r="GF53" s="226">
        <f>IF(GF$7&gt;$D$3,"",IF($FA51&lt;GF$7,"OD",_xlfn.XLOOKUP(GF$7,Design!$M$6:$BM$6,Design!$M$12:$BM$12)))</f>
        <v>65.853658536585371</v>
      </c>
      <c r="GG53" s="226">
        <f>IF(GG$7&gt;$D$3,"",IF($FA51&lt;GG$7,"OD",_xlfn.XLOOKUP(GG$7,Design!$M$6:$BM$6,Design!$M$12:$BM$12)))</f>
        <v>75</v>
      </c>
      <c r="GH53" s="226">
        <f>IF(GH$7&gt;$D$3,"",IF($FA51&lt;GH$7,"OD",_xlfn.XLOOKUP(GH$7,Design!$M$6:$BM$6,Design!$M$12:$BM$12)))</f>
        <v>69.696969696969703</v>
      </c>
      <c r="GI53" s="226">
        <f>IF(GI$7&gt;$D$3,"",IF($FA51&lt;GI$7,"OD",_xlfn.XLOOKUP(GI$7,Design!$M$6:$BM$6,Design!$M$12:$BM$12)))</f>
        <v>90</v>
      </c>
      <c r="GJ53" s="226">
        <f>IF(GJ$7&gt;$D$3,"",IF($FA51&lt;GJ$7,"OD",_xlfn.XLOOKUP(GJ$7,Design!$M$6:$BM$6,Design!$M$12:$BM$12)))</f>
        <v>100</v>
      </c>
      <c r="GK53" s="226">
        <f>IF(GK$7&gt;$D$3,"",IF($FA51&lt;GK$7,"OD",_xlfn.XLOOKUP(GK$7,Design!$M$6:$BM$6,Design!$M$12:$BM$12)))</f>
        <v>63.934426229508198</v>
      </c>
      <c r="GL53" s="226">
        <f>IF(GL$7&gt;$D$3,"",IF($FA51&lt;GL$7,"OD",_xlfn.XLOOKUP(GL$7,Design!$M$6:$BM$6,Design!$M$12:$BM$12)))</f>
        <v>57.142857142857146</v>
      </c>
      <c r="GM53" s="226">
        <f>IF(GM$7&gt;$D$3,"",IF($FA51&lt;GM$7,"OD",_xlfn.XLOOKUP(GM$7,Design!$M$6:$BM$6,Design!$M$12:$BM$12)))</f>
        <v>67.857142857142861</v>
      </c>
      <c r="GN53" s="226">
        <f>IF(GN$7&gt;$D$3,"",IF($FA51&lt;GN$7,"OD",_xlfn.XLOOKUP(GN$7,Design!$M$6:$BM$6,Design!$M$12:$BM$12)))</f>
        <v>68</v>
      </c>
      <c r="GO53" s="226">
        <f>IF(GO$7&gt;$D$3,"",IF($FA51&lt;GO$7,"OD",_xlfn.XLOOKUP(GO$7,Design!$M$6:$BM$6,Design!$M$12:$BM$12)))</f>
        <v>77</v>
      </c>
      <c r="GP53" s="226">
        <f>IF(GP$7&gt;$D$3,"",IF($FA51&lt;GP$7,"OD",_xlfn.XLOOKUP(GP$7,Design!$M$6:$BM$6,Design!$M$12:$BM$12)))</f>
        <v>77</v>
      </c>
      <c r="GQ53" s="226">
        <f>IF(GQ$7&gt;$D$3,"",IF($FA51&lt;GQ$7,"OD",_xlfn.XLOOKUP(GQ$7,Design!$M$6:$BM$6,Design!$M$12:$BM$12)))</f>
        <v>81</v>
      </c>
      <c r="GR53" s="226">
        <f>IF(GR$7&gt;$D$3,"",IF($FA51&lt;GR$7,"OD",_xlfn.XLOOKUP(GR$7,Design!$M$6:$BM$6,Design!$M$12:$BM$12)))</f>
        <v>76</v>
      </c>
      <c r="GS53" s="226" t="str">
        <f>IF(GS$7&gt;$D$3,"",IF($FA51&lt;GS$7,"OD",_xlfn.XLOOKUP(GS$7,Design!$M$6:$BM$6,Design!$M$12:$BM$12)))</f>
        <v/>
      </c>
      <c r="GT53" s="226" t="str">
        <f>IF(GT$7&gt;$D$3,"",IF($FA51&lt;GT$7,"OD",_xlfn.XLOOKUP(GT$7,Design!$M$6:$BM$6,Design!$M$12:$BM$12)))</f>
        <v/>
      </c>
      <c r="GU53" s="226" t="str">
        <f>IF(GU$7&gt;$D$3,"",IF($FA51&lt;GU$7,"OD",_xlfn.XLOOKUP(GU$7,Design!$M$6:$BM$6,Design!$M$12:$BM$12)))</f>
        <v/>
      </c>
      <c r="GV53" s="226" t="str">
        <f>IF(GV$7&gt;$D$3,"",IF($FA51&lt;GV$7,"OD",_xlfn.XLOOKUP(GV$7,Design!$M$6:$BM$6,Design!$M$12:$BM$12)))</f>
        <v/>
      </c>
      <c r="GW53" s="226" t="str">
        <f>IF(GW$7&gt;$D$3,"",IF($FA51&lt;GW$7,"OD",_xlfn.XLOOKUP(GW$7,Design!$M$6:$BM$6,Design!$M$12:$BM$12)))</f>
        <v/>
      </c>
      <c r="GX53" s="226" t="str">
        <f>IF(GX$7&gt;$D$3,"",IF($FA51&lt;GX$7,"OD",_xlfn.XLOOKUP(GX$7,Design!$M$6:$BM$6,Design!$M$12:$BM$12)))</f>
        <v/>
      </c>
      <c r="GY53" s="226" t="str">
        <f>IF(GY$7&gt;$D$3,"",IF($FA51&lt;GY$7,"OD",_xlfn.XLOOKUP(GY$7,Design!$M$6:$BM$6,Design!$M$12:$BM$12)))</f>
        <v/>
      </c>
      <c r="GZ53" s="226" t="str">
        <f>IF(GZ$7&gt;$D$3,"",IF($FA51&lt;GZ$7,"OD",_xlfn.XLOOKUP(GZ$7,Design!$M$6:$BM$6,Design!$M$12:$BM$12)))</f>
        <v/>
      </c>
      <c r="HA53" s="226" t="str">
        <f>IF(HA$7&gt;$D$3,"",IF($FA51&lt;HA$7,"OD",_xlfn.XLOOKUP(HA$7,Design!$M$6:$BM$6,Design!$M$12:$BM$12)))</f>
        <v/>
      </c>
      <c r="HB53" s="226" t="str">
        <f>IF(HB$7&gt;$D$3,"",IF($FA51&lt;HB$7,"OD",_xlfn.XLOOKUP(HB$7,Design!$M$6:$BM$6,Design!$M$12:$BM$12)))</f>
        <v/>
      </c>
      <c r="HC53" s="226" t="str">
        <f>IF(HC$7&gt;$D$3,"",IF($FA51&lt;HC$7,"OD",_xlfn.XLOOKUP(HC$7,Design!$M$6:$BM$6,Design!$M$12:$BM$12)))</f>
        <v/>
      </c>
      <c r="HE53" s="136" t="str">
        <f>+$C53</f>
        <v>KPI D1</v>
      </c>
      <c r="HF53" s="144" t="str">
        <f>+$D53</f>
        <v>Delivery</v>
      </c>
      <c r="HG53" s="144" t="str">
        <f>+$E53</f>
        <v>Designs completed to internal days estimate</v>
      </c>
      <c r="HH53" s="145" t="str">
        <f>+$F53</f>
        <v>Percentage</v>
      </c>
      <c r="HI53" s="145" t="s">
        <v>44</v>
      </c>
      <c r="HJ53" s="226" t="s">
        <v>122</v>
      </c>
      <c r="HK53" s="226">
        <f>IF(HK$7&gt;$D$3,"",IF($FA51&lt;HK$7,"OD",_xlfn.XLOOKUP(HK$7,Design!$M$6:$BM$6,Design!$M$11:$BM$11)))</f>
        <v>100</v>
      </c>
      <c r="HL53" s="226">
        <f>IF(HL$7&gt;$D$3,"",IF($FA51&lt;HL$7,"OD",_xlfn.XLOOKUP(HL$7,Design!$M$6:$BM$6,Design!$M$11:$BM$11)))</f>
        <v>100</v>
      </c>
      <c r="HM53" s="226">
        <f>IF(HM$7&gt;$D$3,"",IF($FA51&lt;HM$7,"OD",_xlfn.XLOOKUP(HM$7,Design!$M$6:$BM$6,Design!$M$11:$BM$11)))</f>
        <v>100</v>
      </c>
      <c r="HN53" s="226">
        <f>IF(HN$7&gt;$D$3,"",IF($FA51&lt;HN$7,"OD",_xlfn.XLOOKUP(HN$7,Design!$M$6:$BM$6,Design!$M$11:$BM$11)))</f>
        <v>100</v>
      </c>
      <c r="HO53" s="226">
        <f>IF(HO$7&gt;$D$3,"",IF($FA51&lt;HO$7,"OD",_xlfn.XLOOKUP(HO$7,Design!$M$6:$BM$6,Design!$M$11:$BM$11)))</f>
        <v>100</v>
      </c>
      <c r="HP53" s="226">
        <f>IF(HP$7&gt;$D$3,"",IF($FA51&lt;HP$7,"OD",_xlfn.XLOOKUP(HP$7,Design!$M$6:$BM$6,Design!$M$11:$BM$11)))</f>
        <v>100</v>
      </c>
      <c r="HQ53" s="226">
        <f>IF(HQ$7&gt;$D$3,"",IF($FA51&lt;HQ$7,"OD",_xlfn.XLOOKUP(HQ$7,Design!$M$6:$BM$6,Design!$M$11:$BM$11)))</f>
        <v>100</v>
      </c>
      <c r="HR53" s="226">
        <f>IF(HR$7&gt;$D$3,"",IF($FA51&lt;HR$7,"OD",_xlfn.XLOOKUP(HR$7,Design!$M$6:$BM$6,Design!$M$11:$BM$11)))</f>
        <v>100</v>
      </c>
      <c r="HS53" s="226">
        <f>IF(HS$7&gt;$D$3,"",IF($FA51&lt;HS$7,"OD",_xlfn.XLOOKUP(HS$7,Design!$M$6:$BM$6,Design!$M$11:$BM$11)))</f>
        <v>100</v>
      </c>
      <c r="HT53" s="226">
        <f>IF(HT$7&gt;$D$3,"",IF($FA51&lt;HT$7,"OD",_xlfn.XLOOKUP(HT$7,Design!$M$6:$BM$6,Design!$M$11:$BM$11)))</f>
        <v>100</v>
      </c>
      <c r="HU53" s="226">
        <f>IF(HU$7&gt;$D$3,"",IF($FA51&lt;HU$7,"OD",_xlfn.XLOOKUP(HU$7,Design!$M$6:$BM$6,Design!$M$11:$BM$11)))</f>
        <v>100</v>
      </c>
      <c r="HV53" s="226">
        <f>IF(HV$7&gt;$D$3,"",IF($FA51&lt;HV$7,"OD",_xlfn.XLOOKUP(HV$7,Design!$M$6:$BM$6,Design!$M$11:$BM$11)))</f>
        <v>100</v>
      </c>
      <c r="HW53" s="226">
        <f>IF(HW$7&gt;$D$3,"",IF($FA51&lt;HW$7,"OD",_xlfn.XLOOKUP(HW$7,Design!$M$6:$BM$6,Design!$M$11:$BM$11)))</f>
        <v>100</v>
      </c>
      <c r="HX53" s="226">
        <f>IF(HX$7&gt;$D$3,"",IF($FA51&lt;HX$7,"OD",_xlfn.XLOOKUP(HX$7,Design!$M$6:$BM$6,Design!$M$11:$BM$11)))</f>
        <v>100</v>
      </c>
      <c r="HY53" s="226">
        <f>IF(HY$7&gt;$D$3,"",IF($FA51&lt;HY$7,"OD",_xlfn.XLOOKUP(HY$7,Design!$M$6:$BM$6,Design!$M$11:$BM$11)))</f>
        <v>100</v>
      </c>
      <c r="HZ53" s="226">
        <f>IF(HZ$7&gt;$D$3,"",IF($FA51&lt;HZ$7,"OD",_xlfn.XLOOKUP(HZ$7,Design!$M$6:$BM$6,Design!$M$11:$BM$11)))</f>
        <v>100</v>
      </c>
      <c r="IA53" s="226">
        <f>IF(IA$7&gt;$D$3,"",IF($FA51&lt;IA$7,"OD",_xlfn.XLOOKUP(IA$7,Design!$M$6:$BM$6,Design!$M$11:$BM$11)))</f>
        <v>100</v>
      </c>
      <c r="IB53" s="226">
        <f>IF(IB$7&gt;$D$3,"",IF($FA51&lt;IB$7,"OD",_xlfn.XLOOKUP(IB$7,Design!$M$6:$BM$6,Design!$M$11:$BM$11)))</f>
        <v>100</v>
      </c>
      <c r="IC53" s="226">
        <f>IF(IC$7&gt;$D$3,"",IF($FA51&lt;IC$7,"OD",_xlfn.XLOOKUP(IC$7,Design!$M$6:$BM$6,Design!$M$11:$BM$11)))</f>
        <v>100</v>
      </c>
      <c r="ID53" s="226">
        <f>IF(ID$7&gt;$D$3,"",IF($FA51&lt;ID$7,"OD",_xlfn.XLOOKUP(ID$7,Design!$M$6:$BM$6,Design!$M$11:$BM$11)))</f>
        <v>100</v>
      </c>
      <c r="IE53" s="226">
        <f>IF(IE$7&gt;$D$3,"",IF($FA51&lt;IE$7,"OD",_xlfn.XLOOKUP(IE$7,Design!$M$6:$BM$6,Design!$M$11:$BM$11)))</f>
        <v>100</v>
      </c>
      <c r="IF53" s="226">
        <f>IF(IF$7&gt;$D$3,"",IF($FA51&lt;IF$7,"OD",_xlfn.XLOOKUP(IF$7,Design!$M$6:$BM$6,Design!$M$11:$BM$11)))</f>
        <v>100</v>
      </c>
      <c r="IG53" s="226">
        <f>IF(IG$7&gt;$D$3,"",IF($FA51&lt;IG$7,"OD",_xlfn.XLOOKUP(IG$7,Design!$M$6:$BM$6,Design!$M$11:$BM$11)))</f>
        <v>100</v>
      </c>
      <c r="IH53" s="226">
        <f>IF(IH$7&gt;$D$3,"",IF($FA51&lt;IH$7,"OD",_xlfn.XLOOKUP(IH$7,Design!$M$6:$BM$6,Design!$M$11:$BM$11)))</f>
        <v>100</v>
      </c>
      <c r="II53" s="226">
        <f>IF(II$7&gt;$D$3,"",IF($FA51&lt;II$7,"OD",_xlfn.XLOOKUP(II$7,Design!$M$6:$BM$6,Design!$M$11:$BM$11)))</f>
        <v>100</v>
      </c>
      <c r="IJ53" s="226">
        <f>IF(IJ$7&gt;$D$3,"",IF($FA51&lt;IJ$7,"OD",_xlfn.XLOOKUP(IJ$7,Design!$M$6:$BM$6,Design!$M$11:$BM$11)))</f>
        <v>100</v>
      </c>
      <c r="IK53" s="226">
        <f>IF(IK$7&gt;$D$3,"",IF($FA51&lt;IK$7,"OD",_xlfn.XLOOKUP(IK$7,Design!$M$6:$BM$6,Design!$M$11:$BM$11)))</f>
        <v>100</v>
      </c>
      <c r="IL53" s="226">
        <f>IF(IL$7&gt;$D$3,"",IF($FA51&lt;IL$7,"OD",_xlfn.XLOOKUP(IL$7,Design!$M$6:$BM$6,Design!$M$11:$BM$11)))</f>
        <v>100</v>
      </c>
      <c r="IM53" s="226">
        <f>IF(IM$7&gt;$D$3,"",IF($FA51&lt;IM$7,"OD",_xlfn.XLOOKUP(IM$7,Design!$M$6:$BM$6,Design!$M$11:$BM$11)))</f>
        <v>100</v>
      </c>
      <c r="IN53" s="226">
        <f>IF(IN$7&gt;$D$3,"",IF($FA51&lt;IN$7,"OD",_xlfn.XLOOKUP(IN$7,Design!$M$6:$BM$6,Design!$M$11:$BM$11)))</f>
        <v>100</v>
      </c>
      <c r="IO53" s="226">
        <f>IF(IO$7&gt;$D$3,"",IF($FA51&lt;IO$7,"OD",_xlfn.XLOOKUP(IO$7,Design!$M$6:$BM$6,Design!$M$11:$BM$11)))</f>
        <v>100</v>
      </c>
      <c r="IP53" s="226">
        <f>IF(IP$7&gt;$D$3,"",IF($FA51&lt;IP$7,"OD",_xlfn.XLOOKUP(IP$7,Design!$M$6:$BM$6,Design!$M$11:$BM$11)))</f>
        <v>100</v>
      </c>
      <c r="IQ53" s="226">
        <f>IF(IQ$7&gt;$D$3,"",IF($FA51&lt;IQ$7,"OD",_xlfn.XLOOKUP(IQ$7,Design!$M$6:$BM$6,Design!$M$11:$BM$11)))</f>
        <v>100</v>
      </c>
      <c r="IR53" s="226">
        <f>IF(IR$7&gt;$D$3,"",IF($FA51&lt;IR$7,"OD",_xlfn.XLOOKUP(IR$7,Design!$M$6:$BM$6,Design!$M$11:$BM$11)))</f>
        <v>100</v>
      </c>
      <c r="IS53" s="226">
        <f>IF(IS$7&gt;$D$3,"",IF($FA51&lt;IS$7,"OD",_xlfn.XLOOKUP(IS$7,Design!$M$6:$BM$6,Design!$M$11:$BM$11)))</f>
        <v>100</v>
      </c>
      <c r="IT53" s="226">
        <f>IF(IT$7&gt;$D$3,"",IF($FA51&lt;IT$7,"OD",_xlfn.XLOOKUP(IT$7,Design!$M$6:$BM$6,Design!$M$11:$BM$11)))</f>
        <v>100</v>
      </c>
      <c r="IU53" s="226">
        <f>IF(IU$7&gt;$D$3,"",IF($FA51&lt;IU$7,"OD",_xlfn.XLOOKUP(IU$7,Design!$M$6:$BM$6,Design!$M$11:$BM$11)))</f>
        <v>100</v>
      </c>
      <c r="IV53" s="226">
        <f>IF(IV$7&gt;$D$3,"",IF($FA51&lt;IV$7,"OD",_xlfn.XLOOKUP(IV$7,Design!$M$6:$BM$6,Design!$M$11:$BM$11)))</f>
        <v>100</v>
      </c>
      <c r="IW53" s="226">
        <f>IF(IW$7&gt;$D$3,"",IF($FA51&lt;IW$7,"OD",_xlfn.XLOOKUP(IW$7,Design!$M$6:$BM$6,Design!$M$11:$BM$11)))</f>
        <v>100</v>
      </c>
      <c r="IX53" s="226">
        <f>IF(IX$7&gt;$D$3,"",IF($FA51&lt;IX$7,"OD",_xlfn.XLOOKUP(IX$7,Design!$M$6:$BM$6,Design!$M$11:$BM$11)))</f>
        <v>100</v>
      </c>
      <c r="IY53" s="226">
        <f>IF(IY$7&gt;$D$3,"",IF($FA51&lt;IY$7,"OD",_xlfn.XLOOKUP(IY$7,Design!$M$6:$BM$6,Design!$M$11:$BM$11)))</f>
        <v>100</v>
      </c>
      <c r="IZ53" s="226" t="str">
        <f>IF(IZ$7&gt;$D$3,"",IF($FA51&lt;IZ$7,"OD",_xlfn.XLOOKUP(IZ$7,Design!$M$6:$BM$6,Design!$M$11:$BM$11)))</f>
        <v/>
      </c>
      <c r="JA53" s="226" t="str">
        <f>IF(JA$7&gt;$D$3,"",IF($FA51&lt;JA$7,"OD",_xlfn.XLOOKUP(JA$7,Design!$M$6:$BM$6,Design!$M$11:$BM$11)))</f>
        <v/>
      </c>
      <c r="JB53" s="226" t="str">
        <f>IF(JB$7&gt;$D$3,"",IF($FA51&lt;JB$7,"OD",_xlfn.XLOOKUP(JB$7,Design!$M$6:$BM$6,Design!$M$11:$BM$11)))</f>
        <v/>
      </c>
      <c r="JC53" s="226" t="str">
        <f>IF(JC$7&gt;$D$3,"",IF($FA51&lt;JC$7,"OD",_xlfn.XLOOKUP(JC$7,Design!$M$6:$BM$6,Design!$M$11:$BM$11)))</f>
        <v/>
      </c>
      <c r="JD53" s="226" t="str">
        <f>IF(JD$7&gt;$D$3,"",IF($FA51&lt;JD$7,"OD",_xlfn.XLOOKUP(JD$7,Design!$M$6:$BM$6,Design!$M$11:$BM$11)))</f>
        <v/>
      </c>
      <c r="JE53" s="226" t="str">
        <f>IF(JE$7&gt;$D$3,"",IF($FA51&lt;JE$7,"OD",_xlfn.XLOOKUP(JE$7,Design!$M$6:$BM$6,Design!$M$11:$BM$11)))</f>
        <v/>
      </c>
      <c r="JF53" s="226" t="str">
        <f>IF(JF$7&gt;$D$3,"",IF($FA51&lt;JF$7,"OD",_xlfn.XLOOKUP(JF$7,Design!$M$6:$BM$6,Design!$M$11:$BM$11)))</f>
        <v/>
      </c>
      <c r="JG53" s="226" t="str">
        <f>IF(JG$7&gt;$D$3,"",IF($FA51&lt;JG$7,"OD",_xlfn.XLOOKUP(JG$7,Design!$M$6:$BM$6,Design!$M$11:$BM$11)))</f>
        <v/>
      </c>
      <c r="JH53" s="226" t="str">
        <f>IF(JH$7&gt;$D$3,"",IF($FA51&lt;JH$7,"OD",_xlfn.XLOOKUP(JH$7,Design!$M$6:$BM$6,Design!$M$11:$BM$11)))</f>
        <v/>
      </c>
      <c r="JI53" s="226" t="str">
        <f>IF(JI$7&gt;$D$3,"",IF($FA51&lt;JI$7,"OD",_xlfn.XLOOKUP(JI$7,Design!$M$6:$BM$6,Design!$M$11:$BM$11)))</f>
        <v/>
      </c>
      <c r="JJ53" s="226" t="str">
        <f>IF(JJ$7&gt;$D$3,"",IF($FA51&lt;JJ$7,"OD",_xlfn.XLOOKUP(JJ$7,Design!$M$6:$BM$6,Design!$M$11:$BM$11)))</f>
        <v/>
      </c>
      <c r="JM53" s="136" t="str">
        <f>+$C53</f>
        <v>KPI D1</v>
      </c>
      <c r="JN53" s="144" t="str">
        <f>+$D53</f>
        <v>Delivery</v>
      </c>
      <c r="JO53" s="144" t="str">
        <f>+$E53</f>
        <v>Designs completed to internal days estimate</v>
      </c>
      <c r="JP53" s="145" t="str">
        <f>+$F53</f>
        <v>Percentage</v>
      </c>
      <c r="JQ53" s="145" t="s">
        <v>284</v>
      </c>
      <c r="JR53" s="226" t="str">
        <f>IFERROR(AVERAGE(FC53:$FC53),"")</f>
        <v/>
      </c>
      <c r="JS53" s="226">
        <f>IFERROR(AVERAGE($FC53:FD53),"")</f>
        <v>87.878787878787875</v>
      </c>
      <c r="JT53" s="226">
        <f>IFERROR(AVERAGE($FC53:FE53),"")</f>
        <v>93.939393939393938</v>
      </c>
      <c r="JU53" s="226">
        <f>IFERROR(AVERAGE($FC53:FF53),"")</f>
        <v>92.038027332144978</v>
      </c>
      <c r="JV53" s="226">
        <f>IFERROR(AVERAGE($FC53:FG53),"")</f>
        <v>93.247270499108737</v>
      </c>
      <c r="JW53" s="226">
        <f>IFERROR(AVERAGE($FC53:FH53),"")</f>
        <v>92.312102113572706</v>
      </c>
      <c r="JX53" s="226">
        <f>IFERROR(AVERAGE($FC53:FI53),"")</f>
        <v>91.688656523215343</v>
      </c>
      <c r="JY53" s="226">
        <f>IFERROR(AVERAGE($FC53:FJ53),"")</f>
        <v>91.954332319438024</v>
      </c>
      <c r="JZ53" s="226">
        <f>IFERROR(AVERAGE($FC53:FK53),"")</f>
        <v>91.066101385568885</v>
      </c>
      <c r="KA53" s="226">
        <f>IFERROR(AVERAGE($FC53:FL53),"")</f>
        <v>90.824188885937772</v>
      </c>
      <c r="KB53" s="226">
        <f>IFERROR(AVERAGE($FC53:FM53),"")</f>
        <v>90.716128971702972</v>
      </c>
      <c r="KC53" s="226">
        <f>IFERROR(AVERAGE($FC53:FN53),"")</f>
        <v>89.955839172136393</v>
      </c>
      <c r="KD53" s="226">
        <f>IFERROR(AVERAGE($FC53:FO53),"")</f>
        <v>90.329889611495389</v>
      </c>
      <c r="KE53" s="226">
        <f>IFERROR(AVERAGE($FC53:FP53),"")</f>
        <v>90.414403597424311</v>
      </c>
      <c r="KF53" s="226">
        <f>IFERROR(AVERAGE($FC53:FQ53),"")</f>
        <v>90.078680891485845</v>
      </c>
      <c r="KG53" s="226">
        <f>IFERROR(AVERAGE($FC53:FR53),"")</f>
        <v>89.470260895545522</v>
      </c>
      <c r="KH53" s="226">
        <f>IFERROR(AVERAGE($FC53:FS53),"")</f>
        <v>88.956494589573921</v>
      </c>
      <c r="KI53" s="226">
        <f>IFERROR(AVERAGE($FC53:FT53),"")</f>
        <v>89.071353196604335</v>
      </c>
      <c r="KJ53" s="226">
        <f>IFERROR(AVERAGE($FC53:FU53),"")</f>
        <v>88.044513313132853</v>
      </c>
      <c r="KK53" s="226">
        <f>IFERROR(AVERAGE($FC53:FV53),"")</f>
        <v>87.678016879866959</v>
      </c>
      <c r="KL53" s="226">
        <f>IFERROR(AVERAGE($FC53:FW53),"")</f>
        <v>87.3218938136514</v>
      </c>
      <c r="KM53" s="226">
        <f>IFERROR(AVERAGE($FC53:FX53),"")</f>
        <v>87.211327441572763</v>
      </c>
      <c r="KN53" s="226">
        <f>IFERROR(AVERAGE($FC53:FY53),"")</f>
        <v>86.690702365027448</v>
      </c>
      <c r="KO53" s="226">
        <f>IFERROR(AVERAGE($FC53:FZ53),"")</f>
        <v>86.3635703781422</v>
      </c>
      <c r="KP53" s="226">
        <f>IFERROR(AVERAGE($FC53:GA53),"")</f>
        <v>85.416603430568088</v>
      </c>
      <c r="KQ53" s="226">
        <f>IFERROR(AVERAGE($FC53:GB53),"")</f>
        <v>85.052570872292733</v>
      </c>
      <c r="KR53" s="226">
        <f>IFERROR(AVERAGE($FC53:GC53),"")</f>
        <v>84.954395069512231</v>
      </c>
      <c r="KS53" s="226">
        <f>IFERROR(AVERAGE($FC53:GD53),"")</f>
        <v>84.489928330028391</v>
      </c>
      <c r="KT53" s="226">
        <f>IFERROR(AVERAGE($FC53:GE53),"")</f>
        <v>84.186716603955944</v>
      </c>
      <c r="KU53" s="226">
        <f>IFERROR(AVERAGE($FC53:GF53),"")</f>
        <v>83.554542187839729</v>
      </c>
      <c r="KV53" s="226">
        <f>IFERROR(AVERAGE($FC53:GG53),"")</f>
        <v>83.269390781578394</v>
      </c>
      <c r="KW53" s="226">
        <f>IFERROR(AVERAGE($FC53:GH53),"")</f>
        <v>82.831570746591012</v>
      </c>
      <c r="KX53" s="226">
        <f>IFERROR(AVERAGE($FC53:GI53),"")</f>
        <v>83.055584160760048</v>
      </c>
      <c r="KY53" s="226">
        <f>IFERROR(AVERAGE($FC53:GJ53),"")</f>
        <v>83.569051307403683</v>
      </c>
      <c r="KZ53" s="226">
        <f>IFERROR(AVERAGE($FC53:GK53),"")</f>
        <v>82.991562334524403</v>
      </c>
      <c r="LA53" s="226">
        <f>IFERROR(AVERAGE($FC53:GL53),"")</f>
        <v>82.253027900476766</v>
      </c>
      <c r="LB53" s="226">
        <f>IFERROR(AVERAGE($FC53:GM53),"")</f>
        <v>81.8531422048286</v>
      </c>
      <c r="LC53" s="226">
        <f>IFERROR(AVERAGE($FC53:GN53),"")</f>
        <v>81.478732956049456</v>
      </c>
      <c r="LD53" s="226">
        <f>IFERROR(AVERAGE($FC53:GO53),"")</f>
        <v>81.3608715624692</v>
      </c>
      <c r="LE53" s="226">
        <f>IFERROR(AVERAGE($FC53:GP53),"")</f>
        <v>81.249054342918711</v>
      </c>
      <c r="LF53" s="226">
        <f>IFERROR(AVERAGE($FC53:GQ53),"")</f>
        <v>81.242827984345737</v>
      </c>
      <c r="LG53" s="226">
        <f>IFERROR(AVERAGE($FC53:GR53),"")</f>
        <v>81.114954131069013</v>
      </c>
      <c r="LH53" s="226">
        <f>IFERROR(AVERAGE($FC53:GS53),"")</f>
        <v>81.114954131069013</v>
      </c>
      <c r="LI53" s="226">
        <f>IFERROR(AVERAGE($FC53:GT53),"")</f>
        <v>81.114954131069013</v>
      </c>
      <c r="LJ53" s="226">
        <f>IFERROR(AVERAGE($FC53:GU53),"")</f>
        <v>81.114954131069013</v>
      </c>
      <c r="LK53" s="226">
        <f>IFERROR(AVERAGE($FC53:GV53),"")</f>
        <v>81.114954131069013</v>
      </c>
      <c r="LL53" s="226">
        <f>IFERROR(AVERAGE($FC53:GW53),"")</f>
        <v>81.114954131069013</v>
      </c>
      <c r="LM53" s="226">
        <f>IFERROR(AVERAGE($FC53:GX53),"")</f>
        <v>81.114954131069013</v>
      </c>
      <c r="LN53" s="226">
        <f>IFERROR(AVERAGE($FC53:GY53),"")</f>
        <v>81.114954131069013</v>
      </c>
      <c r="LO53" s="226">
        <f>IFERROR(AVERAGE($FC53:GZ53),"")</f>
        <v>81.114954131069013</v>
      </c>
      <c r="LP53" s="226">
        <f>IFERROR(AVERAGE($FC53:HA53),"")</f>
        <v>81.114954131069013</v>
      </c>
      <c r="LQ53" s="226">
        <f>IFERROR(AVERAGE($FC53:HB53),"")</f>
        <v>81.114954131069013</v>
      </c>
      <c r="LR53" s="226">
        <f>IFERROR(AVERAGE($FC53:HC53),"")</f>
        <v>81.114954131069013</v>
      </c>
      <c r="LT53" s="136" t="str">
        <f>+$C53</f>
        <v>KPI D1</v>
      </c>
      <c r="LU53" s="144" t="str">
        <f>+$D53</f>
        <v>Delivery</v>
      </c>
      <c r="LV53" s="144" t="str">
        <f>+$E53</f>
        <v>Designs completed to internal days estimate</v>
      </c>
      <c r="LW53" s="145" t="str">
        <f>+$F53</f>
        <v>Percentage</v>
      </c>
      <c r="LX53" s="145" t="s">
        <v>285</v>
      </c>
      <c r="LY53" s="226" t="str">
        <f>IFERROR(AVERAGE($HJ53:HJ53),"")</f>
        <v/>
      </c>
      <c r="LZ53" s="226">
        <f>IFERROR(IF(LAD$7&gt;$D$3,"",AVERAGE($HJ53:HK53)),"")</f>
        <v>100</v>
      </c>
      <c r="MA53" s="226">
        <f>IFERROR(IF(MA$7&gt;$D$3,"",AVERAGE($HJ53:HL53)),"")</f>
        <v>100</v>
      </c>
      <c r="MB53" s="226">
        <f>IFERROR(IF(MB$7&gt;$D$3,"",AVERAGE($HJ53:HM53)),"")</f>
        <v>100</v>
      </c>
      <c r="MC53" s="226">
        <f>IFERROR(IF(MC$7&gt;$D$3,"",AVERAGE($HJ53:HN53)),"")</f>
        <v>100</v>
      </c>
      <c r="MD53" s="226">
        <f>IFERROR(IF(MD$7&gt;$D$3,"",AVERAGE($HJ53:HO53)),"")</f>
        <v>100</v>
      </c>
      <c r="ME53" s="226">
        <f>IFERROR(IF(ME$7&gt;$D$3,"",AVERAGE($HJ53:HP53)),"")</f>
        <v>100</v>
      </c>
      <c r="MF53" s="226">
        <f>IFERROR(IF(MF$7&gt;$D$3,"",AVERAGE($HJ53:HQ53)),"")</f>
        <v>100</v>
      </c>
      <c r="MG53" s="226">
        <f>IFERROR(IF(MG$7&gt;$D$3,"",AVERAGE($HJ53:HR53)),"")</f>
        <v>100</v>
      </c>
      <c r="MH53" s="226">
        <f>IFERROR(IF(MH$7&gt;$D$3,"",AVERAGE($HJ53:HS53)),"")</f>
        <v>100</v>
      </c>
      <c r="MI53" s="226">
        <f>IFERROR(IF(MI$7&gt;$D$3,"",AVERAGE($HJ53:HT53)),"")</f>
        <v>100</v>
      </c>
      <c r="MJ53" s="226">
        <f>IFERROR(IF(MJ$7&gt;$D$3,"",AVERAGE($HJ53:HU53)),"")</f>
        <v>100</v>
      </c>
      <c r="MK53" s="226">
        <f>IFERROR(IF(MK$7&gt;$D$3,"",AVERAGE($HJ53:HV53)),"")</f>
        <v>100</v>
      </c>
      <c r="ML53" s="226">
        <f>IFERROR(IF(ML$7&gt;$D$3,"",AVERAGE($HJ53:HW53)),"")</f>
        <v>100</v>
      </c>
      <c r="MM53" s="226">
        <f>IFERROR(IF(MM$7&gt;$D$3,"",AVERAGE($HJ53:HX53)),"")</f>
        <v>100</v>
      </c>
      <c r="MN53" s="226">
        <f>IFERROR(IF(MN$7&gt;$D$3,"",AVERAGE($HJ53:HY53)),"")</f>
        <v>100</v>
      </c>
      <c r="MO53" s="226">
        <f>IFERROR(IF(MO$7&gt;$D$3,"",AVERAGE($HJ53:HZ53)),"")</f>
        <v>100</v>
      </c>
      <c r="MP53" s="226">
        <f>IFERROR(IF(MP$7&gt;$D$3,"",AVERAGE($HJ53:IA53)),"")</f>
        <v>100</v>
      </c>
      <c r="MQ53" s="226">
        <f>IFERROR(IF(MQ$7&gt;$D$3,"",AVERAGE($HJ53:IB53)),"")</f>
        <v>100</v>
      </c>
      <c r="MR53" s="226">
        <f>IFERROR(IF(MR$7&gt;$D$3,"",AVERAGE($HJ53:IC53)),"")</f>
        <v>100</v>
      </c>
      <c r="MS53" s="226">
        <f>IFERROR(IF(MS$7&gt;$D$3,"",AVERAGE($HJ53:ID53)),"")</f>
        <v>100</v>
      </c>
      <c r="MT53" s="226">
        <f>IFERROR(IF(MT$7&gt;$D$3,"",AVERAGE($HJ53:IE53)),"")</f>
        <v>100</v>
      </c>
      <c r="MU53" s="226">
        <f>IFERROR(IF(MU$7&gt;$D$3,"",AVERAGE($HJ53:IF53)),"")</f>
        <v>100</v>
      </c>
      <c r="MV53" s="226">
        <f>IFERROR(IF(MV$7&gt;$D$3,"",AVERAGE($HJ53:IG53)),"")</f>
        <v>100</v>
      </c>
      <c r="MW53" s="226">
        <f>IFERROR(IF(MW$7&gt;$D$3,"",AVERAGE($HJ53:IH53)),"")</f>
        <v>100</v>
      </c>
      <c r="MX53" s="226">
        <f>IFERROR(IF(MX$7&gt;$D$3,"",AVERAGE($HJ53:II53)),"")</f>
        <v>100</v>
      </c>
      <c r="MY53" s="226">
        <f>IFERROR(IF(MY$7&gt;$D$3,"",AVERAGE($HJ53:IJ53)),"")</f>
        <v>100</v>
      </c>
      <c r="MZ53" s="226">
        <f>IFERROR(IF(MZ$7&gt;$D$3,"",AVERAGE($HJ53:IK53)),"")</f>
        <v>100</v>
      </c>
      <c r="NA53" s="226">
        <f>IFERROR(IF(NA$7&gt;$D$3,"",AVERAGE($HJ53:IL53)),"")</f>
        <v>100</v>
      </c>
      <c r="NB53" s="226">
        <f>IFERROR(IF(NB$7&gt;$D$3,"",AVERAGE($HJ53:IM53)),"")</f>
        <v>100</v>
      </c>
      <c r="NC53" s="226">
        <f>IFERROR(IF(NC$7&gt;$D$3,"",AVERAGE($HJ53:IN53)),"")</f>
        <v>100</v>
      </c>
      <c r="ND53" s="226">
        <f>IFERROR(IF(ND$7&gt;$D$3,"",AVERAGE($HJ53:IO53)),"")</f>
        <v>100</v>
      </c>
      <c r="NE53" s="226">
        <f>IFERROR(IF(NE$7&gt;$D$3,"",AVERAGE($HJ53:IP53)),"")</f>
        <v>100</v>
      </c>
      <c r="NF53" s="226">
        <f>IFERROR(IF(NF$7&gt;$D$3,"",AVERAGE($HJ53:IQ53)),"")</f>
        <v>100</v>
      </c>
      <c r="NG53" s="226">
        <f>IFERROR(IF(NG$7&gt;$D$3,"",AVERAGE($HJ53:IR53)),"")</f>
        <v>100</v>
      </c>
      <c r="NH53" s="226">
        <f>IFERROR(IF(NH$7&gt;$D$3,"",AVERAGE($HJ53:IS53)),"")</f>
        <v>100</v>
      </c>
      <c r="NI53" s="226">
        <f>IFERROR(IF(NI$7&gt;$D$3,"",AVERAGE($HJ53:IT53)),"")</f>
        <v>100</v>
      </c>
      <c r="NJ53" s="226">
        <f>IFERROR(IF(NJ$7&gt;$D$3,"",AVERAGE($HJ53:IU53)),"")</f>
        <v>100</v>
      </c>
      <c r="NK53" s="226">
        <f>IFERROR(IF(NK$7&gt;$D$3,"",AVERAGE($HJ53:IV53)),"")</f>
        <v>100</v>
      </c>
      <c r="NL53" s="226">
        <f>IFERROR(IF(NL$7&gt;$D$3,"",AVERAGE($HJ53:IW53)),"")</f>
        <v>100</v>
      </c>
      <c r="NM53" s="226">
        <f>IFERROR(IF(NM$7&gt;$D$3,"",AVERAGE($HJ53:IX53)),"")</f>
        <v>100</v>
      </c>
      <c r="NN53" s="226">
        <f>IFERROR(IF(NN$7&gt;$D$3,"",AVERAGE($HJ53:IY53)),"")</f>
        <v>100</v>
      </c>
      <c r="NO53" s="226" t="str">
        <f>IFERROR(IF(NO$7&gt;$D$3,"",AVERAGE($HJ53:IZ53)),"")</f>
        <v/>
      </c>
      <c r="NP53" s="226" t="str">
        <f>IFERROR(IF(NP$7&gt;$D$3,"",AVERAGE($HJ53:JA53)),"")</f>
        <v/>
      </c>
      <c r="NQ53" s="226" t="str">
        <f>IFERROR(IF(NQ$7&gt;$D$3,"",AVERAGE($HJ53:JB53)),"")</f>
        <v/>
      </c>
      <c r="NR53" s="226" t="str">
        <f>IFERROR(IF(NR$7&gt;$D$3,"",AVERAGE($HJ53:JC53)),"")</f>
        <v/>
      </c>
      <c r="NS53" s="226" t="str">
        <f>IFERROR(IF(NS$7&gt;$D$3,"",AVERAGE($HJ53:JD53)),"")</f>
        <v/>
      </c>
      <c r="NT53" s="226" t="str">
        <f>IFERROR(IF(NT$7&gt;$D$3,"",AVERAGE($HJ53:JE53)),"")</f>
        <v/>
      </c>
      <c r="NU53" s="226" t="str">
        <f>IFERROR(IF(NU$7&gt;$D$3,"",AVERAGE($HJ53:JF53)),"")</f>
        <v/>
      </c>
      <c r="NV53" s="226" t="str">
        <f>IFERROR(IF(NV$7&gt;$D$3,"",AVERAGE($HJ53:JG53)),"")</f>
        <v/>
      </c>
      <c r="NW53" s="226" t="str">
        <f>IFERROR(IF(NW$7&gt;$D$3,"",AVERAGE($HJ53:JH53)),"")</f>
        <v/>
      </c>
      <c r="NX53" s="226" t="str">
        <f>IFERROR(IF(NX$7&gt;$D$3,"",AVERAGE($HJ53:JI53)),"")</f>
        <v/>
      </c>
      <c r="NY53" s="226" t="str">
        <f>IFERROR(IF(NY$7&gt;$D$3,"",AVERAGE($HJ53:JJ53)),"")</f>
        <v/>
      </c>
    </row>
    <row r="54" spans="1:389" x14ac:dyDescent="0.3">
      <c r="A54" t="str">
        <f>$B$51&amp;"-"&amp;C54</f>
        <v>Design-KPI Q1</v>
      </c>
      <c r="B54" s="918">
        <f>+'KPI Stats'!B32</f>
        <v>0</v>
      </c>
      <c r="C54" s="136" t="str">
        <f>+'KPI Stats'!C32</f>
        <v>KPI Q1</v>
      </c>
      <c r="D54" s="144" t="str">
        <f>+'KPI Stats'!D32</f>
        <v>Quality</v>
      </c>
      <c r="E54" s="144" t="str">
        <f>+'KPI Stats'!E32</f>
        <v>Designs rejected (Internal)</v>
      </c>
      <c r="F54" s="145" t="str">
        <f>+'KPI Stats'!F32</f>
        <v>Count</v>
      </c>
      <c r="G54" s="169" t="str">
        <f>+'KPI Stats'!G32</f>
        <v>Above Zero</v>
      </c>
      <c r="J54" s="69" t="str">
        <f>_xlfn.XLOOKUP(J$7,$AM$7:$CM$7,$AM54:$CM54,,FALSE)</f>
        <v>OD</v>
      </c>
      <c r="K54" s="264" t="str">
        <f>_xlfn.XLOOKUP(K$7,$FC$7:$HC$7,$FC54:$HC54,,FALSE)</f>
        <v>OD</v>
      </c>
      <c r="L54" s="278">
        <f>_xlfn.XLOOKUP(L$7,$HJ$7:$JJ$7,$HJ54:$JJ54,,FALSE)</f>
        <v>0</v>
      </c>
      <c r="M54" s="372" t="s">
        <v>295</v>
      </c>
      <c r="P54" s="69" t="str">
        <f>_xlfn.XLOOKUP(P$7,$AM$7:$CM$7,$AM54:$CM54,,FALSE)</f>
        <v>OD</v>
      </c>
      <c r="Q54" s="264" t="str">
        <f t="shared" si="179"/>
        <v>OD</v>
      </c>
      <c r="R54" s="278" t="str">
        <f t="shared" si="179"/>
        <v>OD</v>
      </c>
      <c r="S54" s="373" t="s">
        <v>295</v>
      </c>
      <c r="T54" s="374" t="s">
        <v>295</v>
      </c>
      <c r="U54" s="295" t="str">
        <f>IF(F51&lt;$R$2,"Not Complete",IF(Q54=R54,"Same −",IF($G54="Over",IF(Q54&lt;R54,"Better ↑","Worse ↓"),IF($G54="Under",IF(Q54&gt;R54,"Better ↑","Worse ↓"),"err"))))</f>
        <v>Same −</v>
      </c>
      <c r="X54" s="69" t="str">
        <f t="shared" si="180"/>
        <v>R</v>
      </c>
      <c r="Y54" s="264">
        <f>_xlfn.XLOOKUP(Y$7,$JR$7:$LR$7,$JR54:$LR54,FALSE)</f>
        <v>2.5405405405405403</v>
      </c>
      <c r="Z54" s="278">
        <f>_xlfn.XLOOKUP(Z$7,$LY$7:$NY$7,$LY54:$NY54,FALSE)</f>
        <v>0</v>
      </c>
      <c r="AA54" s="375" t="s">
        <v>295</v>
      </c>
      <c r="AB54" s="295" t="str">
        <f>IF(F51&lt;$R$2,"TBC",IF(Y54=Z54,"Same −",IF($G54="Over",IF(Z54&lt;Y54,"Better ↑ ","Worse ↓ "),IF($G54="Under",IF(Y54&gt;Z54,"Better ↑ ","Worse ↓ "),"err"))))</f>
        <v>err</v>
      </c>
      <c r="AC54" s="69" t="str">
        <f>IF(AND(G54="above adero",AD54&gt;0),"R",IF(AF54&gt;1,"G",IF(AF54&gt;0.95,"A","R")))</f>
        <v>G</v>
      </c>
      <c r="AD54" s="114">
        <f>_xlfn.XLOOKUP(AD$7,$JR$7:$LR$7,$JR54:$LR54,FALSE)</f>
        <v>2.5405405405405403</v>
      </c>
      <c r="AE54" s="114">
        <f>_xlfn.XLOOKUP(AE$7,$LY$7:$NY$7,$LY54:$NY54,FALSE)</f>
        <v>0</v>
      </c>
      <c r="AF54" s="252" t="str">
        <f>IF(G54="under",AD54/AE54,IF(G54="over",AE54/AD54,"err"))</f>
        <v>err</v>
      </c>
      <c r="AH54" s="465" t="str">
        <f>+$A54</f>
        <v>Design-KPI Q1</v>
      </c>
      <c r="AI54" s="136" t="str">
        <f t="shared" si="182"/>
        <v>KPI Q1</v>
      </c>
      <c r="AJ54" s="144" t="str">
        <f t="shared" si="182"/>
        <v>Quality</v>
      </c>
      <c r="AK54" s="144" t="str">
        <f t="shared" si="168"/>
        <v>Designs rejected (Internal)</v>
      </c>
      <c r="AL54" s="145" t="str">
        <f t="shared" si="168"/>
        <v>Count</v>
      </c>
      <c r="AM54" s="69" t="str">
        <f>IF(AM$7&gt;$D$3,"",_xlfn.XLOOKUP(AM$7,Design!$M$6:$BM$6,Design!$M$16:$BM$16))</f>
        <v>Blank</v>
      </c>
      <c r="AN54" s="199" t="str">
        <f>IF(AN$7&gt;$D$3,"",_xlfn.XLOOKUP(AN$7,Design!$M$6:$BM$6,Design!$M$16:$BM$16))</f>
        <v>R</v>
      </c>
      <c r="AO54" s="69" t="str">
        <f>IF(AO$7&gt;$D$3,"",_xlfn.XLOOKUP(AO$7,Design!$M$6:$BM$6,Design!$M$16:$BM$16))</f>
        <v>R</v>
      </c>
      <c r="AP54" s="69" t="str">
        <f>IF(AP$7&gt;$D$3,"",_xlfn.XLOOKUP(AP$7,Design!$M$6:$BM$6,Design!$M$16:$BM$16))</f>
        <v>R</v>
      </c>
      <c r="AQ54" s="69" t="str">
        <f>IF(AQ$7&gt;$D$3,"",_xlfn.XLOOKUP(AQ$7,Design!$M$6:$BM$6,Design!$M$16:$BM$16))</f>
        <v>R</v>
      </c>
      <c r="AR54" s="69" t="str">
        <f>IF(AR$7&gt;$D$3,"",_xlfn.XLOOKUP(AR$7,Design!$M$6:$BM$6,Design!$M$16:$BM$16))</f>
        <v>R</v>
      </c>
      <c r="AS54" s="69" t="str">
        <f>IF(AS$7&gt;$D$3,"",_xlfn.XLOOKUP(AS$7,Design!$M$6:$BM$6,Design!$M$16:$BM$16))</f>
        <v>R</v>
      </c>
      <c r="AT54" s="69" t="str">
        <f>IF(AT$7&gt;$D$3,"",_xlfn.XLOOKUP(AT$7,Design!$M$6:$BM$6,Design!$M$16:$BM$16))</f>
        <v>R</v>
      </c>
      <c r="AU54" s="69" t="str">
        <f>IF(AU$7&gt;$D$3,"",_xlfn.XLOOKUP(AU$7,Design!$M$6:$BM$6,Design!$M$16:$BM$16))</f>
        <v>R</v>
      </c>
      <c r="AV54" s="69" t="str">
        <f>IF(AV$7&gt;$D$3,"",_xlfn.XLOOKUP(AV$7,Design!$M$6:$BM$6,Design!$M$16:$BM$16))</f>
        <v>R</v>
      </c>
      <c r="AW54" s="69" t="str">
        <f>IF(AW$7&gt;$D$3,"",_xlfn.XLOOKUP(AW$7,Design!$M$6:$BM$6,Design!$M$16:$BM$16))</f>
        <v>R</v>
      </c>
      <c r="AX54" s="69" t="str">
        <f>IF(AX$7&gt;$D$3,"",_xlfn.XLOOKUP(AX$7,Design!$M$6:$BM$6,Design!$M$16:$BM$16))</f>
        <v>R</v>
      </c>
      <c r="AY54" s="69" t="str">
        <f>IF(AY$7&gt;$D$3,"",_xlfn.XLOOKUP(AY$7,Design!$M$6:$BM$6,Design!$M$16:$BM$16))</f>
        <v>R</v>
      </c>
      <c r="AZ54" s="69" t="str">
        <f>IF(AZ$7&gt;$D$3,"",_xlfn.XLOOKUP(AZ$7,Design!$M$6:$BM$6,Design!$M$16:$BM$16))</f>
        <v>R</v>
      </c>
      <c r="BA54" s="69" t="str">
        <f>IF(BA$7&gt;$D$3,"",_xlfn.XLOOKUP(BA$7,Design!$M$6:$BM$6,Design!$M$16:$BM$16))</f>
        <v>R</v>
      </c>
      <c r="BB54" s="69" t="str">
        <f>IF(BB$7&gt;$D$3,"",_xlfn.XLOOKUP(BB$7,Design!$M$6:$BM$6,Design!$M$16:$BM$16))</f>
        <v>G</v>
      </c>
      <c r="BC54" s="69" t="str">
        <f>IF(BC$7&gt;$D$3,"",_xlfn.XLOOKUP(BC$7,Design!$M$6:$BM$6,Design!$M$16:$BM$16))</f>
        <v>R</v>
      </c>
      <c r="BD54" s="69" t="str">
        <f>IF(BD$7&gt;$D$3,"",_xlfn.XLOOKUP(BD$7,Design!$M$6:$BM$6,Design!$M$16:$BM$16))</f>
        <v>G</v>
      </c>
      <c r="BE54" s="69" t="str">
        <f>IF(BE$7&gt;$D$3,"",_xlfn.XLOOKUP(BE$7,Design!$M$6:$BM$6,Design!$M$16:$BM$16))</f>
        <v>G</v>
      </c>
      <c r="BF54" s="69" t="str">
        <f>IF(BF$7&gt;$D$3,"",_xlfn.XLOOKUP(BF$7,Design!$M$6:$BM$6,Design!$M$16:$BM$16))</f>
        <v>G</v>
      </c>
      <c r="BG54" s="69" t="str">
        <f>IF(BG$7&gt;$D$3,"",_xlfn.XLOOKUP(BG$7,Design!$M$6:$BM$6,Design!$M$16:$BM$16))</f>
        <v>R</v>
      </c>
      <c r="BH54" s="69" t="str">
        <f>IF(BH$7&gt;$D$3,"",_xlfn.XLOOKUP(BH$7,Design!$M$6:$BM$6,Design!$M$16:$BM$16))</f>
        <v>R</v>
      </c>
      <c r="BI54" s="69" t="str">
        <f>IF(BI$7&gt;$D$3,"",_xlfn.XLOOKUP(BI$7,Design!$M$6:$BM$6,Design!$M$16:$BM$16))</f>
        <v>G</v>
      </c>
      <c r="BJ54" s="69" t="str">
        <f>IF(BJ$7&gt;$D$3,"",_xlfn.XLOOKUP(BJ$7,Design!$M$6:$BM$6,Design!$M$16:$BM$16))</f>
        <v>R</v>
      </c>
      <c r="BK54" s="69" t="str">
        <f>IF(BK$7&gt;$D$3,"",_xlfn.XLOOKUP(BK$7,Design!$M$6:$BM$6,Design!$M$16:$BM$16))</f>
        <v>R</v>
      </c>
      <c r="BL54" s="69" t="str">
        <f>IF(BL$7&gt;$D$3,"",_xlfn.XLOOKUP(BL$7,Design!$M$6:$BM$6,Design!$M$16:$BM$16))</f>
        <v>R</v>
      </c>
      <c r="BM54" s="69" t="str">
        <f>IF(BM$7&gt;$D$3,"",_xlfn.XLOOKUP(BM$7,Design!$M$6:$BM$6,Design!$M$16:$BM$16))</f>
        <v>R</v>
      </c>
      <c r="BN54" s="69" t="str">
        <f>IF(BN$7&gt;$D$3,"",_xlfn.XLOOKUP(BN$7,Design!$M$6:$BM$6,Design!$M$16:$BM$16))</f>
        <v>R</v>
      </c>
      <c r="BO54" s="69" t="str">
        <f>IF(BO$7&gt;$D$3,"",_xlfn.XLOOKUP(BO$7,Design!$M$6:$BM$6,Design!$M$16:$BM$16))</f>
        <v>R</v>
      </c>
      <c r="BP54" s="69" t="str">
        <f>IF(BP$7&gt;$D$3,"",_xlfn.XLOOKUP(BP$7,Design!$M$6:$BM$6,Design!$M$16:$BM$16))</f>
        <v>R</v>
      </c>
      <c r="BQ54" s="69" t="str">
        <f>IF(BQ$7&gt;$D$3,"",_xlfn.XLOOKUP(BQ$7,Design!$M$6:$BM$6,Design!$M$16:$BM$16))</f>
        <v>R</v>
      </c>
      <c r="BR54" s="69" t="str">
        <f>IF(BR$7&gt;$D$3,"",_xlfn.XLOOKUP(BR$7,Design!$M$6:$BM$6,Design!$M$16:$BM$16))</f>
        <v>G</v>
      </c>
      <c r="BS54" s="69" t="str">
        <f>IF(BS$7&gt;$D$3,"",_xlfn.XLOOKUP(BS$7,Design!$M$6:$BM$6,Design!$M$16:$BM$16))</f>
        <v>R</v>
      </c>
      <c r="BT54" s="69" t="str">
        <f>IF(BT$7&gt;$D$3,"",_xlfn.XLOOKUP(BT$7,Design!$M$6:$BM$6,Design!$M$16:$BM$16))</f>
        <v>R</v>
      </c>
      <c r="BU54" s="69" t="str">
        <f>IF(BU$7&gt;$D$3,"",_xlfn.XLOOKUP(BU$7,Design!$M$6:$BM$6,Design!$M$16:$BM$16))</f>
        <v>G</v>
      </c>
      <c r="BV54" s="69" t="str">
        <f>IF(BV$7&gt;$D$3,"",_xlfn.XLOOKUP(BV$7,Design!$M$6:$BM$6,Design!$M$16:$BM$16))</f>
        <v>R</v>
      </c>
      <c r="BW54" s="69" t="str">
        <f>IF(BW$7&gt;$D$3,"",_xlfn.XLOOKUP(BW$7,Design!$M$6:$BM$6,Design!$M$16:$BM$16))</f>
        <v>R</v>
      </c>
      <c r="BX54" s="69" t="str">
        <f>IF(BX$7&gt;$D$3,"",_xlfn.XLOOKUP(BX$7,Design!$M$6:$BM$6,Design!$M$16:$BM$16))</f>
        <v>R</v>
      </c>
      <c r="BY54" s="69" t="str">
        <f>IF(BY$7&gt;$D$3,"",_xlfn.XLOOKUP(BY$7,Design!$M$6:$BM$6,Design!$M$16:$BM$16))</f>
        <v>OD</v>
      </c>
      <c r="BZ54" s="69" t="str">
        <f>IF(BZ$7&gt;$D$3,"",_xlfn.XLOOKUP(BZ$7,Design!$M$6:$BM$6,Design!$M$16:$BM$16))</f>
        <v>OD</v>
      </c>
      <c r="CA54" s="69" t="str">
        <f>IF(CA$7&gt;$D$3,"",_xlfn.XLOOKUP(CA$7,Design!$M$6:$BM$6,Design!$M$16:$BM$16))</f>
        <v>OD</v>
      </c>
      <c r="CB54" s="69" t="str">
        <f>IF(CB$7&gt;$D$3,"",_xlfn.XLOOKUP(CB$7,Design!$M$6:$BM$6,Design!$M$16:$BM$16))</f>
        <v>OD</v>
      </c>
      <c r="CC54" s="69" t="str">
        <f>IF(CC$7&gt;$D$3,"",_xlfn.XLOOKUP(CC$7,Design!$M$6:$BM$6,Design!$M$16:$BM$16))</f>
        <v/>
      </c>
      <c r="CD54" s="69" t="str">
        <f>IF(CD$7&gt;$D$3,"",_xlfn.XLOOKUP(CD$7,Design!$M$6:$BM$6,Design!$M$16:$BM$16))</f>
        <v/>
      </c>
      <c r="CE54" s="69" t="str">
        <f>IF(CE$7&gt;$D$3,"",_xlfn.XLOOKUP(CE$7,Design!$M$6:$BM$6,Design!$M$16:$BM$16))</f>
        <v/>
      </c>
      <c r="CF54" s="69" t="str">
        <f>IF(CF$7&gt;$D$3,"",_xlfn.XLOOKUP(CF$7,Design!$M$6:$BM$6,Design!$M$16:$BM$16))</f>
        <v/>
      </c>
      <c r="CG54" s="69" t="str">
        <f>IF(CG$7&gt;$D$3,"",_xlfn.XLOOKUP(CG$7,Design!$M$6:$BM$6,Design!$M$16:$BM$16))</f>
        <v/>
      </c>
      <c r="CH54" s="69" t="str">
        <f>IF(CH$7&gt;$D$3,"",_xlfn.XLOOKUP(CH$7,Design!$M$6:$BM$6,Design!$M$16:$BM$16))</f>
        <v/>
      </c>
      <c r="CI54" s="69" t="str">
        <f>IF(CI$7&gt;$D$3,"",_xlfn.XLOOKUP(CI$7,Design!$M$6:$BM$6,Design!$M$16:$BM$16))</f>
        <v/>
      </c>
      <c r="CJ54" s="69" t="str">
        <f>IF(CJ$7&gt;$D$3,"",_xlfn.XLOOKUP(CJ$7,Design!$M$6:$BM$6,Design!$M$16:$BM$16))</f>
        <v/>
      </c>
      <c r="CK54" s="69" t="str">
        <f>IF(CK$7&gt;$D$3,"",_xlfn.XLOOKUP(CK$7,Design!$M$6:$BM$6,Design!$M$16:$BM$16))</f>
        <v/>
      </c>
      <c r="CL54" s="69" t="str">
        <f>IF(CL$7&gt;$D$3,"",_xlfn.XLOOKUP(CL$7,Design!$M$6:$BM$6,Design!$M$16:$BM$16))</f>
        <v/>
      </c>
      <c r="CM54" s="69" t="str">
        <f>IF(CM$7&gt;$D$3,"",_xlfn.XLOOKUP(CM$7,Design!$M$6:$BM$6,Design!$M$16:$BM$16))</f>
        <v/>
      </c>
      <c r="CO54" s="465" t="str">
        <f>+$A54</f>
        <v>Design-KPI Q1</v>
      </c>
      <c r="CP54" s="136" t="str">
        <f t="shared" si="183"/>
        <v>KPI Q1</v>
      </c>
      <c r="CQ54" s="144" t="str">
        <f t="shared" si="183"/>
        <v>Quality</v>
      </c>
      <c r="CR54" s="144" t="str">
        <f t="shared" si="170"/>
        <v>Designs rejected (Internal)</v>
      </c>
      <c r="CS54" s="145" t="str">
        <f t="shared" si="170"/>
        <v>Count</v>
      </c>
      <c r="CT54" s="207" t="s">
        <v>247</v>
      </c>
      <c r="CU54" s="423" t="str">
        <f>IF(CU$7&gt;$D$3,"",_xlfn.XLOOKUP(CU$7,Design!$M$6:$BM$6,Design!$M$16:$BM$16))</f>
        <v>Blank</v>
      </c>
      <c r="CV54" s="329">
        <f>IFERROR(IF(CV$7&gt;$D$3,"",IF(AN54="OD","OD",IF(AN54="Missed","Missed",IF(AN54="TBC","TBC",IF(AN54="Undefined","Undefined",_xlfn.XLOOKUP(CV$7,Design!$M$6:$BM$6,Design!$M$15:$BM$15)))))),0)</f>
        <v>6</v>
      </c>
      <c r="CW54" s="314">
        <f>IFERROR(IF(CW$7&gt;$D$3,"",IF(AO54="OD","OD",IF(AO54="Missed","Missed",IF(AO54="TBC","TBC",IF(AO54="Undefined","Undefined",_xlfn.XLOOKUP(CW$7,Design!$M$6:$BM$6,Design!$M$15:$BM$15)))))),0)</f>
        <v>3</v>
      </c>
      <c r="CX54" s="314">
        <f>IFERROR(IF(CX$7&gt;$D$3,"",IF(AP54="OD","OD",IF(AP54="Missed","Missed",IF(AP54="TBC","TBC",IF(AP54="Undefined","Undefined",_xlfn.XLOOKUP(CX$7,Design!$M$6:$BM$6,Design!$M$15:$BM$15)))))),0)</f>
        <v>3</v>
      </c>
      <c r="CY54" s="314">
        <f>IFERROR(IF(CY$7&gt;$D$3,"",IF(AQ54="OD","OD",IF(AQ54="Missed","Missed",IF(AQ54="TBC","TBC",IF(AQ54="Undefined","Undefined",_xlfn.XLOOKUP(CY$7,Design!$M$6:$BM$6,Design!$M$15:$BM$15)))))),0)</f>
        <v>5</v>
      </c>
      <c r="CZ54" s="314">
        <f>IFERROR(IF(CZ$7&gt;$D$3,"",IF(AR54="OD","OD",IF(AR54="Missed","Missed",IF(AR54="TBC","TBC",IF(AR54="Undefined","Undefined",_xlfn.XLOOKUP(CZ$7,Design!$M$6:$BM$6,Design!$M$15:$BM$15)))))),0)</f>
        <v>5</v>
      </c>
      <c r="DA54" s="314">
        <f>IFERROR(IF(DA$7&gt;$D$3,"",IF(AS54="OD","OD",IF(AS54="Missed","Missed",IF(AS54="TBC","TBC",IF(AS54="Undefined","Undefined",_xlfn.XLOOKUP(DA$7,Design!$M$6:$BM$6,Design!$M$15:$BM$15)))))),0)</f>
        <v>3</v>
      </c>
      <c r="DB54" s="314">
        <f>IFERROR(IF(DB$7&gt;$D$3,"",IF(AT54="OD","OD",IF(AT54="Missed","Missed",IF(AT54="TBC","TBC",IF(AT54="Undefined","Undefined",_xlfn.XLOOKUP(DB$7,Design!$M$6:$BM$6,Design!$M$15:$BM$15)))))),0)</f>
        <v>2</v>
      </c>
      <c r="DC54" s="314">
        <f>IFERROR(IF(DC$7&gt;$D$3,"",IF(AU54="OD","OD",IF(AU54="Missed","Missed",IF(AU54="TBC","TBC",IF(AU54="Undefined","Undefined",_xlfn.XLOOKUP(DC$7,Design!$M$6:$BM$6,Design!$M$15:$BM$15)))))),0)</f>
        <v>4</v>
      </c>
      <c r="DD54" s="314">
        <f>IFERROR(IF(DD$7&gt;$D$3,"",IF(AV54="OD","OD",IF(AV54="Missed","Missed",IF(AV54="TBC","TBC",IF(AV54="Undefined","Undefined",_xlfn.XLOOKUP(DD$7,Design!$M$6:$BM$6,Design!$M$15:$BM$15)))))),0)</f>
        <v>3</v>
      </c>
      <c r="DE54" s="314">
        <f>IFERROR(IF(DE$7&gt;$D$3,"",IF(AW54="OD","OD",IF(AW54="Missed","Missed",IF(AW54="TBC","TBC",IF(AW54="Undefined","Undefined",_xlfn.XLOOKUP(DE$7,Design!$M$6:$BM$6,Design!$M$15:$BM$15)))))),0)</f>
        <v>2</v>
      </c>
      <c r="DF54" s="314">
        <f>IFERROR(IF(DF$7&gt;$D$3,"",IF(AX54="OD","OD",IF(AX54="Missed","Missed",IF(AX54="TBC","TBC",IF(AX54="Undefined","Undefined",_xlfn.XLOOKUP(DF$7,Design!$M$6:$BM$6,Design!$M$15:$BM$15)))))),0)</f>
        <v>4</v>
      </c>
      <c r="DG54" s="314">
        <f>IFERROR(IF(DG$7&gt;$D$3,"",IF(AY54="OD","OD",IF(AY54="Missed","Missed",IF(AY54="TBC","TBC",IF(AY54="Undefined","Undefined",_xlfn.XLOOKUP(DG$7,Design!$M$6:$BM$6,Design!$M$15:$BM$15)))))),0)</f>
        <v>3</v>
      </c>
      <c r="DH54" s="314">
        <f>IFERROR(IF(DH$7&gt;$D$3,"",IF(AZ54="OD","OD",IF(AZ54="Missed","Missed",IF(AZ54="TBC","TBC",IF(AZ54="Undefined","Undefined",_xlfn.XLOOKUP(DH$7,Design!$M$6:$BM$6,Design!$M$15:$BM$15)))))),0)</f>
        <v>4</v>
      </c>
      <c r="DI54" s="314">
        <f>IFERROR(IF(DI$7&gt;$D$3,"",IF(BA54="OD","OD",IF(BA54="Missed","Missed",IF(BA54="TBC","TBC",IF(BA54="Undefined","Undefined",_xlfn.XLOOKUP(DI$7,Design!$M$6:$BM$6,Design!$M$15:$BM$15)))))),0)</f>
        <v>5</v>
      </c>
      <c r="DJ54" s="314">
        <f>IFERROR(IF(DJ$7&gt;$D$3,"",IF(BB54="OD","OD",IF(BB54="Missed","Missed",IF(BB54="TBC","TBC",IF(BB54="Undefined","Undefined",_xlfn.XLOOKUP(DJ$7,Design!$M$6:$BM$6,Design!$M$15:$BM$15)))))),0)</f>
        <v>0</v>
      </c>
      <c r="DK54" s="314">
        <f>IFERROR(IF(DK$7&gt;$D$3,"",IF(BC54="OD","OD",IF(BC54="Missed","Missed",IF(BC54="TBC","TBC",IF(BC54="Undefined","Undefined",_xlfn.XLOOKUP(DK$7,Design!$M$6:$BM$6,Design!$M$15:$BM$15)))))),0)</f>
        <v>2</v>
      </c>
      <c r="DL54" s="314">
        <f>IFERROR(IF(DL$7&gt;$D$3,"",IF(BD54="OD","OD",IF(BD54="Missed","Missed",IF(BD54="TBC","TBC",IF(BD54="Undefined","Undefined",_xlfn.XLOOKUP(DL$7,Design!$M$6:$BM$6,Design!$M$15:$BM$15)))))),0)</f>
        <v>0</v>
      </c>
      <c r="DM54" s="314">
        <f>IFERROR(IF(DM$7&gt;$D$3,"",IF(BE54="OD","OD",IF(BE54="Missed","Missed",IF(BE54="TBC","TBC",IF(BE54="Undefined","Undefined",_xlfn.XLOOKUP(DM$7,Design!$M$6:$BM$6,Design!$M$15:$BM$15)))))),0)</f>
        <v>0</v>
      </c>
      <c r="DN54" s="314">
        <f>IFERROR(IF(DN$7&gt;$D$3,"",IF(BF54="OD","OD",IF(BF54="Missed","Missed",IF(BF54="TBC","TBC",IF(BF54="Undefined","Undefined",_xlfn.XLOOKUP(DN$7,Design!$M$6:$BM$6,Design!$M$15:$BM$15)))))),0)</f>
        <v>0</v>
      </c>
      <c r="DO54" s="314">
        <f>IFERROR(IF(DO$7&gt;$D$3,"",IF(BG54="OD","OD",IF(BG54="Missed","Missed",IF(BG54="TBC","TBC",IF(BG54="Undefined","Undefined",_xlfn.XLOOKUP(DO$7,Design!$M$6:$BM$6,Design!$M$15:$BM$15)))))),0)</f>
        <v>2</v>
      </c>
      <c r="DP54" s="314">
        <f>IFERROR(IF(DP$7&gt;$D$3,"",IF(BH54="OD","OD",IF(BH54="Missed","Missed",IF(BH54="TBC","TBC",IF(BH54="Undefined","Undefined",_xlfn.XLOOKUP(DP$7,Design!$M$6:$BM$6,Design!$M$15:$BM$15)))))),0)</f>
        <v>1</v>
      </c>
      <c r="DQ54" s="314">
        <f>IFERROR(IF(DQ$7&gt;$D$3,"",IF(BI54="OD","OD",IF(BI54="Missed","Missed",IF(BI54="TBC","TBC",IF(BI54="Undefined","Undefined",_xlfn.XLOOKUP(DQ$7,Design!$M$6:$BM$6,Design!$M$15:$BM$15)))))),0)</f>
        <v>0</v>
      </c>
      <c r="DR54" s="314">
        <f>IFERROR(IF(DR$7&gt;$D$3,"",IF(BJ54="OD","OD",IF(BJ54="Missed","Missed",IF(BJ54="TBC","TBC",IF(BJ54="Undefined","Undefined",_xlfn.XLOOKUP(DR$7,Design!$M$6:$BM$6,Design!$M$15:$BM$15)))))),0)</f>
        <v>3</v>
      </c>
      <c r="DS54" s="314">
        <f>IFERROR(IF(DS$7&gt;$D$3,"",IF(BK54="OD","OD",IF(BK54="Missed","Missed",IF(BK54="TBC","TBC",IF(BK54="Undefined","Undefined",_xlfn.XLOOKUP(DS$7,Design!$M$6:$BM$6,Design!$M$15:$BM$15)))))),0)</f>
        <v>2</v>
      </c>
      <c r="DT54" s="314">
        <f>IFERROR(IF(DT$7&gt;$D$3,"",IF(BL54="OD","OD",IF(BL54="Missed","Missed",IF(BL54="TBC","TBC",IF(BL54="Undefined","Undefined",_xlfn.XLOOKUP(DT$7,Design!$M$6:$BM$6,Design!$M$15:$BM$15)))))),0)</f>
        <v>4</v>
      </c>
      <c r="DU54" s="314">
        <f>IFERROR(IF(DU$7&gt;$D$3,"",IF(BM54="OD","OD",IF(BM54="Missed","Missed",IF(BM54="TBC","TBC",IF(BM54="Undefined","Undefined",_xlfn.XLOOKUP(DU$7,Design!$M$6:$BM$6,Design!$M$15:$BM$15)))))),0)</f>
        <v>4</v>
      </c>
      <c r="DV54" s="314">
        <f>IFERROR(IF(DV$7&gt;$D$3,"",IF(BN54="OD","OD",IF(BN54="Missed","Missed",IF(BN54="TBC","TBC",IF(BN54="Undefined","Undefined",_xlfn.XLOOKUP(DV$7,Design!$M$6:$BM$6,Design!$M$15:$BM$15)))))),0)</f>
        <v>2</v>
      </c>
      <c r="DW54" s="314">
        <f>IFERROR(IF(DW$7&gt;$D$3,"",IF(BO54="OD","OD",IF(BO54="Missed","Missed",IF(BO54="TBC","TBC",IF(BO54="Undefined","Undefined",_xlfn.XLOOKUP(DW$7,Design!$M$6:$BM$6,Design!$M$15:$BM$15)))))),0)</f>
        <v>4</v>
      </c>
      <c r="DX54" s="314">
        <f>IFERROR(IF(DX$7&gt;$D$3,"",IF(BP54="OD","OD",IF(BP54="Missed","Missed",IF(BP54="TBC","TBC",IF(BP54="Undefined","Undefined",_xlfn.XLOOKUP(DX$7,Design!$M$6:$BM$6,Design!$M$15:$BM$15)))))),0)</f>
        <v>1</v>
      </c>
      <c r="DY54" s="314">
        <f>IFERROR(IF(DY$7&gt;$D$3,"",IF(BQ54="OD","OD",IF(BQ54="Missed","Missed",IF(BQ54="TBC","TBC",IF(BQ54="Undefined","Undefined",_xlfn.XLOOKUP(DY$7,Design!$M$6:$BM$6,Design!$M$15:$BM$15)))))),0)</f>
        <v>3</v>
      </c>
      <c r="DZ54" s="314">
        <f>IFERROR(IF(DZ$7&gt;$D$3,"",IF(BR54="OD","OD",IF(BR54="Missed","Missed",IF(BR54="TBC","TBC",IF(BR54="Undefined","Undefined",_xlfn.XLOOKUP(DZ$7,Design!$M$6:$BM$6,Design!$M$15:$BM$15)))))),0)</f>
        <v>0</v>
      </c>
      <c r="EA54" s="314">
        <f>IFERROR(IF(EA$7&gt;$D$3,"",IF(BS54="OD","OD",IF(BS54="Missed","Missed",IF(BS54="TBC","TBC",IF(BS54="Undefined","Undefined",_xlfn.XLOOKUP(EA$7,Design!$M$6:$BM$6,Design!$M$15:$BM$15)))))),0)</f>
        <v>2</v>
      </c>
      <c r="EB54" s="314">
        <f>IFERROR(IF(EB$7&gt;$D$3,"",IF(BT54="OD","OD",IF(BT54="Missed","Missed",IF(BT54="TBC","TBC",IF(BT54="Undefined","Undefined",_xlfn.XLOOKUP(EB$7,Design!$M$6:$BM$6,Design!$M$15:$BM$15)))))),0)</f>
        <v>3</v>
      </c>
      <c r="EC54" s="314">
        <f>IFERROR(IF(EC$7&gt;$D$3,"",IF(BU54="OD","OD",IF(BU54="Missed","Missed",IF(BU54="TBC","TBC",IF(BU54="Undefined","Undefined",_xlfn.XLOOKUP(EC$7,Design!$M$6:$BM$6,Design!$M$15:$BM$15)))))),0)</f>
        <v>0</v>
      </c>
      <c r="ED54" s="314">
        <f>IFERROR(IF(ED$7&gt;$D$3,"",IF(BV54="OD","OD",IF(BV54="Missed","Missed",IF(BV54="TBC","TBC",IF(BV54="Undefined","Undefined",_xlfn.XLOOKUP(ED$7,Design!$M$6:$BM$6,Design!$M$15:$BM$15)))))),0)</f>
        <v>4</v>
      </c>
      <c r="EE54" s="314">
        <f>IFERROR(IF(EE$7&gt;$D$3,"",IF(BW54="OD","OD",IF(BW54="Missed","Missed",IF(BW54="TBC","TBC",IF(BW54="Undefined","Undefined",_xlfn.XLOOKUP(EE$7,Design!$M$6:$BM$6,Design!$M$15:$BM$15)))))),0)</f>
        <v>2</v>
      </c>
      <c r="EF54" s="314">
        <f>IFERROR(IF(EF$7&gt;$D$3,"",IF(BX54="OD","OD",IF(BX54="Missed","Missed",IF(BX54="TBC","TBC",IF(BX54="Undefined","Undefined",_xlfn.XLOOKUP(EF$7,Design!$M$6:$BM$6,Design!$M$15:$BM$15)))))),0)</f>
        <v>3</v>
      </c>
      <c r="EG54" s="314" t="str">
        <f>IFERROR(IF(EG$7&gt;$D$3,"",IF(BY54="OD","OD",IF(BY54="Missed","Missed",IF(BY54="TBC","TBC",IF(BY54="Undefined","Undefined",_xlfn.XLOOKUP(EG$7,Design!$M$6:$BM$6,Design!$M$15:$BM$15)))))),0)</f>
        <v>OD</v>
      </c>
      <c r="EH54" s="314" t="str">
        <f>IFERROR(IF(EH$7&gt;$D$3,"",IF(BZ54="OD","OD",IF(BZ54="Missed","Missed",IF(BZ54="TBC","TBC",IF(BZ54="Undefined","Undefined",_xlfn.XLOOKUP(EH$7,Design!$M$6:$BM$6,Design!$M$15:$BM$15)))))),0)</f>
        <v>OD</v>
      </c>
      <c r="EI54" s="314" t="str">
        <f>IFERROR(IF(EI$7&gt;$D$3,"",IF(CA54="OD","OD",IF(CA54="Missed","Missed",IF(CA54="TBC","TBC",IF(CA54="Undefined","Undefined",_xlfn.XLOOKUP(EI$7,Design!$M$6:$BM$6,Design!$M$15:$BM$15)))))),0)</f>
        <v>OD</v>
      </c>
      <c r="EJ54" s="314" t="str">
        <f>IFERROR(IF(EJ$7&gt;$D$3,"",IF(CB54="OD","OD",IF(CB54="Missed","Missed",IF(CB54="TBC","TBC",IF(CB54="Undefined","Undefined",_xlfn.XLOOKUP(EJ$7,Design!$M$6:$BM$6,Design!$M$15:$BM$15)))))),0)</f>
        <v>OD</v>
      </c>
      <c r="EK54" s="314" t="str">
        <f>IFERROR(IF(EK$7&gt;$D$3,"",IF(CC54="OD","OD",IF(CC54="Missed","Missed",IF(CC54="TBC","TBC",IF(CC54="Undefined","Undefined",_xlfn.XLOOKUP(EK$7,Design!$M$6:$BM$6,Design!$M$15:$BM$15)))))),0)</f>
        <v/>
      </c>
      <c r="EL54" s="314" t="str">
        <f>IFERROR(IF(EL$7&gt;$D$3,"",IF(CD54="OD","OD",IF(CD54="Missed","Missed",IF(CD54="TBC","TBC",IF(CD54="Undefined","Undefined",_xlfn.XLOOKUP(EL$7,Design!$M$6:$BM$6,Design!$M$15:$BM$15)))))),0)</f>
        <v/>
      </c>
      <c r="EM54" s="314" t="str">
        <f>IFERROR(IF(EM$7&gt;$D$3,"",IF(CE54="OD","OD",IF(CE54="Missed","Missed",IF(CE54="TBC","TBC",IF(CE54="Undefined","Undefined",_xlfn.XLOOKUP(EM$7,Design!$M$6:$BM$6,Design!$M$15:$BM$15)))))),0)</f>
        <v/>
      </c>
      <c r="EN54" s="314" t="str">
        <f>IFERROR(IF(EN$7&gt;$D$3,"",IF(CF54="OD","OD",IF(CF54="Missed","Missed",IF(CF54="TBC","TBC",IF(CF54="Undefined","Undefined",_xlfn.XLOOKUP(EN$7,Design!$M$6:$BM$6,Design!$M$15:$BM$15)))))),0)</f>
        <v/>
      </c>
      <c r="EO54" s="314" t="str">
        <f>IFERROR(IF(EO$7&gt;$D$3,"",IF(CG54="OD","OD",IF(CG54="Missed","Missed",IF(CG54="TBC","TBC",IF(CG54="Undefined","Undefined",_xlfn.XLOOKUP(EO$7,Design!$M$6:$BM$6,Design!$M$15:$BM$15)))))),0)</f>
        <v/>
      </c>
      <c r="EP54" s="314" t="str">
        <f>IFERROR(IF(EP$7&gt;$D$3,"",IF(CH54="OD","OD",IF(CH54="Missed","Missed",IF(CH54="TBC","TBC",IF(CH54="Undefined","Undefined",_xlfn.XLOOKUP(EP$7,Design!$M$6:$BM$6,Design!$M$15:$BM$15)))))),0)</f>
        <v/>
      </c>
      <c r="EQ54" s="314" t="str">
        <f>IFERROR(IF(EQ$7&gt;$D$3,"",IF(CI54="OD","OD",IF(CI54="Missed","Missed",IF(CI54="TBC","TBC",IF(CI54="Undefined","Undefined",_xlfn.XLOOKUP(EQ$7,Design!$M$6:$BM$6,Design!$M$15:$BM$15)))))),0)</f>
        <v/>
      </c>
      <c r="ER54" s="314" t="str">
        <f>IFERROR(IF(ER$7&gt;$D$3,"",IF(CJ54="OD","OD",IF(CJ54="Missed","Missed",IF(CJ54="TBC","TBC",IF(CJ54="Undefined","Undefined",_xlfn.XLOOKUP(ER$7,Design!$M$6:$BM$6,Design!$M$15:$BM$15)))))),0)</f>
        <v/>
      </c>
      <c r="ES54" s="314" t="str">
        <f>IFERROR(IF(ES$7&gt;$D$3,"",IF(CK54="OD","OD",IF(CK54="Missed","Missed",IF(CK54="TBC","TBC",IF(CK54="Undefined","Undefined",_xlfn.XLOOKUP(ES$7,Design!$M$6:$BM$6,Design!$M$15:$BM$15)))))),0)</f>
        <v/>
      </c>
      <c r="ET54" s="314" t="str">
        <f>IFERROR(IF(ET$7&gt;$D$3,"",IF(CL54="OD","OD",IF(CL54="Missed","Missed",IF(CL54="TBC","TBC",IF(CL54="Undefined","Undefined",_xlfn.XLOOKUP(ET$7,Design!$M$6:$BM$6,Design!$M$15:$BM$15)))))),0)</f>
        <v/>
      </c>
      <c r="EU54" s="314" t="str">
        <f>IFERROR(IF(EU$7&gt;$D$3,"",IF(CM54="OD","OD",IF(CM54="Missed","Missed",IF(CM54="TBC","TBC",IF(CM54="Undefined","Undefined",_xlfn.XLOOKUP(EU$7,Design!$M$6:$BM$6,Design!$M$15:$BM$15)))))),0)</f>
        <v/>
      </c>
      <c r="EW54" s="465" t="str">
        <f>+$A54</f>
        <v>Design-KPI Q1</v>
      </c>
      <c r="EX54" s="136" t="str">
        <f>+$C54</f>
        <v>KPI Q1</v>
      </c>
      <c r="EY54" s="144" t="str">
        <f>+$D54</f>
        <v>Quality</v>
      </c>
      <c r="EZ54" s="144" t="str">
        <f>+$E54</f>
        <v>Designs rejected (Internal)</v>
      </c>
      <c r="FA54" s="145" t="str">
        <f>+$F54</f>
        <v>Count</v>
      </c>
      <c r="FB54" s="145" t="s">
        <v>251</v>
      </c>
      <c r="FC54" s="226" t="str">
        <f>IF(FC$7&gt;$D$3,"",IF($FA51&lt;FC$7,"OD",_xlfn.XLOOKUP(FC$7,Design!$M$6:$BM$6,Design!$M$15:$BM$15)))</f>
        <v>Blank</v>
      </c>
      <c r="FD54" s="226">
        <f>IF(FD$7&gt;$D$3,"",IF($FA51&lt;FD$7,"OD",_xlfn.XLOOKUP(FD$7,Design!$M$6:$BM$6,Design!$M$15:$BM$15)))</f>
        <v>6</v>
      </c>
      <c r="FE54" s="226">
        <f>IF(FE$7&gt;$D$3,"",IF($FA51&lt;FE$7,"OD",_xlfn.XLOOKUP(FE$7,Design!$M$6:$BM$6,Design!$M$15:$BM$15)))</f>
        <v>3</v>
      </c>
      <c r="FF54" s="226">
        <f>IF(FF$7&gt;$D$3,"",IF($FA51&lt;FF$7,"OD",_xlfn.XLOOKUP(FF$7,Design!$M$6:$BM$6,Design!$M$15:$BM$15)))</f>
        <v>3</v>
      </c>
      <c r="FG54" s="226">
        <f>IF(FG$7&gt;$D$3,"",IF($FA51&lt;FG$7,"OD",_xlfn.XLOOKUP(FG$7,Design!$M$6:$BM$6,Design!$M$15:$BM$15)))</f>
        <v>5</v>
      </c>
      <c r="FH54" s="226">
        <f>IF(FH$7&gt;$D$3,"",IF($FA51&lt;FH$7,"OD",_xlfn.XLOOKUP(FH$7,Design!$M$6:$BM$6,Design!$M$15:$BM$15)))</f>
        <v>5</v>
      </c>
      <c r="FI54" s="226">
        <f>IF(FI$7&gt;$D$3,"",IF($FA51&lt;FI$7,"OD",_xlfn.XLOOKUP(FI$7,Design!$M$6:$BM$6,Design!$M$15:$BM$15)))</f>
        <v>3</v>
      </c>
      <c r="FJ54" s="226">
        <f>IF(FJ$7&gt;$D$3,"",IF($FA51&lt;FJ$7,"OD",_xlfn.XLOOKUP(FJ$7,Design!$M$6:$BM$6,Design!$M$15:$BM$15)))</f>
        <v>2</v>
      </c>
      <c r="FK54" s="226">
        <f>IF(FK$7&gt;$D$3,"",IF($FA51&lt;FK$7,"OD",_xlfn.XLOOKUP(FK$7,Design!$M$6:$BM$6,Design!$M$15:$BM$15)))</f>
        <v>4</v>
      </c>
      <c r="FL54" s="226">
        <f>IF(FL$7&gt;$D$3,"",IF($FA51&lt;FL$7,"OD",_xlfn.XLOOKUP(FL$7,Design!$M$6:$BM$6,Design!$M$15:$BM$15)))</f>
        <v>3</v>
      </c>
      <c r="FM54" s="226">
        <f>IF(FM$7&gt;$D$3,"",IF($FA51&lt;FM$7,"OD",_xlfn.XLOOKUP(FM$7,Design!$M$6:$BM$6,Design!$M$15:$BM$15)))</f>
        <v>2</v>
      </c>
      <c r="FN54" s="226">
        <f>IF(FN$7&gt;$D$3,"",IF($FA51&lt;FN$7,"OD",_xlfn.XLOOKUP(FN$7,Design!$M$6:$BM$6,Design!$M$15:$BM$15)))</f>
        <v>4</v>
      </c>
      <c r="FO54" s="226">
        <f>IF(FO$7&gt;$D$3,"",IF($FA51&lt;FO$7,"OD",_xlfn.XLOOKUP(FO$7,Design!$M$6:$BM$6,Design!$M$15:$BM$15)))</f>
        <v>3</v>
      </c>
      <c r="FP54" s="226">
        <f>IF(FP$7&gt;$D$3,"",IF($FA51&lt;FP$7,"OD",_xlfn.XLOOKUP(FP$7,Design!$M$6:$BM$6,Design!$M$15:$BM$15)))</f>
        <v>4</v>
      </c>
      <c r="FQ54" s="226">
        <f>IF(FQ$7&gt;$D$3,"",IF($FA51&lt;FQ$7,"OD",_xlfn.XLOOKUP(FQ$7,Design!$M$6:$BM$6,Design!$M$15:$BM$15)))</f>
        <v>5</v>
      </c>
      <c r="FR54" s="226">
        <f>IF(FR$7&gt;$D$3,"",IF($FA51&lt;FR$7,"OD",_xlfn.XLOOKUP(FR$7,Design!$M$6:$BM$6,Design!$M$15:$BM$15)))</f>
        <v>0</v>
      </c>
      <c r="FS54" s="226">
        <f>IF(FS$7&gt;$D$3,"",IF($FA51&lt;FS$7,"OD",_xlfn.XLOOKUP(FS$7,Design!$M$6:$BM$6,Design!$M$15:$BM$15)))</f>
        <v>2</v>
      </c>
      <c r="FT54" s="226">
        <f>IF(FT$7&gt;$D$3,"",IF($FA51&lt;FT$7,"OD",_xlfn.XLOOKUP(FT$7,Design!$M$6:$BM$6,Design!$M$15:$BM$15)))</f>
        <v>0</v>
      </c>
      <c r="FU54" s="226">
        <f>IF(FU$7&gt;$D$3,"",IF($FA51&lt;FU$7,"OD",_xlfn.XLOOKUP(FU$7,Design!$M$6:$BM$6,Design!$M$15:$BM$15)))</f>
        <v>0</v>
      </c>
      <c r="FV54" s="226">
        <f>IF(FV$7&gt;$D$3,"",IF($FA51&lt;FV$7,"OD",_xlfn.XLOOKUP(FV$7,Design!$M$6:$BM$6,Design!$M$15:$BM$15)))</f>
        <v>0</v>
      </c>
      <c r="FW54" s="226">
        <f>IF(FW$7&gt;$D$3,"",IF($FA51&lt;FW$7,"OD",_xlfn.XLOOKUP(FW$7,Design!$M$6:$BM$6,Design!$M$15:$BM$15)))</f>
        <v>2</v>
      </c>
      <c r="FX54" s="226">
        <f>IF(FX$7&gt;$D$3,"",IF($FA51&lt;FX$7,"OD",_xlfn.XLOOKUP(FX$7,Design!$M$6:$BM$6,Design!$M$15:$BM$15)))</f>
        <v>1</v>
      </c>
      <c r="FY54" s="226">
        <f>IF(FY$7&gt;$D$3,"",IF($FA51&lt;FY$7,"OD",_xlfn.XLOOKUP(FY$7,Design!$M$6:$BM$6,Design!$M$15:$BM$15)))</f>
        <v>0</v>
      </c>
      <c r="FZ54" s="226">
        <f>IF(FZ$7&gt;$D$3,"",IF($FA51&lt;FZ$7,"OD",_xlfn.XLOOKUP(FZ$7,Design!$M$6:$BM$6,Design!$M$15:$BM$15)))</f>
        <v>3</v>
      </c>
      <c r="GA54" s="226">
        <f>IF(GA$7&gt;$D$3,"",IF($FA51&lt;GA$7,"OD",_xlfn.XLOOKUP(GA$7,Design!$M$6:$BM$6,Design!$M$15:$BM$15)))</f>
        <v>2</v>
      </c>
      <c r="GB54" s="226">
        <f>IF(GB$7&gt;$D$3,"",IF($FA51&lt;GB$7,"OD",_xlfn.XLOOKUP(GB$7,Design!$M$6:$BM$6,Design!$M$15:$BM$15)))</f>
        <v>4</v>
      </c>
      <c r="GC54" s="226">
        <f>IF(GC$7&gt;$D$3,"",IF($FA51&lt;GC$7,"OD",_xlfn.XLOOKUP(GC$7,Design!$M$6:$BM$6,Design!$M$15:$BM$15)))</f>
        <v>4</v>
      </c>
      <c r="GD54" s="226">
        <f>IF(GD$7&gt;$D$3,"",IF($FA51&lt;GD$7,"OD",_xlfn.XLOOKUP(GD$7,Design!$M$6:$BM$6,Design!$M$15:$BM$15)))</f>
        <v>2</v>
      </c>
      <c r="GE54" s="226">
        <f>IF(GE$7&gt;$D$3,"",IF($FA51&lt;GE$7,"OD",_xlfn.XLOOKUP(GE$7,Design!$M$6:$BM$6,Design!$M$15:$BM$15)))</f>
        <v>4</v>
      </c>
      <c r="GF54" s="226">
        <f>IF(GF$7&gt;$D$3,"",IF($FA51&lt;GF$7,"OD",_xlfn.XLOOKUP(GF$7,Design!$M$6:$BM$6,Design!$M$15:$BM$15)))</f>
        <v>1</v>
      </c>
      <c r="GG54" s="226">
        <f>IF(GG$7&gt;$D$3,"",IF($FA51&lt;GG$7,"OD",_xlfn.XLOOKUP(GG$7,Design!$M$6:$BM$6,Design!$M$15:$BM$15)))</f>
        <v>3</v>
      </c>
      <c r="GH54" s="226">
        <f>IF(GH$7&gt;$D$3,"",IF($FA51&lt;GH$7,"OD",_xlfn.XLOOKUP(GH$7,Design!$M$6:$BM$6,Design!$M$15:$BM$15)))</f>
        <v>0</v>
      </c>
      <c r="GI54" s="226">
        <f>IF(GI$7&gt;$D$3,"",IF($FA51&lt;GI$7,"OD",_xlfn.XLOOKUP(GI$7,Design!$M$6:$BM$6,Design!$M$15:$BM$15)))</f>
        <v>2</v>
      </c>
      <c r="GJ54" s="226">
        <f>IF(GJ$7&gt;$D$3,"",IF($FA51&lt;GJ$7,"OD",_xlfn.XLOOKUP(GJ$7,Design!$M$6:$BM$6,Design!$M$15:$BM$15)))</f>
        <v>3</v>
      </c>
      <c r="GK54" s="226">
        <f>IF(GK$7&gt;$D$3,"",IF($FA51&lt;GK$7,"OD",_xlfn.XLOOKUP(GK$7,Design!$M$6:$BM$6,Design!$M$15:$BM$15)))</f>
        <v>0</v>
      </c>
      <c r="GL54" s="226">
        <f>IF(GL$7&gt;$D$3,"",IF($FA51&lt;GL$7,"OD",_xlfn.XLOOKUP(GL$7,Design!$M$6:$BM$6,Design!$M$15:$BM$15)))</f>
        <v>4</v>
      </c>
      <c r="GM54" s="226">
        <f>IF(GM$7&gt;$D$3,"",IF($FA51&lt;GM$7,"OD",_xlfn.XLOOKUP(GM$7,Design!$M$6:$BM$6,Design!$M$15:$BM$15)))</f>
        <v>2</v>
      </c>
      <c r="GN54" s="226">
        <f>IF(GN$7&gt;$D$3,"",IF($FA51&lt;GN$7,"OD",_xlfn.XLOOKUP(GN$7,Design!$M$6:$BM$6,Design!$M$15:$BM$15)))</f>
        <v>3</v>
      </c>
      <c r="GO54" s="226" t="str">
        <f>IF(GO$7&gt;$D$3,"",IF($FA51&lt;GO$7,"OD",_xlfn.XLOOKUP(GO$7,Design!$M$6:$BM$6,Design!$M$15:$BM$15)))</f>
        <v>OD</v>
      </c>
      <c r="GP54" s="226" t="str">
        <f>IF(GP$7&gt;$D$3,"",IF($FA51&lt;GP$7,"OD",_xlfn.XLOOKUP(GP$7,Design!$M$6:$BM$6,Design!$M$15:$BM$15)))</f>
        <v>OD</v>
      </c>
      <c r="GQ54" s="226" t="str">
        <f>IF(GQ$7&gt;$D$3,"",IF($FA51&lt;GQ$7,"OD",_xlfn.XLOOKUP(GQ$7,Design!$M$6:$BM$6,Design!$M$15:$BM$15)))</f>
        <v>OD</v>
      </c>
      <c r="GR54" s="226" t="str">
        <f>IF(GR$7&gt;$D$3,"",IF($FA51&lt;GR$7,"OD",_xlfn.XLOOKUP(GR$7,Design!$M$6:$BM$6,Design!$M$15:$BM$15)))</f>
        <v>OD</v>
      </c>
      <c r="GS54" s="226" t="str">
        <f>IF(GS$7&gt;$D$3,"",IF($FA51&lt;GS$7,"OD",_xlfn.XLOOKUP(GS$7,Design!$M$6:$BM$6,Design!$M$15:$BM$15)))</f>
        <v/>
      </c>
      <c r="GT54" s="226" t="str">
        <f>IF(GT$7&gt;$D$3,"",IF($FA51&lt;GT$7,"OD",_xlfn.XLOOKUP(GT$7,Design!$M$6:$BM$6,Design!$M$15:$BM$15)))</f>
        <v/>
      </c>
      <c r="GU54" s="226" t="str">
        <f>IF(GU$7&gt;$D$3,"",IF($FA51&lt;GU$7,"OD",_xlfn.XLOOKUP(GU$7,Design!$M$6:$BM$6,Design!$M$15:$BM$15)))</f>
        <v/>
      </c>
      <c r="GV54" s="226" t="str">
        <f>IF(GV$7&gt;$D$3,"",IF($FA51&lt;GV$7,"OD",_xlfn.XLOOKUP(GV$7,Design!$M$6:$BM$6,Design!$M$15:$BM$15)))</f>
        <v/>
      </c>
      <c r="GW54" s="226" t="str">
        <f>IF(GW$7&gt;$D$3,"",IF($FA51&lt;GW$7,"OD",_xlfn.XLOOKUP(GW$7,Design!$M$6:$BM$6,Design!$M$15:$BM$15)))</f>
        <v/>
      </c>
      <c r="GX54" s="226" t="str">
        <f>IF(GX$7&gt;$D$3,"",IF($FA51&lt;GX$7,"OD",_xlfn.XLOOKUP(GX$7,Design!$M$6:$BM$6,Design!$M$15:$BM$15)))</f>
        <v/>
      </c>
      <c r="GY54" s="226" t="str">
        <f>IF(GY$7&gt;$D$3,"",IF($FA51&lt;GY$7,"OD",_xlfn.XLOOKUP(GY$7,Design!$M$6:$BM$6,Design!$M$15:$BM$15)))</f>
        <v/>
      </c>
      <c r="GZ54" s="226" t="str">
        <f>IF(GZ$7&gt;$D$3,"",IF($FA51&lt;GZ$7,"OD",_xlfn.XLOOKUP(GZ$7,Design!$M$6:$BM$6,Design!$M$15:$BM$15)))</f>
        <v/>
      </c>
      <c r="HA54" s="226" t="str">
        <f>IF(HA$7&gt;$D$3,"",IF($FA51&lt;HA$7,"OD",_xlfn.XLOOKUP(HA$7,Design!$M$6:$BM$6,Design!$M$15:$BM$15)))</f>
        <v/>
      </c>
      <c r="HB54" s="226" t="str">
        <f>IF(HB$7&gt;$D$3,"",IF($FA51&lt;HB$7,"OD",_xlfn.XLOOKUP(HB$7,Design!$M$6:$BM$6,Design!$M$15:$BM$15)))</f>
        <v/>
      </c>
      <c r="HC54" s="226" t="str">
        <f>IF(HC$7&gt;$D$3,"",IF($FA51&lt;HC$7,"OD",_xlfn.XLOOKUP(HC$7,Design!$M$6:$BM$6,Design!$M$15:$BM$15)))</f>
        <v/>
      </c>
      <c r="HE54" s="136" t="str">
        <f>+$C54</f>
        <v>KPI Q1</v>
      </c>
      <c r="HF54" s="144" t="str">
        <f>+$D54</f>
        <v>Quality</v>
      </c>
      <c r="HG54" s="144" t="str">
        <f>+$E54</f>
        <v>Designs rejected (Internal)</v>
      </c>
      <c r="HH54" s="145" t="str">
        <f>+$F54</f>
        <v>Count</v>
      </c>
      <c r="HI54" s="145" t="s">
        <v>44</v>
      </c>
      <c r="HJ54" s="226" t="s">
        <v>122</v>
      </c>
      <c r="HK54" s="226">
        <f>IF(HK$7&gt;$D$3,"",IF($FA51&lt;HK$7,"OD",_xlfn.XLOOKUP(HK$7,Design!$M$6:$BM$6,Design!$M$14:$BM$14)))</f>
        <v>0</v>
      </c>
      <c r="HL54" s="226">
        <f>IF(HL$7&gt;$D$3,"",IF($FA51&lt;HL$7,"OD",_xlfn.XLOOKUP(HL$7,Design!$M$6:$BM$6,Design!$M$14:$BM$14)))</f>
        <v>0</v>
      </c>
      <c r="HM54" s="226">
        <f>IF(HM$7&gt;$D$3,"",IF($FA51&lt;HM$7,"OD",_xlfn.XLOOKUP(HM$7,Design!$M$6:$BM$6,Design!$M$14:$BM$14)))</f>
        <v>0</v>
      </c>
      <c r="HN54" s="226">
        <f>IF(HN$7&gt;$D$3,"",IF($FA51&lt;HN$7,"OD",_xlfn.XLOOKUP(HN$7,Design!$M$6:$BM$6,Design!$M$14:$BM$14)))</f>
        <v>0</v>
      </c>
      <c r="HO54" s="226">
        <f>IF(HO$7&gt;$D$3,"",IF($FA51&lt;HO$7,"OD",_xlfn.XLOOKUP(HO$7,Design!$M$6:$BM$6,Design!$M$14:$BM$14)))</f>
        <v>0</v>
      </c>
      <c r="HP54" s="226">
        <f>IF(HP$7&gt;$D$3,"",IF($FA51&lt;HP$7,"OD",_xlfn.XLOOKUP(HP$7,Design!$M$6:$BM$6,Design!$M$14:$BM$14)))</f>
        <v>0</v>
      </c>
      <c r="HQ54" s="226">
        <f>IF(HQ$7&gt;$D$3,"",IF($FA51&lt;HQ$7,"OD",_xlfn.XLOOKUP(HQ$7,Design!$M$6:$BM$6,Design!$M$14:$BM$14)))</f>
        <v>0</v>
      </c>
      <c r="HR54" s="226">
        <f>IF(HR$7&gt;$D$3,"",IF($FA51&lt;HR$7,"OD",_xlfn.XLOOKUP(HR$7,Design!$M$6:$BM$6,Design!$M$14:$BM$14)))</f>
        <v>0</v>
      </c>
      <c r="HS54" s="226">
        <f>IF(HS$7&gt;$D$3,"",IF($FA51&lt;HS$7,"OD",_xlfn.XLOOKUP(HS$7,Design!$M$6:$BM$6,Design!$M$14:$BM$14)))</f>
        <v>0</v>
      </c>
      <c r="HT54" s="226">
        <f>IF(HT$7&gt;$D$3,"",IF($FA51&lt;HT$7,"OD",_xlfn.XLOOKUP(HT$7,Design!$M$6:$BM$6,Design!$M$14:$BM$14)))</f>
        <v>0</v>
      </c>
      <c r="HU54" s="226">
        <f>IF(HU$7&gt;$D$3,"",IF($FA51&lt;HU$7,"OD",_xlfn.XLOOKUP(HU$7,Design!$M$6:$BM$6,Design!$M$14:$BM$14)))</f>
        <v>0</v>
      </c>
      <c r="HV54" s="226">
        <f>IF(HV$7&gt;$D$3,"",IF($FA51&lt;HV$7,"OD",_xlfn.XLOOKUP(HV$7,Design!$M$6:$BM$6,Design!$M$14:$BM$14)))</f>
        <v>0</v>
      </c>
      <c r="HW54" s="226">
        <f>IF(HW$7&gt;$D$3,"",IF($FA51&lt;HW$7,"OD",_xlfn.XLOOKUP(HW$7,Design!$M$6:$BM$6,Design!$M$14:$BM$14)))</f>
        <v>0</v>
      </c>
      <c r="HX54" s="226">
        <f>IF(HX$7&gt;$D$3,"",IF($FA51&lt;HX$7,"OD",_xlfn.XLOOKUP(HX$7,Design!$M$6:$BM$6,Design!$M$14:$BM$14)))</f>
        <v>0</v>
      </c>
      <c r="HY54" s="226">
        <f>IF(HY$7&gt;$D$3,"",IF($FA51&lt;HY$7,"OD",_xlfn.XLOOKUP(HY$7,Design!$M$6:$BM$6,Design!$M$14:$BM$14)))</f>
        <v>0</v>
      </c>
      <c r="HZ54" s="226">
        <f>IF(HZ$7&gt;$D$3,"",IF($FA51&lt;HZ$7,"OD",_xlfn.XLOOKUP(HZ$7,Design!$M$6:$BM$6,Design!$M$14:$BM$14)))</f>
        <v>0</v>
      </c>
      <c r="IA54" s="226">
        <f>IF(IA$7&gt;$D$3,"",IF($FA51&lt;IA$7,"OD",_xlfn.XLOOKUP(IA$7,Design!$M$6:$BM$6,Design!$M$14:$BM$14)))</f>
        <v>0</v>
      </c>
      <c r="IB54" s="226">
        <f>IF(IB$7&gt;$D$3,"",IF($FA51&lt;IB$7,"OD",_xlfn.XLOOKUP(IB$7,Design!$M$6:$BM$6,Design!$M$14:$BM$14)))</f>
        <v>0</v>
      </c>
      <c r="IC54" s="226">
        <f>IF(IC$7&gt;$D$3,"",IF($FA51&lt;IC$7,"OD",_xlfn.XLOOKUP(IC$7,Design!$M$6:$BM$6,Design!$M$14:$BM$14)))</f>
        <v>0</v>
      </c>
      <c r="ID54" s="226">
        <f>IF(ID$7&gt;$D$3,"",IF($FA51&lt;ID$7,"OD",_xlfn.XLOOKUP(ID$7,Design!$M$6:$BM$6,Design!$M$14:$BM$14)))</f>
        <v>0</v>
      </c>
      <c r="IE54" s="226">
        <f>IF(IE$7&gt;$D$3,"",IF($FA51&lt;IE$7,"OD",_xlfn.XLOOKUP(IE$7,Design!$M$6:$BM$6,Design!$M$14:$BM$14)))</f>
        <v>0</v>
      </c>
      <c r="IF54" s="226">
        <f>IF(IF$7&gt;$D$3,"",IF($FA51&lt;IF$7,"OD",_xlfn.XLOOKUP(IF$7,Design!$M$6:$BM$6,Design!$M$14:$BM$14)))</f>
        <v>0</v>
      </c>
      <c r="IG54" s="226">
        <f>IF(IG$7&gt;$D$3,"",IF($FA51&lt;IG$7,"OD",_xlfn.XLOOKUP(IG$7,Design!$M$6:$BM$6,Design!$M$14:$BM$14)))</f>
        <v>0</v>
      </c>
      <c r="IH54" s="226">
        <f>IF(IH$7&gt;$D$3,"",IF($FA51&lt;IH$7,"OD",_xlfn.XLOOKUP(IH$7,Design!$M$6:$BM$6,Design!$M$14:$BM$14)))</f>
        <v>0</v>
      </c>
      <c r="II54" s="226">
        <f>IF(II$7&gt;$D$3,"",IF($FA51&lt;II$7,"OD",_xlfn.XLOOKUP(II$7,Design!$M$6:$BM$6,Design!$M$14:$BM$14)))</f>
        <v>0</v>
      </c>
      <c r="IJ54" s="226">
        <f>IF(IJ$7&gt;$D$3,"",IF($FA51&lt;IJ$7,"OD",_xlfn.XLOOKUP(IJ$7,Design!$M$6:$BM$6,Design!$M$14:$BM$14)))</f>
        <v>0</v>
      </c>
      <c r="IK54" s="226">
        <f>IF(IK$7&gt;$D$3,"",IF($FA51&lt;IK$7,"OD",_xlfn.XLOOKUP(IK$7,Design!$M$6:$BM$6,Design!$M$14:$BM$14)))</f>
        <v>0</v>
      </c>
      <c r="IL54" s="226">
        <f>IF(IL$7&gt;$D$3,"",IF($FA51&lt;IL$7,"OD",_xlfn.XLOOKUP(IL$7,Design!$M$6:$BM$6,Design!$M$14:$BM$14)))</f>
        <v>0</v>
      </c>
      <c r="IM54" s="226">
        <f>IF(IM$7&gt;$D$3,"",IF($FA51&lt;IM$7,"OD",_xlfn.XLOOKUP(IM$7,Design!$M$6:$BM$6,Design!$M$14:$BM$14)))</f>
        <v>0</v>
      </c>
      <c r="IN54" s="226">
        <f>IF(IN$7&gt;$D$3,"",IF($FA51&lt;IN$7,"OD",_xlfn.XLOOKUP(IN$7,Design!$M$6:$BM$6,Design!$M$14:$BM$14)))</f>
        <v>0</v>
      </c>
      <c r="IO54" s="226">
        <f>IF(IO$7&gt;$D$3,"",IF($FA51&lt;IO$7,"OD",_xlfn.XLOOKUP(IO$7,Design!$M$6:$BM$6,Design!$M$14:$BM$14)))</f>
        <v>0</v>
      </c>
      <c r="IP54" s="226">
        <f>IF(IP$7&gt;$D$3,"",IF($FA51&lt;IP$7,"OD",_xlfn.XLOOKUP(IP$7,Design!$M$6:$BM$6,Design!$M$14:$BM$14)))</f>
        <v>0</v>
      </c>
      <c r="IQ54" s="226">
        <f>IF(IQ$7&gt;$D$3,"",IF($FA51&lt;IQ$7,"OD",_xlfn.XLOOKUP(IQ$7,Design!$M$6:$BM$6,Design!$M$14:$BM$14)))</f>
        <v>0</v>
      </c>
      <c r="IR54" s="226">
        <f>IF(IR$7&gt;$D$3,"",IF($FA51&lt;IR$7,"OD",_xlfn.XLOOKUP(IR$7,Design!$M$6:$BM$6,Design!$M$14:$BM$14)))</f>
        <v>0</v>
      </c>
      <c r="IS54" s="226">
        <f>IF(IS$7&gt;$D$3,"",IF($FA51&lt;IS$7,"OD",_xlfn.XLOOKUP(IS$7,Design!$M$6:$BM$6,Design!$M$14:$BM$14)))</f>
        <v>0</v>
      </c>
      <c r="IT54" s="226">
        <f>IF(IT$7&gt;$D$3,"",IF($FA51&lt;IT$7,"OD",_xlfn.XLOOKUP(IT$7,Design!$M$6:$BM$6,Design!$M$14:$BM$14)))</f>
        <v>0</v>
      </c>
      <c r="IU54" s="226">
        <f>IF(IU$7&gt;$D$3,"",IF($FA51&lt;IU$7,"OD",_xlfn.XLOOKUP(IU$7,Design!$M$6:$BM$6,Design!$M$14:$BM$14)))</f>
        <v>0</v>
      </c>
      <c r="IV54" s="226">
        <f>IF(IV$7&gt;$D$3,"",IF($FA51&lt;IV$7,"OD",_xlfn.XLOOKUP(IV$7,Design!$M$6:$BM$6,Design!$M$14:$BM$14)))</f>
        <v>0</v>
      </c>
      <c r="IW54" s="226">
        <f>IF(IW$7&gt;$D$3,"",IF($FA51&lt;IW$7,"OD",_xlfn.XLOOKUP(IW$7,Design!$M$6:$BM$6,Design!$M$14:$BM$14)))</f>
        <v>0</v>
      </c>
      <c r="IX54" s="226">
        <f>IF(IX$7&gt;$D$3,"",IF($FA51&lt;IX$7,"OD",_xlfn.XLOOKUP(IX$7,Design!$M$6:$BM$6,Design!$M$14:$BM$14)))</f>
        <v>0</v>
      </c>
      <c r="IY54" s="226">
        <f>IF(IY$7&gt;$D$3,"",IF($FA51&lt;IY$7,"OD",_xlfn.XLOOKUP(IY$7,Design!$M$6:$BM$6,Design!$M$14:$BM$14)))</f>
        <v>0</v>
      </c>
      <c r="IZ54" s="226" t="str">
        <f>IF(IZ$7&gt;$D$3,"",IF($FA51&lt;IZ$7,"OD",_xlfn.XLOOKUP(IZ$7,Design!$M$6:$BM$6,Design!$M$14:$BM$14)))</f>
        <v/>
      </c>
      <c r="JA54" s="226" t="str">
        <f>IF(JA$7&gt;$D$3,"",IF($FA51&lt;JA$7,"OD",_xlfn.XLOOKUP(JA$7,Design!$M$6:$BM$6,Design!$M$14:$BM$14)))</f>
        <v/>
      </c>
      <c r="JB54" s="226" t="str">
        <f>IF(JB$7&gt;$D$3,"",IF($FA51&lt;JB$7,"OD",_xlfn.XLOOKUP(JB$7,Design!$M$6:$BM$6,Design!$M$14:$BM$14)))</f>
        <v/>
      </c>
      <c r="JC54" s="226" t="str">
        <f>IF(JC$7&gt;$D$3,"",IF($FA51&lt;JC$7,"OD",_xlfn.XLOOKUP(JC$7,Design!$M$6:$BM$6,Design!$M$14:$BM$14)))</f>
        <v/>
      </c>
      <c r="JD54" s="226" t="str">
        <f>IF(JD$7&gt;$D$3,"",IF($FA51&lt;JD$7,"OD",_xlfn.XLOOKUP(JD$7,Design!$M$6:$BM$6,Design!$M$14:$BM$14)))</f>
        <v/>
      </c>
      <c r="JE54" s="226" t="str">
        <f>IF(JE$7&gt;$D$3,"",IF($FA51&lt;JE$7,"OD",_xlfn.XLOOKUP(JE$7,Design!$M$6:$BM$6,Design!$M$14:$BM$14)))</f>
        <v/>
      </c>
      <c r="JF54" s="226" t="str">
        <f>IF(JF$7&gt;$D$3,"",IF($FA51&lt;JF$7,"OD",_xlfn.XLOOKUP(JF$7,Design!$M$6:$BM$6,Design!$M$14:$BM$14)))</f>
        <v/>
      </c>
      <c r="JG54" s="226" t="str">
        <f>IF(JG$7&gt;$D$3,"",IF($FA51&lt;JG$7,"OD",_xlfn.XLOOKUP(JG$7,Design!$M$6:$BM$6,Design!$M$14:$BM$14)))</f>
        <v/>
      </c>
      <c r="JH54" s="226" t="str">
        <f>IF(JH$7&gt;$D$3,"",IF($FA51&lt;JH$7,"OD",_xlfn.XLOOKUP(JH$7,Design!$M$6:$BM$6,Design!$M$14:$BM$14)))</f>
        <v/>
      </c>
      <c r="JI54" s="226" t="str">
        <f>IF(JI$7&gt;$D$3,"",IF($FA51&lt;JI$7,"OD",_xlfn.XLOOKUP(JI$7,Design!$M$6:$BM$6,Design!$M$14:$BM$14)))</f>
        <v/>
      </c>
      <c r="JJ54" s="226" t="str">
        <f>IF(JJ$7&gt;$D$3,"",IF($FA51&lt;JJ$7,"OD",_xlfn.XLOOKUP(JJ$7,Design!$M$6:$BM$6,Design!$M$14:$BM$14)))</f>
        <v/>
      </c>
      <c r="JM54" s="136" t="str">
        <f>+$C54</f>
        <v>KPI Q1</v>
      </c>
      <c r="JN54" s="144" t="str">
        <f>+$D54</f>
        <v>Quality</v>
      </c>
      <c r="JO54" s="144" t="str">
        <f>+$E54</f>
        <v>Designs rejected (Internal)</v>
      </c>
      <c r="JP54" s="145" t="str">
        <f>+$F54</f>
        <v>Count</v>
      </c>
      <c r="JQ54" s="145" t="s">
        <v>284</v>
      </c>
      <c r="JR54" s="226" t="str">
        <f>IFERROR(AVERAGE(FC54:$FC54),"")</f>
        <v/>
      </c>
      <c r="JS54" s="226">
        <f>IFERROR(AVERAGE($FC54:FD54),"")</f>
        <v>6</v>
      </c>
      <c r="JT54" s="226">
        <f>IFERROR(AVERAGE($FC54:FE54),"")</f>
        <v>4.5</v>
      </c>
      <c r="JU54" s="226">
        <f>IFERROR(AVERAGE($FC54:FF54),"")</f>
        <v>4</v>
      </c>
      <c r="JV54" s="226">
        <f>IFERROR(AVERAGE($FC54:FG54),"")</f>
        <v>4.25</v>
      </c>
      <c r="JW54" s="226">
        <f>IFERROR(AVERAGE($FC54:FH54),"")</f>
        <v>4.4000000000000004</v>
      </c>
      <c r="JX54" s="226">
        <f>IFERROR(AVERAGE($FC54:FI54),"")</f>
        <v>4.166666666666667</v>
      </c>
      <c r="JY54" s="226">
        <f>IFERROR(AVERAGE($FC54:FJ54),"")</f>
        <v>3.8571428571428572</v>
      </c>
      <c r="JZ54" s="226">
        <f>IFERROR(AVERAGE($FC54:FK54),"")</f>
        <v>3.875</v>
      </c>
      <c r="KA54" s="226">
        <f>IFERROR(AVERAGE($FC54:FL54),"")</f>
        <v>3.7777777777777777</v>
      </c>
      <c r="KB54" s="226">
        <f>IFERROR(AVERAGE($FC54:FM54),"")</f>
        <v>3.6</v>
      </c>
      <c r="KC54" s="226">
        <f>IFERROR(AVERAGE($FC54:FN54),"")</f>
        <v>3.6363636363636362</v>
      </c>
      <c r="KD54" s="226">
        <f>IFERROR(AVERAGE($FC54:FO54),"")</f>
        <v>3.5833333333333335</v>
      </c>
      <c r="KE54" s="226">
        <f>IFERROR(AVERAGE($FC54:FP54),"")</f>
        <v>3.6153846153846154</v>
      </c>
      <c r="KF54" s="226">
        <f>IFERROR(AVERAGE($FC54:FQ54),"")</f>
        <v>3.7142857142857144</v>
      </c>
      <c r="KG54" s="226">
        <f>IFERROR(AVERAGE($FC54:FR54),"")</f>
        <v>3.4666666666666668</v>
      </c>
      <c r="KH54" s="226">
        <f>IFERROR(AVERAGE($FC54:FS54),"")</f>
        <v>3.375</v>
      </c>
      <c r="KI54" s="226">
        <f>IFERROR(AVERAGE($FC54:FT54),"")</f>
        <v>3.1764705882352939</v>
      </c>
      <c r="KJ54" s="226">
        <f>IFERROR(AVERAGE($FC54:FU54),"")</f>
        <v>3</v>
      </c>
      <c r="KK54" s="226">
        <f>IFERROR(AVERAGE($FC54:FV54),"")</f>
        <v>2.8421052631578947</v>
      </c>
      <c r="KL54" s="226">
        <f>IFERROR(AVERAGE($FC54:FW54),"")</f>
        <v>2.8</v>
      </c>
      <c r="KM54" s="226">
        <f>IFERROR(AVERAGE($FC54:FX54),"")</f>
        <v>2.7142857142857144</v>
      </c>
      <c r="KN54" s="226">
        <f>IFERROR(AVERAGE($FC54:FY54),"")</f>
        <v>2.5909090909090908</v>
      </c>
      <c r="KO54" s="226">
        <f>IFERROR(AVERAGE($FC54:FZ54),"")</f>
        <v>2.6086956521739131</v>
      </c>
      <c r="KP54" s="226">
        <f>IFERROR(AVERAGE($FC54:GA54),"")</f>
        <v>2.5833333333333335</v>
      </c>
      <c r="KQ54" s="226">
        <f>IFERROR(AVERAGE($FC54:GB54),"")</f>
        <v>2.64</v>
      </c>
      <c r="KR54" s="226">
        <f>IFERROR(AVERAGE($FC54:GC54),"")</f>
        <v>2.6923076923076925</v>
      </c>
      <c r="KS54" s="226">
        <f>IFERROR(AVERAGE($FC54:GD54),"")</f>
        <v>2.6666666666666665</v>
      </c>
      <c r="KT54" s="226">
        <f>IFERROR(AVERAGE($FC54:GE54),"")</f>
        <v>2.7142857142857144</v>
      </c>
      <c r="KU54" s="226">
        <f>IFERROR(AVERAGE($FC54:GF54),"")</f>
        <v>2.6551724137931036</v>
      </c>
      <c r="KV54" s="226">
        <f>IFERROR(AVERAGE($FC54:GG54),"")</f>
        <v>2.6666666666666665</v>
      </c>
      <c r="KW54" s="226">
        <f>IFERROR(AVERAGE($FC54:GH54),"")</f>
        <v>2.5806451612903225</v>
      </c>
      <c r="KX54" s="226">
        <f>IFERROR(AVERAGE($FC54:GI54),"")</f>
        <v>2.5625</v>
      </c>
      <c r="KY54" s="226">
        <f>IFERROR(AVERAGE($FC54:GJ54),"")</f>
        <v>2.5757575757575757</v>
      </c>
      <c r="KZ54" s="226">
        <f>IFERROR(AVERAGE($FC54:GK54),"")</f>
        <v>2.5</v>
      </c>
      <c r="LA54" s="226">
        <f>IFERROR(AVERAGE($FC54:GL54),"")</f>
        <v>2.5428571428571427</v>
      </c>
      <c r="LB54" s="226">
        <f>IFERROR(AVERAGE($FC54:GM54),"")</f>
        <v>2.5277777777777777</v>
      </c>
      <c r="LC54" s="226">
        <f>IFERROR(AVERAGE($FC54:GN54),"")</f>
        <v>2.5405405405405403</v>
      </c>
      <c r="LD54" s="226">
        <f>IFERROR(AVERAGE($FC54:GO54),"")</f>
        <v>2.5405405405405403</v>
      </c>
      <c r="LE54" s="226">
        <f>IFERROR(AVERAGE($FC54:GP54),"")</f>
        <v>2.5405405405405403</v>
      </c>
      <c r="LF54" s="226">
        <f>IFERROR(AVERAGE($FC54:GQ54),"")</f>
        <v>2.5405405405405403</v>
      </c>
      <c r="LG54" s="226">
        <f>IFERROR(AVERAGE($FC54:GR54),"")</f>
        <v>2.5405405405405403</v>
      </c>
      <c r="LH54" s="226">
        <f>IFERROR(AVERAGE($FC54:GS54),"")</f>
        <v>2.5405405405405403</v>
      </c>
      <c r="LI54" s="226">
        <f>IFERROR(AVERAGE($FC54:GT54),"")</f>
        <v>2.5405405405405403</v>
      </c>
      <c r="LJ54" s="226">
        <f>IFERROR(AVERAGE($FC54:GU54),"")</f>
        <v>2.5405405405405403</v>
      </c>
      <c r="LK54" s="226">
        <f>IFERROR(AVERAGE($FC54:GV54),"")</f>
        <v>2.5405405405405403</v>
      </c>
      <c r="LL54" s="226">
        <f>IFERROR(AVERAGE($FC54:GW54),"")</f>
        <v>2.5405405405405403</v>
      </c>
      <c r="LM54" s="226">
        <f>IFERROR(AVERAGE($FC54:GX54),"")</f>
        <v>2.5405405405405403</v>
      </c>
      <c r="LN54" s="226">
        <f>IFERROR(AVERAGE($FC54:GY54),"")</f>
        <v>2.5405405405405403</v>
      </c>
      <c r="LO54" s="226">
        <f>IFERROR(AVERAGE($FC54:GZ54),"")</f>
        <v>2.5405405405405403</v>
      </c>
      <c r="LP54" s="226">
        <f>IFERROR(AVERAGE($FC54:HA54),"")</f>
        <v>2.5405405405405403</v>
      </c>
      <c r="LQ54" s="226">
        <f>IFERROR(AVERAGE($FC54:HB54),"")</f>
        <v>2.5405405405405403</v>
      </c>
      <c r="LR54" s="226">
        <f>IFERROR(AVERAGE($FC54:HC54),"")</f>
        <v>2.5405405405405403</v>
      </c>
      <c r="LT54" s="136" t="str">
        <f>+$C54</f>
        <v>KPI Q1</v>
      </c>
      <c r="LU54" s="144" t="str">
        <f>+$D54</f>
        <v>Quality</v>
      </c>
      <c r="LV54" s="144" t="str">
        <f>+$E54</f>
        <v>Designs rejected (Internal)</v>
      </c>
      <c r="LW54" s="145" t="str">
        <f>+$F54</f>
        <v>Count</v>
      </c>
      <c r="LX54" s="145" t="s">
        <v>285</v>
      </c>
      <c r="LY54" s="226" t="str">
        <f>IFERROR(AVERAGE($HJ54:HJ54),"")</f>
        <v/>
      </c>
      <c r="LZ54" s="226">
        <f>IFERROR(IF(LAD$7&gt;$D$3,"",AVERAGE($HJ54:HK54)),"")</f>
        <v>0</v>
      </c>
      <c r="MA54" s="226">
        <f>IFERROR(IF(MA$7&gt;$D$3,"",AVERAGE($HJ54:HL54)),"")</f>
        <v>0</v>
      </c>
      <c r="MB54" s="226">
        <f>IFERROR(IF(MB$7&gt;$D$3,"",AVERAGE($HJ54:HM54)),"")</f>
        <v>0</v>
      </c>
      <c r="MC54" s="226">
        <f>IFERROR(IF(MC$7&gt;$D$3,"",AVERAGE($HJ54:HN54)),"")</f>
        <v>0</v>
      </c>
      <c r="MD54" s="226">
        <f>IFERROR(IF(MD$7&gt;$D$3,"",AVERAGE($HJ54:HO54)),"")</f>
        <v>0</v>
      </c>
      <c r="ME54" s="226">
        <f>IFERROR(IF(ME$7&gt;$D$3,"",AVERAGE($HJ54:HP54)),"")</f>
        <v>0</v>
      </c>
      <c r="MF54" s="226">
        <f>IFERROR(IF(MF$7&gt;$D$3,"",AVERAGE($HJ54:HQ54)),"")</f>
        <v>0</v>
      </c>
      <c r="MG54" s="226">
        <f>IFERROR(IF(MG$7&gt;$D$3,"",AVERAGE($HJ54:HR54)),"")</f>
        <v>0</v>
      </c>
      <c r="MH54" s="226">
        <f>IFERROR(IF(MH$7&gt;$D$3,"",AVERAGE($HJ54:HS54)),"")</f>
        <v>0</v>
      </c>
      <c r="MI54" s="226">
        <f>IFERROR(IF(MI$7&gt;$D$3,"",AVERAGE($HJ54:HT54)),"")</f>
        <v>0</v>
      </c>
      <c r="MJ54" s="226">
        <f>IFERROR(IF(MJ$7&gt;$D$3,"",AVERAGE($HJ54:HU54)),"")</f>
        <v>0</v>
      </c>
      <c r="MK54" s="226">
        <f>IFERROR(IF(MK$7&gt;$D$3,"",AVERAGE($HJ54:HV54)),"")</f>
        <v>0</v>
      </c>
      <c r="ML54" s="226">
        <f>IFERROR(IF(ML$7&gt;$D$3,"",AVERAGE($HJ54:HW54)),"")</f>
        <v>0</v>
      </c>
      <c r="MM54" s="226">
        <f>IFERROR(IF(MM$7&gt;$D$3,"",AVERAGE($HJ54:HX54)),"")</f>
        <v>0</v>
      </c>
      <c r="MN54" s="226">
        <f>IFERROR(IF(MN$7&gt;$D$3,"",AVERAGE($HJ54:HY54)),"")</f>
        <v>0</v>
      </c>
      <c r="MO54" s="226">
        <f>IFERROR(IF(MO$7&gt;$D$3,"",AVERAGE($HJ54:HZ54)),"")</f>
        <v>0</v>
      </c>
      <c r="MP54" s="226">
        <f>IFERROR(IF(MP$7&gt;$D$3,"",AVERAGE($HJ54:IA54)),"")</f>
        <v>0</v>
      </c>
      <c r="MQ54" s="226">
        <f>IFERROR(IF(MQ$7&gt;$D$3,"",AVERAGE($HJ54:IB54)),"")</f>
        <v>0</v>
      </c>
      <c r="MR54" s="226">
        <f>IFERROR(IF(MR$7&gt;$D$3,"",AVERAGE($HJ54:IC54)),"")</f>
        <v>0</v>
      </c>
      <c r="MS54" s="226">
        <f>IFERROR(IF(MS$7&gt;$D$3,"",AVERAGE($HJ54:ID54)),"")</f>
        <v>0</v>
      </c>
      <c r="MT54" s="226">
        <f>IFERROR(IF(MT$7&gt;$D$3,"",AVERAGE($HJ54:IE54)),"")</f>
        <v>0</v>
      </c>
      <c r="MU54" s="226">
        <f>IFERROR(IF(MU$7&gt;$D$3,"",AVERAGE($HJ54:IF54)),"")</f>
        <v>0</v>
      </c>
      <c r="MV54" s="226">
        <f>IFERROR(IF(MV$7&gt;$D$3,"",AVERAGE($HJ54:IG54)),"")</f>
        <v>0</v>
      </c>
      <c r="MW54" s="226">
        <f>IFERROR(IF(MW$7&gt;$D$3,"",AVERAGE($HJ54:IH54)),"")</f>
        <v>0</v>
      </c>
      <c r="MX54" s="226">
        <f>IFERROR(IF(MX$7&gt;$D$3,"",AVERAGE($HJ54:II54)),"")</f>
        <v>0</v>
      </c>
      <c r="MY54" s="226">
        <f>IFERROR(IF(MY$7&gt;$D$3,"",AVERAGE($HJ54:IJ54)),"")</f>
        <v>0</v>
      </c>
      <c r="MZ54" s="226">
        <f>IFERROR(IF(MZ$7&gt;$D$3,"",AVERAGE($HJ54:IK54)),"")</f>
        <v>0</v>
      </c>
      <c r="NA54" s="226">
        <f>IFERROR(IF(NA$7&gt;$D$3,"",AVERAGE($HJ54:IL54)),"")</f>
        <v>0</v>
      </c>
      <c r="NB54" s="226">
        <f>IFERROR(IF(NB$7&gt;$D$3,"",AVERAGE($HJ54:IM54)),"")</f>
        <v>0</v>
      </c>
      <c r="NC54" s="226">
        <f>IFERROR(IF(NC$7&gt;$D$3,"",AVERAGE($HJ54:IN54)),"")</f>
        <v>0</v>
      </c>
      <c r="ND54" s="226">
        <f>IFERROR(IF(ND$7&gt;$D$3,"",AVERAGE($HJ54:IO54)),"")</f>
        <v>0</v>
      </c>
      <c r="NE54" s="226">
        <f>IFERROR(IF(NE$7&gt;$D$3,"",AVERAGE($HJ54:IP54)),"")</f>
        <v>0</v>
      </c>
      <c r="NF54" s="226">
        <f>IFERROR(IF(NF$7&gt;$D$3,"",AVERAGE($HJ54:IQ54)),"")</f>
        <v>0</v>
      </c>
      <c r="NG54" s="226">
        <f>IFERROR(IF(NG$7&gt;$D$3,"",AVERAGE($HJ54:IR54)),"")</f>
        <v>0</v>
      </c>
      <c r="NH54" s="226">
        <f>IFERROR(IF(NH$7&gt;$D$3,"",AVERAGE($HJ54:IS54)),"")</f>
        <v>0</v>
      </c>
      <c r="NI54" s="226">
        <f>IFERROR(IF(NI$7&gt;$D$3,"",AVERAGE($HJ54:IT54)),"")</f>
        <v>0</v>
      </c>
      <c r="NJ54" s="226">
        <f>IFERROR(IF(NJ$7&gt;$D$3,"",AVERAGE($HJ54:IU54)),"")</f>
        <v>0</v>
      </c>
      <c r="NK54" s="226">
        <f>IFERROR(IF(NK$7&gt;$D$3,"",AVERAGE($HJ54:IV54)),"")</f>
        <v>0</v>
      </c>
      <c r="NL54" s="226">
        <f>IFERROR(IF(NL$7&gt;$D$3,"",AVERAGE($HJ54:IW54)),"")</f>
        <v>0</v>
      </c>
      <c r="NM54" s="226">
        <f>IFERROR(IF(NM$7&gt;$D$3,"",AVERAGE($HJ54:IX54)),"")</f>
        <v>0</v>
      </c>
      <c r="NN54" s="226">
        <f>IFERROR(IF(NN$7&gt;$D$3,"",AVERAGE($HJ54:IY54)),"")</f>
        <v>0</v>
      </c>
      <c r="NO54" s="226" t="str">
        <f>IFERROR(IF(NO$7&gt;$D$3,"",AVERAGE($HJ54:IZ54)),"")</f>
        <v/>
      </c>
      <c r="NP54" s="226" t="str">
        <f>IFERROR(IF(NP$7&gt;$D$3,"",AVERAGE($HJ54:JA54)),"")</f>
        <v/>
      </c>
      <c r="NQ54" s="226" t="str">
        <f>IFERROR(IF(NQ$7&gt;$D$3,"",AVERAGE($HJ54:JB54)),"")</f>
        <v/>
      </c>
      <c r="NR54" s="226" t="str">
        <f>IFERROR(IF(NR$7&gt;$D$3,"",AVERAGE($HJ54:JC54)),"")</f>
        <v/>
      </c>
      <c r="NS54" s="226" t="str">
        <f>IFERROR(IF(NS$7&gt;$D$3,"",AVERAGE($HJ54:JD54)),"")</f>
        <v/>
      </c>
      <c r="NT54" s="226" t="str">
        <f>IFERROR(IF(NT$7&gt;$D$3,"",AVERAGE($HJ54:JE54)),"")</f>
        <v/>
      </c>
      <c r="NU54" s="226" t="str">
        <f>IFERROR(IF(NU$7&gt;$D$3,"",AVERAGE($HJ54:JF54)),"")</f>
        <v/>
      </c>
      <c r="NV54" s="226" t="str">
        <f>IFERROR(IF(NV$7&gt;$D$3,"",AVERAGE($HJ54:JG54)),"")</f>
        <v/>
      </c>
      <c r="NW54" s="226" t="str">
        <f>IFERROR(IF(NW$7&gt;$D$3,"",AVERAGE($HJ54:JH54)),"")</f>
        <v/>
      </c>
      <c r="NX54" s="226" t="str">
        <f>IFERROR(IF(NX$7&gt;$D$3,"",AVERAGE($HJ54:JI54)),"")</f>
        <v/>
      </c>
      <c r="NY54" s="226" t="str">
        <f>IFERROR(IF(NY$7&gt;$D$3,"",AVERAGE($HJ54:JJ54)),"")</f>
        <v/>
      </c>
    </row>
    <row r="55" spans="1:389" ht="15" thickBot="1" x14ac:dyDescent="0.35">
      <c r="A55" t="str">
        <f>$B$51&amp;"-"&amp;C55</f>
        <v>Design-KPI C1</v>
      </c>
      <c r="B55" s="138"/>
      <c r="C55" s="138" t="str">
        <f>+'KPI Stats'!C33</f>
        <v>KPI C1</v>
      </c>
      <c r="D55" s="146" t="str">
        <f>+'KPI Stats'!D33</f>
        <v>Cost</v>
      </c>
      <c r="E55" s="146" t="str">
        <f>+'KPI Stats'!E33</f>
        <v>Opportunity Value Per design</v>
      </c>
      <c r="F55" s="147" t="str">
        <f>+'KPI Stats'!F33</f>
        <v>£'s</v>
      </c>
      <c r="G55" s="170" t="str">
        <f>+'KPI Stats'!G33</f>
        <v>Under</v>
      </c>
      <c r="J55" s="160" t="str">
        <f>_xlfn.XLOOKUP(J$7,$AM$7:$CM$7,$AM55:$CM55,,FALSE)</f>
        <v>G</v>
      </c>
      <c r="K55" s="266">
        <f>_xlfn.XLOOKUP(K$7,$FC$7:$HC$7,$FC55:$HC55,,FALSE)</f>
        <v>286807</v>
      </c>
      <c r="L55" s="279">
        <f>_xlfn.XLOOKUP(L$7,$HJ$7:$JJ$7,$HJ55:$JJ55,,FALSE)</f>
        <v>171000</v>
      </c>
      <c r="M55" s="273">
        <f>_xlfn.XLOOKUP(M$7,$CU$7:$EU$7,$CU55:$EU55,,FALSE)</f>
        <v>1.6772339181286551</v>
      </c>
      <c r="P55" s="160" t="str">
        <f>_xlfn.XLOOKUP(P$7,$AM$7:$CM$7,$AM55:$CM55,,FALSE)</f>
        <v>G</v>
      </c>
      <c r="Q55" s="266">
        <f t="shared" si="179"/>
        <v>286807</v>
      </c>
      <c r="R55" s="279">
        <f t="shared" si="179"/>
        <v>211492</v>
      </c>
      <c r="S55" s="289">
        <f>_xlfn.XLOOKUP(S$7,$CU$7:$EU$7,$CU55:$EU55,,FALSE)</f>
        <v>1.6772339181286551</v>
      </c>
      <c r="T55" s="267">
        <f>_xlfn.XLOOKUP(T$7,$CU$7:$EU$7,$CU55:$EU55,,FALSE)</f>
        <v>1.236795321637427</v>
      </c>
      <c r="U55" s="296" t="str">
        <f>IF(F51&lt;$R$2,"Not Complete",IF(Q55=R55,"Same −",IF($G55="Over",IF(Q55&lt;R55,"Better ↑","Worse ↓"),IF($G55="Under",IF(Q55&gt;R55,"Better ↑","Worse ↓"),"err"))))</f>
        <v>Better ↑</v>
      </c>
      <c r="X55" s="160" t="str">
        <f t="shared" si="180"/>
        <v>G</v>
      </c>
      <c r="Y55" s="266">
        <f>_xlfn.XLOOKUP(Y$7,$JR$7:$LR$7,$JR55:$LR55,FALSE)</f>
        <v>221478.18256539269</v>
      </c>
      <c r="Z55" s="279">
        <f>_xlfn.XLOOKUP(Z$7,$LY$7:$NY$7,$LY55:$NY55,FALSE)</f>
        <v>171000</v>
      </c>
      <c r="AA55" s="273">
        <f>IF(G55="Undefined","",IF(G55="under",Y55/Z55,IF(G55="over",Z55/Y55,"err")))</f>
        <v>1.2951940500900156</v>
      </c>
      <c r="AB55" s="296" t="str">
        <f>IF(F51&lt;$R$2,"TBC",IF(Y55=Z55,"Same −",IF($G55="Over",IF(Z55&lt;Y55,"Better ↑ ","Worse ↓ "),IF($G55="Under",IF(Y55&gt;Z55,"Better ↑ ","Worse ↓ "),"err"))))</f>
        <v xml:space="preserve">Better ↑ </v>
      </c>
      <c r="AC55" s="160" t="str">
        <f>IF(AND(G55="above adero",AD55&gt;0),"R",IF(AF55&gt;1,"G",IF(AF55&gt;0.95,"A","R")))</f>
        <v>G</v>
      </c>
      <c r="AD55" s="164">
        <f>_xlfn.XLOOKUP(AD$7,$JR$7:$LR$7,$JR55:$LR55,FALSE)</f>
        <v>219844.96212952753</v>
      </c>
      <c r="AE55" s="164">
        <f>_xlfn.XLOOKUP(AE$7,$LY$7:$NY$7,$LY55:$NY55,FALSE)</f>
        <v>171000</v>
      </c>
      <c r="AF55" s="255">
        <f>IF(G55="Undefined","",IF(G55="under",AD55/AE55,IF(G55="over",AE55/AD55,"err")))</f>
        <v>1.2856430533890499</v>
      </c>
      <c r="AH55" s="465" t="str">
        <f>+$A55</f>
        <v>Design-KPI C1</v>
      </c>
      <c r="AI55" s="138" t="str">
        <f t="shared" si="182"/>
        <v>KPI C1</v>
      </c>
      <c r="AJ55" s="146" t="str">
        <f t="shared" si="182"/>
        <v>Cost</v>
      </c>
      <c r="AK55" s="146" t="str">
        <f t="shared" si="168"/>
        <v>Opportunity Value Per design</v>
      </c>
      <c r="AL55" s="147" t="str">
        <f t="shared" si="168"/>
        <v>£'s</v>
      </c>
      <c r="AM55" s="160" t="str">
        <f>IF(AM$7&gt;$D$3,"",_xlfn.XLOOKUP(AM$7,Design!$M$6:$BM$6,Design!$M$19:$BM$19))</f>
        <v>Blank</v>
      </c>
      <c r="AN55" s="200" t="str">
        <f>IF(AN$7&gt;$D$3,"",_xlfn.XLOOKUP(AN$7,Design!$M$6:$BM$6,Design!$M$19:$BM$19))</f>
        <v>R</v>
      </c>
      <c r="AO55" s="160" t="str">
        <f>IF(AO$7&gt;$D$3,"",_xlfn.XLOOKUP(AO$7,Design!$M$6:$BM$6,Design!$M$19:$BM$19))</f>
        <v>R</v>
      </c>
      <c r="AP55" s="160" t="str">
        <f>IF(AP$7&gt;$D$3,"",_xlfn.XLOOKUP(AP$7,Design!$M$6:$BM$6,Design!$M$19:$BM$19))</f>
        <v>G</v>
      </c>
      <c r="AQ55" s="160" t="str">
        <f>IF(AQ$7&gt;$D$3,"",_xlfn.XLOOKUP(AQ$7,Design!$M$6:$BM$6,Design!$M$19:$BM$19))</f>
        <v>R</v>
      </c>
      <c r="AR55" s="160" t="str">
        <f>IF(AR$7&gt;$D$3,"",_xlfn.XLOOKUP(AR$7,Design!$M$6:$BM$6,Design!$M$19:$BM$19))</f>
        <v>R</v>
      </c>
      <c r="AS55" s="160" t="str">
        <f>IF(AS$7&gt;$D$3,"",_xlfn.XLOOKUP(AS$7,Design!$M$6:$BM$6,Design!$M$19:$BM$19))</f>
        <v>R</v>
      </c>
      <c r="AT55" s="160" t="str">
        <f>IF(AT$7&gt;$D$3,"",_xlfn.XLOOKUP(AT$7,Design!$M$6:$BM$6,Design!$M$19:$BM$19))</f>
        <v>G</v>
      </c>
      <c r="AU55" s="160" t="str">
        <f>IF(AU$7&gt;$D$3,"",_xlfn.XLOOKUP(AU$7,Design!$M$6:$BM$6,Design!$M$19:$BM$19))</f>
        <v>R</v>
      </c>
      <c r="AV55" s="160" t="str">
        <f>IF(AV$7&gt;$D$3,"",_xlfn.XLOOKUP(AV$7,Design!$M$6:$BM$6,Design!$M$19:$BM$19))</f>
        <v>R</v>
      </c>
      <c r="AW55" s="160" t="str">
        <f>IF(AW$7&gt;$D$3,"",_xlfn.XLOOKUP(AW$7,Design!$M$6:$BM$6,Design!$M$19:$BM$19))</f>
        <v>R</v>
      </c>
      <c r="AX55" s="160" t="str">
        <f>IF(AX$7&gt;$D$3,"",_xlfn.XLOOKUP(AX$7,Design!$M$6:$BM$6,Design!$M$19:$BM$19))</f>
        <v>G</v>
      </c>
      <c r="AY55" s="160" t="str">
        <f>IF(AY$7&gt;$D$3,"",_xlfn.XLOOKUP(AY$7,Design!$M$6:$BM$6,Design!$M$19:$BM$19))</f>
        <v>G</v>
      </c>
      <c r="AZ55" s="160" t="str">
        <f>IF(AZ$7&gt;$D$3,"",_xlfn.XLOOKUP(AZ$7,Design!$M$6:$BM$6,Design!$M$19:$BM$19))</f>
        <v>G</v>
      </c>
      <c r="BA55" s="160" t="str">
        <f>IF(BA$7&gt;$D$3,"",_xlfn.XLOOKUP(BA$7,Design!$M$6:$BM$6,Design!$M$19:$BM$19))</f>
        <v>R</v>
      </c>
      <c r="BB55" s="160" t="str">
        <f>IF(BB$7&gt;$D$3,"",_xlfn.XLOOKUP(BB$7,Design!$M$6:$BM$6,Design!$M$19:$BM$19))</f>
        <v>R</v>
      </c>
      <c r="BC55" s="160" t="str">
        <f>IF(BC$7&gt;$D$3,"",_xlfn.XLOOKUP(BC$7,Design!$M$6:$BM$6,Design!$M$19:$BM$19))</f>
        <v>A</v>
      </c>
      <c r="BD55" s="160" t="str">
        <f>IF(BD$7&gt;$D$3,"",_xlfn.XLOOKUP(BD$7,Design!$M$6:$BM$6,Design!$M$19:$BM$19))</f>
        <v>R</v>
      </c>
      <c r="BE55" s="160" t="str">
        <f>IF(BE$7&gt;$D$3,"",_xlfn.XLOOKUP(BE$7,Design!$M$6:$BM$6,Design!$M$19:$BM$19))</f>
        <v>G</v>
      </c>
      <c r="BF55" s="160" t="str">
        <f>IF(BF$7&gt;$D$3,"",_xlfn.XLOOKUP(BF$7,Design!$M$6:$BM$6,Design!$M$19:$BM$19))</f>
        <v>G</v>
      </c>
      <c r="BG55" s="160" t="str">
        <f>IF(BG$7&gt;$D$3,"",_xlfn.XLOOKUP(BG$7,Design!$M$6:$BM$6,Design!$M$19:$BM$19))</f>
        <v>R</v>
      </c>
      <c r="BH55" s="160" t="str">
        <f>IF(BH$7&gt;$D$3,"",_xlfn.XLOOKUP(BH$7,Design!$M$6:$BM$6,Design!$M$19:$BM$19))</f>
        <v>G</v>
      </c>
      <c r="BI55" s="160" t="str">
        <f>IF(BI$7&gt;$D$3,"",_xlfn.XLOOKUP(BI$7,Design!$M$6:$BM$6,Design!$M$19:$BM$19))</f>
        <v>G</v>
      </c>
      <c r="BJ55" s="160" t="str">
        <f>IF(BJ$7&gt;$D$3,"",_xlfn.XLOOKUP(BJ$7,Design!$M$6:$BM$6,Design!$M$19:$BM$19))</f>
        <v>A</v>
      </c>
      <c r="BK55" s="160" t="str">
        <f>IF(BK$7&gt;$D$3,"",_xlfn.XLOOKUP(BK$7,Design!$M$6:$BM$6,Design!$M$19:$BM$19))</f>
        <v>G</v>
      </c>
      <c r="BL55" s="160" t="str">
        <f>IF(BL$7&gt;$D$3,"",_xlfn.XLOOKUP(BL$7,Design!$M$6:$BM$6,Design!$M$19:$BM$19))</f>
        <v>G</v>
      </c>
      <c r="BM55" s="160" t="str">
        <f>IF(BM$7&gt;$D$3,"",_xlfn.XLOOKUP(BM$7,Design!$M$6:$BM$6,Design!$M$19:$BM$19))</f>
        <v>G</v>
      </c>
      <c r="BN55" s="160" t="str">
        <f>IF(BN$7&gt;$D$3,"",_xlfn.XLOOKUP(BN$7,Design!$M$6:$BM$6,Design!$M$19:$BM$19))</f>
        <v>G</v>
      </c>
      <c r="BO55" s="160" t="str">
        <f>IF(BO$7&gt;$D$3,"",_xlfn.XLOOKUP(BO$7,Design!$M$6:$BM$6,Design!$M$19:$BM$19))</f>
        <v>R</v>
      </c>
      <c r="BP55" s="160" t="str">
        <f>IF(BP$7&gt;$D$3,"",_xlfn.XLOOKUP(BP$7,Design!$M$6:$BM$6,Design!$M$19:$BM$19))</f>
        <v>G</v>
      </c>
      <c r="BQ55" s="160" t="str">
        <f>IF(BQ$7&gt;$D$3,"",_xlfn.XLOOKUP(BQ$7,Design!$M$6:$BM$6,Design!$M$19:$BM$19))</f>
        <v>R</v>
      </c>
      <c r="BR55" s="160" t="str">
        <f>IF(BR$7&gt;$D$3,"",_xlfn.XLOOKUP(BR$7,Design!$M$6:$BM$6,Design!$M$19:$BM$19))</f>
        <v>R</v>
      </c>
      <c r="BS55" s="160" t="str">
        <f>IF(BS$7&gt;$D$3,"",_xlfn.XLOOKUP(BS$7,Design!$M$6:$BM$6,Design!$M$19:$BM$19))</f>
        <v>R</v>
      </c>
      <c r="BT55" s="160" t="str">
        <f>IF(BT$7&gt;$D$3,"",_xlfn.XLOOKUP(BT$7,Design!$M$6:$BM$6,Design!$M$19:$BM$19))</f>
        <v>R</v>
      </c>
      <c r="BU55" s="160" t="str">
        <f>IF(BU$7&gt;$D$3,"",_xlfn.XLOOKUP(BU$7,Design!$M$6:$BM$6,Design!$M$19:$BM$19))</f>
        <v>R</v>
      </c>
      <c r="BV55" s="160" t="str">
        <f>IF(BV$7&gt;$D$3,"",_xlfn.XLOOKUP(BV$7,Design!$M$6:$BM$6,Design!$M$19:$BM$19))</f>
        <v>G</v>
      </c>
      <c r="BW55" s="160" t="str">
        <f>IF(BW$7&gt;$D$3,"",_xlfn.XLOOKUP(BW$7,Design!$M$6:$BM$6,Design!$M$19:$BM$19))</f>
        <v>G</v>
      </c>
      <c r="BX55" s="160" t="str">
        <f>IF(BX$7&gt;$D$3,"",_xlfn.XLOOKUP(BX$7,Design!$M$6:$BM$6,Design!$M$19:$BM$19))</f>
        <v>R</v>
      </c>
      <c r="BY55" s="160" t="str">
        <f>IF(BY$7&gt;$D$3,"",_xlfn.XLOOKUP(BY$7,Design!$M$6:$BM$6,Design!$M$19:$BM$19))</f>
        <v>R</v>
      </c>
      <c r="BZ55" s="160" t="str">
        <f>IF(BZ$7&gt;$D$3,"",_xlfn.XLOOKUP(BZ$7,Design!$M$6:$BM$6,Design!$M$19:$BM$19))</f>
        <v>G</v>
      </c>
      <c r="CA55" s="160" t="str">
        <f>IF(CA$7&gt;$D$3,"",_xlfn.XLOOKUP(CA$7,Design!$M$6:$BM$6,Design!$M$19:$BM$19))</f>
        <v>G</v>
      </c>
      <c r="CB55" s="160" t="str">
        <f>IF(CB$7&gt;$D$3,"",_xlfn.XLOOKUP(CB$7,Design!$M$6:$BM$6,Design!$M$19:$BM$19))</f>
        <v>G</v>
      </c>
      <c r="CC55" s="160" t="str">
        <f>IF(CC$7&gt;$D$3,"",_xlfn.XLOOKUP(CC$7,Design!$M$6:$BM$6,Design!$M$19:$BM$19))</f>
        <v/>
      </c>
      <c r="CD55" s="160" t="str">
        <f>IF(CD$7&gt;$D$3,"",_xlfn.XLOOKUP(CD$7,Design!$M$6:$BM$6,Design!$M$19:$BM$19))</f>
        <v/>
      </c>
      <c r="CE55" s="160" t="str">
        <f>IF(CE$7&gt;$D$3,"",_xlfn.XLOOKUP(CE$7,Design!$M$6:$BM$6,Design!$M$19:$BM$19))</f>
        <v/>
      </c>
      <c r="CF55" s="160" t="str">
        <f>IF(CF$7&gt;$D$3,"",_xlfn.XLOOKUP(CF$7,Design!$M$6:$BM$6,Design!$M$19:$BM$19))</f>
        <v/>
      </c>
      <c r="CG55" s="160" t="str">
        <f>IF(CG$7&gt;$D$3,"",_xlfn.XLOOKUP(CG$7,Design!$M$6:$BM$6,Design!$M$19:$BM$19))</f>
        <v/>
      </c>
      <c r="CH55" s="160" t="str">
        <f>IF(CH$7&gt;$D$3,"",_xlfn.XLOOKUP(CH$7,Design!$M$6:$BM$6,Design!$M$19:$BM$19))</f>
        <v/>
      </c>
      <c r="CI55" s="160" t="str">
        <f>IF(CI$7&gt;$D$3,"",_xlfn.XLOOKUP(CI$7,Design!$M$6:$BM$6,Design!$M$19:$BM$19))</f>
        <v/>
      </c>
      <c r="CJ55" s="160" t="str">
        <f>IF(CJ$7&gt;$D$3,"",_xlfn.XLOOKUP(CJ$7,Design!$M$6:$BM$6,Design!$M$19:$BM$19))</f>
        <v/>
      </c>
      <c r="CK55" s="160" t="str">
        <f>IF(CK$7&gt;$D$3,"",_xlfn.XLOOKUP(CK$7,Design!$M$6:$BM$6,Design!$M$19:$BM$19))</f>
        <v/>
      </c>
      <c r="CL55" s="160" t="str">
        <f>IF(CL$7&gt;$D$3,"",_xlfn.XLOOKUP(CL$7,Design!$M$6:$BM$6,Design!$M$19:$BM$19))</f>
        <v/>
      </c>
      <c r="CM55" s="160" t="str">
        <f>IF(CM$7&gt;$D$3,"",_xlfn.XLOOKUP(CM$7,Design!$M$6:$BM$6,Design!$M$19:$BM$19))</f>
        <v/>
      </c>
      <c r="CO55" s="465" t="str">
        <f>+$A55</f>
        <v>Design-KPI C1</v>
      </c>
      <c r="CP55" s="138" t="str">
        <f t="shared" si="183"/>
        <v>KPI C1</v>
      </c>
      <c r="CQ55" s="146" t="str">
        <f t="shared" si="183"/>
        <v>Cost</v>
      </c>
      <c r="CR55" s="146" t="str">
        <f t="shared" si="170"/>
        <v>Opportunity Value Per design</v>
      </c>
      <c r="CS55" s="147" t="str">
        <f t="shared" si="170"/>
        <v>£'s</v>
      </c>
      <c r="CT55" s="208" t="s">
        <v>246</v>
      </c>
      <c r="CU55" s="424" t="str">
        <f>IF(CU$7&gt;$D$3,"",_xlfn.XLOOKUP(CU$7,Design!$M$6:$BM$6,Design!$M$19:$BM$19))</f>
        <v>Blank</v>
      </c>
      <c r="CV55" s="623" cm="1">
        <f t="array" ref="CV55">IFERROR(IF(CV$7&gt;$D$3,"",IF(AN55="OD","OD",IF(AN55="Missed","Missed",IF(AN55="TBC","TBC",IF(AN55="Undefined","Undefined",_xlfn.XLOOKUP(CV$7,Design!$M$6:$BM$6,Design!$M$18:$BM$18/_xlfn.XLOOKUP(CV$7,Design!$M$6:$BM$6,Design!$M$17:$BM$17))))))),0)</f>
        <v>0.76925559028519119</v>
      </c>
      <c r="CW55" s="584" cm="1">
        <f t="array" ref="CW55">IFERROR(IF(CW$7&gt;$D$3,"",IF(AO55="OD","OD",IF(AO55="Missed","Missed",IF(AO55="TBC","TBC",IF(AO55="Undefined","Undefined",_xlfn.XLOOKUP(CW$7,Design!$M$6:$BM$6,Design!$M$18:$BM$18/_xlfn.XLOOKUP(CW$7,Design!$M$6:$BM$6,Design!$M$17:$BM$17))))))),0)</f>
        <v>0.55801711820733135</v>
      </c>
      <c r="CX55" s="584" cm="1">
        <f t="array" ref="CX55">IFERROR(IF(CX$7&gt;$D$3,"",IF(AP55="OD","OD",IF(AP55="Missed","Missed",IF(AP55="TBC","TBC",IF(AP55="Undefined","Undefined",_xlfn.XLOOKUP(CX$7,Design!$M$6:$BM$6,Design!$M$18:$BM$18/_xlfn.XLOOKUP(CX$7,Design!$M$6:$BM$6,Design!$M$17:$BM$17))))))),0)</f>
        <v>1.4762990284346138</v>
      </c>
      <c r="CY55" s="584" cm="1">
        <f t="array" ref="CY55">IFERROR(IF(CY$7&gt;$D$3,"",IF(AQ55="OD","OD",IF(AQ55="Missed","Missed",IF(AQ55="TBC","TBC",IF(AQ55="Undefined","Undefined",_xlfn.XLOOKUP(CY$7,Design!$M$6:$BM$6,Design!$M$18:$BM$18/_xlfn.XLOOKUP(CY$7,Design!$M$6:$BM$6,Design!$M$17:$BM$17))))))),0)</f>
        <v>0.83956814789404832</v>
      </c>
      <c r="CZ55" s="584" cm="1">
        <f t="array" ref="CZ55">IFERROR(IF(CZ$7&gt;$D$3,"",IF(AR55="OD","OD",IF(AR55="Missed","Missed",IF(AR55="TBC","TBC",IF(AR55="Undefined","Undefined",_xlfn.XLOOKUP(CZ$7,Design!$M$6:$BM$6,Design!$M$18:$BM$18/_xlfn.XLOOKUP(CZ$7,Design!$M$6:$BM$6,Design!$M$17:$BM$17))))))),0)</f>
        <v>0.79324976529687752</v>
      </c>
      <c r="DA55" s="584" cm="1">
        <f t="array" ref="DA55">IFERROR(IF(DA$7&gt;$D$3,"",IF(AS55="OD","OD",IF(AS55="Missed","Missed",IF(AS55="TBC","TBC",IF(AS55="Undefined","Undefined",_xlfn.XLOOKUP(DA$7,Design!$M$6:$BM$6,Design!$M$18:$BM$18/_xlfn.XLOOKUP(DA$7,Design!$M$6:$BM$6,Design!$M$17:$BM$17))))))),0)</f>
        <v>0.45413466058331836</v>
      </c>
      <c r="DB55" s="584" cm="1">
        <f t="array" ref="DB55">IFERROR(IF(DB$7&gt;$D$3,"",IF(AT55="OD","OD",IF(AT55="Missed","Missed",IF(AT55="TBC","TBC",IF(AT55="Undefined","Undefined",_xlfn.XLOOKUP(DB$7,Design!$M$6:$BM$6,Design!$M$18:$BM$18/_xlfn.XLOOKUP(DB$7,Design!$M$6:$BM$6,Design!$M$17:$BM$17))))))),0)</f>
        <v>1.2364589672295183</v>
      </c>
      <c r="DC55" s="584" cm="1">
        <f t="array" ref="DC55">IFERROR(IF(DC$7&gt;$D$3,"",IF(AU55="OD","OD",IF(AU55="Missed","Missed",IF(AU55="TBC","TBC",IF(AU55="Undefined","Undefined",_xlfn.XLOOKUP(DC$7,Design!$M$6:$BM$6,Design!$M$18:$BM$18/_xlfn.XLOOKUP(DC$7,Design!$M$6:$BM$6,Design!$M$17:$BM$17))))))),0)</f>
        <v>0.94175103751486167</v>
      </c>
      <c r="DD55" s="584" cm="1">
        <f t="array" ref="DD55">IFERROR(IF(DD$7&gt;$D$3,"",IF(AV55="OD","OD",IF(AV55="Missed","Missed",IF(AV55="TBC","TBC",IF(AV55="Undefined","Undefined",_xlfn.XLOOKUP(DD$7,Design!$M$6:$BM$6,Design!$M$18:$BM$18/_xlfn.XLOOKUP(DD$7,Design!$M$6:$BM$6,Design!$M$17:$BM$17))))))),0)</f>
        <v>0.77878675914438966</v>
      </c>
      <c r="DE55" s="584" cm="1">
        <f t="array" ref="DE55">IFERROR(IF(DE$7&gt;$D$3,"",IF(AW55="OD","OD",IF(AW55="Missed","Missed",IF(AW55="TBC","TBC",IF(AW55="Undefined","Undefined",_xlfn.XLOOKUP(DE$7,Design!$M$6:$BM$6,Design!$M$18:$BM$18/_xlfn.XLOOKUP(DE$7,Design!$M$6:$BM$6,Design!$M$17:$BM$17))))))),0)</f>
        <v>0.52537889754396538</v>
      </c>
      <c r="DF55" s="584" cm="1">
        <f t="array" ref="DF55">IFERROR(IF(DF$7&gt;$D$3,"",IF(AX55="OD","OD",IF(AX55="Missed","Missed",IF(AX55="TBC","TBC",IF(AX55="Undefined","Undefined",_xlfn.XLOOKUP(DF$7,Design!$M$6:$BM$6,Design!$M$18:$BM$18/_xlfn.XLOOKUP(DF$7,Design!$M$6:$BM$6,Design!$M$17:$BM$17))))))),0)</f>
        <v>1.4064531015234749</v>
      </c>
      <c r="DG55" s="584" cm="1">
        <f t="array" ref="DG55">IFERROR(IF(DG$7&gt;$D$3,"",IF(AY55="OD","OD",IF(AY55="Missed","Missed",IF(AY55="TBC","TBC",IF(AY55="Undefined","Undefined",_xlfn.XLOOKUP(DG$7,Design!$M$6:$BM$6,Design!$M$18:$BM$18/_xlfn.XLOOKUP(DG$7,Design!$M$6:$BM$6,Design!$M$17:$BM$17))))))),0)</f>
        <v>2.2404990147097945</v>
      </c>
      <c r="DH55" s="584" cm="1">
        <f t="array" ref="DH55">IFERROR(IF(DH$7&gt;$D$3,"",IF(AZ55="OD","OD",IF(AZ55="Missed","Missed",IF(AZ55="TBC","TBC",IF(AZ55="Undefined","Undefined",_xlfn.XLOOKUP(DH$7,Design!$M$6:$BM$6,Design!$M$18:$BM$18/_xlfn.XLOOKUP(DH$7,Design!$M$6:$BM$6,Design!$M$17:$BM$17))))))),0)</f>
        <v>3.4805075430446126</v>
      </c>
      <c r="DI55" s="584" cm="1">
        <f t="array" ref="DI55">IFERROR(IF(DI$7&gt;$D$3,"",IF(BA55="OD","OD",IF(BA55="Missed","Missed",IF(BA55="TBC","TBC",IF(BA55="Undefined","Undefined",_xlfn.XLOOKUP(DI$7,Design!$M$6:$BM$6,Design!$M$18:$BM$18/_xlfn.XLOOKUP(DI$7,Design!$M$6:$BM$6,Design!$M$17:$BM$17))))))),0)</f>
        <v>0.43826044981869572</v>
      </c>
      <c r="DJ55" s="584" cm="1">
        <f t="array" ref="DJ55">IFERROR(IF(DJ$7&gt;$D$3,"",IF(BB55="OD","OD",IF(BB55="Missed","Missed",IF(BB55="TBC","TBC",IF(BB55="Undefined","Undefined",_xlfn.XLOOKUP(DJ$7,Design!$M$6:$BM$6,Design!$M$18:$BM$18/_xlfn.XLOOKUP(DJ$7,Design!$M$6:$BM$6,Design!$M$17:$BM$17))))))),0)</f>
        <v>0.94518304970055433</v>
      </c>
      <c r="DK55" s="584" cm="1">
        <f t="array" ref="DK55">IFERROR(IF(DK$7&gt;$D$3,"",IF(BC55="OD","OD",IF(BC55="Missed","Missed",IF(BC55="TBC","TBC",IF(BC55="Undefined","Undefined",_xlfn.XLOOKUP(DK$7,Design!$M$6:$BM$6,Design!$M$18:$BM$18/_xlfn.XLOOKUP(DK$7,Design!$M$6:$BM$6,Design!$M$17:$BM$17))))))),0)</f>
        <v>0.98267782091857392</v>
      </c>
      <c r="DL55" s="584" cm="1">
        <f t="array" ref="DL55">IFERROR(IF(DL$7&gt;$D$3,"",IF(BD55="OD","OD",IF(BD55="Missed","Missed",IF(BD55="TBC","TBC",IF(BD55="Undefined","Undefined",_xlfn.XLOOKUP(DL$7,Design!$M$6:$BM$6,Design!$M$18:$BM$18/_xlfn.XLOOKUP(DL$7,Design!$M$6:$BM$6,Design!$M$17:$BM$17))))))),0)</f>
        <v>0.72295147833413409</v>
      </c>
      <c r="DM55" s="584" cm="1">
        <f t="array" ref="DM55">IFERROR(IF(DM$7&gt;$D$3,"",IF(BE55="OD","OD",IF(BE55="Missed","Missed",IF(BE55="TBC","TBC",IF(BE55="Undefined","Undefined",_xlfn.XLOOKUP(DM$7,Design!$M$6:$BM$6,Design!$M$18:$BM$18/_xlfn.XLOOKUP(DM$7,Design!$M$6:$BM$6,Design!$M$17:$BM$17))))))),0)</f>
        <v>2.0186041127020409</v>
      </c>
      <c r="DN55" s="584" cm="1">
        <f t="array" ref="DN55">IFERROR(IF(DN$7&gt;$D$3,"",IF(BF55="OD","OD",IF(BF55="Missed","Missed",IF(BF55="TBC","TBC",IF(BF55="Undefined","Undefined",_xlfn.XLOOKUP(DN$7,Design!$M$6:$BM$6,Design!$M$18:$BM$18/_xlfn.XLOOKUP(DN$7,Design!$M$6:$BM$6,Design!$M$17:$BM$17))))))),0)</f>
        <v>1.1613854929233174</v>
      </c>
      <c r="DO55" s="584" cm="1">
        <f t="array" ref="DO55">IFERROR(IF(DO$7&gt;$D$3,"",IF(BG55="OD","OD",IF(BG55="Missed","Missed",IF(BG55="TBC","TBC",IF(BG55="Undefined","Undefined",_xlfn.XLOOKUP(DO$7,Design!$M$6:$BM$6,Design!$M$18:$BM$18/_xlfn.XLOOKUP(DO$7,Design!$M$6:$BM$6,Design!$M$17:$BM$17))))))),0)</f>
        <v>0.7140328421677905</v>
      </c>
      <c r="DP55" s="584" cm="1">
        <f t="array" ref="DP55">IFERROR(IF(DP$7&gt;$D$3,"",IF(BH55="OD","OD",IF(BH55="Missed","Missed",IF(BH55="TBC","TBC",IF(BH55="Undefined","Undefined",_xlfn.XLOOKUP(DP$7,Design!$M$6:$BM$6,Design!$M$18:$BM$18/_xlfn.XLOOKUP(DP$7,Design!$M$6:$BM$6,Design!$M$17:$BM$17))))))),0)</f>
        <v>1.6592358880542699</v>
      </c>
      <c r="DQ55" s="584" cm="1">
        <f t="array" ref="DQ55">IFERROR(IF(DQ$7&gt;$D$3,"",IF(BI55="OD","OD",IF(BI55="Missed","Missed",IF(BI55="TBC","TBC",IF(BI55="Undefined","Undefined",_xlfn.XLOOKUP(DQ$7,Design!$M$6:$BM$6,Design!$M$18:$BM$18/_xlfn.XLOOKUP(DQ$7,Design!$M$6:$BM$6,Design!$M$17:$BM$17))))))),0)</f>
        <v>1.7118174404425768</v>
      </c>
      <c r="DR55" s="584" cm="1">
        <f t="array" ref="DR55">IFERROR(IF(DR$7&gt;$D$3,"",IF(BJ55="OD","OD",IF(BJ55="Missed","Missed",IF(BJ55="TBC","TBC",IF(BJ55="Undefined","Undefined",_xlfn.XLOOKUP(DR$7,Design!$M$6:$BM$6,Design!$M$18:$BM$18/_xlfn.XLOOKUP(DR$7,Design!$M$6:$BM$6,Design!$M$17:$BM$17))))))),0)</f>
        <v>0.98688917456049274</v>
      </c>
      <c r="DS55" s="584" cm="1">
        <f t="array" ref="DS55">IFERROR(IF(DS$7&gt;$D$3,"",IF(BK55="OD","OD",IF(BK55="Missed","Missed",IF(BK55="TBC","TBC",IF(BK55="Undefined","Undefined",_xlfn.XLOOKUP(DS$7,Design!$M$6:$BM$6,Design!$M$18:$BM$18/_xlfn.XLOOKUP(DS$7,Design!$M$6:$BM$6,Design!$M$17:$BM$17))))))),0)</f>
        <v>1.1245176878749397</v>
      </c>
      <c r="DT55" s="584" cm="1">
        <f t="array" ref="DT55">IFERROR(IF(DT$7&gt;$D$3,"",IF(BL55="OD","OD",IF(BL55="Missed","Missed",IF(BL55="TBC","TBC",IF(BL55="Undefined","Undefined",_xlfn.XLOOKUP(DT$7,Design!$M$6:$BM$6,Design!$M$18:$BM$18/_xlfn.XLOOKUP(DT$7,Design!$M$6:$BM$6,Design!$M$17:$BM$17))))))),0)</f>
        <v>4.6875220371510746</v>
      </c>
      <c r="DU55" s="584" cm="1">
        <f t="array" ref="DU55">IFERROR(IF(DU$7&gt;$D$3,"",IF(BM55="OD","OD",IF(BM55="Missed","Missed",IF(BM55="TBC","TBC",IF(BM55="Undefined","Undefined",_xlfn.XLOOKUP(DU$7,Design!$M$6:$BM$6,Design!$M$18:$BM$18/_xlfn.XLOOKUP(DU$7,Design!$M$6:$BM$6,Design!$M$17:$BM$17))))))),0)</f>
        <v>1.8879188502983451</v>
      </c>
      <c r="DV55" s="584" cm="1">
        <f t="array" ref="DV55">IFERROR(IF(DV$7&gt;$D$3,"",IF(BN55="OD","OD",IF(BN55="Missed","Missed",IF(BN55="TBC","TBC",IF(BN55="Undefined","Undefined",_xlfn.XLOOKUP(DV$7,Design!$M$6:$BM$6,Design!$M$18:$BM$18/_xlfn.XLOOKUP(DV$7,Design!$M$6:$BM$6,Design!$M$17:$BM$17))))))),0)</f>
        <v>6.2957693264277959</v>
      </c>
      <c r="DW55" s="584" cm="1">
        <f t="array" ref="DW55">IFERROR(IF(DW$7&gt;$D$3,"",IF(BO55="OD","OD",IF(BO55="Missed","Missed",IF(BO55="TBC","TBC",IF(BO55="Undefined","Undefined",_xlfn.XLOOKUP(DW$7,Design!$M$6:$BM$6,Design!$M$18:$BM$18/_xlfn.XLOOKUP(DW$7,Design!$M$6:$BM$6,Design!$M$17:$BM$17))))))),0)</f>
        <v>0.75762637658447507</v>
      </c>
      <c r="DX55" s="584" cm="1">
        <f t="array" ref="DX55">IFERROR(IF(DX$7&gt;$D$3,"",IF(BP55="OD","OD",IF(BP55="Missed","Missed",IF(BP55="TBC","TBC",IF(BP55="Undefined","Undefined",_xlfn.XLOOKUP(DX$7,Design!$M$6:$BM$6,Design!$M$18:$BM$18/_xlfn.XLOOKUP(DX$7,Design!$M$6:$BM$6,Design!$M$17:$BM$17))))))),0)</f>
        <v>1.1609477423857162</v>
      </c>
      <c r="DY55" s="584" cm="1">
        <f t="array" ref="DY55">IFERROR(IF(DY$7&gt;$D$3,"",IF(BQ55="OD","OD",IF(BQ55="Missed","Missed",IF(BQ55="TBC","TBC",IF(BQ55="Undefined","Undefined",_xlfn.XLOOKUP(DY$7,Design!$M$6:$BM$6,Design!$M$18:$BM$18/_xlfn.XLOOKUP(DY$7,Design!$M$6:$BM$6,Design!$M$17:$BM$17))))))),0)</f>
        <v>0.64638628109283569</v>
      </c>
      <c r="DZ55" s="584" cm="1">
        <f t="array" ref="DZ55">IFERROR(IF(DZ$7&gt;$D$3,"",IF(BR55="OD","OD",IF(BR55="Missed","Missed",IF(BR55="TBC","TBC",IF(BR55="Undefined","Undefined",_xlfn.XLOOKUP(DZ$7,Design!$M$6:$BM$6,Design!$M$18:$BM$18/_xlfn.XLOOKUP(DZ$7,Design!$M$6:$BM$6,Design!$M$17:$BM$17))))))),0)</f>
        <v>0.61733716942246575</v>
      </c>
      <c r="EA55" s="584" cm="1">
        <f t="array" ref="EA55">IFERROR(IF(EA$7&gt;$D$3,"",IF(BS55="OD","OD",IF(BS55="Missed","Missed",IF(BS55="TBC","TBC",IF(BS55="Undefined","Undefined",_xlfn.XLOOKUP(EA$7,Design!$M$6:$BM$6,Design!$M$18:$BM$18/_xlfn.XLOOKUP(EA$7,Design!$M$6:$BM$6,Design!$M$17:$BM$17))))))),0)</f>
        <v>0.28969711478175619</v>
      </c>
      <c r="EB55" s="584" cm="1">
        <f t="array" ref="EB55">IFERROR(IF(EB$7&gt;$D$3,"",IF(BT55="OD","OD",IF(BT55="Missed","Missed",IF(BT55="TBC","TBC",IF(BT55="Undefined","Undefined",_xlfn.XLOOKUP(EB$7,Design!$M$6:$BM$6,Design!$M$18:$BM$18/_xlfn.XLOOKUP(EB$7,Design!$M$6:$BM$6,Design!$M$17:$BM$17))))))),0)</f>
        <v>0.16566350899992019</v>
      </c>
      <c r="EC55" s="584" cm="1">
        <f t="array" ref="EC55">IFERROR(IF(EC$7&gt;$D$3,"",IF(BU55="OD","OD",IF(BU55="Missed","Missed",IF(BU55="TBC","TBC",IF(BU55="Undefined","Undefined",_xlfn.XLOOKUP(EC$7,Design!$M$6:$BM$6,Design!$M$18:$BM$18/_xlfn.XLOOKUP(EC$7,Design!$M$6:$BM$6,Design!$M$17:$BM$17))))))),0)</f>
        <v>0.77791879922513163</v>
      </c>
      <c r="ED55" s="584" cm="1">
        <f t="array" ref="ED55">IFERROR(IF(ED$7&gt;$D$3,"",IF(BV55="OD","OD",IF(BV55="Missed","Missed",IF(BV55="TBC","TBC",IF(BV55="Undefined","Undefined",_xlfn.XLOOKUP(ED$7,Design!$M$6:$BM$6,Design!$M$18:$BM$18/_xlfn.XLOOKUP(ED$7,Design!$M$6:$BM$6,Design!$M$17:$BM$17))))))),0)</f>
        <v>1.0196099923704651</v>
      </c>
      <c r="EE55" s="584" cm="1">
        <f t="array" ref="EE55">IFERROR(IF(EE$7&gt;$D$3,"",IF(BW55="OD","OD",IF(BW55="Missed","Missed",IF(BW55="TBC","TBC",IF(BW55="Undefined","Undefined",_xlfn.XLOOKUP(EE$7,Design!$M$6:$BM$6,Design!$M$18:$BM$18/_xlfn.XLOOKUP(EE$7,Design!$M$6:$BM$6,Design!$M$17:$BM$17))))))),0)</f>
        <v>1.2293377107330068</v>
      </c>
      <c r="EF55" s="584" cm="1">
        <f t="array" ref="EF55">IFERROR(IF(EF$7&gt;$D$3,"",IF(BX55="OD","OD",IF(BX55="Missed","Missed",IF(BX55="TBC","TBC",IF(BX55="Undefined","Undefined",_xlfn.XLOOKUP(EF$7,Design!$M$6:$BM$6,Design!$M$18:$BM$18/_xlfn.XLOOKUP(EF$7,Design!$M$6:$BM$6,Design!$M$17:$BM$17))))))),0)</f>
        <v>0.72671400206447245</v>
      </c>
      <c r="EG55" s="584" cm="1">
        <f t="array" ref="EG55">IFERROR(IF(EG$7&gt;$D$3,"",IF(BY55="OD","OD",IF(BY55="Missed","Missed",IF(BY55="TBC","TBC",IF(BY55="Undefined","Undefined",_xlfn.XLOOKUP(EG$7,Design!$M$6:$BM$6,Design!$M$18:$BM$18/_xlfn.XLOOKUP(EG$7,Design!$M$6:$BM$6,Design!$M$17:$BM$17))))))),0)</f>
        <v>0.90017102061222065</v>
      </c>
      <c r="EH55" s="584" cm="1">
        <f t="array" ref="EH55">IFERROR(IF(EH$7&gt;$D$3,"",IF(BZ55="OD","OD",IF(BZ55="Missed","Missed",IF(BZ55="TBC","TBC",IF(BZ55="Undefined","Undefined",_xlfn.XLOOKUP(EH$7,Design!$M$6:$BM$6,Design!$M$18:$BM$18/_xlfn.XLOOKUP(EH$7,Design!$M$6:$BM$6,Design!$M$17:$BM$17))))))),0)</f>
        <v>1.060391812865497</v>
      </c>
      <c r="EI55" s="584" cm="1">
        <f t="array" ref="EI55">IFERROR(IF(EI$7&gt;$D$3,"",IF(CA55="OD","OD",IF(CA55="Missed","Missed",IF(CA55="TBC","TBC",IF(CA55="Undefined","Undefined",_xlfn.XLOOKUP(EI$7,Design!$M$6:$BM$6,Design!$M$18:$BM$18/_xlfn.XLOOKUP(EI$7,Design!$M$6:$BM$6,Design!$M$17:$BM$17))))))),0)</f>
        <v>1.236795321637427</v>
      </c>
      <c r="EJ55" s="584" cm="1">
        <f t="array" ref="EJ55">IFERROR(IF(EJ$7&gt;$D$3,"",IF(CB55="OD","OD",IF(CB55="Missed","Missed",IF(CB55="TBC","TBC",IF(CB55="Undefined","Undefined",_xlfn.XLOOKUP(EJ$7,Design!$M$6:$BM$6,Design!$M$18:$BM$18/_xlfn.XLOOKUP(EJ$7,Design!$M$6:$BM$6,Design!$M$17:$BM$17))))))),0)</f>
        <v>1.6772339181286551</v>
      </c>
      <c r="EK55" s="584" t="str" cm="1">
        <f t="array" ref="EK55">IFERROR(IF(EK$7&gt;$D$3,"",IF(CC55="OD","OD",IF(CC55="Missed","Missed",IF(CC55="TBC","TBC",IF(CC55="Undefined","Undefined",_xlfn.XLOOKUP(EK$7,Design!$M$6:$BM$6,Design!$M$18:$BM$18/_xlfn.XLOOKUP(EK$7,Design!$M$6:$BM$6,Design!$M$17:$BM$17))))))),0)</f>
        <v/>
      </c>
      <c r="EL55" s="584" t="str" cm="1">
        <f t="array" ref="EL55">IFERROR(IF(EL$7&gt;$D$3,"",IF(CD55="OD","OD",IF(CD55="Missed","Missed",IF(CD55="TBC","TBC",IF(CD55="Undefined","Undefined",_xlfn.XLOOKUP(EL$7,Design!$M$6:$BM$6,Design!$M$18:$BM$18/_xlfn.XLOOKUP(EL$7,Design!$M$6:$BM$6,Design!$M$17:$BM$17))))))),0)</f>
        <v/>
      </c>
      <c r="EM55" s="584" t="str" cm="1">
        <f t="array" ref="EM55">IFERROR(IF(EM$7&gt;$D$3,"",IF(CE55="OD","OD",IF(CE55="Missed","Missed",IF(CE55="TBC","TBC",IF(CE55="Undefined","Undefined",_xlfn.XLOOKUP(EM$7,Design!$M$6:$BM$6,Design!$M$18:$BM$18/_xlfn.XLOOKUP(EM$7,Design!$M$6:$BM$6,Design!$M$17:$BM$17))))))),0)</f>
        <v/>
      </c>
      <c r="EN55" s="584" t="str" cm="1">
        <f t="array" ref="EN55">IFERROR(IF(EN$7&gt;$D$3,"",IF(CF55="OD","OD",IF(CF55="Missed","Missed",IF(CF55="TBC","TBC",IF(CF55="Undefined","Undefined",_xlfn.XLOOKUP(EN$7,Design!$M$6:$BM$6,Design!$M$18:$BM$18/_xlfn.XLOOKUP(EN$7,Design!$M$6:$BM$6,Design!$M$17:$BM$17))))))),0)</f>
        <v/>
      </c>
      <c r="EO55" s="584" t="str" cm="1">
        <f t="array" ref="EO55">IFERROR(IF(EO$7&gt;$D$3,"",IF(CG55="OD","OD",IF(CG55="Missed","Missed",IF(CG55="TBC","TBC",IF(CG55="Undefined","Undefined",_xlfn.XLOOKUP(EO$7,Design!$M$6:$BM$6,Design!$M$18:$BM$18/_xlfn.XLOOKUP(EO$7,Design!$M$6:$BM$6,Design!$M$17:$BM$17))))))),0)</f>
        <v/>
      </c>
      <c r="EP55" s="584" t="str" cm="1">
        <f t="array" ref="EP55">IFERROR(IF(EP$7&gt;$D$3,"",IF(CH55="OD","OD",IF(CH55="Missed","Missed",IF(CH55="TBC","TBC",IF(CH55="Undefined","Undefined",_xlfn.XLOOKUP(EP$7,Design!$M$6:$BM$6,Design!$M$18:$BM$18/_xlfn.XLOOKUP(EP$7,Design!$M$6:$BM$6,Design!$M$17:$BM$17))))))),0)</f>
        <v/>
      </c>
      <c r="EQ55" s="584" t="str" cm="1">
        <f t="array" ref="EQ55">IFERROR(IF(EQ$7&gt;$D$3,"",IF(CI55="OD","OD",IF(CI55="Missed","Missed",IF(CI55="TBC","TBC",IF(CI55="Undefined","Undefined",_xlfn.XLOOKUP(EQ$7,Design!$M$6:$BM$6,Design!$M$18:$BM$18/_xlfn.XLOOKUP(EQ$7,Design!$M$6:$BM$6,Design!$M$17:$BM$17))))))),0)</f>
        <v/>
      </c>
      <c r="ER55" s="584" t="str" cm="1">
        <f t="array" ref="ER55">IFERROR(IF(ER$7&gt;$D$3,"",IF(CJ55="OD","OD",IF(CJ55="Missed","Missed",IF(CJ55="TBC","TBC",IF(CJ55="Undefined","Undefined",_xlfn.XLOOKUP(ER$7,Design!$M$6:$BM$6,Design!$M$18:$BM$18/_xlfn.XLOOKUP(ER$7,Design!$M$6:$BM$6,Design!$M$17:$BM$17))))))),0)</f>
        <v/>
      </c>
      <c r="ES55" s="584" t="str" cm="1">
        <f t="array" ref="ES55">IFERROR(IF(ES$7&gt;$D$3,"",IF(CK55="OD","OD",IF(CK55="Missed","Missed",IF(CK55="TBC","TBC",IF(CK55="Undefined","Undefined",_xlfn.XLOOKUP(ES$7,Design!$M$6:$BM$6,Design!$M$18:$BM$18/_xlfn.XLOOKUP(ES$7,Design!$M$6:$BM$6,Design!$M$17:$BM$17))))))),0)</f>
        <v/>
      </c>
      <c r="ET55" s="584" t="str" cm="1">
        <f t="array" ref="ET55">IFERROR(IF(ET$7&gt;$D$3,"",IF(CL55="OD","OD",IF(CL55="Missed","Missed",IF(CL55="TBC","TBC",IF(CL55="Undefined","Undefined",_xlfn.XLOOKUP(ET$7,Design!$M$6:$BM$6,Design!$M$18:$BM$18/_xlfn.XLOOKUP(ET$7,Design!$M$6:$BM$6,Design!$M$17:$BM$17))))))),0)</f>
        <v/>
      </c>
      <c r="EU55" s="584" t="str" cm="1">
        <f t="array" ref="EU55">IFERROR(IF(EU$7&gt;$D$3,"",IF(CM55="OD","OD",IF(CM55="Missed","Missed",IF(CM55="TBC","TBC",IF(CM55="Undefined","Undefined",_xlfn.XLOOKUP(EU$7,Design!$M$6:$BM$6,Design!$M$18:$BM$18/_xlfn.XLOOKUP(EU$7,Design!$M$6:$BM$6,Design!$M$17:$BM$17))))))),0)</f>
        <v/>
      </c>
      <c r="EW55" s="465" t="str">
        <f>+$A55</f>
        <v>Design-KPI C1</v>
      </c>
      <c r="EX55" s="138" t="str">
        <f>+$C55</f>
        <v>KPI C1</v>
      </c>
      <c r="EY55" s="146" t="str">
        <f>+$D55</f>
        <v>Cost</v>
      </c>
      <c r="EZ55" s="146" t="str">
        <f>+$E55</f>
        <v>Opportunity Value Per design</v>
      </c>
      <c r="FA55" s="147" t="str">
        <f>+$F55</f>
        <v>£'s</v>
      </c>
      <c r="FB55" s="147" t="s">
        <v>251</v>
      </c>
      <c r="FC55" s="213" t="str">
        <f>IF(FC$7&gt;$D$3,"",IF($FA51&lt;FC$7,"OD",_xlfn.XLOOKUP(FC$7,Design!$M$6:$BM$6,Design!$M$18:$BM$18)))</f>
        <v>Blank</v>
      </c>
      <c r="FD55" s="213">
        <f>IF(FD$7&gt;$D$3,"",IF($FA51&lt;FD$7,"OD",_xlfn.XLOOKUP(FD$7,Design!$M$6:$BM$6,Design!$M$18:$BM$18)))</f>
        <v>131542.7059387677</v>
      </c>
      <c r="FE55" s="213">
        <f>IF(FE$7&gt;$D$3,"",IF($FA51&lt;FE$7,"OD",_xlfn.XLOOKUP(FE$7,Design!$M$6:$BM$6,Design!$M$18:$BM$18)))</f>
        <v>95420.927213453659</v>
      </c>
      <c r="FF55" s="213">
        <f>IF(FF$7&gt;$D$3,"",IF($FA51&lt;FF$7,"OD",_xlfn.XLOOKUP(FF$7,Design!$M$6:$BM$6,Design!$M$18:$BM$18)))</f>
        <v>252447.13386231897</v>
      </c>
      <c r="FG55" s="213">
        <f>IF(FG$7&gt;$D$3,"",IF($FA51&lt;FG$7,"OD",_xlfn.XLOOKUP(FG$7,Design!$M$6:$BM$6,Design!$M$18:$BM$18)))</f>
        <v>143566.15328988226</v>
      </c>
      <c r="FH55" s="213">
        <f>IF(FH$7&gt;$D$3,"",IF($FA51&lt;FH$7,"OD",_xlfn.XLOOKUP(FH$7,Design!$M$6:$BM$6,Design!$M$18:$BM$18)))</f>
        <v>135645.70986576605</v>
      </c>
      <c r="FI55" s="213">
        <f>IF(FI$7&gt;$D$3,"",IF($FA51&lt;FI$7,"OD",_xlfn.XLOOKUP(FI$7,Design!$M$6:$BM$6,Design!$M$18:$BM$18)))</f>
        <v>77657.02695974744</v>
      </c>
      <c r="FJ55" s="213">
        <f>IF(FJ$7&gt;$D$3,"",IF($FA51&lt;FJ$7,"OD",_xlfn.XLOOKUP(FJ$7,Design!$M$6:$BM$6,Design!$M$18:$BM$18)))</f>
        <v>211434.48339624764</v>
      </c>
      <c r="FK55" s="213">
        <f>IF(FK$7&gt;$D$3,"",IF($FA51&lt;FK$7,"OD",_xlfn.XLOOKUP(FK$7,Design!$M$6:$BM$6,Design!$M$18:$BM$18)))</f>
        <v>161039.42741504134</v>
      </c>
      <c r="FL55" s="213">
        <f>IF(FL$7&gt;$D$3,"",IF($FA51&lt;FL$7,"OD",_xlfn.XLOOKUP(FL$7,Design!$M$6:$BM$6,Design!$M$18:$BM$18)))</f>
        <v>133172.53581369063</v>
      </c>
      <c r="FM55" s="213">
        <f>IF(FM$7&gt;$D$3,"",IF($FA51&lt;FM$7,"OD",_xlfn.XLOOKUP(FM$7,Design!$M$6:$BM$6,Design!$M$18:$BM$18)))</f>
        <v>89839.791480018073</v>
      </c>
      <c r="FN55" s="213">
        <f>IF(FN$7&gt;$D$3,"",IF($FA51&lt;FN$7,"OD",_xlfn.XLOOKUP(FN$7,Design!$M$6:$BM$6,Design!$M$18:$BM$18)))</f>
        <v>240503.48036051422</v>
      </c>
      <c r="FO55" s="213">
        <f>IF(FO$7&gt;$D$3,"",IF($FA51&lt;FO$7,"OD",_xlfn.XLOOKUP(FO$7,Design!$M$6:$BM$6,Design!$M$18:$BM$18)))</f>
        <v>383125.33151537488</v>
      </c>
      <c r="FP55" s="213">
        <f>IF(FP$7&gt;$D$3,"",IF($FA51&lt;FP$7,"OD",_xlfn.XLOOKUP(FP$7,Design!$M$6:$BM$6,Design!$M$18:$BM$18)))</f>
        <v>595166.78986062878</v>
      </c>
      <c r="FQ55" s="213">
        <f>IF(FQ$7&gt;$D$3,"",IF($FA51&lt;FQ$7,"OD",_xlfn.XLOOKUP(FQ$7,Design!$M$6:$BM$6,Design!$M$18:$BM$18)))</f>
        <v>74942.536918996964</v>
      </c>
      <c r="FR55" s="213">
        <f>IF(FR$7&gt;$D$3,"",IF($FA51&lt;FR$7,"OD",_xlfn.XLOOKUP(FR$7,Design!$M$6:$BM$6,Design!$M$18:$BM$18)))</f>
        <v>161626.30149879478</v>
      </c>
      <c r="FS55" s="213">
        <f>IF(FS$7&gt;$D$3,"",IF($FA51&lt;FS$7,"OD",_xlfn.XLOOKUP(FS$7,Design!$M$6:$BM$6,Design!$M$18:$BM$18)))</f>
        <v>168037.90737707613</v>
      </c>
      <c r="FT55" s="213">
        <f>IF(FT$7&gt;$D$3,"",IF($FA51&lt;FT$7,"OD",_xlfn.XLOOKUP(FT$7,Design!$M$6:$BM$6,Design!$M$18:$BM$18)))</f>
        <v>123624.70279513692</v>
      </c>
      <c r="FU55" s="213">
        <f>IF(FU$7&gt;$D$3,"",IF($FA51&lt;FU$7,"OD",_xlfn.XLOOKUP(FU$7,Design!$M$6:$BM$6,Design!$M$18:$BM$18)))</f>
        <v>345181.303272049</v>
      </c>
      <c r="FV55" s="213">
        <f>IF(FV$7&gt;$D$3,"",IF($FA51&lt;FV$7,"OD",_xlfn.XLOOKUP(FV$7,Design!$M$6:$BM$6,Design!$M$18:$BM$18)))</f>
        <v>198596.91928988727</v>
      </c>
      <c r="FW55" s="213">
        <f>IF(FW$7&gt;$D$3,"",IF($FA51&lt;FW$7,"OD",_xlfn.XLOOKUP(FW$7,Design!$M$6:$BM$6,Design!$M$18:$BM$18)))</f>
        <v>122099.61601069217</v>
      </c>
      <c r="FX55" s="213">
        <f>IF(FX$7&gt;$D$3,"",IF($FA51&lt;FX$7,"OD",_xlfn.XLOOKUP(FX$7,Design!$M$6:$BM$6,Design!$M$18:$BM$18)))</f>
        <v>283729.33685728017</v>
      </c>
      <c r="FY55" s="213">
        <f>IF(FY$7&gt;$D$3,"",IF($FA51&lt;FY$7,"OD",_xlfn.XLOOKUP(FY$7,Design!$M$6:$BM$6,Design!$M$18:$BM$18)))</f>
        <v>292720.78231568064</v>
      </c>
      <c r="FZ55" s="213">
        <f>IF(FZ$7&gt;$D$3,"",IF($FA51&lt;FZ$7,"OD",_xlfn.XLOOKUP(FZ$7,Design!$M$6:$BM$6,Design!$M$18:$BM$18)))</f>
        <v>168758.04884984426</v>
      </c>
      <c r="GA55" s="213">
        <f>IF(GA$7&gt;$D$3,"",IF($FA51&lt;GA$7,"OD",_xlfn.XLOOKUP(GA$7,Design!$M$6:$BM$6,Design!$M$18:$BM$18)))</f>
        <v>192292.5246266147</v>
      </c>
      <c r="GB55" s="213">
        <f>IF(GB$7&gt;$D$3,"",IF($FA51&lt;GB$7,"OD",_xlfn.XLOOKUP(GB$7,Design!$M$6:$BM$6,Design!$M$18:$BM$18)))</f>
        <v>801566.26835283369</v>
      </c>
      <c r="GC55" s="213">
        <f>IF(GC$7&gt;$D$3,"",IF($FA51&lt;GC$7,"OD",_xlfn.XLOOKUP(GC$7,Design!$M$6:$BM$6,Design!$M$18:$BM$18)))</f>
        <v>322834.12340101699</v>
      </c>
      <c r="GD55" s="213">
        <f>IF(GD$7&gt;$D$3,"",IF($FA51&lt;GD$7,"OD",_xlfn.XLOOKUP(GD$7,Design!$M$6:$BM$6,Design!$M$18:$BM$18)))</f>
        <v>1076576.5548191532</v>
      </c>
      <c r="GE55" s="213">
        <f>IF(GE$7&gt;$D$3,"",IF($FA51&lt;GE$7,"OD",_xlfn.XLOOKUP(GE$7,Design!$M$6:$BM$6,Design!$M$18:$BM$18)))</f>
        <v>129554.11039594523</v>
      </c>
      <c r="GF55" s="213">
        <f>IF(GF$7&gt;$D$3,"",IF($FA51&lt;GF$7,"OD",_xlfn.XLOOKUP(GF$7,Design!$M$6:$BM$6,Design!$M$18:$BM$18)))</f>
        <v>198522.06394795747</v>
      </c>
      <c r="GG55" s="213">
        <f>IF(GG$7&gt;$D$3,"",IF($FA51&lt;GG$7,"OD",_xlfn.XLOOKUP(GG$7,Design!$M$6:$BM$6,Design!$M$18:$BM$18)))</f>
        <v>110532.0540668749</v>
      </c>
      <c r="GH55" s="213">
        <f>IF(GH$7&gt;$D$3,"",IF($FA51&lt;GH$7,"OD",_xlfn.XLOOKUP(GH$7,Design!$M$6:$BM$6,Design!$M$18:$BM$18)))</f>
        <v>105564.65597124163</v>
      </c>
      <c r="GI55" s="213">
        <f>IF(GI$7&gt;$D$3,"",IF($FA51&lt;GI$7,"OD",_xlfn.XLOOKUP(GI$7,Design!$M$6:$BM$6,Design!$M$18:$BM$18)))</f>
        <v>49538.206627680309</v>
      </c>
      <c r="GJ55" s="213">
        <f>IF(GJ$7&gt;$D$3,"",IF($FA51&lt;GJ$7,"OD",_xlfn.XLOOKUP(GJ$7,Design!$M$6:$BM$6,Design!$M$18:$BM$18)))</f>
        <v>28328.460038986352</v>
      </c>
      <c r="GK55" s="213">
        <f>IF(GK$7&gt;$D$3,"",IF($FA51&lt;GK$7,"OD",_xlfn.XLOOKUP(GK$7,Design!$M$6:$BM$6,Design!$M$18:$BM$18)))</f>
        <v>133024.11466749752</v>
      </c>
      <c r="GL55" s="213">
        <f>IF(GL$7&gt;$D$3,"",IF($FA51&lt;GL$7,"OD",_xlfn.XLOOKUP(GL$7,Design!$M$6:$BM$6,Design!$M$18:$BM$18)))</f>
        <v>174353.30869534952</v>
      </c>
      <c r="GM55" s="213">
        <f>IF(GM$7&gt;$D$3,"",IF($FA51&lt;GM$7,"OD",_xlfn.XLOOKUP(GM$7,Design!$M$6:$BM$6,Design!$M$18:$BM$18)))</f>
        <v>210216.74853534414</v>
      </c>
      <c r="GN55" s="213">
        <f>IF(GN$7&gt;$D$3,"",IF($FA51&lt;GN$7,"OD",_xlfn.XLOOKUP(GN$7,Design!$M$6:$BM$6,Design!$M$18:$BM$18)))</f>
        <v>124268.09435302479</v>
      </c>
      <c r="GO55" s="213">
        <f>IF(GO$7&gt;$D$3,"",IF($FA51&lt;GO$7,"OD",_xlfn.XLOOKUP(GO$7,Design!$M$6:$BM$6,Design!$M$18:$BM$18)))</f>
        <v>153929.24452468974</v>
      </c>
      <c r="GP55" s="213">
        <f>IF(GP$7&gt;$D$3,"",IF($FA51&lt;GP$7,"OD",_xlfn.XLOOKUP(GP$7,Design!$M$6:$BM$6,Design!$M$18:$BM$18)))</f>
        <v>181327</v>
      </c>
      <c r="GQ55" s="213">
        <f>IF(GQ$7&gt;$D$3,"",IF($FA51&lt;GQ$7,"OD",_xlfn.XLOOKUP(GQ$7,Design!$M$6:$BM$6,Design!$M$18:$BM$18)))</f>
        <v>211492</v>
      </c>
      <c r="GR55" s="213">
        <f>IF(GR$7&gt;$D$3,"",IF($FA51&lt;GR$7,"OD",_xlfn.XLOOKUP(GR$7,Design!$M$6:$BM$6,Design!$M$18:$BM$18)))</f>
        <v>286807</v>
      </c>
      <c r="GS55" s="213" t="str">
        <f>IF(GS$7&gt;$D$3,"",IF($FA51&lt;GS$7,"OD",_xlfn.XLOOKUP(GS$7,Design!$M$6:$BM$6,Design!$M$18:$BM$18)))</f>
        <v/>
      </c>
      <c r="GT55" s="213" t="str">
        <f>IF(GT$7&gt;$D$3,"",IF($FA51&lt;GT$7,"OD",_xlfn.XLOOKUP(GT$7,Design!$M$6:$BM$6,Design!$M$18:$BM$18)))</f>
        <v/>
      </c>
      <c r="GU55" s="213" t="str">
        <f>IF(GU$7&gt;$D$3,"",IF($FA51&lt;GU$7,"OD",_xlfn.XLOOKUP(GU$7,Design!$M$6:$BM$6,Design!$M$18:$BM$18)))</f>
        <v/>
      </c>
      <c r="GV55" s="213" t="str">
        <f>IF(GV$7&gt;$D$3,"",IF($FA51&lt;GV$7,"OD",_xlfn.XLOOKUP(GV$7,Design!$M$6:$BM$6,Design!$M$18:$BM$18)))</f>
        <v/>
      </c>
      <c r="GW55" s="213" t="str">
        <f>IF(GW$7&gt;$D$3,"",IF($FA51&lt;GW$7,"OD",_xlfn.XLOOKUP(GW$7,Design!$M$6:$BM$6,Design!$M$18:$BM$18)))</f>
        <v/>
      </c>
      <c r="GX55" s="213" t="str">
        <f>IF(GX$7&gt;$D$3,"",IF($FA51&lt;GX$7,"OD",_xlfn.XLOOKUP(GX$7,Design!$M$6:$BM$6,Design!$M$18:$BM$18)))</f>
        <v/>
      </c>
      <c r="GY55" s="213" t="str">
        <f>IF(GY$7&gt;$D$3,"",IF($FA51&lt;GY$7,"OD",_xlfn.XLOOKUP(GY$7,Design!$M$6:$BM$6,Design!$M$18:$BM$18)))</f>
        <v/>
      </c>
      <c r="GZ55" s="213" t="str">
        <f>IF(GZ$7&gt;$D$3,"",IF($FA51&lt;GZ$7,"OD",_xlfn.XLOOKUP(GZ$7,Design!$M$6:$BM$6,Design!$M$18:$BM$18)))</f>
        <v/>
      </c>
      <c r="HA55" s="213" t="str">
        <f>IF(HA$7&gt;$D$3,"",IF($FA51&lt;HA$7,"OD",_xlfn.XLOOKUP(HA$7,Design!$M$6:$BM$6,Design!$M$18:$BM$18)))</f>
        <v/>
      </c>
      <c r="HB55" s="213" t="str">
        <f>IF(HB$7&gt;$D$3,"",IF($FA51&lt;HB$7,"OD",_xlfn.XLOOKUP(HB$7,Design!$M$6:$BM$6,Design!$M$18:$BM$18)))</f>
        <v/>
      </c>
      <c r="HC55" s="213" t="str">
        <f>IF(HC$7&gt;$D$3,"",IF($FA51&lt;HC$7,"OD",_xlfn.XLOOKUP(HC$7,Design!$M$6:$BM$6,Design!$M$18:$BM$18)))</f>
        <v/>
      </c>
      <c r="HE55" s="138" t="str">
        <f>+$C55</f>
        <v>KPI C1</v>
      </c>
      <c r="HF55" s="146" t="str">
        <f>+$D55</f>
        <v>Cost</v>
      </c>
      <c r="HG55" s="146" t="str">
        <f>+$E55</f>
        <v>Opportunity Value Per design</v>
      </c>
      <c r="HH55" s="147" t="str">
        <f>+$F55</f>
        <v>£'s</v>
      </c>
      <c r="HI55" s="147" t="s">
        <v>44</v>
      </c>
      <c r="HJ55" s="213" t="s">
        <v>122</v>
      </c>
      <c r="HK55" s="213">
        <f>IF(HK$7&gt;$D$3,"",IF($FA51&lt;HK$7,"OD",_xlfn.XLOOKUP(HK$7,Design!$M$6:$BM$6,Design!$M$17:$BM$17)))</f>
        <v>171000</v>
      </c>
      <c r="HL55" s="213">
        <f>IF(HL$7&gt;$D$3,"",IF($FA51&lt;HL$7,"OD",_xlfn.XLOOKUP(HL$7,Design!$M$6:$BM$6,Design!$M$17:$BM$17)))</f>
        <v>171000</v>
      </c>
      <c r="HM55" s="213">
        <f>IF(HM$7&gt;$D$3,"",IF($FA51&lt;HM$7,"OD",_xlfn.XLOOKUP(HM$7,Design!$M$6:$BM$6,Design!$M$17:$BM$17)))</f>
        <v>171000</v>
      </c>
      <c r="HN55" s="213">
        <f>IF(HN$7&gt;$D$3,"",IF($FA51&lt;HN$7,"OD",_xlfn.XLOOKUP(HN$7,Design!$M$6:$BM$6,Design!$M$17:$BM$17)))</f>
        <v>171000</v>
      </c>
      <c r="HO55" s="213">
        <f>IF(HO$7&gt;$D$3,"",IF($FA51&lt;HO$7,"OD",_xlfn.XLOOKUP(HO$7,Design!$M$6:$BM$6,Design!$M$17:$BM$17)))</f>
        <v>171000</v>
      </c>
      <c r="HP55" s="213">
        <f>IF(HP$7&gt;$D$3,"",IF($FA51&lt;HP$7,"OD",_xlfn.XLOOKUP(HP$7,Design!$M$6:$BM$6,Design!$M$17:$BM$17)))</f>
        <v>171000</v>
      </c>
      <c r="HQ55" s="213">
        <f>IF(HQ$7&gt;$D$3,"",IF($FA51&lt;HQ$7,"OD",_xlfn.XLOOKUP(HQ$7,Design!$M$6:$BM$6,Design!$M$17:$BM$17)))</f>
        <v>171000</v>
      </c>
      <c r="HR55" s="213">
        <f>IF(HR$7&gt;$D$3,"",IF($FA51&lt;HR$7,"OD",_xlfn.XLOOKUP(HR$7,Design!$M$6:$BM$6,Design!$M$17:$BM$17)))</f>
        <v>171000</v>
      </c>
      <c r="HS55" s="213">
        <f>IF(HS$7&gt;$D$3,"",IF($FA51&lt;HS$7,"OD",_xlfn.XLOOKUP(HS$7,Design!$M$6:$BM$6,Design!$M$17:$BM$17)))</f>
        <v>171000</v>
      </c>
      <c r="HT55" s="213">
        <f>IF(HT$7&gt;$D$3,"",IF($FA51&lt;HT$7,"OD",_xlfn.XLOOKUP(HT$7,Design!$M$6:$BM$6,Design!$M$17:$BM$17)))</f>
        <v>171000</v>
      </c>
      <c r="HU55" s="213">
        <f>IF(HU$7&gt;$D$3,"",IF($FA51&lt;HU$7,"OD",_xlfn.XLOOKUP(HU$7,Design!$M$6:$BM$6,Design!$M$17:$BM$17)))</f>
        <v>171000</v>
      </c>
      <c r="HV55" s="213">
        <f>IF(HV$7&gt;$D$3,"",IF($FA51&lt;HV$7,"OD",_xlfn.XLOOKUP(HV$7,Design!$M$6:$BM$6,Design!$M$17:$BM$17)))</f>
        <v>171000</v>
      </c>
      <c r="HW55" s="213">
        <f>IF(HW$7&gt;$D$3,"",IF($FA51&lt;HW$7,"OD",_xlfn.XLOOKUP(HW$7,Design!$M$6:$BM$6,Design!$M$17:$BM$17)))</f>
        <v>171000</v>
      </c>
      <c r="HX55" s="213">
        <f>IF(HX$7&gt;$D$3,"",IF($FA51&lt;HX$7,"OD",_xlfn.XLOOKUP(HX$7,Design!$M$6:$BM$6,Design!$M$17:$BM$17)))</f>
        <v>171000</v>
      </c>
      <c r="HY55" s="213">
        <f>IF(HY$7&gt;$D$3,"",IF($FA51&lt;HY$7,"OD",_xlfn.XLOOKUP(HY$7,Design!$M$6:$BM$6,Design!$M$17:$BM$17)))</f>
        <v>171000</v>
      </c>
      <c r="HZ55" s="213">
        <f>IF(HZ$7&gt;$D$3,"",IF($FA51&lt;HZ$7,"OD",_xlfn.XLOOKUP(HZ$7,Design!$M$6:$BM$6,Design!$M$17:$BM$17)))</f>
        <v>171000</v>
      </c>
      <c r="IA55" s="213">
        <f>IF(IA$7&gt;$D$3,"",IF($FA51&lt;IA$7,"OD",_xlfn.XLOOKUP(IA$7,Design!$M$6:$BM$6,Design!$M$17:$BM$17)))</f>
        <v>171000</v>
      </c>
      <c r="IB55" s="213">
        <f>IF(IB$7&gt;$D$3,"",IF($FA51&lt;IB$7,"OD",_xlfn.XLOOKUP(IB$7,Design!$M$6:$BM$6,Design!$M$17:$BM$17)))</f>
        <v>171000</v>
      </c>
      <c r="IC55" s="213">
        <f>IF(IC$7&gt;$D$3,"",IF($FA51&lt;IC$7,"OD",_xlfn.XLOOKUP(IC$7,Design!$M$6:$BM$6,Design!$M$17:$BM$17)))</f>
        <v>171000</v>
      </c>
      <c r="ID55" s="213">
        <f>IF(ID$7&gt;$D$3,"",IF($FA51&lt;ID$7,"OD",_xlfn.XLOOKUP(ID$7,Design!$M$6:$BM$6,Design!$M$17:$BM$17)))</f>
        <v>171000</v>
      </c>
      <c r="IE55" s="213">
        <f>IF(IE$7&gt;$D$3,"",IF($FA51&lt;IE$7,"OD",_xlfn.XLOOKUP(IE$7,Design!$M$6:$BM$6,Design!$M$17:$BM$17)))</f>
        <v>171000</v>
      </c>
      <c r="IF55" s="213">
        <f>IF(IF$7&gt;$D$3,"",IF($FA51&lt;IF$7,"OD",_xlfn.XLOOKUP(IF$7,Design!$M$6:$BM$6,Design!$M$17:$BM$17)))</f>
        <v>171000</v>
      </c>
      <c r="IG55" s="213">
        <f>IF(IG$7&gt;$D$3,"",IF($FA51&lt;IG$7,"OD",_xlfn.XLOOKUP(IG$7,Design!$M$6:$BM$6,Design!$M$17:$BM$17)))</f>
        <v>171000</v>
      </c>
      <c r="IH55" s="213">
        <f>IF(IH$7&gt;$D$3,"",IF($FA51&lt;IH$7,"OD",_xlfn.XLOOKUP(IH$7,Design!$M$6:$BM$6,Design!$M$17:$BM$17)))</f>
        <v>171000</v>
      </c>
      <c r="II55" s="213">
        <f>IF(II$7&gt;$D$3,"",IF($FA51&lt;II$7,"OD",_xlfn.XLOOKUP(II$7,Design!$M$6:$BM$6,Design!$M$17:$BM$17)))</f>
        <v>171000</v>
      </c>
      <c r="IJ55" s="213">
        <f>IF(IJ$7&gt;$D$3,"",IF($FA51&lt;IJ$7,"OD",_xlfn.XLOOKUP(IJ$7,Design!$M$6:$BM$6,Design!$M$17:$BM$17)))</f>
        <v>171000</v>
      </c>
      <c r="IK55" s="213">
        <f>IF(IK$7&gt;$D$3,"",IF($FA51&lt;IK$7,"OD",_xlfn.XLOOKUP(IK$7,Design!$M$6:$BM$6,Design!$M$17:$BM$17)))</f>
        <v>171000</v>
      </c>
      <c r="IL55" s="213">
        <f>IF(IL$7&gt;$D$3,"",IF($FA51&lt;IL$7,"OD",_xlfn.XLOOKUP(IL$7,Design!$M$6:$BM$6,Design!$M$17:$BM$17)))</f>
        <v>171000</v>
      </c>
      <c r="IM55" s="213">
        <f>IF(IM$7&gt;$D$3,"",IF($FA51&lt;IM$7,"OD",_xlfn.XLOOKUP(IM$7,Design!$M$6:$BM$6,Design!$M$17:$BM$17)))</f>
        <v>171000</v>
      </c>
      <c r="IN55" s="213">
        <f>IF(IN$7&gt;$D$3,"",IF($FA51&lt;IN$7,"OD",_xlfn.XLOOKUP(IN$7,Design!$M$6:$BM$6,Design!$M$17:$BM$17)))</f>
        <v>171000</v>
      </c>
      <c r="IO55" s="213">
        <f>IF(IO$7&gt;$D$3,"",IF($FA51&lt;IO$7,"OD",_xlfn.XLOOKUP(IO$7,Design!$M$6:$BM$6,Design!$M$17:$BM$17)))</f>
        <v>171000</v>
      </c>
      <c r="IP55" s="213">
        <f>IF(IP$7&gt;$D$3,"",IF($FA51&lt;IP$7,"OD",_xlfn.XLOOKUP(IP$7,Design!$M$6:$BM$6,Design!$M$17:$BM$17)))</f>
        <v>171000</v>
      </c>
      <c r="IQ55" s="213">
        <f>IF(IQ$7&gt;$D$3,"",IF($FA51&lt;IQ$7,"OD",_xlfn.XLOOKUP(IQ$7,Design!$M$6:$BM$6,Design!$M$17:$BM$17)))</f>
        <v>171000</v>
      </c>
      <c r="IR55" s="213">
        <f>IF(IR$7&gt;$D$3,"",IF($FA51&lt;IR$7,"OD",_xlfn.XLOOKUP(IR$7,Design!$M$6:$BM$6,Design!$M$17:$BM$17)))</f>
        <v>171000</v>
      </c>
      <c r="IS55" s="213">
        <f>IF(IS$7&gt;$D$3,"",IF($FA51&lt;IS$7,"OD",_xlfn.XLOOKUP(IS$7,Design!$M$6:$BM$6,Design!$M$17:$BM$17)))</f>
        <v>171000</v>
      </c>
      <c r="IT55" s="213">
        <f>IF(IT$7&gt;$D$3,"",IF($FA51&lt;IT$7,"OD",_xlfn.XLOOKUP(IT$7,Design!$M$6:$BM$6,Design!$M$17:$BM$17)))</f>
        <v>171000</v>
      </c>
      <c r="IU55" s="213">
        <f>IF(IU$7&gt;$D$3,"",IF($FA51&lt;IU$7,"OD",_xlfn.XLOOKUP(IU$7,Design!$M$6:$BM$6,Design!$M$17:$BM$17)))</f>
        <v>171000</v>
      </c>
      <c r="IV55" s="213">
        <f>IF(IV$7&gt;$D$3,"",IF($FA51&lt;IV$7,"OD",_xlfn.XLOOKUP(IV$7,Design!$M$6:$BM$6,Design!$M$17:$BM$17)))</f>
        <v>171000</v>
      </c>
      <c r="IW55" s="213">
        <f>IF(IW$7&gt;$D$3,"",IF($FA51&lt;IW$7,"OD",_xlfn.XLOOKUP(IW$7,Design!$M$6:$BM$6,Design!$M$17:$BM$17)))</f>
        <v>171000</v>
      </c>
      <c r="IX55" s="213">
        <f>IF(IX$7&gt;$D$3,"",IF($FA51&lt;IX$7,"OD",_xlfn.XLOOKUP(IX$7,Design!$M$6:$BM$6,Design!$M$17:$BM$17)))</f>
        <v>171000</v>
      </c>
      <c r="IY55" s="213">
        <f>IF(IY$7&gt;$D$3,"",IF($FA51&lt;IY$7,"OD",_xlfn.XLOOKUP(IY$7,Design!$M$6:$BM$6,Design!$M$17:$BM$17)))</f>
        <v>171000</v>
      </c>
      <c r="IZ55" s="213" t="str">
        <f>IF(IZ$7&gt;$D$3,"",IF($FA51&lt;IZ$7,"OD",_xlfn.XLOOKUP(IZ$7,Design!$M$6:$BM$6,Design!$M$17:$BM$17)))</f>
        <v/>
      </c>
      <c r="JA55" s="213" t="str">
        <f>IF(JA$7&gt;$D$3,"",IF($FA51&lt;JA$7,"OD",_xlfn.XLOOKUP(JA$7,Design!$M$6:$BM$6,Design!$M$17:$BM$17)))</f>
        <v/>
      </c>
      <c r="JB55" s="213" t="str">
        <f>IF(JB$7&gt;$D$3,"",IF($FA51&lt;JB$7,"OD",_xlfn.XLOOKUP(JB$7,Design!$M$6:$BM$6,Design!$M$17:$BM$17)))</f>
        <v/>
      </c>
      <c r="JC55" s="213" t="str">
        <f>IF(JC$7&gt;$D$3,"",IF($FA51&lt;JC$7,"OD",_xlfn.XLOOKUP(JC$7,Design!$M$6:$BM$6,Design!$M$17:$BM$17)))</f>
        <v/>
      </c>
      <c r="JD55" s="213" t="str">
        <f>IF(JD$7&gt;$D$3,"",IF($FA51&lt;JD$7,"OD",_xlfn.XLOOKUP(JD$7,Design!$M$6:$BM$6,Design!$M$17:$BM$17)))</f>
        <v/>
      </c>
      <c r="JE55" s="213" t="str">
        <f>IF(JE$7&gt;$D$3,"",IF($FA51&lt;JE$7,"OD",_xlfn.XLOOKUP(JE$7,Design!$M$6:$BM$6,Design!$M$17:$BM$17)))</f>
        <v/>
      </c>
      <c r="JF55" s="213" t="str">
        <f>IF(JF$7&gt;$D$3,"",IF($FA51&lt;JF$7,"OD",_xlfn.XLOOKUP(JF$7,Design!$M$6:$BM$6,Design!$M$17:$BM$17)))</f>
        <v/>
      </c>
      <c r="JG55" s="213" t="str">
        <f>IF(JG$7&gt;$D$3,"",IF($FA51&lt;JG$7,"OD",_xlfn.XLOOKUP(JG$7,Design!$M$6:$BM$6,Design!$M$17:$BM$17)))</f>
        <v/>
      </c>
      <c r="JH55" s="213" t="str">
        <f>IF(JH$7&gt;$D$3,"",IF($FA51&lt;JH$7,"OD",_xlfn.XLOOKUP(JH$7,Design!$M$6:$BM$6,Design!$M$17:$BM$17)))</f>
        <v/>
      </c>
      <c r="JI55" s="213" t="str">
        <f>IF(JI$7&gt;$D$3,"",IF($FA51&lt;JI$7,"OD",_xlfn.XLOOKUP(JI$7,Design!$M$6:$BM$6,Design!$M$17:$BM$17)))</f>
        <v/>
      </c>
      <c r="JJ55" s="213" t="str">
        <f>IF(JJ$7&gt;$D$3,"",IF($FA51&lt;JJ$7,"OD",_xlfn.XLOOKUP(JJ$7,Design!$M$6:$BM$6,Design!$M$17:$BM$17)))</f>
        <v/>
      </c>
      <c r="JM55" s="138" t="str">
        <f>+$C55</f>
        <v>KPI C1</v>
      </c>
      <c r="JN55" s="146" t="str">
        <f>+$D55</f>
        <v>Cost</v>
      </c>
      <c r="JO55" s="146" t="str">
        <f>+$E55</f>
        <v>Opportunity Value Per design</v>
      </c>
      <c r="JP55" s="147" t="str">
        <f>+$F55</f>
        <v>£'s</v>
      </c>
      <c r="JQ55" s="147" t="s">
        <v>284</v>
      </c>
      <c r="JR55" s="227" t="str">
        <f>IFERROR(AVERAGE(FC55:$FC55),"")</f>
        <v/>
      </c>
      <c r="JS55" s="227">
        <f>IFERROR(AVERAGE($FC55:FD55),"")</f>
        <v>131542.7059387677</v>
      </c>
      <c r="JT55" s="227">
        <f>IFERROR(AVERAGE($FC55:FE55),"")</f>
        <v>113481.81657611068</v>
      </c>
      <c r="JU55" s="227">
        <f>IFERROR(AVERAGE($FC55:FF55),"")</f>
        <v>159803.58900484678</v>
      </c>
      <c r="JV55" s="227">
        <f>IFERROR(AVERAGE($FC55:FG55),"")</f>
        <v>155744.23007610565</v>
      </c>
      <c r="JW55" s="227">
        <f>IFERROR(AVERAGE($FC55:FH55),"")</f>
        <v>151724.52603403773</v>
      </c>
      <c r="JX55" s="227">
        <f>IFERROR(AVERAGE($FC55:FI55),"")</f>
        <v>139379.94285498935</v>
      </c>
      <c r="JY55" s="227">
        <f>IFERROR(AVERAGE($FC55:FJ55),"")</f>
        <v>149673.44864659765</v>
      </c>
      <c r="JZ55" s="227">
        <f>IFERROR(AVERAGE($FC55:FK55),"")</f>
        <v>151094.19599265311</v>
      </c>
      <c r="KA55" s="227">
        <f>IFERROR(AVERAGE($FC55:FL55),"")</f>
        <v>149102.90041721283</v>
      </c>
      <c r="KB55" s="227">
        <f>IFERROR(AVERAGE($FC55:FM55),"")</f>
        <v>143176.58952349337</v>
      </c>
      <c r="KC55" s="227">
        <f>IFERROR(AVERAGE($FC55:FN55),"")</f>
        <v>152024.48869049526</v>
      </c>
      <c r="KD55" s="227">
        <f>IFERROR(AVERAGE($FC55:FO55),"")</f>
        <v>171282.89225923523</v>
      </c>
      <c r="KE55" s="227">
        <f>IFERROR(AVERAGE($FC55:FP55),"")</f>
        <v>203889.34592088091</v>
      </c>
      <c r="KF55" s="227">
        <f>IFERROR(AVERAGE($FC55:FQ55),"")</f>
        <v>194678.85956360347</v>
      </c>
      <c r="KG55" s="227">
        <f>IFERROR(AVERAGE($FC55:FR55),"")</f>
        <v>192475.35569261623</v>
      </c>
      <c r="KH55" s="227">
        <f>IFERROR(AVERAGE($FC55:FS55),"")</f>
        <v>190948.01517289499</v>
      </c>
      <c r="KI55" s="227">
        <f>IFERROR(AVERAGE($FC55:FT55),"")</f>
        <v>186987.82032714449</v>
      </c>
      <c r="KJ55" s="227">
        <f>IFERROR(AVERAGE($FC55:FU55),"")</f>
        <v>195776.34715741698</v>
      </c>
      <c r="KK55" s="227">
        <f>IFERROR(AVERAGE($FC55:FV55),"")</f>
        <v>195924.79832228384</v>
      </c>
      <c r="KL55" s="227">
        <f>IFERROR(AVERAGE($FC55:FW55),"")</f>
        <v>192233.53920670424</v>
      </c>
      <c r="KM55" s="227">
        <f>IFERROR(AVERAGE($FC55:FX55),"")</f>
        <v>196590.48195196976</v>
      </c>
      <c r="KN55" s="227">
        <f>IFERROR(AVERAGE($FC55:FY55),"")</f>
        <v>200960.04105941116</v>
      </c>
      <c r="KO55" s="227">
        <f>IFERROR(AVERAGE($FC55:FZ55),"")</f>
        <v>199559.95444160391</v>
      </c>
      <c r="KP55" s="227">
        <f>IFERROR(AVERAGE($FC55:GA55),"")</f>
        <v>199257.14486597935</v>
      </c>
      <c r="KQ55" s="227">
        <f>IFERROR(AVERAGE($FC55:GB55),"")</f>
        <v>223349.50980545353</v>
      </c>
      <c r="KR55" s="227">
        <f>IFERROR(AVERAGE($FC55:GC55),"")</f>
        <v>227175.84109759057</v>
      </c>
      <c r="KS55" s="227">
        <f>IFERROR(AVERAGE($FC55:GD55),"")</f>
        <v>258635.1267909818</v>
      </c>
      <c r="KT55" s="227">
        <f>IFERROR(AVERAGE($FC55:GE55),"")</f>
        <v>254025.09049115909</v>
      </c>
      <c r="KU55" s="227">
        <f>IFERROR(AVERAGE($FC55:GF55),"")</f>
        <v>252111.19302415213</v>
      </c>
      <c r="KV55" s="227">
        <f>IFERROR(AVERAGE($FC55:GG55),"")</f>
        <v>247391.88839224289</v>
      </c>
      <c r="KW55" s="227">
        <f>IFERROR(AVERAGE($FC55:GH55),"")</f>
        <v>242816.81637866219</v>
      </c>
      <c r="KX55" s="227">
        <f>IFERROR(AVERAGE($FC55:GI55),"")</f>
        <v>236776.85982394399</v>
      </c>
      <c r="KY55" s="227">
        <f>IFERROR(AVERAGE($FC55:GJ55),"")</f>
        <v>230460.24164864223</v>
      </c>
      <c r="KZ55" s="227">
        <f>IFERROR(AVERAGE($FC55:GK55),"")</f>
        <v>227594.47320802032</v>
      </c>
      <c r="LA55" s="227">
        <f>IFERROR(AVERAGE($FC55:GL55),"")</f>
        <v>226073.29707908689</v>
      </c>
      <c r="LB55" s="227">
        <f>IFERROR(AVERAGE($FC55:GM55),"")</f>
        <v>225632.83739731627</v>
      </c>
      <c r="LC55" s="227">
        <f>IFERROR(AVERAGE($FC55:GN55),"")</f>
        <v>222893.24974747055</v>
      </c>
      <c r="LD55" s="227">
        <f>IFERROR(AVERAGE($FC55:GO55),"")</f>
        <v>221078.40750476581</v>
      </c>
      <c r="LE55" s="227">
        <f>IFERROR(AVERAGE($FC55:GP55),"")</f>
        <v>220059.14064566925</v>
      </c>
      <c r="LF55" s="227">
        <f>IFERROR(AVERAGE($FC55:GQ55),"")</f>
        <v>219844.96212952753</v>
      </c>
      <c r="LG55" s="227">
        <f>IFERROR(AVERAGE($FC55:GR55),"")</f>
        <v>221478.18256539269</v>
      </c>
      <c r="LH55" s="227">
        <f>IFERROR(AVERAGE($FC55:GS55),"")</f>
        <v>221478.18256539269</v>
      </c>
      <c r="LI55" s="227">
        <f>IFERROR(AVERAGE($FC55:GT55),"")</f>
        <v>221478.18256539269</v>
      </c>
      <c r="LJ55" s="227">
        <f>IFERROR(AVERAGE($FC55:GU55),"")</f>
        <v>221478.18256539269</v>
      </c>
      <c r="LK55" s="227">
        <f>IFERROR(AVERAGE($FC55:GV55),"")</f>
        <v>221478.18256539269</v>
      </c>
      <c r="LL55" s="227">
        <f>IFERROR(AVERAGE($FC55:GW55),"")</f>
        <v>221478.18256539269</v>
      </c>
      <c r="LM55" s="227">
        <f>IFERROR(AVERAGE($FC55:GX55),"")</f>
        <v>221478.18256539269</v>
      </c>
      <c r="LN55" s="227">
        <f>IFERROR(AVERAGE($FC55:GY55),"")</f>
        <v>221478.18256539269</v>
      </c>
      <c r="LO55" s="227">
        <f>IFERROR(AVERAGE($FC55:GZ55),"")</f>
        <v>221478.18256539269</v>
      </c>
      <c r="LP55" s="227">
        <f>IFERROR(AVERAGE($FC55:HA55),"")</f>
        <v>221478.18256539269</v>
      </c>
      <c r="LQ55" s="227">
        <f>IFERROR(AVERAGE($FC55:HB55),"")</f>
        <v>221478.18256539269</v>
      </c>
      <c r="LR55" s="227">
        <f>IFERROR(AVERAGE($FC55:HC55),"")</f>
        <v>221478.18256539269</v>
      </c>
      <c r="LT55" s="138" t="str">
        <f>+$C55</f>
        <v>KPI C1</v>
      </c>
      <c r="LU55" s="146" t="str">
        <f>+$D55</f>
        <v>Cost</v>
      </c>
      <c r="LV55" s="146" t="str">
        <f>+$E55</f>
        <v>Opportunity Value Per design</v>
      </c>
      <c r="LW55" s="147" t="str">
        <f>+$F55</f>
        <v>£'s</v>
      </c>
      <c r="LX55" s="147" t="s">
        <v>285</v>
      </c>
      <c r="LY55" s="213" t="str">
        <f>IFERROR(AVERAGE($HJ55:HJ55),"")</f>
        <v/>
      </c>
      <c r="LZ55" s="213">
        <f>IFERROR(IF(LAD$7&gt;$D$3,"",AVERAGE($HJ55:HK55)),"")</f>
        <v>171000</v>
      </c>
      <c r="MA55" s="213">
        <f>IFERROR(IF(MA$7&gt;$D$3,"",AVERAGE($HJ55:HL55)),"")</f>
        <v>171000</v>
      </c>
      <c r="MB55" s="213">
        <f>IFERROR(IF(MB$7&gt;$D$3,"",AVERAGE($HJ55:HM55)),"")</f>
        <v>171000</v>
      </c>
      <c r="MC55" s="213">
        <f>IFERROR(IF(MC$7&gt;$D$3,"",AVERAGE($HJ55:HN55)),"")</f>
        <v>171000</v>
      </c>
      <c r="MD55" s="213">
        <f>IFERROR(IF(MD$7&gt;$D$3,"",AVERAGE($HJ55:HO55)),"")</f>
        <v>171000</v>
      </c>
      <c r="ME55" s="213">
        <f>IFERROR(IF(ME$7&gt;$D$3,"",AVERAGE($HJ55:HP55)),"")</f>
        <v>171000</v>
      </c>
      <c r="MF55" s="213">
        <f>IFERROR(IF(MF$7&gt;$D$3,"",AVERAGE($HJ55:HQ55)),"")</f>
        <v>171000</v>
      </c>
      <c r="MG55" s="213">
        <f>IFERROR(IF(MG$7&gt;$D$3,"",AVERAGE($HJ55:HR55)),"")</f>
        <v>171000</v>
      </c>
      <c r="MH55" s="213">
        <f>IFERROR(IF(MH$7&gt;$D$3,"",AVERAGE($HJ55:HS55)),"")</f>
        <v>171000</v>
      </c>
      <c r="MI55" s="213">
        <f>IFERROR(IF(MI$7&gt;$D$3,"",AVERAGE($HJ55:HT55)),"")</f>
        <v>171000</v>
      </c>
      <c r="MJ55" s="213">
        <f>IFERROR(IF(MJ$7&gt;$D$3,"",AVERAGE($HJ55:HU55)),"")</f>
        <v>171000</v>
      </c>
      <c r="MK55" s="213">
        <f>IFERROR(IF(MK$7&gt;$D$3,"",AVERAGE($HJ55:HV55)),"")</f>
        <v>171000</v>
      </c>
      <c r="ML55" s="213">
        <f>IFERROR(IF(ML$7&gt;$D$3,"",AVERAGE($HJ55:HW55)),"")</f>
        <v>171000</v>
      </c>
      <c r="MM55" s="213">
        <f>IFERROR(IF(MM$7&gt;$D$3,"",AVERAGE($HJ55:HX55)),"")</f>
        <v>171000</v>
      </c>
      <c r="MN55" s="213">
        <f>IFERROR(IF(MN$7&gt;$D$3,"",AVERAGE($HJ55:HY55)),"")</f>
        <v>171000</v>
      </c>
      <c r="MO55" s="213">
        <f>IFERROR(IF(MO$7&gt;$D$3,"",AVERAGE($HJ55:HZ55)),"")</f>
        <v>171000</v>
      </c>
      <c r="MP55" s="213">
        <f>IFERROR(IF(MP$7&gt;$D$3,"",AVERAGE($HJ55:IA55)),"")</f>
        <v>171000</v>
      </c>
      <c r="MQ55" s="213">
        <f>IFERROR(IF(MQ$7&gt;$D$3,"",AVERAGE($HJ55:IB55)),"")</f>
        <v>171000</v>
      </c>
      <c r="MR55" s="213">
        <f>IFERROR(IF(MR$7&gt;$D$3,"",AVERAGE($HJ55:IC55)),"")</f>
        <v>171000</v>
      </c>
      <c r="MS55" s="213">
        <f>IFERROR(IF(MS$7&gt;$D$3,"",AVERAGE($HJ55:ID55)),"")</f>
        <v>171000</v>
      </c>
      <c r="MT55" s="213">
        <f>IFERROR(IF(MT$7&gt;$D$3,"",AVERAGE($HJ55:IE55)),"")</f>
        <v>171000</v>
      </c>
      <c r="MU55" s="213">
        <f>IFERROR(IF(MU$7&gt;$D$3,"",AVERAGE($HJ55:IF55)),"")</f>
        <v>171000</v>
      </c>
      <c r="MV55" s="213">
        <f>IFERROR(IF(MV$7&gt;$D$3,"",AVERAGE($HJ55:IG55)),"")</f>
        <v>171000</v>
      </c>
      <c r="MW55" s="213">
        <f>IFERROR(IF(MW$7&gt;$D$3,"",AVERAGE($HJ55:IH55)),"")</f>
        <v>171000</v>
      </c>
      <c r="MX55" s="213">
        <f>IFERROR(IF(MX$7&gt;$D$3,"",AVERAGE($HJ55:II55)),"")</f>
        <v>171000</v>
      </c>
      <c r="MY55" s="213">
        <f>IFERROR(IF(MY$7&gt;$D$3,"",AVERAGE($HJ55:IJ55)),"")</f>
        <v>171000</v>
      </c>
      <c r="MZ55" s="213">
        <f>IFERROR(IF(MZ$7&gt;$D$3,"",AVERAGE($HJ55:IK55)),"")</f>
        <v>171000</v>
      </c>
      <c r="NA55" s="213">
        <f>IFERROR(IF(NA$7&gt;$D$3,"",AVERAGE($HJ55:IL55)),"")</f>
        <v>171000</v>
      </c>
      <c r="NB55" s="213">
        <f>IFERROR(IF(NB$7&gt;$D$3,"",AVERAGE($HJ55:IM55)),"")</f>
        <v>171000</v>
      </c>
      <c r="NC55" s="213">
        <f>IFERROR(IF(NC$7&gt;$D$3,"",AVERAGE($HJ55:IN55)),"")</f>
        <v>171000</v>
      </c>
      <c r="ND55" s="213">
        <f>IFERROR(IF(ND$7&gt;$D$3,"",AVERAGE($HJ55:IO55)),"")</f>
        <v>171000</v>
      </c>
      <c r="NE55" s="213">
        <f>IFERROR(IF(NE$7&gt;$D$3,"",AVERAGE($HJ55:IP55)),"")</f>
        <v>171000</v>
      </c>
      <c r="NF55" s="213">
        <f>IFERROR(IF(NF$7&gt;$D$3,"",AVERAGE($HJ55:IQ55)),"")</f>
        <v>171000</v>
      </c>
      <c r="NG55" s="213">
        <f>IFERROR(IF(NG$7&gt;$D$3,"",AVERAGE($HJ55:IR55)),"")</f>
        <v>171000</v>
      </c>
      <c r="NH55" s="213">
        <f>IFERROR(IF(NH$7&gt;$D$3,"",AVERAGE($HJ55:IS55)),"")</f>
        <v>171000</v>
      </c>
      <c r="NI55" s="213">
        <f>IFERROR(IF(NI$7&gt;$D$3,"",AVERAGE($HJ55:IT55)),"")</f>
        <v>171000</v>
      </c>
      <c r="NJ55" s="213">
        <f>IFERROR(IF(NJ$7&gt;$D$3,"",AVERAGE($HJ55:IU55)),"")</f>
        <v>171000</v>
      </c>
      <c r="NK55" s="213">
        <f>IFERROR(IF(NK$7&gt;$D$3,"",AVERAGE($HJ55:IV55)),"")</f>
        <v>171000</v>
      </c>
      <c r="NL55" s="213">
        <f>IFERROR(IF(NL$7&gt;$D$3,"",AVERAGE($HJ55:IW55)),"")</f>
        <v>171000</v>
      </c>
      <c r="NM55" s="213">
        <f>IFERROR(IF(NM$7&gt;$D$3,"",AVERAGE($HJ55:IX55)),"")</f>
        <v>171000</v>
      </c>
      <c r="NN55" s="213">
        <f>IFERROR(IF(NN$7&gt;$D$3,"",AVERAGE($HJ55:IY55)),"")</f>
        <v>171000</v>
      </c>
      <c r="NO55" s="213" t="str">
        <f>IFERROR(IF(NO$7&gt;$D$3,"",AVERAGE($HJ55:IZ55)),"")</f>
        <v/>
      </c>
      <c r="NP55" s="213" t="str">
        <f>IFERROR(IF(NP$7&gt;$D$3,"",AVERAGE($HJ55:JA55)),"")</f>
        <v/>
      </c>
      <c r="NQ55" s="213" t="str">
        <f>IFERROR(IF(NQ$7&gt;$D$3,"",AVERAGE($HJ55:JB55)),"")</f>
        <v/>
      </c>
      <c r="NR55" s="213" t="str">
        <f>IFERROR(IF(NR$7&gt;$D$3,"",AVERAGE($HJ55:JC55)),"")</f>
        <v/>
      </c>
      <c r="NS55" s="213" t="str">
        <f>IFERROR(IF(NS$7&gt;$D$3,"",AVERAGE($HJ55:JD55)),"")</f>
        <v/>
      </c>
      <c r="NT55" s="213" t="str">
        <f>IFERROR(IF(NT$7&gt;$D$3,"",AVERAGE($HJ55:JE55)),"")</f>
        <v/>
      </c>
      <c r="NU55" s="213" t="str">
        <f>IFERROR(IF(NU$7&gt;$D$3,"",AVERAGE($HJ55:JF55)),"")</f>
        <v/>
      </c>
      <c r="NV55" s="213" t="str">
        <f>IFERROR(IF(NV$7&gt;$D$3,"",AVERAGE($HJ55:JG55)),"")</f>
        <v/>
      </c>
      <c r="NW55" s="213" t="str">
        <f>IFERROR(IF(NW$7&gt;$D$3,"",AVERAGE($HJ55:JH55)),"")</f>
        <v/>
      </c>
      <c r="NX55" s="213" t="str">
        <f>IFERROR(IF(NX$7&gt;$D$3,"",AVERAGE($HJ55:JI55)),"")</f>
        <v/>
      </c>
      <c r="NY55" s="213" t="str">
        <f>IFERROR(IF(NY$7&gt;$D$3,"",AVERAGE($HJ55:JJ55)),"")</f>
        <v/>
      </c>
    </row>
    <row r="56" spans="1:389" ht="15" thickBot="1" x14ac:dyDescent="0.35">
      <c r="AB56" s="292"/>
      <c r="AH56" s="465"/>
      <c r="AN56" s="201"/>
      <c r="CO56" s="465"/>
      <c r="CV56" s="316"/>
      <c r="CW56" s="316"/>
      <c r="CX56" s="316"/>
      <c r="CY56" s="316"/>
      <c r="CZ56" s="316"/>
      <c r="DA56" s="316"/>
      <c r="DB56" s="316"/>
      <c r="DC56" s="316"/>
      <c r="DD56" s="316"/>
      <c r="DE56" s="316"/>
      <c r="DF56" s="316"/>
      <c r="DG56" s="316"/>
      <c r="DH56" s="316"/>
      <c r="DI56" s="316"/>
      <c r="DJ56" s="316"/>
      <c r="DK56" s="316"/>
      <c r="DL56" s="316"/>
      <c r="DM56" s="316"/>
      <c r="DN56" s="316"/>
      <c r="DO56" s="316"/>
      <c r="DP56" s="316"/>
      <c r="DQ56" s="316"/>
      <c r="DR56" s="316"/>
      <c r="DS56" s="316"/>
      <c r="DT56" s="316"/>
      <c r="DU56" s="316"/>
      <c r="DV56" s="316"/>
      <c r="DW56" s="316"/>
      <c r="DX56" s="316"/>
      <c r="DY56" s="316"/>
      <c r="DZ56" s="316"/>
      <c r="EA56" s="316"/>
      <c r="EB56" s="316"/>
      <c r="EC56" s="316"/>
      <c r="ED56" s="316"/>
      <c r="EE56" s="316"/>
      <c r="EF56" s="316"/>
      <c r="EG56" s="316"/>
      <c r="EH56" s="316"/>
      <c r="EI56" s="316"/>
      <c r="EJ56" s="316"/>
      <c r="EK56" s="316"/>
      <c r="EL56" s="316"/>
      <c r="EM56" s="316"/>
      <c r="EN56" s="316"/>
      <c r="EO56" s="316"/>
      <c r="EP56" s="316"/>
      <c r="EQ56" s="316"/>
      <c r="ER56" s="316"/>
      <c r="ES56" s="316"/>
      <c r="ET56" s="316"/>
      <c r="EU56" s="316"/>
      <c r="EW56" s="465"/>
      <c r="FC56" s="201"/>
      <c r="FD56" s="201"/>
      <c r="FE56" s="201"/>
      <c r="FF56" s="201"/>
      <c r="FG56" s="201"/>
      <c r="FH56" s="201"/>
      <c r="FI56" s="201"/>
      <c r="FJ56" s="201"/>
      <c r="FK56" s="201"/>
      <c r="FL56" s="201"/>
      <c r="FM56" s="201"/>
      <c r="FN56" s="201"/>
      <c r="FO56" s="201"/>
      <c r="FP56" s="201"/>
      <c r="FQ56" s="201"/>
      <c r="FR56" s="201"/>
      <c r="FS56" s="201"/>
      <c r="FT56" s="201"/>
      <c r="FU56" s="201"/>
      <c r="FV56" s="201"/>
      <c r="FW56" s="201"/>
      <c r="FX56" s="201"/>
      <c r="FY56" s="201"/>
      <c r="FZ56" s="201"/>
      <c r="GA56" s="201"/>
      <c r="GB56" s="201"/>
      <c r="GC56" s="201"/>
      <c r="GD56" s="201"/>
      <c r="GE56" s="201"/>
      <c r="GF56" s="201"/>
      <c r="GG56" s="201"/>
      <c r="GH56" s="201"/>
      <c r="GI56" s="201"/>
      <c r="GJ56" s="201"/>
      <c r="GK56" s="201"/>
      <c r="GL56" s="201"/>
      <c r="GM56" s="201"/>
      <c r="GN56" s="201"/>
      <c r="GO56" s="201"/>
      <c r="GP56" s="201"/>
      <c r="GQ56" s="201"/>
      <c r="GR56" s="201"/>
      <c r="GS56" s="201"/>
      <c r="GT56" s="201"/>
      <c r="GU56" s="201"/>
      <c r="GV56" s="201"/>
      <c r="GW56" s="201"/>
      <c r="GX56" s="201"/>
      <c r="GY56" s="201"/>
      <c r="GZ56" s="201"/>
      <c r="HA56" s="201"/>
      <c r="HB56" s="201"/>
      <c r="HC56" s="201"/>
      <c r="HJ56" s="201"/>
      <c r="HK56" s="201"/>
      <c r="HL56" s="249"/>
      <c r="HM56" s="249"/>
      <c r="HN56" s="249"/>
      <c r="HO56" s="249"/>
      <c r="HP56" s="249"/>
      <c r="HQ56" s="249"/>
      <c r="HR56" s="249"/>
      <c r="HS56" s="249"/>
      <c r="HT56" s="249"/>
      <c r="HU56" s="249"/>
      <c r="HV56" s="249"/>
      <c r="HW56" s="249"/>
      <c r="HX56" s="249"/>
      <c r="HY56" s="249"/>
      <c r="HZ56" s="249"/>
      <c r="IA56" s="249"/>
      <c r="IB56" s="249"/>
      <c r="IC56" s="249"/>
      <c r="ID56" s="249"/>
      <c r="IE56" s="249"/>
      <c r="IF56" s="249"/>
      <c r="IG56" s="249"/>
      <c r="IH56" s="249"/>
      <c r="II56" s="249"/>
      <c r="IJ56" s="249"/>
      <c r="IK56" s="249"/>
      <c r="IL56" s="249"/>
      <c r="IM56" s="249"/>
      <c r="IN56" s="249"/>
      <c r="IO56" s="249"/>
      <c r="IP56" s="249"/>
      <c r="IQ56" s="249"/>
      <c r="IR56" s="249"/>
      <c r="IS56" s="249"/>
      <c r="IT56" s="249"/>
      <c r="IU56" s="249"/>
      <c r="IV56" s="249"/>
      <c r="IW56" s="249"/>
      <c r="IX56" s="249"/>
      <c r="IY56" s="249"/>
      <c r="IZ56" s="249"/>
      <c r="JA56" s="249"/>
      <c r="JB56" s="249"/>
      <c r="JC56" s="249"/>
      <c r="JD56" s="249"/>
      <c r="JE56" s="249"/>
      <c r="JF56" s="249"/>
      <c r="JG56" s="249"/>
      <c r="JH56" s="249"/>
      <c r="JI56" s="249"/>
      <c r="JJ56" s="249"/>
      <c r="JR56" s="249"/>
      <c r="JS56" s="249"/>
      <c r="JT56" s="249"/>
      <c r="JU56" s="249"/>
      <c r="JV56" s="249"/>
      <c r="JW56" s="249"/>
      <c r="JX56" s="249"/>
      <c r="JY56" s="249"/>
      <c r="JZ56" s="249"/>
      <c r="KA56" s="249"/>
      <c r="KB56" s="249"/>
      <c r="KC56" s="249"/>
      <c r="KD56" s="249"/>
      <c r="KE56" s="249"/>
      <c r="KF56" s="249"/>
      <c r="KG56" s="249"/>
      <c r="KH56" s="249"/>
      <c r="KI56" s="249"/>
      <c r="KJ56" s="249"/>
      <c r="KK56" s="249"/>
      <c r="KL56" s="249"/>
      <c r="KM56" s="249"/>
      <c r="KN56" s="249"/>
      <c r="KO56" s="249"/>
      <c r="KP56" s="249"/>
      <c r="KQ56" s="249"/>
      <c r="KR56" s="249"/>
      <c r="KS56" s="249"/>
      <c r="KT56" s="249"/>
      <c r="KU56" s="249"/>
      <c r="KV56" s="249"/>
      <c r="KW56" s="249"/>
      <c r="KX56" s="249"/>
      <c r="KY56" s="249"/>
      <c r="KZ56" s="249"/>
      <c r="LA56" s="249"/>
      <c r="LB56" s="249"/>
      <c r="LC56" s="249"/>
      <c r="LD56" s="249"/>
      <c r="LE56" s="249"/>
      <c r="LF56" s="249"/>
      <c r="LG56" s="249"/>
      <c r="LH56" s="249"/>
      <c r="LI56" s="249"/>
      <c r="LJ56" s="249"/>
      <c r="LK56" s="249"/>
      <c r="LL56" s="249"/>
      <c r="LM56" s="249"/>
      <c r="LN56" s="249"/>
      <c r="LO56" s="249"/>
      <c r="LP56" s="249"/>
      <c r="LQ56" s="249"/>
      <c r="LR56" s="249"/>
      <c r="LY56" s="201"/>
      <c r="LZ56" s="201"/>
      <c r="MA56" s="201"/>
      <c r="MB56" s="201"/>
      <c r="MC56" s="201"/>
      <c r="MD56" s="201"/>
      <c r="ME56" s="201"/>
      <c r="MF56" s="201"/>
      <c r="MG56" s="201"/>
      <c r="MH56" s="201"/>
      <c r="MI56" s="201"/>
      <c r="MJ56" s="201"/>
      <c r="MK56" s="201"/>
      <c r="ML56" s="201"/>
      <c r="MM56" s="201"/>
      <c r="MN56" s="201"/>
      <c r="MO56" s="201"/>
      <c r="MP56" s="201"/>
      <c r="MQ56" s="201"/>
      <c r="MR56" s="201"/>
      <c r="MS56" s="201"/>
      <c r="MT56" s="201"/>
      <c r="MU56" s="201"/>
      <c r="MV56" s="201"/>
      <c r="MW56" s="201"/>
      <c r="MX56" s="201"/>
      <c r="MY56" s="201"/>
      <c r="MZ56" s="201"/>
      <c r="NA56" s="201"/>
      <c r="NB56" s="201"/>
      <c r="NC56" s="201"/>
      <c r="ND56" s="201"/>
      <c r="NE56" s="201"/>
      <c r="NF56" s="201"/>
      <c r="NG56" s="201"/>
      <c r="NH56" s="201"/>
      <c r="NI56" s="201"/>
      <c r="NJ56" s="201"/>
      <c r="NK56" s="201"/>
      <c r="NL56" s="201"/>
      <c r="NM56" s="201"/>
      <c r="NN56" s="201"/>
      <c r="NO56" s="201"/>
      <c r="NP56" s="201"/>
      <c r="NQ56" s="201"/>
      <c r="NR56" s="201"/>
      <c r="NS56" s="201"/>
      <c r="NT56" s="201"/>
      <c r="NU56" s="201"/>
      <c r="NV56" s="201"/>
      <c r="NW56" s="201"/>
      <c r="NX56" s="201"/>
      <c r="NY56" s="201"/>
    </row>
    <row r="57" spans="1:389" ht="28.2" customHeight="1" thickBot="1" x14ac:dyDescent="0.35">
      <c r="B57" s="180" t="str">
        <f>+'KPI Stats'!B56</f>
        <v>Bridgend Manuf</v>
      </c>
      <c r="C57" s="133" t="str">
        <f>+'KPI Stats'!C56</f>
        <v>Garin Bowen</v>
      </c>
      <c r="D57" s="134"/>
      <c r="E57" s="141" t="str">
        <f>+'KPI Stats'!E56</f>
        <v>Completed to Week</v>
      </c>
      <c r="F57" s="141">
        <f>+'KPI Stats'!F56</f>
        <v>42</v>
      </c>
      <c r="G57" s="181" t="s">
        <v>506</v>
      </c>
      <c r="J57" s="181" t="str">
        <f>+$B57</f>
        <v>Bridgend Manuf</v>
      </c>
      <c r="K57" s="181"/>
      <c r="L57" s="182"/>
      <c r="M57" s="183"/>
      <c r="P57" s="181" t="str">
        <f>+$B57</f>
        <v>Bridgend Manuf</v>
      </c>
      <c r="Q57" s="181"/>
      <c r="R57" s="439"/>
      <c r="S57" s="183"/>
      <c r="T57" s="183"/>
      <c r="U57" s="291"/>
      <c r="X57" s="181" t="str">
        <f>+$B57</f>
        <v>Bridgend Manuf</v>
      </c>
      <c r="Y57" s="181"/>
      <c r="Z57" s="181"/>
      <c r="AA57" s="183"/>
      <c r="AB57" s="291"/>
      <c r="AC57" s="181" t="str">
        <f>+$B57</f>
        <v>Bridgend Manuf</v>
      </c>
      <c r="AD57" s="181"/>
      <c r="AE57" s="181"/>
      <c r="AF57" s="183"/>
      <c r="AH57" s="465"/>
      <c r="AI57" s="191" t="str">
        <f>+B58</f>
        <v>Manufacturing Bridgend</v>
      </c>
      <c r="AJ57" s="192"/>
      <c r="AK57" s="141" t="str">
        <f t="shared" ref="AK57:AL61" si="184">+E57</f>
        <v>Completed to Week</v>
      </c>
      <c r="AL57" s="141">
        <f t="shared" si="184"/>
        <v>42</v>
      </c>
      <c r="AM57" s="209" t="str">
        <f>+$B57</f>
        <v>Bridgend Manuf</v>
      </c>
      <c r="AN57" s="210" t="str">
        <f t="shared" ref="AN57:CM57" si="185">+$B57</f>
        <v>Bridgend Manuf</v>
      </c>
      <c r="AO57" s="209" t="str">
        <f t="shared" si="185"/>
        <v>Bridgend Manuf</v>
      </c>
      <c r="AP57" s="209" t="str">
        <f t="shared" si="185"/>
        <v>Bridgend Manuf</v>
      </c>
      <c r="AQ57" s="209" t="str">
        <f t="shared" si="185"/>
        <v>Bridgend Manuf</v>
      </c>
      <c r="AR57" s="209" t="str">
        <f t="shared" si="185"/>
        <v>Bridgend Manuf</v>
      </c>
      <c r="AS57" s="209" t="str">
        <f t="shared" si="185"/>
        <v>Bridgend Manuf</v>
      </c>
      <c r="AT57" s="209" t="str">
        <f t="shared" si="185"/>
        <v>Bridgend Manuf</v>
      </c>
      <c r="AU57" s="209" t="str">
        <f t="shared" si="185"/>
        <v>Bridgend Manuf</v>
      </c>
      <c r="AV57" s="209" t="str">
        <f t="shared" si="185"/>
        <v>Bridgend Manuf</v>
      </c>
      <c r="AW57" s="209" t="str">
        <f t="shared" si="185"/>
        <v>Bridgend Manuf</v>
      </c>
      <c r="AX57" s="209" t="str">
        <f t="shared" si="185"/>
        <v>Bridgend Manuf</v>
      </c>
      <c r="AY57" s="209" t="str">
        <f t="shared" si="185"/>
        <v>Bridgend Manuf</v>
      </c>
      <c r="AZ57" s="209" t="str">
        <f t="shared" si="185"/>
        <v>Bridgend Manuf</v>
      </c>
      <c r="BA57" s="209" t="str">
        <f t="shared" si="185"/>
        <v>Bridgend Manuf</v>
      </c>
      <c r="BB57" s="209" t="str">
        <f t="shared" si="185"/>
        <v>Bridgend Manuf</v>
      </c>
      <c r="BC57" s="209" t="str">
        <f t="shared" si="185"/>
        <v>Bridgend Manuf</v>
      </c>
      <c r="BD57" s="209" t="str">
        <f t="shared" si="185"/>
        <v>Bridgend Manuf</v>
      </c>
      <c r="BE57" s="209" t="str">
        <f t="shared" si="185"/>
        <v>Bridgend Manuf</v>
      </c>
      <c r="BF57" s="209" t="str">
        <f t="shared" si="185"/>
        <v>Bridgend Manuf</v>
      </c>
      <c r="BG57" s="209" t="str">
        <f t="shared" si="185"/>
        <v>Bridgend Manuf</v>
      </c>
      <c r="BH57" s="209" t="str">
        <f t="shared" si="185"/>
        <v>Bridgend Manuf</v>
      </c>
      <c r="BI57" s="209" t="str">
        <f t="shared" si="185"/>
        <v>Bridgend Manuf</v>
      </c>
      <c r="BJ57" s="209" t="str">
        <f t="shared" si="185"/>
        <v>Bridgend Manuf</v>
      </c>
      <c r="BK57" s="209" t="str">
        <f t="shared" si="185"/>
        <v>Bridgend Manuf</v>
      </c>
      <c r="BL57" s="209" t="str">
        <f t="shared" si="185"/>
        <v>Bridgend Manuf</v>
      </c>
      <c r="BM57" s="209" t="str">
        <f t="shared" si="185"/>
        <v>Bridgend Manuf</v>
      </c>
      <c r="BN57" s="209" t="str">
        <f t="shared" si="185"/>
        <v>Bridgend Manuf</v>
      </c>
      <c r="BO57" s="209" t="str">
        <f t="shared" si="185"/>
        <v>Bridgend Manuf</v>
      </c>
      <c r="BP57" s="209" t="str">
        <f t="shared" si="185"/>
        <v>Bridgend Manuf</v>
      </c>
      <c r="BQ57" s="209" t="str">
        <f t="shared" si="185"/>
        <v>Bridgend Manuf</v>
      </c>
      <c r="BR57" s="209" t="str">
        <f t="shared" si="185"/>
        <v>Bridgend Manuf</v>
      </c>
      <c r="BS57" s="209" t="str">
        <f t="shared" si="185"/>
        <v>Bridgend Manuf</v>
      </c>
      <c r="BT57" s="209" t="str">
        <f t="shared" si="185"/>
        <v>Bridgend Manuf</v>
      </c>
      <c r="BU57" s="209" t="str">
        <f t="shared" si="185"/>
        <v>Bridgend Manuf</v>
      </c>
      <c r="BV57" s="209" t="str">
        <f t="shared" si="185"/>
        <v>Bridgend Manuf</v>
      </c>
      <c r="BW57" s="209" t="str">
        <f t="shared" si="185"/>
        <v>Bridgend Manuf</v>
      </c>
      <c r="BX57" s="209" t="str">
        <f t="shared" si="185"/>
        <v>Bridgend Manuf</v>
      </c>
      <c r="BY57" s="209" t="str">
        <f t="shared" si="185"/>
        <v>Bridgend Manuf</v>
      </c>
      <c r="BZ57" s="209" t="str">
        <f t="shared" si="185"/>
        <v>Bridgend Manuf</v>
      </c>
      <c r="CA57" s="209" t="str">
        <f t="shared" si="185"/>
        <v>Bridgend Manuf</v>
      </c>
      <c r="CB57" s="209" t="str">
        <f t="shared" si="185"/>
        <v>Bridgend Manuf</v>
      </c>
      <c r="CC57" s="209" t="str">
        <f t="shared" si="185"/>
        <v>Bridgend Manuf</v>
      </c>
      <c r="CD57" s="209" t="str">
        <f t="shared" si="185"/>
        <v>Bridgend Manuf</v>
      </c>
      <c r="CE57" s="209" t="str">
        <f t="shared" si="185"/>
        <v>Bridgend Manuf</v>
      </c>
      <c r="CF57" s="209" t="str">
        <f t="shared" si="185"/>
        <v>Bridgend Manuf</v>
      </c>
      <c r="CG57" s="209" t="str">
        <f t="shared" si="185"/>
        <v>Bridgend Manuf</v>
      </c>
      <c r="CH57" s="209" t="str">
        <f t="shared" si="185"/>
        <v>Bridgend Manuf</v>
      </c>
      <c r="CI57" s="209" t="str">
        <f t="shared" si="185"/>
        <v>Bridgend Manuf</v>
      </c>
      <c r="CJ57" s="209" t="str">
        <f t="shared" si="185"/>
        <v>Bridgend Manuf</v>
      </c>
      <c r="CK57" s="209" t="str">
        <f t="shared" si="185"/>
        <v>Bridgend Manuf</v>
      </c>
      <c r="CL57" s="209" t="str">
        <f t="shared" si="185"/>
        <v>Bridgend Manuf</v>
      </c>
      <c r="CM57" s="209" t="str">
        <f t="shared" si="185"/>
        <v>Bridgend Manuf</v>
      </c>
      <c r="CO57" s="465"/>
      <c r="CP57" s="191" t="str">
        <f>+B58</f>
        <v>Manufacturing Bridgend</v>
      </c>
      <c r="CQ57" s="192"/>
      <c r="CR57" s="141" t="str">
        <f t="shared" ref="CR57:CS61" si="186">+E57</f>
        <v>Completed to Week</v>
      </c>
      <c r="CS57" s="141">
        <f t="shared" si="186"/>
        <v>42</v>
      </c>
      <c r="CT57" s="351" t="str">
        <f>+G57</f>
        <v>Weekly KPI</v>
      </c>
      <c r="CU57" s="209" t="str">
        <f>+$B57</f>
        <v>Bridgend Manuf</v>
      </c>
      <c r="CV57" s="321" t="str">
        <f t="shared" ref="CV57:EU57" si="187">+$B57</f>
        <v>Bridgend Manuf</v>
      </c>
      <c r="CW57" s="321" t="str">
        <f t="shared" si="187"/>
        <v>Bridgend Manuf</v>
      </c>
      <c r="CX57" s="321" t="str">
        <f t="shared" si="187"/>
        <v>Bridgend Manuf</v>
      </c>
      <c r="CY57" s="321" t="str">
        <f t="shared" si="187"/>
        <v>Bridgend Manuf</v>
      </c>
      <c r="CZ57" s="321" t="str">
        <f t="shared" si="187"/>
        <v>Bridgend Manuf</v>
      </c>
      <c r="DA57" s="321" t="str">
        <f t="shared" si="187"/>
        <v>Bridgend Manuf</v>
      </c>
      <c r="DB57" s="321" t="str">
        <f t="shared" si="187"/>
        <v>Bridgend Manuf</v>
      </c>
      <c r="DC57" s="321" t="str">
        <f t="shared" si="187"/>
        <v>Bridgend Manuf</v>
      </c>
      <c r="DD57" s="321" t="str">
        <f t="shared" si="187"/>
        <v>Bridgend Manuf</v>
      </c>
      <c r="DE57" s="321" t="str">
        <f t="shared" si="187"/>
        <v>Bridgend Manuf</v>
      </c>
      <c r="DF57" s="321" t="str">
        <f t="shared" si="187"/>
        <v>Bridgend Manuf</v>
      </c>
      <c r="DG57" s="321" t="str">
        <f t="shared" si="187"/>
        <v>Bridgend Manuf</v>
      </c>
      <c r="DH57" s="321" t="str">
        <f t="shared" si="187"/>
        <v>Bridgend Manuf</v>
      </c>
      <c r="DI57" s="321" t="str">
        <f t="shared" si="187"/>
        <v>Bridgend Manuf</v>
      </c>
      <c r="DJ57" s="321" t="str">
        <f t="shared" si="187"/>
        <v>Bridgend Manuf</v>
      </c>
      <c r="DK57" s="321" t="str">
        <f t="shared" si="187"/>
        <v>Bridgend Manuf</v>
      </c>
      <c r="DL57" s="321" t="str">
        <f t="shared" si="187"/>
        <v>Bridgend Manuf</v>
      </c>
      <c r="DM57" s="321" t="str">
        <f t="shared" si="187"/>
        <v>Bridgend Manuf</v>
      </c>
      <c r="DN57" s="321" t="str">
        <f t="shared" si="187"/>
        <v>Bridgend Manuf</v>
      </c>
      <c r="DO57" s="321" t="str">
        <f t="shared" si="187"/>
        <v>Bridgend Manuf</v>
      </c>
      <c r="DP57" s="321" t="str">
        <f t="shared" si="187"/>
        <v>Bridgend Manuf</v>
      </c>
      <c r="DQ57" s="321" t="str">
        <f t="shared" si="187"/>
        <v>Bridgend Manuf</v>
      </c>
      <c r="DR57" s="321" t="str">
        <f t="shared" si="187"/>
        <v>Bridgend Manuf</v>
      </c>
      <c r="DS57" s="321" t="str">
        <f t="shared" si="187"/>
        <v>Bridgend Manuf</v>
      </c>
      <c r="DT57" s="321" t="str">
        <f t="shared" si="187"/>
        <v>Bridgend Manuf</v>
      </c>
      <c r="DU57" s="321" t="str">
        <f t="shared" si="187"/>
        <v>Bridgend Manuf</v>
      </c>
      <c r="DV57" s="321" t="str">
        <f t="shared" si="187"/>
        <v>Bridgend Manuf</v>
      </c>
      <c r="DW57" s="321" t="str">
        <f t="shared" si="187"/>
        <v>Bridgend Manuf</v>
      </c>
      <c r="DX57" s="321" t="str">
        <f t="shared" si="187"/>
        <v>Bridgend Manuf</v>
      </c>
      <c r="DY57" s="321" t="str">
        <f t="shared" si="187"/>
        <v>Bridgend Manuf</v>
      </c>
      <c r="DZ57" s="321" t="str">
        <f t="shared" si="187"/>
        <v>Bridgend Manuf</v>
      </c>
      <c r="EA57" s="321" t="str">
        <f t="shared" si="187"/>
        <v>Bridgend Manuf</v>
      </c>
      <c r="EB57" s="321" t="str">
        <f t="shared" si="187"/>
        <v>Bridgend Manuf</v>
      </c>
      <c r="EC57" s="321" t="str">
        <f t="shared" si="187"/>
        <v>Bridgend Manuf</v>
      </c>
      <c r="ED57" s="321" t="str">
        <f t="shared" si="187"/>
        <v>Bridgend Manuf</v>
      </c>
      <c r="EE57" s="321" t="str">
        <f t="shared" si="187"/>
        <v>Bridgend Manuf</v>
      </c>
      <c r="EF57" s="321" t="str">
        <f t="shared" si="187"/>
        <v>Bridgend Manuf</v>
      </c>
      <c r="EG57" s="321" t="str">
        <f t="shared" si="187"/>
        <v>Bridgend Manuf</v>
      </c>
      <c r="EH57" s="321" t="str">
        <f t="shared" si="187"/>
        <v>Bridgend Manuf</v>
      </c>
      <c r="EI57" s="321" t="str">
        <f t="shared" si="187"/>
        <v>Bridgend Manuf</v>
      </c>
      <c r="EJ57" s="321" t="str">
        <f t="shared" si="187"/>
        <v>Bridgend Manuf</v>
      </c>
      <c r="EK57" s="321" t="str">
        <f t="shared" si="187"/>
        <v>Bridgend Manuf</v>
      </c>
      <c r="EL57" s="321" t="str">
        <f t="shared" si="187"/>
        <v>Bridgend Manuf</v>
      </c>
      <c r="EM57" s="321" t="str">
        <f t="shared" si="187"/>
        <v>Bridgend Manuf</v>
      </c>
      <c r="EN57" s="321" t="str">
        <f t="shared" si="187"/>
        <v>Bridgend Manuf</v>
      </c>
      <c r="EO57" s="321" t="str">
        <f t="shared" si="187"/>
        <v>Bridgend Manuf</v>
      </c>
      <c r="EP57" s="321" t="str">
        <f t="shared" si="187"/>
        <v>Bridgend Manuf</v>
      </c>
      <c r="EQ57" s="321" t="str">
        <f t="shared" si="187"/>
        <v>Bridgend Manuf</v>
      </c>
      <c r="ER57" s="321" t="str">
        <f t="shared" si="187"/>
        <v>Bridgend Manuf</v>
      </c>
      <c r="ES57" s="321" t="str">
        <f t="shared" si="187"/>
        <v>Bridgend Manuf</v>
      </c>
      <c r="ET57" s="321" t="str">
        <f t="shared" si="187"/>
        <v>Bridgend Manuf</v>
      </c>
      <c r="EU57" s="321" t="str">
        <f t="shared" si="187"/>
        <v>Bridgend Manuf</v>
      </c>
      <c r="EW57" s="465"/>
      <c r="EX57" s="191" t="str">
        <f t="shared" ref="EX57" si="188">+$B57</f>
        <v>Bridgend Manuf</v>
      </c>
      <c r="EY57" s="192"/>
      <c r="EZ57" s="141" t="str">
        <f>+$E57</f>
        <v>Completed to Week</v>
      </c>
      <c r="FA57" s="141">
        <f>+$F57</f>
        <v>42</v>
      </c>
      <c r="FB57" s="141"/>
      <c r="FC57" s="210" t="str">
        <f t="shared" ref="FC57:HC57" si="189">+$B57</f>
        <v>Bridgend Manuf</v>
      </c>
      <c r="FD57" s="210" t="str">
        <f t="shared" si="189"/>
        <v>Bridgend Manuf</v>
      </c>
      <c r="FE57" s="210" t="str">
        <f t="shared" si="189"/>
        <v>Bridgend Manuf</v>
      </c>
      <c r="FF57" s="210" t="str">
        <f t="shared" si="189"/>
        <v>Bridgend Manuf</v>
      </c>
      <c r="FG57" s="210" t="str">
        <f t="shared" si="189"/>
        <v>Bridgend Manuf</v>
      </c>
      <c r="FH57" s="210" t="str">
        <f t="shared" si="189"/>
        <v>Bridgend Manuf</v>
      </c>
      <c r="FI57" s="210" t="str">
        <f t="shared" si="189"/>
        <v>Bridgend Manuf</v>
      </c>
      <c r="FJ57" s="210" t="str">
        <f t="shared" si="189"/>
        <v>Bridgend Manuf</v>
      </c>
      <c r="FK57" s="210" t="str">
        <f t="shared" si="189"/>
        <v>Bridgend Manuf</v>
      </c>
      <c r="FL57" s="210" t="str">
        <f t="shared" si="189"/>
        <v>Bridgend Manuf</v>
      </c>
      <c r="FM57" s="210" t="str">
        <f t="shared" si="189"/>
        <v>Bridgend Manuf</v>
      </c>
      <c r="FN57" s="210" t="str">
        <f t="shared" si="189"/>
        <v>Bridgend Manuf</v>
      </c>
      <c r="FO57" s="210" t="str">
        <f t="shared" si="189"/>
        <v>Bridgend Manuf</v>
      </c>
      <c r="FP57" s="210" t="str">
        <f t="shared" si="189"/>
        <v>Bridgend Manuf</v>
      </c>
      <c r="FQ57" s="210" t="str">
        <f t="shared" si="189"/>
        <v>Bridgend Manuf</v>
      </c>
      <c r="FR57" s="210" t="str">
        <f t="shared" si="189"/>
        <v>Bridgend Manuf</v>
      </c>
      <c r="FS57" s="210" t="str">
        <f t="shared" si="189"/>
        <v>Bridgend Manuf</v>
      </c>
      <c r="FT57" s="210" t="str">
        <f t="shared" si="189"/>
        <v>Bridgend Manuf</v>
      </c>
      <c r="FU57" s="210" t="str">
        <f t="shared" si="189"/>
        <v>Bridgend Manuf</v>
      </c>
      <c r="FV57" s="210" t="str">
        <f t="shared" si="189"/>
        <v>Bridgend Manuf</v>
      </c>
      <c r="FW57" s="210" t="str">
        <f t="shared" si="189"/>
        <v>Bridgend Manuf</v>
      </c>
      <c r="FX57" s="210" t="str">
        <f t="shared" si="189"/>
        <v>Bridgend Manuf</v>
      </c>
      <c r="FY57" s="210" t="str">
        <f t="shared" si="189"/>
        <v>Bridgend Manuf</v>
      </c>
      <c r="FZ57" s="210" t="str">
        <f t="shared" si="189"/>
        <v>Bridgend Manuf</v>
      </c>
      <c r="GA57" s="210" t="str">
        <f t="shared" si="189"/>
        <v>Bridgend Manuf</v>
      </c>
      <c r="GB57" s="210" t="str">
        <f t="shared" si="189"/>
        <v>Bridgend Manuf</v>
      </c>
      <c r="GC57" s="210" t="str">
        <f t="shared" si="189"/>
        <v>Bridgend Manuf</v>
      </c>
      <c r="GD57" s="210" t="str">
        <f t="shared" si="189"/>
        <v>Bridgend Manuf</v>
      </c>
      <c r="GE57" s="210" t="str">
        <f t="shared" si="189"/>
        <v>Bridgend Manuf</v>
      </c>
      <c r="GF57" s="210" t="str">
        <f t="shared" si="189"/>
        <v>Bridgend Manuf</v>
      </c>
      <c r="GG57" s="210" t="str">
        <f t="shared" si="189"/>
        <v>Bridgend Manuf</v>
      </c>
      <c r="GH57" s="210" t="str">
        <f t="shared" si="189"/>
        <v>Bridgend Manuf</v>
      </c>
      <c r="GI57" s="210" t="str">
        <f t="shared" si="189"/>
        <v>Bridgend Manuf</v>
      </c>
      <c r="GJ57" s="210" t="str">
        <f t="shared" si="189"/>
        <v>Bridgend Manuf</v>
      </c>
      <c r="GK57" s="210" t="str">
        <f t="shared" si="189"/>
        <v>Bridgend Manuf</v>
      </c>
      <c r="GL57" s="210" t="str">
        <f t="shared" si="189"/>
        <v>Bridgend Manuf</v>
      </c>
      <c r="GM57" s="210" t="str">
        <f t="shared" si="189"/>
        <v>Bridgend Manuf</v>
      </c>
      <c r="GN57" s="210" t="str">
        <f t="shared" si="189"/>
        <v>Bridgend Manuf</v>
      </c>
      <c r="GO57" s="210" t="str">
        <f t="shared" si="189"/>
        <v>Bridgend Manuf</v>
      </c>
      <c r="GP57" s="210" t="str">
        <f t="shared" si="189"/>
        <v>Bridgend Manuf</v>
      </c>
      <c r="GQ57" s="210" t="str">
        <f t="shared" si="189"/>
        <v>Bridgend Manuf</v>
      </c>
      <c r="GR57" s="210" t="str">
        <f t="shared" si="189"/>
        <v>Bridgend Manuf</v>
      </c>
      <c r="GS57" s="210" t="str">
        <f t="shared" si="189"/>
        <v>Bridgend Manuf</v>
      </c>
      <c r="GT57" s="210" t="str">
        <f t="shared" si="189"/>
        <v>Bridgend Manuf</v>
      </c>
      <c r="GU57" s="210" t="str">
        <f t="shared" si="189"/>
        <v>Bridgend Manuf</v>
      </c>
      <c r="GV57" s="210" t="str">
        <f t="shared" si="189"/>
        <v>Bridgend Manuf</v>
      </c>
      <c r="GW57" s="210" t="str">
        <f t="shared" si="189"/>
        <v>Bridgend Manuf</v>
      </c>
      <c r="GX57" s="210" t="str">
        <f t="shared" si="189"/>
        <v>Bridgend Manuf</v>
      </c>
      <c r="GY57" s="210" t="str">
        <f t="shared" si="189"/>
        <v>Bridgend Manuf</v>
      </c>
      <c r="GZ57" s="210" t="str">
        <f t="shared" si="189"/>
        <v>Bridgend Manuf</v>
      </c>
      <c r="HA57" s="210" t="str">
        <f t="shared" si="189"/>
        <v>Bridgend Manuf</v>
      </c>
      <c r="HB57" s="210" t="str">
        <f t="shared" si="189"/>
        <v>Bridgend Manuf</v>
      </c>
      <c r="HC57" s="210" t="str">
        <f t="shared" si="189"/>
        <v>Bridgend Manuf</v>
      </c>
      <c r="HE57" s="191" t="str">
        <f>+$B57</f>
        <v>Bridgend Manuf</v>
      </c>
      <c r="HF57" s="192"/>
      <c r="HG57" s="141" t="str">
        <f>+$E57</f>
        <v>Completed to Week</v>
      </c>
      <c r="HH57" s="141">
        <f>+$F57</f>
        <v>42</v>
      </c>
      <c r="HI57" s="141" t="str">
        <f>+GJ57</f>
        <v>Bridgend Manuf</v>
      </c>
      <c r="HJ57" s="210" t="str">
        <f t="shared" ref="HJ57:HK57" si="190">+$B57</f>
        <v>Bridgend Manuf</v>
      </c>
      <c r="HK57" s="210" t="str">
        <f t="shared" si="190"/>
        <v>Bridgend Manuf</v>
      </c>
      <c r="HL57" s="251" t="str">
        <f t="shared" ref="HL57:JJ57" si="191">+$B57</f>
        <v>Bridgend Manuf</v>
      </c>
      <c r="HM57" s="251" t="str">
        <f t="shared" si="191"/>
        <v>Bridgend Manuf</v>
      </c>
      <c r="HN57" s="251" t="str">
        <f t="shared" si="191"/>
        <v>Bridgend Manuf</v>
      </c>
      <c r="HO57" s="251" t="str">
        <f t="shared" si="191"/>
        <v>Bridgend Manuf</v>
      </c>
      <c r="HP57" s="251" t="str">
        <f t="shared" si="191"/>
        <v>Bridgend Manuf</v>
      </c>
      <c r="HQ57" s="251" t="str">
        <f t="shared" si="191"/>
        <v>Bridgend Manuf</v>
      </c>
      <c r="HR57" s="251" t="str">
        <f t="shared" si="191"/>
        <v>Bridgend Manuf</v>
      </c>
      <c r="HS57" s="251" t="str">
        <f t="shared" si="191"/>
        <v>Bridgend Manuf</v>
      </c>
      <c r="HT57" s="251" t="str">
        <f t="shared" si="191"/>
        <v>Bridgend Manuf</v>
      </c>
      <c r="HU57" s="251" t="str">
        <f t="shared" si="191"/>
        <v>Bridgend Manuf</v>
      </c>
      <c r="HV57" s="251" t="str">
        <f t="shared" si="191"/>
        <v>Bridgend Manuf</v>
      </c>
      <c r="HW57" s="251" t="str">
        <f t="shared" si="191"/>
        <v>Bridgend Manuf</v>
      </c>
      <c r="HX57" s="251" t="str">
        <f t="shared" si="191"/>
        <v>Bridgend Manuf</v>
      </c>
      <c r="HY57" s="251" t="str">
        <f t="shared" si="191"/>
        <v>Bridgend Manuf</v>
      </c>
      <c r="HZ57" s="251" t="str">
        <f t="shared" si="191"/>
        <v>Bridgend Manuf</v>
      </c>
      <c r="IA57" s="251" t="str">
        <f t="shared" si="191"/>
        <v>Bridgend Manuf</v>
      </c>
      <c r="IB57" s="251" t="str">
        <f t="shared" si="191"/>
        <v>Bridgend Manuf</v>
      </c>
      <c r="IC57" s="251" t="str">
        <f t="shared" si="191"/>
        <v>Bridgend Manuf</v>
      </c>
      <c r="ID57" s="251" t="str">
        <f t="shared" si="191"/>
        <v>Bridgend Manuf</v>
      </c>
      <c r="IE57" s="251" t="str">
        <f t="shared" si="191"/>
        <v>Bridgend Manuf</v>
      </c>
      <c r="IF57" s="251" t="str">
        <f t="shared" si="191"/>
        <v>Bridgend Manuf</v>
      </c>
      <c r="IG57" s="251" t="str">
        <f t="shared" si="191"/>
        <v>Bridgend Manuf</v>
      </c>
      <c r="IH57" s="251" t="str">
        <f t="shared" si="191"/>
        <v>Bridgend Manuf</v>
      </c>
      <c r="II57" s="251" t="str">
        <f t="shared" si="191"/>
        <v>Bridgend Manuf</v>
      </c>
      <c r="IJ57" s="251" t="str">
        <f t="shared" si="191"/>
        <v>Bridgend Manuf</v>
      </c>
      <c r="IK57" s="251" t="str">
        <f t="shared" si="191"/>
        <v>Bridgend Manuf</v>
      </c>
      <c r="IL57" s="251" t="str">
        <f t="shared" si="191"/>
        <v>Bridgend Manuf</v>
      </c>
      <c r="IM57" s="251" t="str">
        <f t="shared" si="191"/>
        <v>Bridgend Manuf</v>
      </c>
      <c r="IN57" s="251" t="str">
        <f t="shared" si="191"/>
        <v>Bridgend Manuf</v>
      </c>
      <c r="IO57" s="251" t="str">
        <f t="shared" si="191"/>
        <v>Bridgend Manuf</v>
      </c>
      <c r="IP57" s="251" t="str">
        <f t="shared" si="191"/>
        <v>Bridgend Manuf</v>
      </c>
      <c r="IQ57" s="251" t="str">
        <f t="shared" si="191"/>
        <v>Bridgend Manuf</v>
      </c>
      <c r="IR57" s="251" t="str">
        <f t="shared" si="191"/>
        <v>Bridgend Manuf</v>
      </c>
      <c r="IS57" s="251" t="str">
        <f t="shared" si="191"/>
        <v>Bridgend Manuf</v>
      </c>
      <c r="IT57" s="251" t="str">
        <f t="shared" si="191"/>
        <v>Bridgend Manuf</v>
      </c>
      <c r="IU57" s="251" t="str">
        <f t="shared" si="191"/>
        <v>Bridgend Manuf</v>
      </c>
      <c r="IV57" s="251" t="str">
        <f t="shared" si="191"/>
        <v>Bridgend Manuf</v>
      </c>
      <c r="IW57" s="251" t="str">
        <f t="shared" si="191"/>
        <v>Bridgend Manuf</v>
      </c>
      <c r="IX57" s="251" t="str">
        <f t="shared" si="191"/>
        <v>Bridgend Manuf</v>
      </c>
      <c r="IY57" s="251" t="str">
        <f t="shared" si="191"/>
        <v>Bridgend Manuf</v>
      </c>
      <c r="IZ57" s="251" t="str">
        <f t="shared" si="191"/>
        <v>Bridgend Manuf</v>
      </c>
      <c r="JA57" s="251" t="str">
        <f t="shared" si="191"/>
        <v>Bridgend Manuf</v>
      </c>
      <c r="JB57" s="251" t="str">
        <f t="shared" si="191"/>
        <v>Bridgend Manuf</v>
      </c>
      <c r="JC57" s="251" t="str">
        <f t="shared" si="191"/>
        <v>Bridgend Manuf</v>
      </c>
      <c r="JD57" s="251" t="str">
        <f t="shared" si="191"/>
        <v>Bridgend Manuf</v>
      </c>
      <c r="JE57" s="251" t="str">
        <f t="shared" si="191"/>
        <v>Bridgend Manuf</v>
      </c>
      <c r="JF57" s="251" t="str">
        <f t="shared" si="191"/>
        <v>Bridgend Manuf</v>
      </c>
      <c r="JG57" s="251" t="str">
        <f t="shared" si="191"/>
        <v>Bridgend Manuf</v>
      </c>
      <c r="JH57" s="251" t="str">
        <f t="shared" si="191"/>
        <v>Bridgend Manuf</v>
      </c>
      <c r="JI57" s="251" t="str">
        <f t="shared" si="191"/>
        <v>Bridgend Manuf</v>
      </c>
      <c r="JJ57" s="251" t="str">
        <f t="shared" si="191"/>
        <v>Bridgend Manuf</v>
      </c>
      <c r="JM57" s="191" t="str">
        <f t="shared" ref="JM57" si="192">+$B57</f>
        <v>Bridgend Manuf</v>
      </c>
      <c r="JN57" s="192"/>
      <c r="JO57" s="141" t="str">
        <f>+$E57</f>
        <v>Completed to Week</v>
      </c>
      <c r="JP57" s="141">
        <f>+$F57</f>
        <v>42</v>
      </c>
      <c r="JQ57" s="141"/>
      <c r="JR57" s="251" t="str">
        <f t="shared" ref="JR57:LR57" si="193">+$B57</f>
        <v>Bridgend Manuf</v>
      </c>
      <c r="JS57" s="251" t="str">
        <f t="shared" si="193"/>
        <v>Bridgend Manuf</v>
      </c>
      <c r="JT57" s="251" t="str">
        <f t="shared" si="193"/>
        <v>Bridgend Manuf</v>
      </c>
      <c r="JU57" s="251" t="str">
        <f t="shared" si="193"/>
        <v>Bridgend Manuf</v>
      </c>
      <c r="JV57" s="251" t="str">
        <f t="shared" si="193"/>
        <v>Bridgend Manuf</v>
      </c>
      <c r="JW57" s="251" t="str">
        <f t="shared" si="193"/>
        <v>Bridgend Manuf</v>
      </c>
      <c r="JX57" s="251" t="str">
        <f t="shared" si="193"/>
        <v>Bridgend Manuf</v>
      </c>
      <c r="JY57" s="251" t="str">
        <f t="shared" si="193"/>
        <v>Bridgend Manuf</v>
      </c>
      <c r="JZ57" s="251" t="str">
        <f t="shared" si="193"/>
        <v>Bridgend Manuf</v>
      </c>
      <c r="KA57" s="251" t="str">
        <f t="shared" si="193"/>
        <v>Bridgend Manuf</v>
      </c>
      <c r="KB57" s="251" t="str">
        <f t="shared" si="193"/>
        <v>Bridgend Manuf</v>
      </c>
      <c r="KC57" s="251" t="str">
        <f t="shared" si="193"/>
        <v>Bridgend Manuf</v>
      </c>
      <c r="KD57" s="251" t="str">
        <f t="shared" si="193"/>
        <v>Bridgend Manuf</v>
      </c>
      <c r="KE57" s="251" t="str">
        <f t="shared" si="193"/>
        <v>Bridgend Manuf</v>
      </c>
      <c r="KF57" s="251" t="str">
        <f t="shared" si="193"/>
        <v>Bridgend Manuf</v>
      </c>
      <c r="KG57" s="251" t="str">
        <f t="shared" si="193"/>
        <v>Bridgend Manuf</v>
      </c>
      <c r="KH57" s="251" t="str">
        <f t="shared" si="193"/>
        <v>Bridgend Manuf</v>
      </c>
      <c r="KI57" s="251" t="str">
        <f t="shared" si="193"/>
        <v>Bridgend Manuf</v>
      </c>
      <c r="KJ57" s="251" t="str">
        <f t="shared" si="193"/>
        <v>Bridgend Manuf</v>
      </c>
      <c r="KK57" s="251" t="str">
        <f t="shared" si="193"/>
        <v>Bridgend Manuf</v>
      </c>
      <c r="KL57" s="251" t="str">
        <f t="shared" si="193"/>
        <v>Bridgend Manuf</v>
      </c>
      <c r="KM57" s="251" t="str">
        <f t="shared" si="193"/>
        <v>Bridgend Manuf</v>
      </c>
      <c r="KN57" s="251" t="str">
        <f t="shared" si="193"/>
        <v>Bridgend Manuf</v>
      </c>
      <c r="KO57" s="251" t="str">
        <f t="shared" si="193"/>
        <v>Bridgend Manuf</v>
      </c>
      <c r="KP57" s="251" t="str">
        <f t="shared" si="193"/>
        <v>Bridgend Manuf</v>
      </c>
      <c r="KQ57" s="251" t="str">
        <f t="shared" si="193"/>
        <v>Bridgend Manuf</v>
      </c>
      <c r="KR57" s="251" t="str">
        <f t="shared" si="193"/>
        <v>Bridgend Manuf</v>
      </c>
      <c r="KS57" s="251" t="str">
        <f t="shared" si="193"/>
        <v>Bridgend Manuf</v>
      </c>
      <c r="KT57" s="251" t="str">
        <f t="shared" si="193"/>
        <v>Bridgend Manuf</v>
      </c>
      <c r="KU57" s="251" t="str">
        <f t="shared" si="193"/>
        <v>Bridgend Manuf</v>
      </c>
      <c r="KV57" s="251" t="str">
        <f t="shared" si="193"/>
        <v>Bridgend Manuf</v>
      </c>
      <c r="KW57" s="251" t="str">
        <f t="shared" si="193"/>
        <v>Bridgend Manuf</v>
      </c>
      <c r="KX57" s="251" t="str">
        <f t="shared" si="193"/>
        <v>Bridgend Manuf</v>
      </c>
      <c r="KY57" s="251" t="str">
        <f t="shared" si="193"/>
        <v>Bridgend Manuf</v>
      </c>
      <c r="KZ57" s="251" t="str">
        <f t="shared" si="193"/>
        <v>Bridgend Manuf</v>
      </c>
      <c r="LA57" s="251" t="str">
        <f t="shared" si="193"/>
        <v>Bridgend Manuf</v>
      </c>
      <c r="LB57" s="251" t="str">
        <f t="shared" si="193"/>
        <v>Bridgend Manuf</v>
      </c>
      <c r="LC57" s="251" t="str">
        <f t="shared" si="193"/>
        <v>Bridgend Manuf</v>
      </c>
      <c r="LD57" s="251" t="str">
        <f t="shared" si="193"/>
        <v>Bridgend Manuf</v>
      </c>
      <c r="LE57" s="251" t="str">
        <f t="shared" si="193"/>
        <v>Bridgend Manuf</v>
      </c>
      <c r="LF57" s="251" t="str">
        <f t="shared" si="193"/>
        <v>Bridgend Manuf</v>
      </c>
      <c r="LG57" s="251" t="str">
        <f t="shared" si="193"/>
        <v>Bridgend Manuf</v>
      </c>
      <c r="LH57" s="251" t="str">
        <f t="shared" si="193"/>
        <v>Bridgend Manuf</v>
      </c>
      <c r="LI57" s="251" t="str">
        <f t="shared" si="193"/>
        <v>Bridgend Manuf</v>
      </c>
      <c r="LJ57" s="251" t="str">
        <f t="shared" si="193"/>
        <v>Bridgend Manuf</v>
      </c>
      <c r="LK57" s="251" t="str">
        <f t="shared" si="193"/>
        <v>Bridgend Manuf</v>
      </c>
      <c r="LL57" s="251" t="str">
        <f t="shared" si="193"/>
        <v>Bridgend Manuf</v>
      </c>
      <c r="LM57" s="251" t="str">
        <f t="shared" si="193"/>
        <v>Bridgend Manuf</v>
      </c>
      <c r="LN57" s="251" t="str">
        <f t="shared" si="193"/>
        <v>Bridgend Manuf</v>
      </c>
      <c r="LO57" s="251" t="str">
        <f t="shared" si="193"/>
        <v>Bridgend Manuf</v>
      </c>
      <c r="LP57" s="251" t="str">
        <f t="shared" si="193"/>
        <v>Bridgend Manuf</v>
      </c>
      <c r="LQ57" s="251" t="str">
        <f t="shared" si="193"/>
        <v>Bridgend Manuf</v>
      </c>
      <c r="LR57" s="251" t="str">
        <f t="shared" si="193"/>
        <v>Bridgend Manuf</v>
      </c>
      <c r="LT57" s="191" t="str">
        <f>+$B57</f>
        <v>Bridgend Manuf</v>
      </c>
      <c r="LU57" s="192"/>
      <c r="LV57" s="141" t="str">
        <f>+$E57</f>
        <v>Completed to Week</v>
      </c>
      <c r="LW57" s="141">
        <f>+$F57</f>
        <v>42</v>
      </c>
      <c r="LX57" s="141"/>
      <c r="LY57" s="210" t="str">
        <f t="shared" ref="LY57:NY57" si="194">+$B57</f>
        <v>Bridgend Manuf</v>
      </c>
      <c r="LZ57" s="210" t="str">
        <f t="shared" si="194"/>
        <v>Bridgend Manuf</v>
      </c>
      <c r="MA57" s="210" t="str">
        <f t="shared" si="194"/>
        <v>Bridgend Manuf</v>
      </c>
      <c r="MB57" s="210" t="str">
        <f t="shared" si="194"/>
        <v>Bridgend Manuf</v>
      </c>
      <c r="MC57" s="210" t="str">
        <f t="shared" si="194"/>
        <v>Bridgend Manuf</v>
      </c>
      <c r="MD57" s="210" t="str">
        <f t="shared" si="194"/>
        <v>Bridgend Manuf</v>
      </c>
      <c r="ME57" s="210" t="str">
        <f t="shared" si="194"/>
        <v>Bridgend Manuf</v>
      </c>
      <c r="MF57" s="210" t="str">
        <f t="shared" si="194"/>
        <v>Bridgend Manuf</v>
      </c>
      <c r="MG57" s="210" t="str">
        <f t="shared" si="194"/>
        <v>Bridgend Manuf</v>
      </c>
      <c r="MH57" s="210" t="str">
        <f t="shared" si="194"/>
        <v>Bridgend Manuf</v>
      </c>
      <c r="MI57" s="210" t="str">
        <f t="shared" si="194"/>
        <v>Bridgend Manuf</v>
      </c>
      <c r="MJ57" s="210" t="str">
        <f t="shared" si="194"/>
        <v>Bridgend Manuf</v>
      </c>
      <c r="MK57" s="210" t="str">
        <f t="shared" si="194"/>
        <v>Bridgend Manuf</v>
      </c>
      <c r="ML57" s="210" t="str">
        <f t="shared" si="194"/>
        <v>Bridgend Manuf</v>
      </c>
      <c r="MM57" s="210" t="str">
        <f t="shared" si="194"/>
        <v>Bridgend Manuf</v>
      </c>
      <c r="MN57" s="210" t="str">
        <f t="shared" si="194"/>
        <v>Bridgend Manuf</v>
      </c>
      <c r="MO57" s="210" t="str">
        <f t="shared" si="194"/>
        <v>Bridgend Manuf</v>
      </c>
      <c r="MP57" s="210" t="str">
        <f t="shared" si="194"/>
        <v>Bridgend Manuf</v>
      </c>
      <c r="MQ57" s="210" t="str">
        <f t="shared" si="194"/>
        <v>Bridgend Manuf</v>
      </c>
      <c r="MR57" s="210" t="str">
        <f t="shared" si="194"/>
        <v>Bridgend Manuf</v>
      </c>
      <c r="MS57" s="210" t="str">
        <f t="shared" si="194"/>
        <v>Bridgend Manuf</v>
      </c>
      <c r="MT57" s="210" t="str">
        <f t="shared" si="194"/>
        <v>Bridgend Manuf</v>
      </c>
      <c r="MU57" s="210" t="str">
        <f t="shared" si="194"/>
        <v>Bridgend Manuf</v>
      </c>
      <c r="MV57" s="210" t="str">
        <f t="shared" si="194"/>
        <v>Bridgend Manuf</v>
      </c>
      <c r="MW57" s="210" t="str">
        <f t="shared" si="194"/>
        <v>Bridgend Manuf</v>
      </c>
      <c r="MX57" s="210" t="str">
        <f t="shared" si="194"/>
        <v>Bridgend Manuf</v>
      </c>
      <c r="MY57" s="210" t="str">
        <f t="shared" si="194"/>
        <v>Bridgend Manuf</v>
      </c>
      <c r="MZ57" s="210" t="str">
        <f t="shared" si="194"/>
        <v>Bridgend Manuf</v>
      </c>
      <c r="NA57" s="210" t="str">
        <f t="shared" si="194"/>
        <v>Bridgend Manuf</v>
      </c>
      <c r="NB57" s="210" t="str">
        <f t="shared" si="194"/>
        <v>Bridgend Manuf</v>
      </c>
      <c r="NC57" s="210" t="str">
        <f t="shared" si="194"/>
        <v>Bridgend Manuf</v>
      </c>
      <c r="ND57" s="210" t="str">
        <f t="shared" si="194"/>
        <v>Bridgend Manuf</v>
      </c>
      <c r="NE57" s="210" t="str">
        <f t="shared" si="194"/>
        <v>Bridgend Manuf</v>
      </c>
      <c r="NF57" s="210" t="str">
        <f t="shared" si="194"/>
        <v>Bridgend Manuf</v>
      </c>
      <c r="NG57" s="210" t="str">
        <f t="shared" si="194"/>
        <v>Bridgend Manuf</v>
      </c>
      <c r="NH57" s="210" t="str">
        <f t="shared" si="194"/>
        <v>Bridgend Manuf</v>
      </c>
      <c r="NI57" s="210" t="str">
        <f t="shared" si="194"/>
        <v>Bridgend Manuf</v>
      </c>
      <c r="NJ57" s="210" t="str">
        <f t="shared" si="194"/>
        <v>Bridgend Manuf</v>
      </c>
      <c r="NK57" s="210" t="str">
        <f t="shared" si="194"/>
        <v>Bridgend Manuf</v>
      </c>
      <c r="NL57" s="210" t="str">
        <f t="shared" si="194"/>
        <v>Bridgend Manuf</v>
      </c>
      <c r="NM57" s="210" t="str">
        <f t="shared" si="194"/>
        <v>Bridgend Manuf</v>
      </c>
      <c r="NN57" s="210" t="str">
        <f t="shared" si="194"/>
        <v>Bridgend Manuf</v>
      </c>
      <c r="NO57" s="210" t="str">
        <f t="shared" si="194"/>
        <v>Bridgend Manuf</v>
      </c>
      <c r="NP57" s="210" t="str">
        <f t="shared" si="194"/>
        <v>Bridgend Manuf</v>
      </c>
      <c r="NQ57" s="210" t="str">
        <f t="shared" si="194"/>
        <v>Bridgend Manuf</v>
      </c>
      <c r="NR57" s="210" t="str">
        <f t="shared" si="194"/>
        <v>Bridgend Manuf</v>
      </c>
      <c r="NS57" s="210" t="str">
        <f t="shared" si="194"/>
        <v>Bridgend Manuf</v>
      </c>
      <c r="NT57" s="210" t="str">
        <f t="shared" si="194"/>
        <v>Bridgend Manuf</v>
      </c>
      <c r="NU57" s="210" t="str">
        <f t="shared" si="194"/>
        <v>Bridgend Manuf</v>
      </c>
      <c r="NV57" s="210" t="str">
        <f t="shared" si="194"/>
        <v>Bridgend Manuf</v>
      </c>
      <c r="NW57" s="210" t="str">
        <f t="shared" si="194"/>
        <v>Bridgend Manuf</v>
      </c>
      <c r="NX57" s="210" t="str">
        <f t="shared" si="194"/>
        <v>Bridgend Manuf</v>
      </c>
      <c r="NY57" s="210" t="str">
        <f t="shared" si="194"/>
        <v>Bridgend Manuf</v>
      </c>
    </row>
    <row r="58" spans="1:389" x14ac:dyDescent="0.3">
      <c r="A58" t="str">
        <f>$B$57&amp;"-"&amp;C58</f>
        <v>Bridgend Manuf-KPI P1</v>
      </c>
      <c r="B58" s="917" t="str">
        <f>+'KPI Stats'!B57</f>
        <v>Manufacturing Bridgend</v>
      </c>
      <c r="C58" s="133" t="str">
        <f>+'KPI Stats'!C57</f>
        <v>KPI P1</v>
      </c>
      <c r="D58" s="142" t="str">
        <f>+'KPI Stats'!D57</f>
        <v>Productivity</v>
      </c>
      <c r="E58" s="142" t="str">
        <f>+'KPI Stats'!E57</f>
        <v>Production Value</v>
      </c>
      <c r="F58" s="143" t="str">
        <f>+'KPI Stats'!F57</f>
        <v>£'s</v>
      </c>
      <c r="G58" s="168" t="str">
        <f>+'KPI Stats'!G57</f>
        <v>Under</v>
      </c>
      <c r="J58" s="159" t="str">
        <f>_xlfn.XLOOKUP(J$7,$AM$7:$CM$7,$AM58:$CM58,,FALSE)</f>
        <v>OD</v>
      </c>
      <c r="K58" s="262">
        <f>_xlfn.XLOOKUP(K$7,$FC$7:$HC$7,$FC58:$HC58,,FALSE)</f>
        <v>0</v>
      </c>
      <c r="L58" s="277">
        <f>_xlfn.XLOOKUP(L$7,$HJ$7:$JJ$7,$HJ58:$JJ58,,FALSE)</f>
        <v>0</v>
      </c>
      <c r="M58" s="271" t="str">
        <f>_xlfn.XLOOKUP(M$7,$CU$7:$EU$7,$CU58:$EU58,,FALSE)</f>
        <v>OD</v>
      </c>
      <c r="P58" s="159" t="str">
        <f>_xlfn.XLOOKUP(P$7,$AM$7:$CM$7,$AM58:$CM58,,FALSE)</f>
        <v>OD</v>
      </c>
      <c r="Q58" s="262">
        <f t="shared" ref="Q58:R61" si="195">_xlfn.XLOOKUP(Q$7,$FC$7:$HC$7,$FC58:$HC58,FALSE)</f>
        <v>0</v>
      </c>
      <c r="R58" s="440">
        <f t="shared" si="195"/>
        <v>0</v>
      </c>
      <c r="S58" s="287" t="str">
        <f t="shared" ref="S58:T61" si="196">_xlfn.XLOOKUP(S$7,$CU$7:$EU$7,$CU58:$EU58,,FALSE)</f>
        <v>OD</v>
      </c>
      <c r="T58" s="263" t="str">
        <f t="shared" si="196"/>
        <v>OD</v>
      </c>
      <c r="U58" s="294" t="str">
        <f>IF(F57&lt;$R$2,"Not Complete",IF(Q58=R58,"Same −",IF($G58="Over",IF(Q58&lt;R58,"Better ↑","Worse ↓"),IF($G58="Under",IF(Q58&gt;R58,"Better ↑","Worse ↓"),"err"))))</f>
        <v>Same −</v>
      </c>
      <c r="X58" s="159" t="str">
        <f t="shared" ref="X58:X61" si="197">IF(Y58="","",IF(Y58="Blank","",IF(AND(G58="above zero",Y58&gt;0),"R",IF(AA58&gt;1,"G",IF(AA58&gt;0.95,"A","R")))))</f>
        <v>A</v>
      </c>
      <c r="Y58" s="441">
        <f>_xlfn.XLOOKUP(Y$7,$JR$7:$LR$7,$JR58:$LR58,FALSE)</f>
        <v>582473.17073170736</v>
      </c>
      <c r="Z58" s="442">
        <f>_xlfn.XLOOKUP(Z$7,$LY$7:$NY$7,$LY58:$NY58,FALSE)</f>
        <v>595429.53658536589</v>
      </c>
      <c r="AA58" s="281">
        <f>IF(G58="under",Y58/Z58,IF(G58="over",Z58/Y58,"err"))</f>
        <v>0.97824030375120463</v>
      </c>
      <c r="AB58" s="294" t="str">
        <f>IF(F57&lt;$R$2,"TBC",IF(Y58=Z58,"Same −",IF($G58="Over",IF(Z58&lt;Y58,"Better ↑ ","Worse ↓ "),IF($G58="Under",IF(Y58&gt;Z58,"Better ↑ ","Worse ↓ "),"err"))))</f>
        <v xml:space="preserve">Worse ↓ </v>
      </c>
      <c r="AC58" s="159" t="str">
        <f>IF(AND(G58="above adero",AD58&gt;0),"R",IF(AF58&gt;1,"G",IF(AF58&gt;0.95,"A","R")))</f>
        <v>A</v>
      </c>
      <c r="AD58" s="161">
        <f>_xlfn.XLOOKUP(AD$7,$JR$7:$LR$7,$JR58:$LR58,FALSE)</f>
        <v>597035</v>
      </c>
      <c r="AE58" s="161">
        <f>_xlfn.XLOOKUP(AE$7,$LY$7:$NY$7,$LY58:$NY58,FALSE)</f>
        <v>610315.27500000002</v>
      </c>
      <c r="AF58" s="259">
        <f>IF(G58="under",AD58/AE58,IF(G58="over",AE58/AD58,"err"))</f>
        <v>0.97824030375120463</v>
      </c>
      <c r="AH58" s="465" t="str">
        <f>+$A58</f>
        <v>Bridgend Manuf-KPI P1</v>
      </c>
      <c r="AI58" s="133" t="str">
        <f t="shared" ref="AI58:AJ61" si="198">+C58</f>
        <v>KPI P1</v>
      </c>
      <c r="AJ58" s="142" t="str">
        <f t="shared" si="198"/>
        <v>Productivity</v>
      </c>
      <c r="AK58" s="142" t="str">
        <f t="shared" si="184"/>
        <v>Production Value</v>
      </c>
      <c r="AL58" s="143" t="str">
        <f t="shared" si="184"/>
        <v>£'s</v>
      </c>
      <c r="AM58" s="159" t="str">
        <f>IF(AM$7&gt;$D$3,"",_xlfn.XLOOKUP(AM$7,'Bridgend Manuf'!$M$6:$BM$6,'Bridgend Manuf'!$M$10:$BM$10))</f>
        <v>Blank</v>
      </c>
      <c r="AN58" s="198" t="str">
        <f>IF(AN$7&gt;$D$3,"",_xlfn.XLOOKUP(AN$7,'Bridgend Manuf'!$M$6:$BM$6,'Bridgend Manuf'!$M$10:$BM$10))</f>
        <v>A</v>
      </c>
      <c r="AO58" s="159" t="str">
        <f>IF(AO$7&gt;$D$3,"",_xlfn.XLOOKUP(AO$7,'Bridgend Manuf'!$M$6:$BM$6,'Bridgend Manuf'!$M$10:$BM$10))</f>
        <v>G</v>
      </c>
      <c r="AP58" s="159" t="str">
        <f>IF(AP$7&gt;$D$3,"",_xlfn.XLOOKUP(AP$7,'Bridgend Manuf'!$M$6:$BM$6,'Bridgend Manuf'!$M$10:$BM$10))</f>
        <v>G</v>
      </c>
      <c r="AQ58" s="159" t="str">
        <f>IF(AQ$7&gt;$D$3,"",_xlfn.XLOOKUP(AQ$7,'Bridgend Manuf'!$M$6:$BM$6,'Bridgend Manuf'!$M$10:$BM$10))</f>
        <v>G</v>
      </c>
      <c r="AR58" s="159" t="str">
        <f>IF(AR$7&gt;$D$3,"",_xlfn.XLOOKUP(AR$7,'Bridgend Manuf'!$M$6:$BM$6,'Bridgend Manuf'!$M$10:$BM$10))</f>
        <v>G</v>
      </c>
      <c r="AS58" s="159" t="str">
        <f>IF(AS$7&gt;$D$3,"",_xlfn.XLOOKUP(AS$7,'Bridgend Manuf'!$M$6:$BM$6,'Bridgend Manuf'!$M$10:$BM$10))</f>
        <v>G</v>
      </c>
      <c r="AT58" s="159" t="str">
        <f>IF(AT$7&gt;$D$3,"",_xlfn.XLOOKUP(AT$7,'Bridgend Manuf'!$M$6:$BM$6,'Bridgend Manuf'!$M$10:$BM$10))</f>
        <v>G</v>
      </c>
      <c r="AU58" s="159" t="str">
        <f>IF(AU$7&gt;$D$3,"",_xlfn.XLOOKUP(AU$7,'Bridgend Manuf'!$M$6:$BM$6,'Bridgend Manuf'!$M$10:$BM$10))</f>
        <v>G</v>
      </c>
      <c r="AV58" s="159" t="str">
        <f>IF(AV$7&gt;$D$3,"",_xlfn.XLOOKUP(AV$7,'Bridgend Manuf'!$M$6:$BM$6,'Bridgend Manuf'!$M$10:$BM$10))</f>
        <v>G</v>
      </c>
      <c r="AW58" s="159" t="str">
        <f>IF(AW$7&gt;$D$3,"",_xlfn.XLOOKUP(AW$7,'Bridgend Manuf'!$M$6:$BM$6,'Bridgend Manuf'!$M$10:$BM$10))</f>
        <v>G</v>
      </c>
      <c r="AX58" s="159" t="str">
        <f>IF(AX$7&gt;$D$3,"",_xlfn.XLOOKUP(AX$7,'Bridgend Manuf'!$M$6:$BM$6,'Bridgend Manuf'!$M$10:$BM$10))</f>
        <v>G</v>
      </c>
      <c r="AY58" s="159" t="str">
        <f>IF(AY$7&gt;$D$3,"",_xlfn.XLOOKUP(AY$7,'Bridgend Manuf'!$M$6:$BM$6,'Bridgend Manuf'!$M$10:$BM$10))</f>
        <v>G</v>
      </c>
      <c r="AZ58" s="159" t="str">
        <f>IF(AZ$7&gt;$D$3,"",_xlfn.XLOOKUP(AZ$7,'Bridgend Manuf'!$M$6:$BM$6,'Bridgend Manuf'!$M$10:$BM$10))</f>
        <v>G</v>
      </c>
      <c r="BA58" s="159" t="str">
        <f>IF(BA$7&gt;$D$3,"",_xlfn.XLOOKUP(BA$7,'Bridgend Manuf'!$M$6:$BM$6,'Bridgend Manuf'!$M$10:$BM$10))</f>
        <v>G</v>
      </c>
      <c r="BB58" s="159" t="str">
        <f>IF(BB$7&gt;$D$3,"",_xlfn.XLOOKUP(BB$7,'Bridgend Manuf'!$M$6:$BM$6,'Bridgend Manuf'!$M$10:$BM$10))</f>
        <v>G</v>
      </c>
      <c r="BC58" s="159" t="str">
        <f>IF(BC$7&gt;$D$3,"",_xlfn.XLOOKUP(BC$7,'Bridgend Manuf'!$M$6:$BM$6,'Bridgend Manuf'!$M$10:$BM$10))</f>
        <v>G</v>
      </c>
      <c r="BD58" s="159" t="str">
        <f>IF(BD$7&gt;$D$3,"",_xlfn.XLOOKUP(BD$7,'Bridgend Manuf'!$M$6:$BM$6,'Bridgend Manuf'!$M$10:$BM$10))</f>
        <v>R</v>
      </c>
      <c r="BE58" s="159" t="str">
        <f>IF(BE$7&gt;$D$3,"",_xlfn.XLOOKUP(BE$7,'Bridgend Manuf'!$M$6:$BM$6,'Bridgend Manuf'!$M$10:$BM$10))</f>
        <v>R</v>
      </c>
      <c r="BF58" s="159" t="str">
        <f>IF(BF$7&gt;$D$3,"",_xlfn.XLOOKUP(BF$7,'Bridgend Manuf'!$M$6:$BM$6,'Bridgend Manuf'!$M$10:$BM$10))</f>
        <v>R</v>
      </c>
      <c r="BG58" s="159" t="str">
        <f>IF(BG$7&gt;$D$3,"",_xlfn.XLOOKUP(BG$7,'Bridgend Manuf'!$M$6:$BM$6,'Bridgend Manuf'!$M$10:$BM$10))</f>
        <v>G</v>
      </c>
      <c r="BH58" s="159" t="str">
        <f>IF(BH$7&gt;$D$3,"",_xlfn.XLOOKUP(BH$7,'Bridgend Manuf'!$M$6:$BM$6,'Bridgend Manuf'!$M$10:$BM$10))</f>
        <v>R</v>
      </c>
      <c r="BI58" s="159" t="str">
        <f>IF(BI$7&gt;$D$3,"",_xlfn.XLOOKUP(BI$7,'Bridgend Manuf'!$M$6:$BM$6,'Bridgend Manuf'!$M$10:$BM$10))</f>
        <v>R</v>
      </c>
      <c r="BJ58" s="159" t="str">
        <f>IF(BJ$7&gt;$D$3,"",_xlfn.XLOOKUP(BJ$7,'Bridgend Manuf'!$M$6:$BM$6,'Bridgend Manuf'!$M$10:$BM$10))</f>
        <v>R</v>
      </c>
      <c r="BK58" s="159" t="str">
        <f>IF(BK$7&gt;$D$3,"",_xlfn.XLOOKUP(BK$7,'Bridgend Manuf'!$M$6:$BM$6,'Bridgend Manuf'!$M$10:$BM$10))</f>
        <v>R</v>
      </c>
      <c r="BL58" s="159" t="str">
        <f>IF(BL$7&gt;$D$3,"",_xlfn.XLOOKUP(BL$7,'Bridgend Manuf'!$M$6:$BM$6,'Bridgend Manuf'!$M$10:$BM$10))</f>
        <v>R</v>
      </c>
      <c r="BM58" s="159" t="str">
        <f>IF(BM$7&gt;$D$3,"",_xlfn.XLOOKUP(BM$7,'Bridgend Manuf'!$M$6:$BM$6,'Bridgend Manuf'!$M$10:$BM$10))</f>
        <v>R</v>
      </c>
      <c r="BN58" s="159" t="str">
        <f>IF(BN$7&gt;$D$3,"",_xlfn.XLOOKUP(BN$7,'Bridgend Manuf'!$M$6:$BM$6,'Bridgend Manuf'!$M$10:$BM$10))</f>
        <v>R</v>
      </c>
      <c r="BO58" s="159" t="str">
        <f>IF(BO$7&gt;$D$3,"",_xlfn.XLOOKUP(BO$7,'Bridgend Manuf'!$M$6:$BM$6,'Bridgend Manuf'!$M$10:$BM$10))</f>
        <v>R</v>
      </c>
      <c r="BP58" s="159" t="str">
        <f>IF(BP$7&gt;$D$3,"",_xlfn.XLOOKUP(BP$7,'Bridgend Manuf'!$M$6:$BM$6,'Bridgend Manuf'!$M$10:$BM$10))</f>
        <v>G</v>
      </c>
      <c r="BQ58" s="159" t="str">
        <f>IF(BQ$7&gt;$D$3,"",_xlfn.XLOOKUP(BQ$7,'Bridgend Manuf'!$M$6:$BM$6,'Bridgend Manuf'!$M$10:$BM$10))</f>
        <v>G</v>
      </c>
      <c r="BR58" s="159" t="str">
        <f>IF(BR$7&gt;$D$3,"",_xlfn.XLOOKUP(BR$7,'Bridgend Manuf'!$M$6:$BM$6,'Bridgend Manuf'!$M$10:$BM$10))</f>
        <v>A</v>
      </c>
      <c r="BS58" s="159" t="str">
        <f>IF(BS$7&gt;$D$3,"",_xlfn.XLOOKUP(BS$7,'Bridgend Manuf'!$M$6:$BM$6,'Bridgend Manuf'!$M$10:$BM$10))</f>
        <v>R</v>
      </c>
      <c r="BT58" s="159" t="str">
        <f>IF(BT$7&gt;$D$3,"",_xlfn.XLOOKUP(BT$7,'Bridgend Manuf'!$M$6:$BM$6,'Bridgend Manuf'!$M$10:$BM$10))</f>
        <v>G</v>
      </c>
      <c r="BU58" s="159" t="str">
        <f>IF(BU$7&gt;$D$3,"",_xlfn.XLOOKUP(BU$7,'Bridgend Manuf'!$M$6:$BM$6,'Bridgend Manuf'!$M$10:$BM$10))</f>
        <v>A</v>
      </c>
      <c r="BV58" s="159" t="str">
        <f>IF(BV$7&gt;$D$3,"",_xlfn.XLOOKUP(BV$7,'Bridgend Manuf'!$M$6:$BM$6,'Bridgend Manuf'!$M$10:$BM$10))</f>
        <v>R</v>
      </c>
      <c r="BW58" s="159" t="str">
        <f>IF(BW$7&gt;$D$3,"",_xlfn.XLOOKUP(BW$7,'Bridgend Manuf'!$M$6:$BM$6,'Bridgend Manuf'!$M$10:$BM$10))</f>
        <v>R</v>
      </c>
      <c r="BX58" s="159" t="str">
        <f>IF(BX$7&gt;$D$3,"",_xlfn.XLOOKUP(BX$7,'Bridgend Manuf'!$M$6:$BM$6,'Bridgend Manuf'!$M$10:$BM$10))</f>
        <v>R</v>
      </c>
      <c r="BY58" s="159" t="str">
        <f>IF(BY$7&gt;$D$3,"",_xlfn.XLOOKUP(BY$7,'Bridgend Manuf'!$M$6:$BM$6,'Bridgend Manuf'!$M$10:$BM$10))</f>
        <v>G</v>
      </c>
      <c r="BZ58" s="159" t="str">
        <f>IF(BZ$7&gt;$D$3,"",_xlfn.XLOOKUP(BZ$7,'Bridgend Manuf'!$M$6:$BM$6,'Bridgend Manuf'!$M$10:$BM$10))</f>
        <v>OD</v>
      </c>
      <c r="CA58" s="159" t="str">
        <f>IF(CA$7&gt;$D$3,"",_xlfn.XLOOKUP(CA$7,'Bridgend Manuf'!$M$6:$BM$6,'Bridgend Manuf'!$M$10:$BM$10))</f>
        <v>OD</v>
      </c>
      <c r="CB58" s="159" t="str">
        <f>IF(CB$7&gt;$D$3,"",_xlfn.XLOOKUP(CB$7,'Bridgend Manuf'!$M$6:$BM$6,'Bridgend Manuf'!$M$10:$BM$10))</f>
        <v>OD</v>
      </c>
      <c r="CC58" s="159" t="str">
        <f>IF(CC$7&gt;$D$3,"",_xlfn.XLOOKUP(CC$7,'Bridgend Manuf'!$M$6:$BM$6,'Bridgend Manuf'!$M$10:$BM$10))</f>
        <v/>
      </c>
      <c r="CD58" s="159" t="str">
        <f>IF(CD$7&gt;$D$3,"",_xlfn.XLOOKUP(CD$7,'Bridgend Manuf'!$M$6:$BM$6,'Bridgend Manuf'!$M$10:$BM$10))</f>
        <v/>
      </c>
      <c r="CE58" s="159" t="str">
        <f>IF(CE$7&gt;$D$3,"",_xlfn.XLOOKUP(CE$7,'Bridgend Manuf'!$M$6:$BM$6,'Bridgend Manuf'!$M$10:$BM$10))</f>
        <v/>
      </c>
      <c r="CF58" s="159" t="str">
        <f>IF(CF$7&gt;$D$3,"",_xlfn.XLOOKUP(CF$7,'Bridgend Manuf'!$M$6:$BM$6,'Bridgend Manuf'!$M$10:$BM$10))</f>
        <v/>
      </c>
      <c r="CG58" s="159" t="str">
        <f>IF(CG$7&gt;$D$3,"",_xlfn.XLOOKUP(CG$7,'Bridgend Manuf'!$M$6:$BM$6,'Bridgend Manuf'!$M$10:$BM$10))</f>
        <v/>
      </c>
      <c r="CH58" s="159" t="str">
        <f>IF(CH$7&gt;$D$3,"",_xlfn.XLOOKUP(CH$7,'Bridgend Manuf'!$M$6:$BM$6,'Bridgend Manuf'!$M$10:$BM$10))</f>
        <v/>
      </c>
      <c r="CI58" s="159" t="str">
        <f>IF(CI$7&gt;$D$3,"",_xlfn.XLOOKUP(CI$7,'Bridgend Manuf'!$M$6:$BM$6,'Bridgend Manuf'!$M$10:$BM$10))</f>
        <v/>
      </c>
      <c r="CJ58" s="159" t="str">
        <f>IF(CJ$7&gt;$D$3,"",_xlfn.XLOOKUP(CJ$7,'Bridgend Manuf'!$M$6:$BM$6,'Bridgend Manuf'!$M$10:$BM$10))</f>
        <v/>
      </c>
      <c r="CK58" s="159" t="str">
        <f>IF(CK$7&gt;$D$3,"",_xlfn.XLOOKUP(CK$7,'Bridgend Manuf'!$M$6:$BM$6,'Bridgend Manuf'!$M$10:$BM$10))</f>
        <v/>
      </c>
      <c r="CL58" s="159" t="str">
        <f>IF(CL$7&gt;$D$3,"",_xlfn.XLOOKUP(CL$7,'Bridgend Manuf'!$M$6:$BM$6,'Bridgend Manuf'!$M$10:$BM$10))</f>
        <v/>
      </c>
      <c r="CM58" s="159" t="str">
        <f>IF(CM$7&gt;$D$3,"",_xlfn.XLOOKUP(CM$7,'Bridgend Manuf'!$M$6:$BM$6,'Bridgend Manuf'!$M$10:$BM$10))</f>
        <v/>
      </c>
      <c r="CO58" s="465" t="str">
        <f>+$A58</f>
        <v>Bridgend Manuf-KPI P1</v>
      </c>
      <c r="CP58" s="133" t="str">
        <f t="shared" ref="CP58:CQ61" si="199">+C58</f>
        <v>KPI P1</v>
      </c>
      <c r="CQ58" s="142" t="str">
        <f t="shared" si="199"/>
        <v>Productivity</v>
      </c>
      <c r="CR58" s="142" t="str">
        <f t="shared" si="186"/>
        <v>Production Value</v>
      </c>
      <c r="CS58" s="143" t="str">
        <f t="shared" si="186"/>
        <v>£'s</v>
      </c>
      <c r="CT58" s="206" t="s">
        <v>246</v>
      </c>
      <c r="CU58" s="624" t="str">
        <f>IF(CU$7&gt;$D$3,"",_xlfn.XLOOKUP(CU$7,'Bridgend Manuf'!$M$6:$BM$6,'Bridgend Manuf'!$M$10:$BM$10))</f>
        <v>Blank</v>
      </c>
      <c r="CV58" s="327">
        <f>IFERROR(IF(CV$7&gt;$D$3,"",IF(AN58="OD","OD",IF(AN58="Missed","Missed",IF(AN58="TBC","TBC",IF(AN58="Undefined","Undefined",IF(AN58="OD","OD",_xlfn.XLOOKUP(CV$7,'Bridgend Manuf'!$M$6:$BM$6,'Bridgend Manuf'!$M$9:$BM$9)/_xlfn.XLOOKUP(CV$7,'Bridgend Manuf'!$M$6:$BM$6,'Bridgend Manuf'!$M$8:$BM$8))))))),"")</f>
        <v>0.98067813267813264</v>
      </c>
      <c r="CW58" s="328">
        <f>IFERROR(IF(CW$7&gt;$D$3,"",IF(AO58="OD","OD",IF(AO58="Missed","Missed",IF(AO58="TBC","TBC",IF(AO58="Undefined","Undefined",IF(AO58="OD","OD",_xlfn.XLOOKUP(CW$7,'Bridgend Manuf'!$M$6:$BM$6,'Bridgend Manuf'!$M$9:$BM$9)/_xlfn.XLOOKUP(CW$7,'Bridgend Manuf'!$M$6:$BM$6,'Bridgend Manuf'!$M$8:$BM$8))))))),"")</f>
        <v>1.0463351351351351</v>
      </c>
      <c r="CX58" s="328">
        <f>IFERROR(IF(CX$7&gt;$D$3,"",IF(AP58="OD","OD",IF(AP58="Missed","Missed",IF(AP58="TBC","TBC",IF(AP58="Undefined","Undefined",IF(AP58="OD","OD",_xlfn.XLOOKUP(CX$7,'Bridgend Manuf'!$M$6:$BM$6,'Bridgend Manuf'!$M$9:$BM$9)/_xlfn.XLOOKUP(CX$7,'Bridgend Manuf'!$M$6:$BM$6,'Bridgend Manuf'!$M$8:$BM$8))))))),"")</f>
        <v>1.3217769041769041</v>
      </c>
      <c r="CY58" s="328">
        <f>IFERROR(IF(CY$7&gt;$D$3,"",IF(AQ58="OD","OD",IF(AQ58="Missed","Missed",IF(AQ58="TBC","TBC",IF(AQ58="Undefined","Undefined",IF(AQ58="OD","OD",_xlfn.XLOOKUP(CY$7,'Bridgend Manuf'!$M$6:$BM$6,'Bridgend Manuf'!$M$9:$BM$9)/_xlfn.XLOOKUP(CY$7,'Bridgend Manuf'!$M$6:$BM$6,'Bridgend Manuf'!$M$8:$BM$8))))))),"")</f>
        <v>1.1989366093366094</v>
      </c>
      <c r="CZ58" s="328">
        <f>IFERROR(IF(CZ$7&gt;$D$3,"",IF(AR58="OD","OD",IF(AR58="Missed","Missed",IF(AR58="TBC","TBC",IF(AR58="Undefined","Undefined",IF(AR58="OD","OD",_xlfn.XLOOKUP(CZ$7,'Bridgend Manuf'!$M$6:$BM$6,'Bridgend Manuf'!$M$9:$BM$9)/_xlfn.XLOOKUP(CZ$7,'Bridgend Manuf'!$M$6:$BM$6,'Bridgend Manuf'!$M$8:$BM$8))))))),"")</f>
        <v>1.0947145913564398</v>
      </c>
      <c r="DA58" s="328">
        <f>IFERROR(IF(DA$7&gt;$D$3,"",IF(AS58="OD","OD",IF(AS58="Missed","Missed",IF(AS58="TBC","TBC",IF(AS58="Undefined","Undefined",IF(AS58="OD","OD",_xlfn.XLOOKUP(DA$7,'Bridgend Manuf'!$M$6:$BM$6,'Bridgend Manuf'!$M$9:$BM$9)/_xlfn.XLOOKUP(DA$7,'Bridgend Manuf'!$M$6:$BM$6,'Bridgend Manuf'!$M$8:$BM$8))))))),"")</f>
        <v>1.0145656824989302</v>
      </c>
      <c r="DB58" s="328">
        <f>IFERROR(IF(DB$7&gt;$D$3,"",IF(AT58="OD","OD",IF(AT58="Missed","Missed",IF(AT58="TBC","TBC",IF(AT58="Undefined","Undefined",IF(AT58="OD","OD",_xlfn.XLOOKUP(DB$7,'Bridgend Manuf'!$M$6:$BM$6,'Bridgend Manuf'!$M$9:$BM$9)/_xlfn.XLOOKUP(DB$7,'Bridgend Manuf'!$M$6:$BM$6,'Bridgend Manuf'!$M$8:$BM$8))))))),"")</f>
        <v>1.0837021822849808</v>
      </c>
      <c r="DC58" s="328">
        <f>IFERROR(IF(DC$7&gt;$D$3,"",IF(AU58="OD","OD",IF(AU58="Missed","Missed",IF(AU58="TBC","TBC",IF(AU58="Undefined","Undefined",IF(AU58="OD","OD",_xlfn.XLOOKUP(DC$7,'Bridgend Manuf'!$M$6:$BM$6,'Bridgend Manuf'!$M$9:$BM$9)/_xlfn.XLOOKUP(DC$7,'Bridgend Manuf'!$M$6:$BM$6,'Bridgend Manuf'!$M$8:$BM$8))))))),"")</f>
        <v>1.2618827556696619</v>
      </c>
      <c r="DD58" s="328">
        <f>IFERROR(IF(DD$7&gt;$D$3,"",IF(AV58="OD","OD",IF(AV58="Missed","Missed",IF(AV58="TBC","TBC",IF(AV58="Undefined","Undefined",IF(AV58="OD","OD",_xlfn.XLOOKUP(DD$7,'Bridgend Manuf'!$M$6:$BM$6,'Bridgend Manuf'!$M$9:$BM$9)/_xlfn.XLOOKUP(DD$7,'Bridgend Manuf'!$M$6:$BM$6,'Bridgend Manuf'!$M$8:$BM$8))))))),"")</f>
        <v>1.0747214377406933</v>
      </c>
      <c r="DE58" s="328">
        <f>IFERROR(IF(DE$7&gt;$D$3,"",IF(AW58="OD","OD",IF(AW58="Missed","Missed",IF(AW58="TBC","TBC",IF(AW58="Undefined","Undefined",IF(AW58="OD","OD",_xlfn.XLOOKUP(DE$7,'Bridgend Manuf'!$M$6:$BM$6,'Bridgend Manuf'!$M$9:$BM$9)/_xlfn.XLOOKUP(DE$7,'Bridgend Manuf'!$M$6:$BM$6,'Bridgend Manuf'!$M$8:$BM$8))))))),"")</f>
        <v>1.1309850235344459</v>
      </c>
      <c r="DF58" s="328">
        <f>IFERROR(IF(DF$7&gt;$D$3,"",IF(AX58="OD","OD",IF(AX58="Missed","Missed",IF(AX58="TBC","TBC",IF(AX58="Undefined","Undefined",IF(AX58="OD","OD",_xlfn.XLOOKUP(DF$7,'Bridgend Manuf'!$M$6:$BM$6,'Bridgend Manuf'!$M$9:$BM$9)/_xlfn.XLOOKUP(DF$7,'Bridgend Manuf'!$M$6:$BM$6,'Bridgend Manuf'!$M$8:$BM$8))))))),"")</f>
        <v>1.228905434317501</v>
      </c>
      <c r="DG58" s="328">
        <f>IFERROR(IF(DG$7&gt;$D$3,"",IF(AY58="OD","OD",IF(AY58="Missed","Missed",IF(AY58="TBC","TBC",IF(AY58="Undefined","Undefined",IF(AY58="OD","OD",_xlfn.XLOOKUP(DG$7,'Bridgend Manuf'!$M$6:$BM$6,'Bridgend Manuf'!$M$9:$BM$9)/_xlfn.XLOOKUP(DG$7,'Bridgend Manuf'!$M$6:$BM$6,'Bridgend Manuf'!$M$8:$BM$8))))))),"")</f>
        <v>1.4004039366709458</v>
      </c>
      <c r="DH58" s="328">
        <f>IFERROR(IF(DH$7&gt;$D$3,"",IF(AZ58="OD","OD",IF(AZ58="Missed","Missed",IF(AZ58="TBC","TBC",IF(AZ58="Undefined","Undefined",IF(AZ58="OD","OD",_xlfn.XLOOKUP(DH$7,'Bridgend Manuf'!$M$6:$BM$6,'Bridgend Manuf'!$M$9:$BM$9)/_xlfn.XLOOKUP(DH$7,'Bridgend Manuf'!$M$6:$BM$6,'Bridgend Manuf'!$M$8:$BM$8))))))),"")</f>
        <v>1.103848797250859</v>
      </c>
      <c r="DI58" s="328">
        <f>IFERROR(IF(DI$7&gt;$D$3,"",IF(BA58="OD","OD",IF(BA58="Missed","Missed",IF(BA58="TBC","TBC",IF(BA58="Undefined","Undefined",IF(BA58="OD","OD",_xlfn.XLOOKUP(DI$7,'Bridgend Manuf'!$M$6:$BM$6,'Bridgend Manuf'!$M$9:$BM$9)/_xlfn.XLOOKUP(DI$7,'Bridgend Manuf'!$M$6:$BM$6,'Bridgend Manuf'!$M$8:$BM$8))))))),"")</f>
        <v>1.0935471554028255</v>
      </c>
      <c r="DJ58" s="328">
        <f>IFERROR(IF(DJ$7&gt;$D$3,"",IF(BB58="OD","OD",IF(BB58="Missed","Missed",IF(BB58="TBC","TBC",IF(BB58="Undefined","Undefined",IF(BB58="OD","OD",_xlfn.XLOOKUP(DJ$7,'Bridgend Manuf'!$M$6:$BM$6,'Bridgend Manuf'!$M$9:$BM$9)/_xlfn.XLOOKUP(DJ$7,'Bridgend Manuf'!$M$6:$BM$6,'Bridgend Manuf'!$M$8:$BM$8))))))),"")</f>
        <v>1.0048415425735013</v>
      </c>
      <c r="DK58" s="328">
        <f>IFERROR(IF(DK$7&gt;$D$3,"",IF(BC58="OD","OD",IF(BC58="Missed","Missed",IF(BC58="TBC","TBC",IF(BC58="Undefined","Undefined",IF(BC58="OD","OD",_xlfn.XLOOKUP(DK$7,'Bridgend Manuf'!$M$6:$BM$6,'Bridgend Manuf'!$M$9:$BM$9)/_xlfn.XLOOKUP(DK$7,'Bridgend Manuf'!$M$6:$BM$6,'Bridgend Manuf'!$M$8:$BM$8))))))),"")</f>
        <v>1.0084822451317297</v>
      </c>
      <c r="DL58" s="328">
        <f>IFERROR(IF(DL$7&gt;$D$3,"",IF(BD58="OD","OD",IF(BD58="Missed","Missed",IF(BD58="TBC","TBC",IF(BD58="Undefined","Undefined",IF(BD58="OD","OD",_xlfn.XLOOKUP(DL$7,'Bridgend Manuf'!$M$6:$BM$6,'Bridgend Manuf'!$M$9:$BM$9)/_xlfn.XLOOKUP(DL$7,'Bridgend Manuf'!$M$6:$BM$6,'Bridgend Manuf'!$M$8:$BM$8))))))),"")</f>
        <v>0.94640244368079418</v>
      </c>
      <c r="DM58" s="328">
        <f>IFERROR(IF(DM$7&gt;$D$3,"",IF(BE58="OD","OD",IF(BE58="Missed","Missed",IF(BE58="TBC","TBC",IF(BE58="Undefined","Undefined",IF(BE58="OD","OD",_xlfn.XLOOKUP(DM$7,'Bridgend Manuf'!$M$6:$BM$6,'Bridgend Manuf'!$M$9:$BM$9)/_xlfn.XLOOKUP(DM$7,'Bridgend Manuf'!$M$6:$BM$6,'Bridgend Manuf'!$M$8:$BM$8))))))),"")</f>
        <v>0.82508446505465383</v>
      </c>
      <c r="DN58" s="328">
        <f>IFERROR(IF(DN$7&gt;$D$3,"",IF(BF58="OD","OD",IF(BF58="Missed","Missed",IF(BF58="TBC","TBC",IF(BF58="Undefined","Undefined",IF(BF58="OD","OD",_xlfn.XLOOKUP(DN$7,'Bridgend Manuf'!$M$6:$BM$6,'Bridgend Manuf'!$M$9:$BM$9)/_xlfn.XLOOKUP(DN$7,'Bridgend Manuf'!$M$6:$BM$6,'Bridgend Manuf'!$M$8:$BM$8))))))),"")</f>
        <v>0.89145628102329133</v>
      </c>
      <c r="DO58" s="328">
        <f>IFERROR(IF(DO$7&gt;$D$3,"",IF(BG58="OD","OD",IF(BG58="Missed","Missed",IF(BG58="TBC","TBC",IF(BG58="Undefined","Undefined",IF(BG58="OD","OD",_xlfn.XLOOKUP(DO$7,'Bridgend Manuf'!$M$6:$BM$6,'Bridgend Manuf'!$M$9:$BM$9)/_xlfn.XLOOKUP(DO$7,'Bridgend Manuf'!$M$6:$BM$6,'Bridgend Manuf'!$M$8:$BM$8))))))),"")</f>
        <v>1.0404887361588393</v>
      </c>
      <c r="DP58" s="328">
        <f>IFERROR(IF(DP$7&gt;$D$3,"",IF(BH58="OD","OD",IF(BH58="Missed","Missed",IF(BH58="TBC","TBC",IF(BH58="Undefined","Undefined",IF(BH58="OD","OD",_xlfn.XLOOKUP(DP$7,'Bridgend Manuf'!$M$6:$BM$6,'Bridgend Manuf'!$M$9:$BM$9)/_xlfn.XLOOKUP(DP$7,'Bridgend Manuf'!$M$6:$BM$6,'Bridgend Manuf'!$M$8:$BM$8))))))),"")</f>
        <v>0.78369161974163626</v>
      </c>
      <c r="DQ58" s="328">
        <f>IFERROR(IF(DQ$7&gt;$D$3,"",IF(BI58="OD","OD",IF(BI58="Missed","Missed",IF(BI58="TBC","TBC",IF(BI58="Undefined","Undefined",IF(BI58="OD","OD",_xlfn.XLOOKUP(DQ$7,'Bridgend Manuf'!$M$6:$BM$6,'Bridgend Manuf'!$M$9:$BM$9)/_xlfn.XLOOKUP(DQ$7,'Bridgend Manuf'!$M$6:$BM$6,'Bridgend Manuf'!$M$8:$BM$8))))))),"")</f>
        <v>0.7944801150231674</v>
      </c>
      <c r="DR58" s="328">
        <f>IFERROR(IF(DR$7&gt;$D$3,"",IF(BJ58="OD","OD",IF(BJ58="Missed","Missed",IF(BJ58="TBC","TBC",IF(BJ58="Undefined","Undefined",IF(BJ58="OD","OD",_xlfn.XLOOKUP(DR$7,'Bridgend Manuf'!$M$6:$BM$6,'Bridgend Manuf'!$M$9:$BM$9)/_xlfn.XLOOKUP(DR$7,'Bridgend Manuf'!$M$6:$BM$6,'Bridgend Manuf'!$M$8:$BM$8))))))),"")</f>
        <v>0.69125577015670281</v>
      </c>
      <c r="DS58" s="328">
        <f>IFERROR(IF(DS$7&gt;$D$3,"",IF(BK58="OD","OD",IF(BK58="Missed","Missed",IF(BK58="TBC","TBC",IF(BK58="Undefined","Undefined",IF(BK58="OD","OD",_xlfn.XLOOKUP(DS$7,'Bridgend Manuf'!$M$6:$BM$6,'Bridgend Manuf'!$M$9:$BM$9)/_xlfn.XLOOKUP(DS$7,'Bridgend Manuf'!$M$6:$BM$6,'Bridgend Manuf'!$M$8:$BM$8))))))),"")</f>
        <v>0.79966095998207432</v>
      </c>
      <c r="DT58" s="328">
        <f>IFERROR(IF(DT$7&gt;$D$3,"",IF(BL58="OD","OD",IF(BL58="Missed","Missed",IF(BL58="TBC","TBC",IF(BL58="Undefined","Undefined",IF(BL58="OD","OD",_xlfn.XLOOKUP(DT$7,'Bridgend Manuf'!$M$6:$BM$6,'Bridgend Manuf'!$M$9:$BM$9)/_xlfn.XLOOKUP(DT$7,'Bridgend Manuf'!$M$6:$BM$6,'Bridgend Manuf'!$M$8:$BM$8))))))),"")</f>
        <v>0.86334251398771611</v>
      </c>
      <c r="DU58" s="328">
        <f>IFERROR(IF(DU$7&gt;$D$3,"",IF(BM58="OD","OD",IF(BM58="Missed","Missed",IF(BM58="TBC","TBC",IF(BM58="Undefined","Undefined",IF(BM58="OD","OD",_xlfn.XLOOKUP(DU$7,'Bridgend Manuf'!$M$6:$BM$6,'Bridgend Manuf'!$M$9:$BM$9)/_xlfn.XLOOKUP(DU$7,'Bridgend Manuf'!$M$6:$BM$6,'Bridgend Manuf'!$M$8:$BM$8))))))),"")</f>
        <v>0.63813243065169667</v>
      </c>
      <c r="DV58" s="328">
        <f>IFERROR(IF(DV$7&gt;$D$3,"",IF(BN58="OD","OD",IF(BN58="Missed","Missed",IF(BN58="TBC","TBC",IF(BN58="Undefined","Undefined",IF(BN58="OD","OD",_xlfn.XLOOKUP(DV$7,'Bridgend Manuf'!$M$6:$BM$6,'Bridgend Manuf'!$M$9:$BM$9)/_xlfn.XLOOKUP(DV$7,'Bridgend Manuf'!$M$6:$BM$6,'Bridgend Manuf'!$M$8:$BM$8))))))),"")</f>
        <v>0.6027645921999768</v>
      </c>
      <c r="DW58" s="328">
        <f>IFERROR(IF(DW$7&gt;$D$3,"",IF(BO58="OD","OD",IF(BO58="Missed","Missed",IF(BO58="TBC","TBC",IF(BO58="Undefined","Undefined",IF(BO58="OD","OD",_xlfn.XLOOKUP(DW$7,'Bridgend Manuf'!$M$6:$BM$6,'Bridgend Manuf'!$M$9:$BM$9)/_xlfn.XLOOKUP(DW$7,'Bridgend Manuf'!$M$6:$BM$6,'Bridgend Manuf'!$M$8:$BM$8))))))),"")</f>
        <v>0.87249122395194245</v>
      </c>
      <c r="DX58" s="328">
        <f>IFERROR(IF(DX$7&gt;$D$3,"",IF(BP58="OD","OD",IF(BP58="Missed","Missed",IF(BP58="TBC","TBC",IF(BP58="Undefined","Undefined",IF(BP58="OD","OD",_xlfn.XLOOKUP(DX$7,'Bridgend Manuf'!$M$6:$BM$6,'Bridgend Manuf'!$M$9:$BM$9)/_xlfn.XLOOKUP(DX$7,'Bridgend Manuf'!$M$6:$BM$6,'Bridgend Manuf'!$M$8:$BM$8))))))),"")</f>
        <v>1.0648466394316116</v>
      </c>
      <c r="DY58" s="328">
        <f>IFERROR(IF(DY$7&gt;$D$3,"",IF(BQ58="OD","OD",IF(BQ58="Missed","Missed",IF(BQ58="TBC","TBC",IF(BQ58="Undefined","Undefined",IF(BQ58="OD","OD",_xlfn.XLOOKUP(DY$7,'Bridgend Manuf'!$M$6:$BM$6,'Bridgend Manuf'!$M$9:$BM$9)/_xlfn.XLOOKUP(DY$7,'Bridgend Manuf'!$M$6:$BM$6,'Bridgend Manuf'!$M$8:$BM$8))))))),"")</f>
        <v>1.0396001440441736</v>
      </c>
      <c r="DZ58" s="328">
        <f>IFERROR(IF(DZ$7&gt;$D$3,"",IF(BR58="OD","OD",IF(BR58="Missed","Missed",IF(BR58="TBC","TBC",IF(BR58="Undefined","Undefined",IF(BR58="OD","OD",_xlfn.XLOOKUP(DZ$7,'Bridgend Manuf'!$M$6:$BM$6,'Bridgend Manuf'!$M$9:$BM$9)/_xlfn.XLOOKUP(DZ$7,'Bridgend Manuf'!$M$6:$BM$6,'Bridgend Manuf'!$M$8:$BM$8))))))),"")</f>
        <v>0.98852671492588762</v>
      </c>
      <c r="EA58" s="328">
        <f>IFERROR(IF(EA$7&gt;$D$3,"",IF(BS58="OD","OD",IF(BS58="Missed","Missed",IF(BS58="TBC","TBC",IF(BS58="Undefined","Undefined",IF(BS58="OD","OD",_xlfn.XLOOKUP(EA$7,'Bridgend Manuf'!$M$6:$BM$6,'Bridgend Manuf'!$M$9:$BM$9)/_xlfn.XLOOKUP(EA$7,'Bridgend Manuf'!$M$6:$BM$6,'Bridgend Manuf'!$M$8:$BM$8))))))),"")</f>
        <v>0.79699828747939372</v>
      </c>
      <c r="EB58" s="328">
        <f>IFERROR(IF(EB$7&gt;$D$3,"",IF(BT58="OD","OD",IF(BT58="Missed","Missed",IF(BT58="TBC","TBC",IF(BT58="Undefined","Undefined",IF(BT58="OD","OD",_xlfn.XLOOKUP(EB$7,'Bridgend Manuf'!$M$6:$BM$6,'Bridgend Manuf'!$M$9:$BM$9)/_xlfn.XLOOKUP(EB$7,'Bridgend Manuf'!$M$6:$BM$6,'Bridgend Manuf'!$M$8:$BM$8))))))),"")</f>
        <v>1.1437793864184764</v>
      </c>
      <c r="EC58" s="328">
        <f>IFERROR(IF(EC$7&gt;$D$3,"",IF(BU58="OD","OD",IF(BU58="Missed","Missed",IF(BU58="TBC","TBC",IF(BU58="Undefined","Undefined",IF(BU58="OD","OD",_xlfn.XLOOKUP(EC$7,'Bridgend Manuf'!$M$6:$BM$6,'Bridgend Manuf'!$M$9:$BM$9)/_xlfn.XLOOKUP(EC$7,'Bridgend Manuf'!$M$6:$BM$6,'Bridgend Manuf'!$M$8:$BM$8))))))),"")</f>
        <v>0.95063081695966911</v>
      </c>
      <c r="ED58" s="328">
        <f>IFERROR(IF(ED$7&gt;$D$3,"",IF(BV58="OD","OD",IF(BV58="Missed","Missed",IF(BV58="TBC","TBC",IF(BV58="Undefined","Undefined",IF(BV58="OD","OD",_xlfn.XLOOKUP(ED$7,'Bridgend Manuf'!$M$6:$BM$6,'Bridgend Manuf'!$M$9:$BM$9)/_xlfn.XLOOKUP(ED$7,'Bridgend Manuf'!$M$6:$BM$6,'Bridgend Manuf'!$M$8:$BM$8))))))),"")</f>
        <v>0.9344486067634834</v>
      </c>
      <c r="EE58" s="328">
        <f>IFERROR(IF(EE$7&gt;$D$3,"",IF(BW58="OD","OD",IF(BW58="Missed","Missed",IF(BW58="TBC","TBC",IF(BW58="Undefined","Undefined",IF(BW58="OD","OD",_xlfn.XLOOKUP(EE$7,'Bridgend Manuf'!$M$6:$BM$6,'Bridgend Manuf'!$M$9:$BM$9)/_xlfn.XLOOKUP(EE$7,'Bridgend Manuf'!$M$6:$BM$6,'Bridgend Manuf'!$M$8:$BM$8))))))),"")</f>
        <v>0.9460924016800305</v>
      </c>
      <c r="EF58" s="328">
        <f>IFERROR(IF(EF$7&gt;$D$3,"",IF(BX58="OD","OD",IF(BX58="Missed","Missed",IF(BX58="TBC","TBC",IF(BX58="Undefined","Undefined",IF(BX58="OD","OD",_xlfn.XLOOKUP(EF$7,'Bridgend Manuf'!$M$6:$BM$6,'Bridgend Manuf'!$M$9:$BM$9)/_xlfn.XLOOKUP(EF$7,'Bridgend Manuf'!$M$6:$BM$6,'Bridgend Manuf'!$M$8:$BM$8))))))),"")</f>
        <v>0.80089499809087439</v>
      </c>
      <c r="EG58" s="328">
        <f>IFERROR(IF(EG$7&gt;$D$3,"",IF(BY58="OD","OD",IF(BY58="Missed","Missed",IF(BY58="TBC","TBC",IF(BY58="Undefined","Undefined",IF(BY58="OD","OD",_xlfn.XLOOKUP(EG$7,'Bridgend Manuf'!$M$6:$BM$6,'Bridgend Manuf'!$M$9:$BM$9)/_xlfn.XLOOKUP(EG$7,'Bridgend Manuf'!$M$6:$BM$6,'Bridgend Manuf'!$M$8:$BM$8))))))),"")</f>
        <v>1.2078915616647576</v>
      </c>
      <c r="EH58" s="328" t="str">
        <f>IFERROR(IF(EH$7&gt;$D$3,"",IF(BZ58="OD","OD",IF(BZ58="Missed","Missed",IF(BZ58="TBC","TBC",IF(BZ58="Undefined","Undefined",IF(BZ58="OD","OD",_xlfn.XLOOKUP(EH$7,'Bridgend Manuf'!$M$6:$BM$6,'Bridgend Manuf'!$M$9:$BM$9)/_xlfn.XLOOKUP(EH$7,'Bridgend Manuf'!$M$6:$BM$6,'Bridgend Manuf'!$M$8:$BM$8))))))),"")</f>
        <v>OD</v>
      </c>
      <c r="EI58" s="328" t="str">
        <f>IFERROR(IF(EI$7&gt;$D$3,"",IF(CA58="OD","OD",IF(CA58="Missed","Missed",IF(CA58="TBC","TBC",IF(CA58="Undefined","Undefined",IF(CA58="OD","OD",_xlfn.XLOOKUP(EI$7,'Bridgend Manuf'!$M$6:$BM$6,'Bridgend Manuf'!$M$9:$BM$9)/_xlfn.XLOOKUP(EI$7,'Bridgend Manuf'!$M$6:$BM$6,'Bridgend Manuf'!$M$8:$BM$8))))))),"")</f>
        <v>OD</v>
      </c>
      <c r="EJ58" s="328" t="str">
        <f>IFERROR(IF(EJ$7&gt;$D$3,"",IF(CB58="OD","OD",IF(CB58="Missed","Missed",IF(CB58="TBC","TBC",IF(CB58="Undefined","Undefined",IF(CB58="OD","OD",_xlfn.XLOOKUP(EJ$7,'Bridgend Manuf'!$M$6:$BM$6,'Bridgend Manuf'!$M$9:$BM$9)/_xlfn.XLOOKUP(EJ$7,'Bridgend Manuf'!$M$6:$BM$6,'Bridgend Manuf'!$M$8:$BM$8))))))),"")</f>
        <v>OD</v>
      </c>
      <c r="EK58" s="328" t="str">
        <f>IFERROR(IF(EK$7&gt;$D$3,"",IF(CC58="OD","OD",IF(CC58="Missed","Missed",IF(CC58="TBC","TBC",IF(CC58="Undefined","Undefined",IF(CC58="OD","OD",_xlfn.XLOOKUP(EK$7,'Bridgend Manuf'!$M$6:$BM$6,'Bridgend Manuf'!$M$9:$BM$9)/_xlfn.XLOOKUP(EK$7,'Bridgend Manuf'!$M$6:$BM$6,'Bridgend Manuf'!$M$8:$BM$8))))))),"")</f>
        <v/>
      </c>
      <c r="EL58" s="328" t="str">
        <f>IFERROR(IF(EL$7&gt;$D$3,"",IF(CD58="OD","OD",IF(CD58="Missed","Missed",IF(CD58="TBC","TBC",IF(CD58="Undefined","Undefined",IF(CD58="OD","OD",_xlfn.XLOOKUP(EL$7,'Bridgend Manuf'!$M$6:$BM$6,'Bridgend Manuf'!$M$9:$BM$9)/_xlfn.XLOOKUP(EL$7,'Bridgend Manuf'!$M$6:$BM$6,'Bridgend Manuf'!$M$8:$BM$8))))))),"")</f>
        <v/>
      </c>
      <c r="EM58" s="328" t="str">
        <f>IFERROR(IF(EM$7&gt;$D$3,"",IF(CE58="OD","OD",IF(CE58="Missed","Missed",IF(CE58="TBC","TBC",IF(CE58="Undefined","Undefined",IF(CE58="OD","OD",_xlfn.XLOOKUP(EM$7,'Bridgend Manuf'!$M$6:$BM$6,'Bridgend Manuf'!$M$9:$BM$9)/_xlfn.XLOOKUP(EM$7,'Bridgend Manuf'!$M$6:$BM$6,'Bridgend Manuf'!$M$8:$BM$8))))))),"")</f>
        <v/>
      </c>
      <c r="EN58" s="328" t="str">
        <f>IFERROR(IF(EN$7&gt;$D$3,"",IF(CF58="OD","OD",IF(CF58="Missed","Missed",IF(CF58="TBC","TBC",IF(CF58="Undefined","Undefined",IF(CF58="OD","OD",_xlfn.XLOOKUP(EN$7,'Bridgend Manuf'!$M$6:$BM$6,'Bridgend Manuf'!$M$9:$BM$9)/_xlfn.XLOOKUP(EN$7,'Bridgend Manuf'!$M$6:$BM$6,'Bridgend Manuf'!$M$8:$BM$8))))))),"")</f>
        <v/>
      </c>
      <c r="EO58" s="328" t="str">
        <f>IFERROR(IF(EO$7&gt;$D$3,"",IF(CG58="OD","OD",IF(CG58="Missed","Missed",IF(CG58="TBC","TBC",IF(CG58="Undefined","Undefined",IF(CG58="OD","OD",_xlfn.XLOOKUP(EO$7,'Bridgend Manuf'!$M$6:$BM$6,'Bridgend Manuf'!$M$9:$BM$9)/_xlfn.XLOOKUP(EO$7,'Bridgend Manuf'!$M$6:$BM$6,'Bridgend Manuf'!$M$8:$BM$8))))))),"")</f>
        <v/>
      </c>
      <c r="EP58" s="328" t="str">
        <f>IFERROR(IF(EP$7&gt;$D$3,"",IF(CH58="OD","OD",IF(CH58="Missed","Missed",IF(CH58="TBC","TBC",IF(CH58="Undefined","Undefined",IF(CH58="OD","OD",_xlfn.XLOOKUP(EP$7,'Bridgend Manuf'!$M$6:$BM$6,'Bridgend Manuf'!$M$9:$BM$9)/_xlfn.XLOOKUP(EP$7,'Bridgend Manuf'!$M$6:$BM$6,'Bridgend Manuf'!$M$8:$BM$8))))))),"")</f>
        <v/>
      </c>
      <c r="EQ58" s="328" t="str">
        <f>IFERROR(IF(EQ$7&gt;$D$3,"",IF(CI58="OD","OD",IF(CI58="Missed","Missed",IF(CI58="TBC","TBC",IF(CI58="Undefined","Undefined",IF(CI58="OD","OD",_xlfn.XLOOKUP(EQ$7,'Bridgend Manuf'!$M$6:$BM$6,'Bridgend Manuf'!$M$9:$BM$9)/_xlfn.XLOOKUP(EQ$7,'Bridgend Manuf'!$M$6:$BM$6,'Bridgend Manuf'!$M$8:$BM$8))))))),"")</f>
        <v/>
      </c>
      <c r="ER58" s="328" t="str">
        <f>IFERROR(IF(ER$7&gt;$D$3,"",IF(CJ58="OD","OD",IF(CJ58="Missed","Missed",IF(CJ58="TBC","TBC",IF(CJ58="Undefined","Undefined",IF(CJ58="OD","OD",_xlfn.XLOOKUP(ER$7,'Bridgend Manuf'!$M$6:$BM$6,'Bridgend Manuf'!$M$9:$BM$9)/_xlfn.XLOOKUP(ER$7,'Bridgend Manuf'!$M$6:$BM$6,'Bridgend Manuf'!$M$8:$BM$8))))))),"")</f>
        <v/>
      </c>
      <c r="ES58" s="328" t="str">
        <f>IFERROR(IF(ES$7&gt;$D$3,"",IF(CK58="OD","OD",IF(CK58="Missed","Missed",IF(CK58="TBC","TBC",IF(CK58="Undefined","Undefined",IF(CK58="OD","OD",_xlfn.XLOOKUP(ES$7,'Bridgend Manuf'!$M$6:$BM$6,'Bridgend Manuf'!$M$9:$BM$9)/_xlfn.XLOOKUP(ES$7,'Bridgend Manuf'!$M$6:$BM$6,'Bridgend Manuf'!$M$8:$BM$8))))))),"")</f>
        <v/>
      </c>
      <c r="ET58" s="328" t="str">
        <f>IFERROR(IF(ET$7&gt;$D$3,"",IF(CL58="OD","OD",IF(CL58="Missed","Missed",IF(CL58="TBC","TBC",IF(CL58="Undefined","Undefined",IF(CL58="OD","OD",_xlfn.XLOOKUP(ET$7,'Bridgend Manuf'!$M$6:$BM$6,'Bridgend Manuf'!$M$9:$BM$9)/_xlfn.XLOOKUP(ET$7,'Bridgend Manuf'!$M$6:$BM$6,'Bridgend Manuf'!$M$8:$BM$8))))))),"")</f>
        <v/>
      </c>
      <c r="EU58" s="328" t="str">
        <f>IFERROR(IF(EU$7&gt;$D$3,"",IF(CM58="OD","OD",IF(CM58="Missed","Missed",IF(CM58="TBC","TBC",IF(CM58="Undefined","Undefined",IF(CM58="OD","OD",_xlfn.XLOOKUP(EU$7,'Bridgend Manuf'!$M$6:$BM$6,'Bridgend Manuf'!$M$9:$BM$9)/_xlfn.XLOOKUP(EU$7,'Bridgend Manuf'!$M$6:$BM$6,'Bridgend Manuf'!$M$8:$BM$8))))))),"")</f>
        <v/>
      </c>
      <c r="EW58" s="465" t="str">
        <f>+$A58</f>
        <v>Bridgend Manuf-KPI P1</v>
      </c>
      <c r="EX58" s="133" t="str">
        <f>+$C58</f>
        <v>KPI P1</v>
      </c>
      <c r="EY58" s="142" t="str">
        <f>+$D58</f>
        <v>Productivity</v>
      </c>
      <c r="EZ58" s="142" t="str">
        <f>+$E58</f>
        <v>Production Value</v>
      </c>
      <c r="FA58" s="143" t="str">
        <f>+$F58</f>
        <v>£'s</v>
      </c>
      <c r="FB58" s="143" t="s">
        <v>251</v>
      </c>
      <c r="FC58" s="211" t="str">
        <f>IF(FC$7&gt;$D$3,"",IF($FA57&lt;FC$7,"OD",_xlfn.XLOOKUP(FC$7,'Bridgend Manuf'!$M$6:$BM$6,'Bridgend Manuf'!$M$9:$BM$9)))</f>
        <v>Blank</v>
      </c>
      <c r="FD58" s="260">
        <f>IF(FD$7&gt;$D$3,"",IF($FA57&lt;FD$7,"OD",_xlfn.XLOOKUP(FD$7,'Bridgend Manuf'!$M$6:$BM$6,'Bridgend Manuf'!$M$9:$BM$9)))</f>
        <v>498920</v>
      </c>
      <c r="FE58" s="260">
        <f>IF(FE$7&gt;$D$3,"",IF($FA57&lt;FE$7,"OD",_xlfn.XLOOKUP(FE$7,'Bridgend Manuf'!$M$6:$BM$6,'Bridgend Manuf'!$M$9:$BM$9)))</f>
        <v>532323</v>
      </c>
      <c r="FF58" s="260">
        <f>IF(FF$7&gt;$D$3,"",IF($FA57&lt;FF$7,"OD",_xlfn.XLOOKUP(FF$7,'Bridgend Manuf'!$M$6:$BM$6,'Bridgend Manuf'!$M$9:$BM$9)))</f>
        <v>672454</v>
      </c>
      <c r="FG58" s="260">
        <f>IF(FG$7&gt;$D$3,"",IF($FA57&lt;FG$7,"OD",_xlfn.XLOOKUP(FG$7,'Bridgend Manuf'!$M$6:$BM$6,'Bridgend Manuf'!$M$9:$BM$9)))</f>
        <v>609959</v>
      </c>
      <c r="FH58" s="260">
        <f>IF(FH$7&gt;$D$3,"",IF($FA57&lt;FH$7,"OD",_xlfn.XLOOKUP(FH$7,'Bridgend Manuf'!$M$6:$BM$6,'Bridgend Manuf'!$M$9:$BM$9)))</f>
        <v>639587</v>
      </c>
      <c r="FI58" s="260">
        <f>IF(FI$7&gt;$D$3,"",IF($FA57&lt;FI$7,"OD",_xlfn.XLOOKUP(FI$7,'Bridgend Manuf'!$M$6:$BM$6,'Bridgend Manuf'!$M$9:$BM$9)))</f>
        <v>592760</v>
      </c>
      <c r="FJ58" s="260">
        <f>IF(FJ$7&gt;$D$3,"",IF($FA57&lt;FJ$7,"OD",_xlfn.XLOOKUP(FJ$7,'Bridgend Manuf'!$M$6:$BM$6,'Bridgend Manuf'!$M$9:$BM$9)))</f>
        <v>633153</v>
      </c>
      <c r="FK58" s="260">
        <f>IF(FK$7&gt;$D$3,"",IF($FA57&lt;FK$7,"OD",_xlfn.XLOOKUP(FK$7,'Bridgend Manuf'!$M$6:$BM$6,'Bridgend Manuf'!$M$9:$BM$9)))</f>
        <v>737255</v>
      </c>
      <c r="FL58" s="260">
        <f>IF(FL$7&gt;$D$3,"",IF($FA57&lt;FL$7,"OD",_xlfn.XLOOKUP(FL$7,'Bridgend Manuf'!$M$6:$BM$6,'Bridgend Manuf'!$M$9:$BM$9)))</f>
        <v>627906</v>
      </c>
      <c r="FM58" s="260">
        <f>IF(FM$7&gt;$D$3,"",IF($FA57&lt;FM$7,"OD",_xlfn.XLOOKUP(FM$7,'Bridgend Manuf'!$M$6:$BM$6,'Bridgend Manuf'!$M$9:$BM$9)))</f>
        <v>660778</v>
      </c>
      <c r="FN58" s="260">
        <f>IF(FN$7&gt;$D$3,"",IF($FA57&lt;FN$7,"OD",_xlfn.XLOOKUP(FN$7,'Bridgend Manuf'!$M$6:$BM$6,'Bridgend Manuf'!$M$9:$BM$9)))</f>
        <v>717988</v>
      </c>
      <c r="FO58" s="260">
        <f>IF(FO$7&gt;$D$3,"",IF($FA57&lt;FO$7,"OD",_xlfn.XLOOKUP(FO$7,'Bridgend Manuf'!$M$6:$BM$6,'Bridgend Manuf'!$M$9:$BM$9)))</f>
        <v>818186</v>
      </c>
      <c r="FP58" s="260">
        <f>IF(FP$7&gt;$D$3,"",IF($FA57&lt;FP$7,"OD",_xlfn.XLOOKUP(FP$7,'Bridgend Manuf'!$M$6:$BM$6,'Bridgend Manuf'!$M$9:$BM$9)))</f>
        <v>722745</v>
      </c>
      <c r="FQ58" s="260">
        <f>IF(FQ$7&gt;$D$3,"",IF($FA57&lt;FQ$7,"OD",_xlfn.XLOOKUP(FQ$7,'Bridgend Manuf'!$M$6:$BM$6,'Bridgend Manuf'!$M$9:$BM$9)))</f>
        <v>716000</v>
      </c>
      <c r="FR58" s="260">
        <f>IF(FR$7&gt;$D$3,"",IF($FA57&lt;FR$7,"OD",_xlfn.XLOOKUP(FR$7,'Bridgend Manuf'!$M$6:$BM$6,'Bridgend Manuf'!$M$9:$BM$9)))</f>
        <v>526336</v>
      </c>
      <c r="FS58" s="260">
        <f>IF(FS$7&gt;$D$3,"",IF($FA57&lt;FS$7,"OD",_xlfn.XLOOKUP(FS$7,'Bridgend Manuf'!$M$6:$BM$6,'Bridgend Manuf'!$M$9:$BM$9)))</f>
        <v>528243</v>
      </c>
      <c r="FT58" s="260">
        <f>IF(FT$7&gt;$D$3,"",IF($FA57&lt;FT$7,"OD",_xlfn.XLOOKUP(FT$7,'Bridgend Manuf'!$M$6:$BM$6,'Bridgend Manuf'!$M$9:$BM$9)))</f>
        <v>619657</v>
      </c>
      <c r="FU58" s="260">
        <f>IF(FU$7&gt;$D$3,"",IF($FA57&lt;FU$7,"OD",_xlfn.XLOOKUP(FU$7,'Bridgend Manuf'!$M$6:$BM$6,'Bridgend Manuf'!$M$9:$BM$9)))</f>
        <v>498186</v>
      </c>
      <c r="FV58" s="260">
        <f>IF(FV$7&gt;$D$3,"",IF($FA57&lt;FV$7,"OD",_xlfn.XLOOKUP(FV$7,'Bridgend Manuf'!$M$6:$BM$6,'Bridgend Manuf'!$M$9:$BM$9)))</f>
        <v>583681</v>
      </c>
      <c r="FW58" s="260">
        <f>IF(FW$7&gt;$D$3,"",IF($FA57&lt;FW$7,"OD",_xlfn.XLOOKUP(FW$7,'Bridgend Manuf'!$M$6:$BM$6,'Bridgend Manuf'!$M$9:$BM$9)))</f>
        <v>681260</v>
      </c>
      <c r="FX58" s="260">
        <f>IF(FX$7&gt;$D$3,"",IF($FA57&lt;FX$7,"OD",_xlfn.XLOOKUP(FX$7,'Bridgend Manuf'!$M$6:$BM$6,'Bridgend Manuf'!$M$9:$BM$9)))</f>
        <v>473193</v>
      </c>
      <c r="FY58" s="260">
        <f>IF(FY$7&gt;$D$3,"",IF($FA57&lt;FY$7,"OD",_xlfn.XLOOKUP(FY$7,'Bridgend Manuf'!$M$6:$BM$6,'Bridgend Manuf'!$M$9:$BM$9)))</f>
        <v>595671</v>
      </c>
      <c r="FZ58" s="260">
        <f>IF(FZ$7&gt;$D$3,"",IF($FA57&lt;FZ$7,"OD",_xlfn.XLOOKUP(FZ$7,'Bridgend Manuf'!$M$6:$BM$6,'Bridgend Manuf'!$M$9:$BM$9)))</f>
        <v>518278</v>
      </c>
      <c r="GA58" s="260">
        <f>IF(GA$7&gt;$D$3,"",IF($FA57&lt;GA$7,"OD",_xlfn.XLOOKUP(GA$7,'Bridgend Manuf'!$M$6:$BM$6,'Bridgend Manuf'!$M$9:$BM$9)))</f>
        <v>599557</v>
      </c>
      <c r="GB58" s="260">
        <f>IF(GB$7&gt;$D$3,"",IF($FA57&lt;GB$7,"OD",_xlfn.XLOOKUP(GB$7,'Bridgend Manuf'!$M$6:$BM$6,'Bridgend Manuf'!$M$9:$BM$9)))</f>
        <v>647304</v>
      </c>
      <c r="GC58" s="260">
        <f>IF(GC$7&gt;$D$3,"",IF($FA57&lt;GC$7,"OD",_xlfn.XLOOKUP(GC$7,'Bridgend Manuf'!$M$6:$BM$6,'Bridgend Manuf'!$M$9:$BM$9)))</f>
        <v>478450</v>
      </c>
      <c r="GD58" s="260">
        <f>IF(GD$7&gt;$D$3,"",IF($FA57&lt;GD$7,"OD",_xlfn.XLOOKUP(GD$7,'Bridgend Manuf'!$M$6:$BM$6,'Bridgend Manuf'!$M$9:$BM$9)))</f>
        <v>451933</v>
      </c>
      <c r="GE58" s="260">
        <f>IF(GE$7&gt;$D$3,"",IF($FA57&lt;GE$7,"OD",_xlfn.XLOOKUP(GE$7,'Bridgend Manuf'!$M$6:$BM$6,'Bridgend Manuf'!$M$9:$BM$9)))</f>
        <v>654166</v>
      </c>
      <c r="GF58" s="260">
        <f>IF(GF$7&gt;$D$3,"",IF($FA57&lt;GF$7,"OD",_xlfn.XLOOKUP(GF$7,'Bridgend Manuf'!$M$6:$BM$6,'Bridgend Manuf'!$M$9:$BM$9)))</f>
        <v>798389</v>
      </c>
      <c r="GG58" s="260">
        <f>IF(GG$7&gt;$D$3,"",IF($FA57&lt;GG$7,"OD",_xlfn.XLOOKUP(GG$7,'Bridgend Manuf'!$M$6:$BM$6,'Bridgend Manuf'!$M$9:$BM$9)))</f>
        <v>779461</v>
      </c>
      <c r="GH58" s="260">
        <f>IF(GH$7&gt;$D$3,"",IF($FA57&lt;GH$7,"OD",_xlfn.XLOOKUP(GH$7,'Bridgend Manuf'!$M$6:$BM$6,'Bridgend Manuf'!$M$9:$BM$9)))</f>
        <v>716929</v>
      </c>
      <c r="GI58" s="260">
        <f>IF(GI$7&gt;$D$3,"",IF($FA57&lt;GI$7,"OD",_xlfn.XLOOKUP(GI$7,'Bridgend Manuf'!$M$6:$BM$6,'Bridgend Manuf'!$M$9:$BM$9)))</f>
        <v>597567</v>
      </c>
      <c r="GJ58" s="260">
        <f>IF(GJ$7&gt;$D$3,"",IF($FA57&lt;GJ$7,"OD",_xlfn.XLOOKUP(GJ$7,'Bridgend Manuf'!$M$6:$BM$6,'Bridgend Manuf'!$M$9:$BM$9)))</f>
        <v>829526</v>
      </c>
      <c r="GK58" s="260">
        <f>IF(GK$7&gt;$D$3,"",IF($FA57&lt;GK$7,"OD",_xlfn.XLOOKUP(GK$7,'Bridgend Manuf'!$M$6:$BM$6,'Bridgend Manuf'!$M$9:$BM$9)))</f>
        <v>551556</v>
      </c>
      <c r="GL58" s="260">
        <f>IF(GL$7&gt;$D$3,"",IF($FA57&lt;GL$7,"OD",_xlfn.XLOOKUP(GL$7,'Bridgend Manuf'!$M$6:$BM$6,'Bridgend Manuf'!$M$9:$BM$9)))</f>
        <v>637336</v>
      </c>
      <c r="GM58" s="260">
        <f>IF(GM$7&gt;$D$3,"",IF($FA57&lt;GM$7,"OD",_xlfn.XLOOKUP(GM$7,'Bridgend Manuf'!$M$6:$BM$6,'Bridgend Manuf'!$M$9:$BM$9)))</f>
        <v>619454</v>
      </c>
      <c r="GN58" s="260">
        <f>IF(GN$7&gt;$D$3,"",IF($FA57&lt;GN$7,"OD",_xlfn.XLOOKUP(GN$7,'Bridgend Manuf'!$M$6:$BM$6,'Bridgend Manuf'!$M$9:$BM$9)))</f>
        <v>524386</v>
      </c>
      <c r="GO58" s="260">
        <f>IF(GO$7&gt;$D$3,"",IF($FA57&lt;GO$7,"OD",_xlfn.XLOOKUP(GO$7,'Bridgend Manuf'!$M$6:$BM$6,'Bridgend Manuf'!$M$9:$BM$9)))</f>
        <v>790867</v>
      </c>
      <c r="GP58" s="260">
        <f>IF(GP$7&gt;$D$3,"",IF($FA57&lt;GP$7,"OD",_xlfn.XLOOKUP(GP$7,'Bridgend Manuf'!$M$6:$BM$6,'Bridgend Manuf'!$M$9:$BM$9)))</f>
        <v>0</v>
      </c>
      <c r="GQ58" s="260">
        <f>IF(GQ$7&gt;$D$3,"",IF($FA57&lt;GQ$7,"OD",_xlfn.XLOOKUP(GQ$7,'Bridgend Manuf'!$M$6:$BM$6,'Bridgend Manuf'!$M$9:$BM$9)))</f>
        <v>0</v>
      </c>
      <c r="GR58" s="260">
        <f>IF(GR$7&gt;$D$3,"",IF($FA57&lt;GR$7,"OD",_xlfn.XLOOKUP(GR$7,'Bridgend Manuf'!$M$6:$BM$6,'Bridgend Manuf'!$M$9:$BM$9)))</f>
        <v>0</v>
      </c>
      <c r="GS58" s="260" t="str">
        <f>IF(GS$7&gt;$D$3,"",IF($FA57&lt;GS$7,"OD",_xlfn.XLOOKUP(GS$7,'Bridgend Manuf'!$M$6:$BM$6,'Bridgend Manuf'!$M$9:$BM$9)))</f>
        <v/>
      </c>
      <c r="GT58" s="260" t="str">
        <f>IF(GT$7&gt;$D$3,"",IF($FA57&lt;GT$7,"OD",_xlfn.XLOOKUP(GT$7,'Bridgend Manuf'!$M$6:$BM$6,'Bridgend Manuf'!$M$9:$BM$9)))</f>
        <v/>
      </c>
      <c r="GU58" s="260" t="str">
        <f>IF(GU$7&gt;$D$3,"",IF($FA57&lt;GU$7,"OD",_xlfn.XLOOKUP(GU$7,'Bridgend Manuf'!$M$6:$BM$6,'Bridgend Manuf'!$M$9:$BM$9)))</f>
        <v/>
      </c>
      <c r="GV58" s="260" t="str">
        <f>IF(GV$7&gt;$D$3,"",IF($FA57&lt;GV$7,"OD",_xlfn.XLOOKUP(GV$7,'Bridgend Manuf'!$M$6:$BM$6,'Bridgend Manuf'!$M$9:$BM$9)))</f>
        <v/>
      </c>
      <c r="GW58" s="260" t="str">
        <f>IF(GW$7&gt;$D$3,"",IF($FA57&lt;GW$7,"OD",_xlfn.XLOOKUP(GW$7,'Bridgend Manuf'!$M$6:$BM$6,'Bridgend Manuf'!$M$9:$BM$9)))</f>
        <v/>
      </c>
      <c r="GX58" s="260" t="str">
        <f>IF(GX$7&gt;$D$3,"",IF($FA57&lt;GX$7,"OD",_xlfn.XLOOKUP(GX$7,'Bridgend Manuf'!$M$6:$BM$6,'Bridgend Manuf'!$M$9:$BM$9)))</f>
        <v/>
      </c>
      <c r="GY58" s="260" t="str">
        <f>IF(GY$7&gt;$D$3,"",IF($FA57&lt;GY$7,"OD",_xlfn.XLOOKUP(GY$7,'Bridgend Manuf'!$M$6:$BM$6,'Bridgend Manuf'!$M$9:$BM$9)))</f>
        <v/>
      </c>
      <c r="GZ58" s="260" t="str">
        <f>IF(GZ$7&gt;$D$3,"",IF($FA57&lt;GZ$7,"OD",_xlfn.XLOOKUP(GZ$7,'Bridgend Manuf'!$M$6:$BM$6,'Bridgend Manuf'!$M$9:$BM$9)))</f>
        <v/>
      </c>
      <c r="HA58" s="260" t="str">
        <f>IF(HA$7&gt;$D$3,"",IF($FA57&lt;HA$7,"OD",_xlfn.XLOOKUP(HA$7,'Bridgend Manuf'!$M$6:$BM$6,'Bridgend Manuf'!$M$9:$BM$9)))</f>
        <v/>
      </c>
      <c r="HB58" s="260" t="str">
        <f>IF(HB$7&gt;$D$3,"",IF($FA57&lt;HB$7,"OD",_xlfn.XLOOKUP(HB$7,'Bridgend Manuf'!$M$6:$BM$6,'Bridgend Manuf'!$M$9:$BM$9)))</f>
        <v/>
      </c>
      <c r="HC58" s="260" t="str">
        <f>IF(HC$7&gt;$D$3,"",IF($FA57&lt;HC$7,"OD",_xlfn.XLOOKUP(HC$7,'Bridgend Manuf'!$M$6:$BM$6,'Bridgend Manuf'!$M$9:$BM$9)))</f>
        <v/>
      </c>
      <c r="HE58" s="133" t="str">
        <f>+$C58</f>
        <v>KPI P1</v>
      </c>
      <c r="HF58" s="142" t="str">
        <f>+$D58</f>
        <v>Productivity</v>
      </c>
      <c r="HG58" s="142" t="str">
        <f>+$E58</f>
        <v>Production Value</v>
      </c>
      <c r="HH58" s="143" t="str">
        <f>+$F58</f>
        <v>£'s</v>
      </c>
      <c r="HI58" s="143" t="s">
        <v>44</v>
      </c>
      <c r="HJ58" s="211" t="s">
        <v>122</v>
      </c>
      <c r="HK58" s="211">
        <f>IF(HK$7&gt;$D$3,"",IF($FA57&lt;HK$7,"OD",_xlfn.XLOOKUP(HK$7,'Bridgend Manuf'!$M$6:$BM$6,'Bridgend Manuf'!$M$8:$BM$8)))</f>
        <v>508750</v>
      </c>
      <c r="HL58" s="211">
        <f>IF(HL$7&gt;$D$3,"",IF($FA57&lt;HL$7,"OD",_xlfn.XLOOKUP(HL$7,'Bridgend Manuf'!$M$6:$BM$6,'Bridgend Manuf'!$M$8:$BM$8)))</f>
        <v>508750</v>
      </c>
      <c r="HM58" s="211">
        <f>IF(HM$7&gt;$D$3,"",IF($FA57&lt;HM$7,"OD",_xlfn.XLOOKUP(HM$7,'Bridgend Manuf'!$M$6:$BM$6,'Bridgend Manuf'!$M$8:$BM$8)))</f>
        <v>508750</v>
      </c>
      <c r="HN58" s="211">
        <f>IF(HN$7&gt;$D$3,"",IF($FA57&lt;HN$7,"OD",_xlfn.XLOOKUP(HN$7,'Bridgend Manuf'!$M$6:$BM$6,'Bridgend Manuf'!$M$8:$BM$8)))</f>
        <v>508750</v>
      </c>
      <c r="HO58" s="211">
        <f>IF(HO$7&gt;$D$3,"",IF($FA57&lt;HO$7,"OD",_xlfn.XLOOKUP(HO$7,'Bridgend Manuf'!$M$6:$BM$6,'Bridgend Manuf'!$M$8:$BM$8)))</f>
        <v>584250</v>
      </c>
      <c r="HP58" s="211">
        <f>IF(HP$7&gt;$D$3,"",IF($FA57&lt;HP$7,"OD",_xlfn.XLOOKUP(HP$7,'Bridgend Manuf'!$M$6:$BM$6,'Bridgend Manuf'!$M$8:$BM$8)))</f>
        <v>584250</v>
      </c>
      <c r="HQ58" s="211">
        <f>IF(HQ$7&gt;$D$3,"",IF($FA57&lt;HQ$7,"OD",_xlfn.XLOOKUP(HQ$7,'Bridgend Manuf'!$M$6:$BM$6,'Bridgend Manuf'!$M$8:$BM$8)))</f>
        <v>584250</v>
      </c>
      <c r="HR58" s="211">
        <f>IF(HR$7&gt;$D$3,"",IF($FA57&lt;HR$7,"OD",_xlfn.XLOOKUP(HR$7,'Bridgend Manuf'!$M$6:$BM$6,'Bridgend Manuf'!$M$8:$BM$8)))</f>
        <v>584250</v>
      </c>
      <c r="HS58" s="211">
        <f>IF(HS$7&gt;$D$3,"",IF($FA57&lt;HS$7,"OD",_xlfn.XLOOKUP(HS$7,'Bridgend Manuf'!$M$6:$BM$6,'Bridgend Manuf'!$M$8:$BM$8)))</f>
        <v>584250</v>
      </c>
      <c r="HT58" s="211">
        <f>IF(HT$7&gt;$D$3,"",IF($FA57&lt;HT$7,"OD",_xlfn.XLOOKUP(HT$7,'Bridgend Manuf'!$M$6:$BM$6,'Bridgend Manuf'!$M$8:$BM$8)))</f>
        <v>584250</v>
      </c>
      <c r="HU58" s="211">
        <f>IF(HU$7&gt;$D$3,"",IF($FA57&lt;HU$7,"OD",_xlfn.XLOOKUP(HU$7,'Bridgend Manuf'!$M$6:$BM$6,'Bridgend Manuf'!$M$8:$BM$8)))</f>
        <v>584250</v>
      </c>
      <c r="HV58" s="211">
        <f>IF(HV$7&gt;$D$3,"",IF($FA57&lt;HV$7,"OD",_xlfn.XLOOKUP(HV$7,'Bridgend Manuf'!$M$6:$BM$6,'Bridgend Manuf'!$M$8:$BM$8)))</f>
        <v>584250</v>
      </c>
      <c r="HW58" s="211">
        <f>IF(HW$7&gt;$D$3,"",IF($FA57&lt;HW$7,"OD",_xlfn.XLOOKUP(HW$7,'Bridgend Manuf'!$M$6:$BM$6,'Bridgend Manuf'!$M$8:$BM$8)))</f>
        <v>654750</v>
      </c>
      <c r="HX58" s="211">
        <f>IF(HX$7&gt;$D$3,"",IF($FA57&lt;HX$7,"OD",_xlfn.XLOOKUP(HX$7,'Bridgend Manuf'!$M$6:$BM$6,'Bridgend Manuf'!$M$8:$BM$8)))</f>
        <v>654750</v>
      </c>
      <c r="HY58" s="211">
        <f>IF(HY$7&gt;$D$3,"",IF($FA57&lt;HY$7,"OD",_xlfn.XLOOKUP(HY$7,'Bridgend Manuf'!$M$6:$BM$6,'Bridgend Manuf'!$M$8:$BM$8)))</f>
        <v>523800</v>
      </c>
      <c r="HZ58" s="211">
        <f>IF(HZ$7&gt;$D$3,"",IF($FA57&lt;HZ$7,"OD",_xlfn.XLOOKUP(HZ$7,'Bridgend Manuf'!$M$6:$BM$6,'Bridgend Manuf'!$M$8:$BM$8)))</f>
        <v>523800</v>
      </c>
      <c r="IA58" s="211">
        <f>IF(IA$7&gt;$D$3,"",IF($FA57&lt;IA$7,"OD",_xlfn.XLOOKUP(IA$7,'Bridgend Manuf'!$M$6:$BM$6,'Bridgend Manuf'!$M$8:$BM$8)))</f>
        <v>654750</v>
      </c>
      <c r="IB58" s="211">
        <f>IF(IB$7&gt;$D$3,"",IF($FA57&lt;IB$7,"OD",_xlfn.XLOOKUP(IB$7,'Bridgend Manuf'!$M$6:$BM$6,'Bridgend Manuf'!$M$8:$BM$8)))</f>
        <v>603800</v>
      </c>
      <c r="IC58" s="211">
        <f>IF(IC$7&gt;$D$3,"",IF($FA57&lt;IC$7,"OD",_xlfn.XLOOKUP(IC$7,'Bridgend Manuf'!$M$6:$BM$6,'Bridgend Manuf'!$M$8:$BM$8)))</f>
        <v>654750</v>
      </c>
      <c r="ID58" s="211">
        <f>IF(ID$7&gt;$D$3,"",IF($FA57&lt;ID$7,"OD",_xlfn.XLOOKUP(ID$7,'Bridgend Manuf'!$M$6:$BM$6,'Bridgend Manuf'!$M$8:$BM$8)))</f>
        <v>654750</v>
      </c>
      <c r="IE58" s="211">
        <f>IF(IE$7&gt;$D$3,"",IF($FA57&lt;IE$7,"OD",_xlfn.XLOOKUP(IE$7,'Bridgend Manuf'!$M$6:$BM$6,'Bridgend Manuf'!$M$8:$BM$8)))</f>
        <v>603800</v>
      </c>
      <c r="IF58" s="211">
        <f>IF(IF$7&gt;$D$3,"",IF($FA57&lt;IF$7,"OD",_xlfn.XLOOKUP(IF$7,'Bridgend Manuf'!$M$6:$BM$6,'Bridgend Manuf'!$M$8:$BM$8)))</f>
        <v>749762</v>
      </c>
      <c r="IG58" s="211">
        <f>IF(IG$7&gt;$D$3,"",IF($FA57&lt;IG$7,"OD",_xlfn.XLOOKUP(IG$7,'Bridgend Manuf'!$M$6:$BM$6,'Bridgend Manuf'!$M$8:$BM$8)))</f>
        <v>749763</v>
      </c>
      <c r="IH58" s="211">
        <f>IF(IH$7&gt;$D$3,"",IF($FA57&lt;IH$7,"OD",_xlfn.XLOOKUP(IH$7,'Bridgend Manuf'!$M$6:$BM$6,'Bridgend Manuf'!$M$8:$BM$8)))</f>
        <v>749764</v>
      </c>
      <c r="II58" s="211">
        <f>IF(II$7&gt;$D$3,"",IF($FA57&lt;II$7,"OD",_xlfn.XLOOKUP(II$7,'Bridgend Manuf'!$M$6:$BM$6,'Bridgend Manuf'!$M$8:$BM$8)))</f>
        <v>749765</v>
      </c>
      <c r="IJ58" s="211">
        <f>IF(IJ$7&gt;$D$3,"",IF($FA57&lt;IJ$7,"OD",_xlfn.XLOOKUP(IJ$7,'Bridgend Manuf'!$M$6:$BM$6,'Bridgend Manuf'!$M$8:$BM$8)))</f>
        <v>749766</v>
      </c>
      <c r="IK58" s="211">
        <f>IF(IK$7&gt;$D$3,"",IF($FA57&lt;IK$7,"OD",_xlfn.XLOOKUP(IK$7,'Bridgend Manuf'!$M$6:$BM$6,'Bridgend Manuf'!$M$8:$BM$8)))</f>
        <v>749767</v>
      </c>
      <c r="IL58" s="211">
        <f>IF(IL$7&gt;$D$3,"",IF($FA57&lt;IL$7,"OD",_xlfn.XLOOKUP(IL$7,'Bridgend Manuf'!$M$6:$BM$6,'Bridgend Manuf'!$M$8:$BM$8)))</f>
        <v>749768</v>
      </c>
      <c r="IM58" s="211">
        <f>IF(IM$7&gt;$D$3,"",IF($FA57&lt;IM$7,"OD",_xlfn.XLOOKUP(IM$7,'Bridgend Manuf'!$M$6:$BM$6,'Bridgend Manuf'!$M$8:$BM$8)))</f>
        <v>749769</v>
      </c>
      <c r="IN58" s="211">
        <f>IF(IN$7&gt;$D$3,"",IF($FA57&lt;IN$7,"OD",_xlfn.XLOOKUP(IN$7,'Bridgend Manuf'!$M$6:$BM$6,'Bridgend Manuf'!$M$8:$BM$8)))</f>
        <v>749770</v>
      </c>
      <c r="IO58" s="211">
        <f>IF(IO$7&gt;$D$3,"",IF($FA57&lt;IO$7,"OD",_xlfn.XLOOKUP(IO$7,'Bridgend Manuf'!$M$6:$BM$6,'Bridgend Manuf'!$M$8:$BM$8)))</f>
        <v>725250</v>
      </c>
      <c r="IP58" s="211">
        <f>IF(IP$7&gt;$D$3,"",IF($FA57&lt;IP$7,"OD",_xlfn.XLOOKUP(IP$7,'Bridgend Manuf'!$M$6:$BM$6,'Bridgend Manuf'!$M$8:$BM$8)))</f>
        <v>749772</v>
      </c>
      <c r="IQ58" s="211">
        <f>IF(IQ$7&gt;$D$3,"",IF($FA57&lt;IQ$7,"OD",_xlfn.XLOOKUP(IQ$7,'Bridgend Manuf'!$M$6:$BM$6,'Bridgend Manuf'!$M$8:$BM$8)))</f>
        <v>725250</v>
      </c>
      <c r="IR58" s="211">
        <f>IF(IR$7&gt;$D$3,"",IF($FA57&lt;IR$7,"OD",_xlfn.XLOOKUP(IR$7,'Bridgend Manuf'!$M$6:$BM$6,'Bridgend Manuf'!$M$8:$BM$8)))</f>
        <v>580200</v>
      </c>
      <c r="IS58" s="211">
        <f>IF(IS$7&gt;$D$3,"",IF($FA57&lt;IS$7,"OD",_xlfn.XLOOKUP(IS$7,'Bridgend Manuf'!$M$6:$BM$6,'Bridgend Manuf'!$M$8:$BM$8)))</f>
        <v>682045</v>
      </c>
      <c r="IT58" s="211">
        <f>IF(IT$7&gt;$D$3,"",IF($FA57&lt;IT$7,"OD",_xlfn.XLOOKUP(IT$7,'Bridgend Manuf'!$M$6:$BM$6,'Bridgend Manuf'!$M$8:$BM$8)))</f>
        <v>654750</v>
      </c>
      <c r="IU58" s="211">
        <f>IF(IU$7&gt;$D$3,"",IF($FA57&lt;IU$7,"OD",_xlfn.XLOOKUP(IU$7,'Bridgend Manuf'!$M$6:$BM$6,'Bridgend Manuf'!$M$8:$BM$8)))</f>
        <v>654750</v>
      </c>
      <c r="IV58" s="211">
        <f>IF(IV$7&gt;$D$3,"",IF($FA57&lt;IV$7,"OD",_xlfn.XLOOKUP(IV$7,'Bridgend Manuf'!$M$6:$BM$6,'Bridgend Manuf'!$M$8:$BM$8)))</f>
        <v>654750</v>
      </c>
      <c r="IW58" s="211">
        <f>IF(IW$7&gt;$D$3,"",IF($FA57&lt;IW$7,"OD",_xlfn.XLOOKUP(IW$7,'Bridgend Manuf'!$M$6:$BM$6,'Bridgend Manuf'!$M$8:$BM$8)))</f>
        <v>0</v>
      </c>
      <c r="IX58" s="211">
        <f>IF(IX$7&gt;$D$3,"",IF($FA57&lt;IX$7,"OD",_xlfn.XLOOKUP(IX$7,'Bridgend Manuf'!$M$6:$BM$6,'Bridgend Manuf'!$M$8:$BM$8)))</f>
        <v>0</v>
      </c>
      <c r="IY58" s="211">
        <f>IF(IY$7&gt;$D$3,"",IF($FA57&lt;IY$7,"OD",_xlfn.XLOOKUP(IY$7,'Bridgend Manuf'!$M$6:$BM$6,'Bridgend Manuf'!$M$8:$BM$8)))</f>
        <v>0</v>
      </c>
      <c r="IZ58" s="211" t="str">
        <f>IF(IZ$7&gt;$D$3,"",IF($FA57&lt;IZ$7,"OD",_xlfn.XLOOKUP(IZ$7,'Bridgend Manuf'!$M$6:$BM$6,'Bridgend Manuf'!$M$8:$BM$8)))</f>
        <v/>
      </c>
      <c r="JA58" s="211" t="str">
        <f>IF(JA$7&gt;$D$3,"",IF($FA57&lt;JA$7,"OD",_xlfn.XLOOKUP(JA$7,'Bridgend Manuf'!$M$6:$BM$6,'Bridgend Manuf'!$M$8:$BM$8)))</f>
        <v/>
      </c>
      <c r="JB58" s="211" t="str">
        <f>IF(JB$7&gt;$D$3,"",IF($FA57&lt;JB$7,"OD",_xlfn.XLOOKUP(JB$7,'Bridgend Manuf'!$M$6:$BM$6,'Bridgend Manuf'!$M$8:$BM$8)))</f>
        <v/>
      </c>
      <c r="JC58" s="211" t="str">
        <f>IF(JC$7&gt;$D$3,"",IF($FA57&lt;JC$7,"OD",_xlfn.XLOOKUP(JC$7,'Bridgend Manuf'!$M$6:$BM$6,'Bridgend Manuf'!$M$8:$BM$8)))</f>
        <v/>
      </c>
      <c r="JD58" s="211" t="str">
        <f>IF(JD$7&gt;$D$3,"",IF($FA57&lt;JD$7,"OD",_xlfn.XLOOKUP(JD$7,'Bridgend Manuf'!$M$6:$BM$6,'Bridgend Manuf'!$M$8:$BM$8)))</f>
        <v/>
      </c>
      <c r="JE58" s="211" t="str">
        <f>IF(JE$7&gt;$D$3,"",IF($FA57&lt;JE$7,"OD",_xlfn.XLOOKUP(JE$7,'Bridgend Manuf'!$M$6:$BM$6,'Bridgend Manuf'!$M$8:$BM$8)))</f>
        <v/>
      </c>
      <c r="JF58" s="211" t="str">
        <f>IF(JF$7&gt;$D$3,"",IF($FA57&lt;JF$7,"OD",_xlfn.XLOOKUP(JF$7,'Bridgend Manuf'!$M$6:$BM$6,'Bridgend Manuf'!$M$8:$BM$8)))</f>
        <v/>
      </c>
      <c r="JG58" s="211" t="str">
        <f>IF(JG$7&gt;$D$3,"",IF($FA57&lt;JG$7,"OD",_xlfn.XLOOKUP(JG$7,'Bridgend Manuf'!$M$6:$BM$6,'Bridgend Manuf'!$M$8:$BM$8)))</f>
        <v/>
      </c>
      <c r="JH58" s="211" t="str">
        <f>IF(JH$7&gt;$D$3,"",IF($FA57&lt;JH$7,"OD",_xlfn.XLOOKUP(JH$7,'Bridgend Manuf'!$M$6:$BM$6,'Bridgend Manuf'!$M$8:$BM$8)))</f>
        <v/>
      </c>
      <c r="JI58" s="211" t="str">
        <f>IF(JI$7&gt;$D$3,"",IF($FA57&lt;JI$7,"OD",_xlfn.XLOOKUP(JI$7,'Bridgend Manuf'!$M$6:$BM$6,'Bridgend Manuf'!$M$8:$BM$8)))</f>
        <v/>
      </c>
      <c r="JJ58" s="211" t="str">
        <f>IF(JJ$7&gt;$D$3,"",IF($FA57&lt;JJ$7,"OD",_xlfn.XLOOKUP(JJ$7,'Bridgend Manuf'!$M$6:$BM$6,'Bridgend Manuf'!$M$8:$BM$8)))</f>
        <v/>
      </c>
      <c r="JM58" s="133" t="str">
        <f>+$C58</f>
        <v>KPI P1</v>
      </c>
      <c r="JN58" s="142" t="str">
        <f>+$D58</f>
        <v>Productivity</v>
      </c>
      <c r="JO58" s="142" t="str">
        <f>+$E58</f>
        <v>Production Value</v>
      </c>
      <c r="JP58" s="143" t="str">
        <f>+$F58</f>
        <v>£'s</v>
      </c>
      <c r="JQ58" s="143" t="s">
        <v>284</v>
      </c>
      <c r="JR58" s="225" t="str">
        <f>IFERROR(AVERAGE(FC58:$FC58),"")</f>
        <v/>
      </c>
      <c r="JS58" s="225">
        <f>IFERROR(AVERAGE($FC58:FD58),"")</f>
        <v>498920</v>
      </c>
      <c r="JT58" s="225">
        <f>IFERROR(AVERAGE($FC58:FE58),"")</f>
        <v>515621.5</v>
      </c>
      <c r="JU58" s="225">
        <f>IFERROR(AVERAGE($FC58:FF58),"")</f>
        <v>567899</v>
      </c>
      <c r="JV58" s="225">
        <f>IFERROR(AVERAGE($FC58:FG58),"")</f>
        <v>578414</v>
      </c>
      <c r="JW58" s="225">
        <f>IFERROR(AVERAGE($FC58:FH58),"")</f>
        <v>590648.6</v>
      </c>
      <c r="JX58" s="225">
        <f>IFERROR(AVERAGE($FC58:FI58),"")</f>
        <v>591000.5</v>
      </c>
      <c r="JY58" s="225">
        <f>IFERROR(AVERAGE($FC58:FJ58),"")</f>
        <v>597022.28571428568</v>
      </c>
      <c r="JZ58" s="225">
        <f>IFERROR(AVERAGE($FC58:FK58),"")</f>
        <v>614551.375</v>
      </c>
      <c r="KA58" s="225">
        <f>IFERROR(AVERAGE($FC58:FL58),"")</f>
        <v>616035.22222222225</v>
      </c>
      <c r="KB58" s="225">
        <f>IFERROR(AVERAGE($FC58:FM58),"")</f>
        <v>620509.5</v>
      </c>
      <c r="KC58" s="225">
        <f>IFERROR(AVERAGE($FC58:FN58),"")</f>
        <v>629371.18181818177</v>
      </c>
      <c r="KD58" s="225">
        <f>IFERROR(AVERAGE($FC58:FO58),"")</f>
        <v>645105.75</v>
      </c>
      <c r="KE58" s="225">
        <f>IFERROR(AVERAGE($FC58:FP58),"")</f>
        <v>651078</v>
      </c>
      <c r="KF58" s="225">
        <f>IFERROR(AVERAGE($FC58:FQ58),"")</f>
        <v>655715.28571428568</v>
      </c>
      <c r="KG58" s="225">
        <f>IFERROR(AVERAGE($FC58:FR58),"")</f>
        <v>647090</v>
      </c>
      <c r="KH58" s="225">
        <f>IFERROR(AVERAGE($FC58:FS58),"")</f>
        <v>639662.0625</v>
      </c>
      <c r="KI58" s="225">
        <f>IFERROR(AVERAGE($FC58:FT58),"")</f>
        <v>638485.29411764711</v>
      </c>
      <c r="KJ58" s="225">
        <f>IFERROR(AVERAGE($FC58:FU58),"")</f>
        <v>630690.88888888888</v>
      </c>
      <c r="KK58" s="225">
        <f>IFERROR(AVERAGE($FC58:FV58),"")</f>
        <v>628216.68421052629</v>
      </c>
      <c r="KL58" s="225">
        <f>IFERROR(AVERAGE($FC58:FW58),"")</f>
        <v>630868.85</v>
      </c>
      <c r="KM58" s="225">
        <f>IFERROR(AVERAGE($FC58:FX58),"")</f>
        <v>623360.47619047621</v>
      </c>
      <c r="KN58" s="225">
        <f>IFERROR(AVERAGE($FC58:FY58),"")</f>
        <v>622101.86363636365</v>
      </c>
      <c r="KO58" s="225">
        <f>IFERROR(AVERAGE($FC58:FZ58),"")</f>
        <v>617587.78260869568</v>
      </c>
      <c r="KP58" s="225">
        <f>IFERROR(AVERAGE($FC58:GA58),"")</f>
        <v>616836.5</v>
      </c>
      <c r="KQ58" s="225">
        <f>IFERROR(AVERAGE($FC58:GB58),"")</f>
        <v>618055.19999999995</v>
      </c>
      <c r="KR58" s="225">
        <f>IFERROR(AVERAGE($FC58:GC58),"")</f>
        <v>612685.76923076925</v>
      </c>
      <c r="KS58" s="225">
        <f>IFERROR(AVERAGE($FC58:GD58),"")</f>
        <v>606731.96296296292</v>
      </c>
      <c r="KT58" s="225">
        <f>IFERROR(AVERAGE($FC58:GE58),"")</f>
        <v>608426.03571428568</v>
      </c>
      <c r="KU58" s="225">
        <f>IFERROR(AVERAGE($FC58:GF58),"")</f>
        <v>614976.48275862064</v>
      </c>
      <c r="KV58" s="225">
        <f>IFERROR(AVERAGE($FC58:GG58),"")</f>
        <v>620459.30000000005</v>
      </c>
      <c r="KW58" s="225">
        <f>IFERROR(AVERAGE($FC58:GH58),"")</f>
        <v>623571.22580645164</v>
      </c>
      <c r="KX58" s="225">
        <f>IFERROR(AVERAGE($FC58:GI58),"")</f>
        <v>622758.59375</v>
      </c>
      <c r="KY58" s="225">
        <f>IFERROR(AVERAGE($FC58:GJ58),"")</f>
        <v>629024.27272727271</v>
      </c>
      <c r="KZ58" s="225">
        <f>IFERROR(AVERAGE($FC58:GK58),"")</f>
        <v>626745.79411764711</v>
      </c>
      <c r="LA58" s="225">
        <f>IFERROR(AVERAGE($FC58:GL58),"")</f>
        <v>627048.37142857141</v>
      </c>
      <c r="LB58" s="225">
        <f>IFERROR(AVERAGE($FC58:GM58),"")</f>
        <v>626837.41666666663</v>
      </c>
      <c r="LC58" s="225">
        <f>IFERROR(AVERAGE($FC58:GN58),"")</f>
        <v>624068.45945945941</v>
      </c>
      <c r="LD58" s="225">
        <f>IFERROR(AVERAGE($FC58:GO58),"")</f>
        <v>628457.89473684214</v>
      </c>
      <c r="LE58" s="225">
        <f>IFERROR(AVERAGE($FC58:GP58),"")</f>
        <v>612343.58974358975</v>
      </c>
      <c r="LF58" s="225">
        <f>IFERROR(AVERAGE($FC58:GQ58),"")</f>
        <v>597035</v>
      </c>
      <c r="LG58" s="225">
        <f>IFERROR(AVERAGE($FC58:GR58),"")</f>
        <v>582473.17073170736</v>
      </c>
      <c r="LH58" s="225">
        <f>IFERROR(AVERAGE($FC58:GS58),"")</f>
        <v>582473.17073170736</v>
      </c>
      <c r="LI58" s="225">
        <f>IFERROR(AVERAGE($FC58:GT58),"")</f>
        <v>582473.17073170736</v>
      </c>
      <c r="LJ58" s="225">
        <f>IFERROR(AVERAGE($FC58:GU58),"")</f>
        <v>582473.17073170736</v>
      </c>
      <c r="LK58" s="225">
        <f>IFERROR(AVERAGE($FC58:GV58),"")</f>
        <v>582473.17073170736</v>
      </c>
      <c r="LL58" s="225">
        <f>IFERROR(AVERAGE($FC58:GW58),"")</f>
        <v>582473.17073170736</v>
      </c>
      <c r="LM58" s="225">
        <f>IFERROR(AVERAGE($FC58:GX58),"")</f>
        <v>582473.17073170736</v>
      </c>
      <c r="LN58" s="225">
        <f>IFERROR(AVERAGE($FC58:GY58),"")</f>
        <v>582473.17073170736</v>
      </c>
      <c r="LO58" s="225">
        <f>IFERROR(AVERAGE($FC58:GZ58),"")</f>
        <v>582473.17073170736</v>
      </c>
      <c r="LP58" s="225">
        <f>IFERROR(AVERAGE($FC58:HA58),"")</f>
        <v>582473.17073170736</v>
      </c>
      <c r="LQ58" s="225">
        <f>IFERROR(AVERAGE($FC58:HB58),"")</f>
        <v>582473.17073170736</v>
      </c>
      <c r="LR58" s="225">
        <f>IFERROR(AVERAGE($FC58:HC58),"")</f>
        <v>582473.17073170736</v>
      </c>
      <c r="LT58" s="133" t="str">
        <f>+$C58</f>
        <v>KPI P1</v>
      </c>
      <c r="LU58" s="142" t="str">
        <f>+$D58</f>
        <v>Productivity</v>
      </c>
      <c r="LV58" s="142" t="str">
        <f>+$E58</f>
        <v>Production Value</v>
      </c>
      <c r="LW58" s="143" t="str">
        <f>+$F58</f>
        <v>£'s</v>
      </c>
      <c r="LX58" s="143" t="s">
        <v>285</v>
      </c>
      <c r="LY58" s="211" t="str">
        <f>IFERROR(AVERAGE($HJ58:HJ58),"")</f>
        <v/>
      </c>
      <c r="LZ58" s="211">
        <f>IFERROR(IF(LAD$7&gt;$D$3,"",AVERAGE($HJ58:HK58)),"")</f>
        <v>508750</v>
      </c>
      <c r="MA58" s="211">
        <f>IFERROR(IF(MA$7&gt;$D$3,"",AVERAGE($HJ58:HL58)),"")</f>
        <v>508750</v>
      </c>
      <c r="MB58" s="211">
        <f>IFERROR(IF(MB$7&gt;$D$3,"",AVERAGE($HJ58:HM58)),"")</f>
        <v>508750</v>
      </c>
      <c r="MC58" s="211">
        <f>IFERROR(IF(MC$7&gt;$D$3,"",AVERAGE($HJ58:HN58)),"")</f>
        <v>508750</v>
      </c>
      <c r="MD58" s="211">
        <f>IFERROR(IF(MD$7&gt;$D$3,"",AVERAGE($HJ58:HO58)),"")</f>
        <v>523850</v>
      </c>
      <c r="ME58" s="211">
        <f>IFERROR(IF(ME$7&gt;$D$3,"",AVERAGE($HJ58:HP58)),"")</f>
        <v>533916.66666666663</v>
      </c>
      <c r="MF58" s="211">
        <f>IFERROR(IF(MF$7&gt;$D$3,"",AVERAGE($HJ58:HQ58)),"")</f>
        <v>541107.14285714284</v>
      </c>
      <c r="MG58" s="211">
        <f>IFERROR(IF(MG$7&gt;$D$3,"",AVERAGE($HJ58:HR58)),"")</f>
        <v>546500</v>
      </c>
      <c r="MH58" s="211">
        <f>IFERROR(IF(MH$7&gt;$D$3,"",AVERAGE($HJ58:HS58)),"")</f>
        <v>550694.4444444445</v>
      </c>
      <c r="MI58" s="211">
        <f>IFERROR(IF(MI$7&gt;$D$3,"",AVERAGE($HJ58:HT58)),"")</f>
        <v>554050</v>
      </c>
      <c r="MJ58" s="211">
        <f>IFERROR(IF(MJ$7&gt;$D$3,"",AVERAGE($HJ58:HU58)),"")</f>
        <v>556795.45454545459</v>
      </c>
      <c r="MK58" s="211">
        <f>IFERROR(IF(MK$7&gt;$D$3,"",AVERAGE($HJ58:HV58)),"")</f>
        <v>559083.33333333337</v>
      </c>
      <c r="ML58" s="211">
        <f>IFERROR(IF(ML$7&gt;$D$3,"",AVERAGE($HJ58:HW58)),"")</f>
        <v>566442.30769230775</v>
      </c>
      <c r="MM58" s="211">
        <f>IFERROR(IF(MM$7&gt;$D$3,"",AVERAGE($HJ58:HX58)),"")</f>
        <v>572750</v>
      </c>
      <c r="MN58" s="211">
        <f>IFERROR(IF(MN$7&gt;$D$3,"",AVERAGE($HJ58:HY58)),"")</f>
        <v>569486.66666666663</v>
      </c>
      <c r="MO58" s="211">
        <f>IFERROR(IF(MO$7&gt;$D$3,"",AVERAGE($HJ58:HZ58)),"")</f>
        <v>566631.25</v>
      </c>
      <c r="MP58" s="211">
        <f>IFERROR(IF(MP$7&gt;$D$3,"",AVERAGE($HJ58:IA58)),"")</f>
        <v>571814.70588235289</v>
      </c>
      <c r="MQ58" s="211">
        <f>IFERROR(IF(MQ$7&gt;$D$3,"",AVERAGE($HJ58:IB58)),"")</f>
        <v>573591.66666666663</v>
      </c>
      <c r="MR58" s="211">
        <f>IFERROR(IF(MR$7&gt;$D$3,"",AVERAGE($HJ58:IC58)),"")</f>
        <v>577863.15789473685</v>
      </c>
      <c r="MS58" s="211">
        <f>IFERROR(IF(MS$7&gt;$D$3,"",AVERAGE($HJ58:ID58)),"")</f>
        <v>581707.5</v>
      </c>
      <c r="MT58" s="211">
        <f>IFERROR(IF(MT$7&gt;$D$3,"",AVERAGE($HJ58:IE58)),"")</f>
        <v>582759.52380952379</v>
      </c>
      <c r="MU58" s="211">
        <f>IFERROR(IF(MU$7&gt;$D$3,"",AVERAGE($HJ58:IF58)),"")</f>
        <v>590350.54545454541</v>
      </c>
      <c r="MV58" s="211">
        <f>IFERROR(IF(MV$7&gt;$D$3,"",AVERAGE($HJ58:IG58)),"")</f>
        <v>597281.52173913049</v>
      </c>
      <c r="MW58" s="211">
        <f>IFERROR(IF(MW$7&gt;$D$3,"",AVERAGE($HJ58:IH58)),"")</f>
        <v>603634.95833333337</v>
      </c>
      <c r="MX58" s="211">
        <f>IFERROR(IF(MX$7&gt;$D$3,"",AVERAGE($HJ58:II58)),"")</f>
        <v>609480.16</v>
      </c>
      <c r="MY58" s="211">
        <f>IFERROR(IF(MY$7&gt;$D$3,"",AVERAGE($HJ58:IJ58)),"")</f>
        <v>614875.76923076925</v>
      </c>
      <c r="MZ58" s="211">
        <f>IFERROR(IF(MZ$7&gt;$D$3,"",AVERAGE($HJ58:IK58)),"")</f>
        <v>619871.74074074079</v>
      </c>
      <c r="NA58" s="211">
        <f>IFERROR(IF(NA$7&gt;$D$3,"",AVERAGE($HJ58:IL58)),"")</f>
        <v>624510.89285714284</v>
      </c>
      <c r="NB58" s="211">
        <f>IFERROR(IF(NB$7&gt;$D$3,"",AVERAGE($HJ58:IM58)),"")</f>
        <v>628830.13793103443</v>
      </c>
      <c r="NC58" s="211">
        <f>IFERROR(IF(NC$7&gt;$D$3,"",AVERAGE($HJ58:IN58)),"")</f>
        <v>632861.46666666667</v>
      </c>
      <c r="ND58" s="211">
        <f>IFERROR(IF(ND$7&gt;$D$3,"",AVERAGE($HJ58:IO58)),"")</f>
        <v>635841.74193548388</v>
      </c>
      <c r="NE58" s="211">
        <f>IFERROR(IF(NE$7&gt;$D$3,"",AVERAGE($HJ58:IP58)),"")</f>
        <v>639402.0625</v>
      </c>
      <c r="NF58" s="211">
        <f>IFERROR(IF(NF$7&gt;$D$3,"",AVERAGE($HJ58:IQ58)),"")</f>
        <v>642003.51515151514</v>
      </c>
      <c r="NG58" s="211">
        <f>IFERROR(IF(NG$7&gt;$D$3,"",AVERAGE($HJ58:IR58)),"")</f>
        <v>640185.76470588241</v>
      </c>
      <c r="NH58" s="211">
        <f>IFERROR(IF(NH$7&gt;$D$3,"",AVERAGE($HJ58:IS58)),"")</f>
        <v>641381.74285714282</v>
      </c>
      <c r="NI58" s="211">
        <f>IFERROR(IF(NI$7&gt;$D$3,"",AVERAGE($HJ58:IT58)),"")</f>
        <v>641753.08333333337</v>
      </c>
      <c r="NJ58" s="211">
        <f>IFERROR(IF(NJ$7&gt;$D$3,"",AVERAGE($HJ58:IU58)),"")</f>
        <v>642104.35135135136</v>
      </c>
      <c r="NK58" s="211">
        <f>IFERROR(IF(NK$7&gt;$D$3,"",AVERAGE($HJ58:IV58)),"")</f>
        <v>642437.13157894742</v>
      </c>
      <c r="NL58" s="211">
        <f>IFERROR(IF(NL$7&gt;$D$3,"",AVERAGE($HJ58:IW58)),"")</f>
        <v>625964.38461538462</v>
      </c>
      <c r="NM58" s="211">
        <f>IFERROR(IF(NM$7&gt;$D$3,"",AVERAGE($HJ58:IX58)),"")</f>
        <v>610315.27500000002</v>
      </c>
      <c r="NN58" s="211">
        <f>IFERROR(IF(NN$7&gt;$D$3,"",AVERAGE($HJ58:IY58)),"")</f>
        <v>595429.53658536589</v>
      </c>
      <c r="NO58" s="211" t="str">
        <f>IFERROR(IF(NO$7&gt;$D$3,"",AVERAGE($HJ58:IZ58)),"")</f>
        <v/>
      </c>
      <c r="NP58" s="211" t="str">
        <f>IFERROR(IF(NP$7&gt;$D$3,"",AVERAGE($HJ58:JA58)),"")</f>
        <v/>
      </c>
      <c r="NQ58" s="211" t="str">
        <f>IFERROR(IF(NQ$7&gt;$D$3,"",AVERAGE($HJ58:JB58)),"")</f>
        <v/>
      </c>
      <c r="NR58" s="211" t="str">
        <f>IFERROR(IF(NR$7&gt;$D$3,"",AVERAGE($HJ58:JC58)),"")</f>
        <v/>
      </c>
      <c r="NS58" s="211" t="str">
        <f>IFERROR(IF(NS$7&gt;$D$3,"",AVERAGE($HJ58:JD58)),"")</f>
        <v/>
      </c>
      <c r="NT58" s="211" t="str">
        <f>IFERROR(IF(NT$7&gt;$D$3,"",AVERAGE($HJ58:JE58)),"")</f>
        <v/>
      </c>
      <c r="NU58" s="211" t="str">
        <f>IFERROR(IF(NU$7&gt;$D$3,"",AVERAGE($HJ58:JF58)),"")</f>
        <v/>
      </c>
      <c r="NV58" s="211" t="str">
        <f>IFERROR(IF(NV$7&gt;$D$3,"",AVERAGE($HJ58:JG58)),"")</f>
        <v/>
      </c>
      <c r="NW58" s="211" t="str">
        <f>IFERROR(IF(NW$7&gt;$D$3,"",AVERAGE($HJ58:JH58)),"")</f>
        <v/>
      </c>
      <c r="NX58" s="211" t="str">
        <f>IFERROR(IF(NX$7&gt;$D$3,"",AVERAGE($HJ58:JI58)),"")</f>
        <v/>
      </c>
      <c r="NY58" s="211" t="str">
        <f>IFERROR(IF(NY$7&gt;$D$3,"",AVERAGE($HJ58:JJ58)),"")</f>
        <v/>
      </c>
    </row>
    <row r="59" spans="1:389" x14ac:dyDescent="0.3">
      <c r="A59" t="str">
        <f>$B$57&amp;"-"&amp;C59</f>
        <v>Bridgend Manuf-KPI D1</v>
      </c>
      <c r="B59" s="918" t="str">
        <f>+'KPI Stats'!B58</f>
        <v>Geraint Smith</v>
      </c>
      <c r="C59" s="136" t="str">
        <f>+'KPI Stats'!C58</f>
        <v>KPI D1</v>
      </c>
      <c r="D59" s="144" t="str">
        <f>+'KPI Stats'!D58</f>
        <v>Delivery</v>
      </c>
      <c r="E59" s="144" t="str">
        <f>+'KPI Stats'!E58</f>
        <v>Percentage of OTIF that achieved delivery date</v>
      </c>
      <c r="F59" s="145" t="str">
        <f>+'KPI Stats'!F58</f>
        <v>Percentage</v>
      </c>
      <c r="G59" s="169" t="str">
        <f>+'KPI Stats'!G58</f>
        <v>Under</v>
      </c>
      <c r="J59" s="69" t="str">
        <f>_xlfn.XLOOKUP(J$7,$AM$7:$CM$7,$AM59:$CM59,,FALSE)</f>
        <v>OD</v>
      </c>
      <c r="K59" s="282">
        <f>_xlfn.XLOOKUP(K$7,$FC$7:$HC$7,$FC59:$HC59,,FALSE)</f>
        <v>0</v>
      </c>
      <c r="L59" s="283">
        <f>_xlfn.XLOOKUP(L$7,$HJ$7:$JJ$7,$HJ59:$JJ59,,FALSE)</f>
        <v>0.95</v>
      </c>
      <c r="M59" s="272" t="str">
        <f>_xlfn.XLOOKUP(M$7,$CU$7:$EU$7,$CU59:$EU59,,FALSE)</f>
        <v>OD</v>
      </c>
      <c r="P59" s="69" t="str">
        <f>_xlfn.XLOOKUP(P$7,$AM$7:$CM$7,$AM59:$CM59,,FALSE)</f>
        <v>OD</v>
      </c>
      <c r="Q59" s="282">
        <f t="shared" si="195"/>
        <v>0</v>
      </c>
      <c r="R59" s="298">
        <f t="shared" si="195"/>
        <v>0</v>
      </c>
      <c r="S59" s="288" t="str">
        <f t="shared" si="196"/>
        <v>OD</v>
      </c>
      <c r="T59" s="265" t="str">
        <f t="shared" si="196"/>
        <v>OD</v>
      </c>
      <c r="U59" s="295" t="str">
        <f>IF(F57&lt;$R$2,"Not Complete",IF(Q59=R59,"Same −",IF($G59="Over",IF(Q59&lt;R59,"Better ↑","Worse ↓"),IF($G59="Under",IF(Q59&gt;R59,"Better ↑","Worse ↓"),"err"))))</f>
        <v>Same −</v>
      </c>
      <c r="X59" s="69" t="str">
        <f t="shared" si="197"/>
        <v>R</v>
      </c>
      <c r="Y59" s="282">
        <f>_xlfn.XLOOKUP(Y$7,$JR$7:$LR$7,$JR59:$LR59,FALSE)</f>
        <v>0.86268292682926828</v>
      </c>
      <c r="Z59" s="283">
        <f>_xlfn.XLOOKUP(Z$7,$LY$7:$NY$7,$LY59:$NY59,FALSE)</f>
        <v>0.95000000000000007</v>
      </c>
      <c r="AA59" s="275">
        <f>IF(G59="under",Y59/Z59,IF(G59="over",Z59/Y59,"err"))</f>
        <v>0.90808729139922972</v>
      </c>
      <c r="AB59" s="295" t="str">
        <f>IF(F57&lt;$R$2,"TBC",IF(Y59=Z59,"Same −",IF($G59="Over",IF(Z59&lt;Y59,"Better ↑ ","Worse ↓ "),IF($G59="Under",IF(Y59&gt;Z59,"Better ↑ ","Worse ↓ "),"err"))))</f>
        <v xml:space="preserve">Worse ↓ </v>
      </c>
      <c r="AC59" s="69" t="str">
        <f>IF(AND(G59="above adero",AD59&gt;0),"R",IF(AF59&gt;1,"G",IF(AF59&gt;0.95,"A","R")))</f>
        <v>R</v>
      </c>
      <c r="AD59" s="261">
        <f>_xlfn.XLOOKUP(AD$7,$JR$7:$LR$7,$JR59:$LR59,FALSE)</f>
        <v>0.88424999999999998</v>
      </c>
      <c r="AE59" s="261">
        <f>_xlfn.XLOOKUP(AE$7,$LY$7:$NY$7,$LY59:$NY59,FALSE)</f>
        <v>0.95</v>
      </c>
      <c r="AF59" s="252">
        <f>IF(G59="under",AD59/AE59,IF(G59="over",AE59/AD59,"err"))</f>
        <v>0.9307894736842105</v>
      </c>
      <c r="AH59" s="465" t="str">
        <f>+$A59</f>
        <v>Bridgend Manuf-KPI D1</v>
      </c>
      <c r="AI59" s="136" t="str">
        <f t="shared" si="198"/>
        <v>KPI D1</v>
      </c>
      <c r="AJ59" s="144" t="str">
        <f t="shared" si="198"/>
        <v>Delivery</v>
      </c>
      <c r="AK59" s="144" t="str">
        <f t="shared" si="184"/>
        <v>Percentage of OTIF that achieved delivery date</v>
      </c>
      <c r="AL59" s="145" t="str">
        <f t="shared" si="184"/>
        <v>Percentage</v>
      </c>
      <c r="AM59" s="69" t="str">
        <f>IF(AM$7&gt;$D$3,"",_xlfn.XLOOKUP(AM$7,'Bridgend Manuf'!$M$6:$BM$6,'Bridgend Manuf'!$M$13:$BM$13))</f>
        <v>Blank</v>
      </c>
      <c r="AN59" s="199" t="str">
        <f>IF(AN$7&gt;$D$3,"",_xlfn.XLOOKUP(AN$7,'Bridgend Manuf'!$M$6:$BM$6,'Bridgend Manuf'!$M$13:$BM$13))</f>
        <v>A</v>
      </c>
      <c r="AO59" s="69" t="str">
        <f>IF(AO$7&gt;$D$3,"",_xlfn.XLOOKUP(AO$7,'Bridgend Manuf'!$M$6:$BM$6,'Bridgend Manuf'!$M$13:$BM$13))</f>
        <v>G</v>
      </c>
      <c r="AP59" s="69" t="str">
        <f>IF(AP$7&gt;$D$3,"",_xlfn.XLOOKUP(AP$7,'Bridgend Manuf'!$M$6:$BM$6,'Bridgend Manuf'!$M$13:$BM$13))</f>
        <v>R</v>
      </c>
      <c r="AQ59" s="69" t="str">
        <f>IF(AQ$7&gt;$D$3,"",_xlfn.XLOOKUP(AQ$7,'Bridgend Manuf'!$M$6:$BM$6,'Bridgend Manuf'!$M$13:$BM$13))</f>
        <v>A</v>
      </c>
      <c r="AR59" s="69" t="str">
        <f>IF(AR$7&gt;$D$3,"",_xlfn.XLOOKUP(AR$7,'Bridgend Manuf'!$M$6:$BM$6,'Bridgend Manuf'!$M$13:$BM$13))</f>
        <v>A</v>
      </c>
      <c r="AS59" s="69" t="str">
        <f>IF(AS$7&gt;$D$3,"",_xlfn.XLOOKUP(AS$7,'Bridgend Manuf'!$M$6:$BM$6,'Bridgend Manuf'!$M$13:$BM$13))</f>
        <v>G</v>
      </c>
      <c r="AT59" s="69" t="str">
        <f>IF(AT$7&gt;$D$3,"",_xlfn.XLOOKUP(AT$7,'Bridgend Manuf'!$M$6:$BM$6,'Bridgend Manuf'!$M$13:$BM$13))</f>
        <v>A</v>
      </c>
      <c r="AU59" s="69" t="str">
        <f>IF(AU$7&gt;$D$3,"",_xlfn.XLOOKUP(AU$7,'Bridgend Manuf'!$M$6:$BM$6,'Bridgend Manuf'!$M$13:$BM$13))</f>
        <v>R</v>
      </c>
      <c r="AV59" s="69" t="str">
        <f>IF(AV$7&gt;$D$3,"",_xlfn.XLOOKUP(AV$7,'Bridgend Manuf'!$M$6:$BM$6,'Bridgend Manuf'!$M$13:$BM$13))</f>
        <v>G</v>
      </c>
      <c r="AW59" s="69" t="str">
        <f>IF(AW$7&gt;$D$3,"",_xlfn.XLOOKUP(AW$7,'Bridgend Manuf'!$M$6:$BM$6,'Bridgend Manuf'!$M$13:$BM$13))</f>
        <v>G</v>
      </c>
      <c r="AX59" s="69" t="str">
        <f>IF(AX$7&gt;$D$3,"",_xlfn.XLOOKUP(AX$7,'Bridgend Manuf'!$M$6:$BM$6,'Bridgend Manuf'!$M$13:$BM$13))</f>
        <v>A</v>
      </c>
      <c r="AY59" s="69" t="str">
        <f>IF(AY$7&gt;$D$3,"",_xlfn.XLOOKUP(AY$7,'Bridgend Manuf'!$M$6:$BM$6,'Bridgend Manuf'!$M$13:$BM$13))</f>
        <v>A</v>
      </c>
      <c r="AZ59" s="69" t="str">
        <f>IF(AZ$7&gt;$D$3,"",_xlfn.XLOOKUP(AZ$7,'Bridgend Manuf'!$M$6:$BM$6,'Bridgend Manuf'!$M$13:$BM$13))</f>
        <v>A</v>
      </c>
      <c r="BA59" s="69" t="str">
        <f>IF(BA$7&gt;$D$3,"",_xlfn.XLOOKUP(BA$7,'Bridgend Manuf'!$M$6:$BM$6,'Bridgend Manuf'!$M$13:$BM$13))</f>
        <v>A</v>
      </c>
      <c r="BB59" s="69" t="str">
        <f>IF(BB$7&gt;$D$3,"",_xlfn.XLOOKUP(BB$7,'Bridgend Manuf'!$M$6:$BM$6,'Bridgend Manuf'!$M$13:$BM$13))</f>
        <v>A</v>
      </c>
      <c r="BC59" s="69" t="str">
        <f>IF(BC$7&gt;$D$3,"",_xlfn.XLOOKUP(BC$7,'Bridgend Manuf'!$M$6:$BM$6,'Bridgend Manuf'!$M$13:$BM$13))</f>
        <v>A</v>
      </c>
      <c r="BD59" s="69" t="str">
        <f>IF(BD$7&gt;$D$3,"",_xlfn.XLOOKUP(BD$7,'Bridgend Manuf'!$M$6:$BM$6,'Bridgend Manuf'!$M$13:$BM$13))</f>
        <v>R</v>
      </c>
      <c r="BE59" s="69" t="str">
        <f>IF(BE$7&gt;$D$3,"",_xlfn.XLOOKUP(BE$7,'Bridgend Manuf'!$M$6:$BM$6,'Bridgend Manuf'!$M$13:$BM$13))</f>
        <v>R</v>
      </c>
      <c r="BF59" s="69" t="str">
        <f>IF(BF$7&gt;$D$3,"",_xlfn.XLOOKUP(BF$7,'Bridgend Manuf'!$M$6:$BM$6,'Bridgend Manuf'!$M$13:$BM$13))</f>
        <v>G</v>
      </c>
      <c r="BG59" s="69" t="str">
        <f>IF(BG$7&gt;$D$3,"",_xlfn.XLOOKUP(BG$7,'Bridgend Manuf'!$M$6:$BM$6,'Bridgend Manuf'!$M$13:$BM$13))</f>
        <v>G</v>
      </c>
      <c r="BH59" s="69" t="str">
        <f>IF(BH$7&gt;$D$3,"",_xlfn.XLOOKUP(BH$7,'Bridgend Manuf'!$M$6:$BM$6,'Bridgend Manuf'!$M$13:$BM$13))</f>
        <v>R</v>
      </c>
      <c r="BI59" s="69" t="str">
        <f>IF(BI$7&gt;$D$3,"",_xlfn.XLOOKUP(BI$7,'Bridgend Manuf'!$M$6:$BM$6,'Bridgend Manuf'!$M$13:$BM$13))</f>
        <v>G</v>
      </c>
      <c r="BJ59" s="69" t="str">
        <f>IF(BJ$7&gt;$D$3,"",_xlfn.XLOOKUP(BJ$7,'Bridgend Manuf'!$M$6:$BM$6,'Bridgend Manuf'!$M$13:$BM$13))</f>
        <v>A</v>
      </c>
      <c r="BK59" s="69" t="str">
        <f>IF(BK$7&gt;$D$3,"",_xlfn.XLOOKUP(BK$7,'Bridgend Manuf'!$M$6:$BM$6,'Bridgend Manuf'!$M$13:$BM$13))</f>
        <v>G</v>
      </c>
      <c r="BL59" s="69" t="str">
        <f>IF(BL$7&gt;$D$3,"",_xlfn.XLOOKUP(BL$7,'Bridgend Manuf'!$M$6:$BM$6,'Bridgend Manuf'!$M$13:$BM$13))</f>
        <v>G</v>
      </c>
      <c r="BM59" s="69" t="str">
        <f>IF(BM$7&gt;$D$3,"",_xlfn.XLOOKUP(BM$7,'Bridgend Manuf'!$M$6:$BM$6,'Bridgend Manuf'!$M$13:$BM$13))</f>
        <v>A</v>
      </c>
      <c r="BN59" s="69" t="str">
        <f>IF(BN$7&gt;$D$3,"",_xlfn.XLOOKUP(BN$7,'Bridgend Manuf'!$M$6:$BM$6,'Bridgend Manuf'!$M$13:$BM$13))</f>
        <v>G</v>
      </c>
      <c r="BO59" s="69" t="str">
        <f>IF(BO$7&gt;$D$3,"",_xlfn.XLOOKUP(BO$7,'Bridgend Manuf'!$M$6:$BM$6,'Bridgend Manuf'!$M$13:$BM$13))</f>
        <v>G</v>
      </c>
      <c r="BP59" s="69" t="str">
        <f>IF(BP$7&gt;$D$3,"",_xlfn.XLOOKUP(BP$7,'Bridgend Manuf'!$M$6:$BM$6,'Bridgend Manuf'!$M$13:$BM$13))</f>
        <v>G</v>
      </c>
      <c r="BQ59" s="69" t="str">
        <f>IF(BQ$7&gt;$D$3,"",_xlfn.XLOOKUP(BQ$7,'Bridgend Manuf'!$M$6:$BM$6,'Bridgend Manuf'!$M$13:$BM$13))</f>
        <v>A</v>
      </c>
      <c r="BR59" s="69" t="str">
        <f>IF(BR$7&gt;$D$3,"",_xlfn.XLOOKUP(BR$7,'Bridgend Manuf'!$M$6:$BM$6,'Bridgend Manuf'!$M$13:$BM$13))</f>
        <v>A</v>
      </c>
      <c r="BS59" s="69" t="str">
        <f>IF(BS$7&gt;$D$3,"",_xlfn.XLOOKUP(BS$7,'Bridgend Manuf'!$M$6:$BM$6,'Bridgend Manuf'!$M$13:$BM$13))</f>
        <v>A</v>
      </c>
      <c r="BT59" s="69" t="str">
        <f>IF(BT$7&gt;$D$3,"",_xlfn.XLOOKUP(BT$7,'Bridgend Manuf'!$M$6:$BM$6,'Bridgend Manuf'!$M$13:$BM$13))</f>
        <v>G</v>
      </c>
      <c r="BU59" s="69" t="str">
        <f>IF(BU$7&gt;$D$3,"",_xlfn.XLOOKUP(BU$7,'Bridgend Manuf'!$M$6:$BM$6,'Bridgend Manuf'!$M$13:$BM$13))</f>
        <v>R</v>
      </c>
      <c r="BV59" s="69" t="str">
        <f>IF(BV$7&gt;$D$3,"",_xlfn.XLOOKUP(BV$7,'Bridgend Manuf'!$M$6:$BM$6,'Bridgend Manuf'!$M$13:$BM$13))</f>
        <v>R</v>
      </c>
      <c r="BW59" s="69" t="str">
        <f>IF(BW$7&gt;$D$3,"",_xlfn.XLOOKUP(BW$7,'Bridgend Manuf'!$M$6:$BM$6,'Bridgend Manuf'!$M$13:$BM$13))</f>
        <v>A</v>
      </c>
      <c r="BX59" s="69" t="str">
        <f>IF(BX$7&gt;$D$3,"",_xlfn.XLOOKUP(BX$7,'Bridgend Manuf'!$M$6:$BM$6,'Bridgend Manuf'!$M$13:$BM$13))</f>
        <v>A</v>
      </c>
      <c r="BY59" s="69" t="str">
        <f>IF(BY$7&gt;$D$3,"",_xlfn.XLOOKUP(BY$7,'Bridgend Manuf'!$M$6:$BM$6,'Bridgend Manuf'!$M$13:$BM$13))</f>
        <v>G</v>
      </c>
      <c r="BZ59" s="69" t="str">
        <f>IF(BZ$7&gt;$D$3,"",_xlfn.XLOOKUP(BZ$7,'Bridgend Manuf'!$M$6:$BM$6,'Bridgend Manuf'!$M$13:$BM$13))</f>
        <v>OD</v>
      </c>
      <c r="CA59" s="69" t="str">
        <f>IF(CA$7&gt;$D$3,"",_xlfn.XLOOKUP(CA$7,'Bridgend Manuf'!$M$6:$BM$6,'Bridgend Manuf'!$M$13:$BM$13))</f>
        <v>OD</v>
      </c>
      <c r="CB59" s="69" t="str">
        <f>IF(CB$7&gt;$D$3,"",_xlfn.XLOOKUP(CB$7,'Bridgend Manuf'!$M$6:$BM$6,'Bridgend Manuf'!$M$13:$BM$13))</f>
        <v>OD</v>
      </c>
      <c r="CC59" s="69" t="str">
        <f>IF(CC$7&gt;$D$3,"",_xlfn.XLOOKUP(CC$7,'Bridgend Manuf'!$M$6:$BM$6,'Bridgend Manuf'!$M$13:$BM$13))</f>
        <v/>
      </c>
      <c r="CD59" s="69" t="str">
        <f>IF(CD$7&gt;$D$3,"",_xlfn.XLOOKUP(CD$7,'Bridgend Manuf'!$M$6:$BM$6,'Bridgend Manuf'!$M$13:$BM$13))</f>
        <v/>
      </c>
      <c r="CE59" s="69" t="str">
        <f>IF(CE$7&gt;$D$3,"",_xlfn.XLOOKUP(CE$7,'Bridgend Manuf'!$M$6:$BM$6,'Bridgend Manuf'!$M$13:$BM$13))</f>
        <v/>
      </c>
      <c r="CF59" s="69" t="str">
        <f>IF(CF$7&gt;$D$3,"",_xlfn.XLOOKUP(CF$7,'Bridgend Manuf'!$M$6:$BM$6,'Bridgend Manuf'!$M$13:$BM$13))</f>
        <v/>
      </c>
      <c r="CG59" s="69" t="str">
        <f>IF(CG$7&gt;$D$3,"",_xlfn.XLOOKUP(CG$7,'Bridgend Manuf'!$M$6:$BM$6,'Bridgend Manuf'!$M$13:$BM$13))</f>
        <v/>
      </c>
      <c r="CH59" s="69" t="str">
        <f>IF(CH$7&gt;$D$3,"",_xlfn.XLOOKUP(CH$7,'Bridgend Manuf'!$M$6:$BM$6,'Bridgend Manuf'!$M$13:$BM$13))</f>
        <v/>
      </c>
      <c r="CI59" s="69" t="str">
        <f>IF(CI$7&gt;$D$3,"",_xlfn.XLOOKUP(CI$7,'Bridgend Manuf'!$M$6:$BM$6,'Bridgend Manuf'!$M$13:$BM$13))</f>
        <v/>
      </c>
      <c r="CJ59" s="69" t="str">
        <f>IF(CJ$7&gt;$D$3,"",_xlfn.XLOOKUP(CJ$7,'Bridgend Manuf'!$M$6:$BM$6,'Bridgend Manuf'!$M$13:$BM$13))</f>
        <v/>
      </c>
      <c r="CK59" s="69" t="str">
        <f>IF(CK$7&gt;$D$3,"",_xlfn.XLOOKUP(CK$7,'Bridgend Manuf'!$M$6:$BM$6,'Bridgend Manuf'!$M$13:$BM$13))</f>
        <v/>
      </c>
      <c r="CL59" s="69" t="str">
        <f>IF(CL$7&gt;$D$3,"",_xlfn.XLOOKUP(CL$7,'Bridgend Manuf'!$M$6:$BM$6,'Bridgend Manuf'!$M$13:$BM$13))</f>
        <v/>
      </c>
      <c r="CM59" s="69" t="str">
        <f>IF(CM$7&gt;$D$3,"",_xlfn.XLOOKUP(CM$7,'Bridgend Manuf'!$M$6:$BM$6,'Bridgend Manuf'!$M$13:$BM$13))</f>
        <v/>
      </c>
      <c r="CO59" s="465" t="str">
        <f>+$A59</f>
        <v>Bridgend Manuf-KPI D1</v>
      </c>
      <c r="CP59" s="136" t="str">
        <f t="shared" si="199"/>
        <v>KPI D1</v>
      </c>
      <c r="CQ59" s="144" t="str">
        <f t="shared" si="199"/>
        <v>Delivery</v>
      </c>
      <c r="CR59" s="144" t="str">
        <f t="shared" si="186"/>
        <v>Percentage of OTIF that achieved delivery date</v>
      </c>
      <c r="CS59" s="145" t="str">
        <f t="shared" si="186"/>
        <v>Percentage</v>
      </c>
      <c r="CT59" s="207" t="s">
        <v>246</v>
      </c>
      <c r="CU59" s="423" t="str">
        <f>IF(CU$7&gt;$D$3,"",_xlfn.XLOOKUP(CU$7,'Bridgend Manuf'!$M$6:$BM$6,'Bridgend Manuf'!$M$13:$BM$13))</f>
        <v>Blank</v>
      </c>
      <c r="CV59" s="323">
        <f>IFERROR(IF(CV$7&gt;$D$3,"",IF(AN59="OD","OD",IF(AN59="Missed","Missed",IF(AN59="TBC","TBC",IF(AN59="Undefined","Undefined",_xlfn.XLOOKUP(CV$7,'Bridgend Manuf'!$M$6:$BM$6,'Bridgend Manuf'!$M$12:$BM$12)/_xlfn.XLOOKUP(CV$7,'Bridgend Manuf'!$M$6:$BM$6,'Bridgend Manuf'!$M$11:$BM$11)))))),"")</f>
        <v>0.96842105263157907</v>
      </c>
      <c r="CW59" s="315">
        <f>IFERROR(IF(CW$7&gt;$D$3,"",IF(AO59="OD","OD",IF(AO59="Missed","Missed",IF(AO59="TBC","TBC",IF(AO59="Undefined","Undefined",_xlfn.XLOOKUP(CW$7,'Bridgend Manuf'!$M$6:$BM$6,'Bridgend Manuf'!$M$12:$BM$12)/_xlfn.XLOOKUP(CW$7,'Bridgend Manuf'!$M$6:$BM$6,'Bridgend Manuf'!$M$11:$BM$11)))))),"")</f>
        <v>1.0210526315789474</v>
      </c>
      <c r="CX59" s="315">
        <f>IFERROR(IF(CX$7&gt;$D$3,"",IF(AP59="OD","OD",IF(AP59="Missed","Missed",IF(AP59="TBC","TBC",IF(AP59="Undefined","Undefined",_xlfn.XLOOKUP(CX$7,'Bridgend Manuf'!$M$6:$BM$6,'Bridgend Manuf'!$M$12:$BM$12)/_xlfn.XLOOKUP(CX$7,'Bridgend Manuf'!$M$6:$BM$6,'Bridgend Manuf'!$M$11:$BM$11)))))),"")</f>
        <v>0.94736842105263164</v>
      </c>
      <c r="CY59" s="315">
        <f>IFERROR(IF(CY$7&gt;$D$3,"",IF(AQ59="OD","OD",IF(AQ59="Missed","Missed",IF(AQ59="TBC","TBC",IF(AQ59="Undefined","Undefined",_xlfn.XLOOKUP(CY$7,'Bridgend Manuf'!$M$6:$BM$6,'Bridgend Manuf'!$M$12:$BM$12)/_xlfn.XLOOKUP(CY$7,'Bridgend Manuf'!$M$6:$BM$6,'Bridgend Manuf'!$M$11:$BM$11)))))),"")</f>
        <v>0.97894736842105268</v>
      </c>
      <c r="CZ59" s="315">
        <f>IFERROR(IF(CZ$7&gt;$D$3,"",IF(AR59="OD","OD",IF(AR59="Missed","Missed",IF(AR59="TBC","TBC",IF(AR59="Undefined","Undefined",_xlfn.XLOOKUP(CZ$7,'Bridgend Manuf'!$M$6:$BM$6,'Bridgend Manuf'!$M$12:$BM$12)/_xlfn.XLOOKUP(CZ$7,'Bridgend Manuf'!$M$6:$BM$6,'Bridgend Manuf'!$M$11:$BM$11)))))),"")</f>
        <v>0.98947368421052628</v>
      </c>
      <c r="DA59" s="315">
        <f>IFERROR(IF(DA$7&gt;$D$3,"",IF(AS59="OD","OD",IF(AS59="Missed","Missed",IF(AS59="TBC","TBC",IF(AS59="Undefined","Undefined",_xlfn.XLOOKUP(DA$7,'Bridgend Manuf'!$M$6:$BM$6,'Bridgend Manuf'!$M$12:$BM$12)/_xlfn.XLOOKUP(DA$7,'Bridgend Manuf'!$M$6:$BM$6,'Bridgend Manuf'!$M$11:$BM$11)))))),"")</f>
        <v>1.0105263157894737</v>
      </c>
      <c r="DB59" s="315">
        <f>IFERROR(IF(DB$7&gt;$D$3,"",IF(AT59="OD","OD",IF(AT59="Missed","Missed",IF(AT59="TBC","TBC",IF(AT59="Undefined","Undefined",_xlfn.XLOOKUP(DB$7,'Bridgend Manuf'!$M$6:$BM$6,'Bridgend Manuf'!$M$12:$BM$12)/_xlfn.XLOOKUP(DB$7,'Bridgend Manuf'!$M$6:$BM$6,'Bridgend Manuf'!$M$11:$BM$11)))))),"")</f>
        <v>0.96842105263157907</v>
      </c>
      <c r="DC59" s="315">
        <f>IFERROR(IF(DC$7&gt;$D$3,"",IF(AU59="OD","OD",IF(AU59="Missed","Missed",IF(AU59="TBC","TBC",IF(AU59="Undefined","Undefined",_xlfn.XLOOKUP(DC$7,'Bridgend Manuf'!$M$6:$BM$6,'Bridgend Manuf'!$M$12:$BM$12)/_xlfn.XLOOKUP(DC$7,'Bridgend Manuf'!$M$6:$BM$6,'Bridgend Manuf'!$M$11:$BM$11)))))),"")</f>
        <v>0.94736842105263164</v>
      </c>
      <c r="DD59" s="315">
        <f>IFERROR(IF(DD$7&gt;$D$3,"",IF(AV59="OD","OD",IF(AV59="Missed","Missed",IF(AV59="TBC","TBC",IF(AV59="Undefined","Undefined",_xlfn.XLOOKUP(DD$7,'Bridgend Manuf'!$M$6:$BM$6,'Bridgend Manuf'!$M$12:$BM$12)/_xlfn.XLOOKUP(DD$7,'Bridgend Manuf'!$M$6:$BM$6,'Bridgend Manuf'!$M$11:$BM$11)))))),"")</f>
        <v>1.0105263157894737</v>
      </c>
      <c r="DE59" s="315">
        <f>IFERROR(IF(DE$7&gt;$D$3,"",IF(AW59="OD","OD",IF(AW59="Missed","Missed",IF(AW59="TBC","TBC",IF(AW59="Undefined","Undefined",_xlfn.XLOOKUP(DE$7,'Bridgend Manuf'!$M$6:$BM$6,'Bridgend Manuf'!$M$12:$BM$12)/_xlfn.XLOOKUP(DE$7,'Bridgend Manuf'!$M$6:$BM$6,'Bridgend Manuf'!$M$11:$BM$11)))))),"")</f>
        <v>1</v>
      </c>
      <c r="DF59" s="315">
        <f>IFERROR(IF(DF$7&gt;$D$3,"",IF(AX59="OD","OD",IF(AX59="Missed","Missed",IF(AX59="TBC","TBC",IF(AX59="Undefined","Undefined",_xlfn.XLOOKUP(DF$7,'Bridgend Manuf'!$M$6:$BM$6,'Bridgend Manuf'!$M$12:$BM$12)/_xlfn.XLOOKUP(DF$7,'Bridgend Manuf'!$M$6:$BM$6,'Bridgend Manuf'!$M$11:$BM$11)))))),"")</f>
        <v>0.96842105263157907</v>
      </c>
      <c r="DG59" s="315">
        <f>IFERROR(IF(DG$7&gt;$D$3,"",IF(AY59="OD","OD",IF(AY59="Missed","Missed",IF(AY59="TBC","TBC",IF(AY59="Undefined","Undefined",_xlfn.XLOOKUP(DG$7,'Bridgend Manuf'!$M$6:$BM$6,'Bridgend Manuf'!$M$12:$BM$12)/_xlfn.XLOOKUP(DG$7,'Bridgend Manuf'!$M$6:$BM$6,'Bridgend Manuf'!$M$11:$BM$11)))))),"")</f>
        <v>0.95789473684210535</v>
      </c>
      <c r="DH59" s="315">
        <f>IFERROR(IF(DH$7&gt;$D$3,"",IF(AZ59="OD","OD",IF(AZ59="Missed","Missed",IF(AZ59="TBC","TBC",IF(AZ59="Undefined","Undefined",_xlfn.XLOOKUP(DH$7,'Bridgend Manuf'!$M$6:$BM$6,'Bridgend Manuf'!$M$12:$BM$12)/_xlfn.XLOOKUP(DH$7,'Bridgend Manuf'!$M$6:$BM$6,'Bridgend Manuf'!$M$11:$BM$11)))))),"")</f>
        <v>0.95789473684210535</v>
      </c>
      <c r="DI59" s="315">
        <f>IFERROR(IF(DI$7&gt;$D$3,"",IF(BA59="OD","OD",IF(BA59="Missed","Missed",IF(BA59="TBC","TBC",IF(BA59="Undefined","Undefined",_xlfn.XLOOKUP(DI$7,'Bridgend Manuf'!$M$6:$BM$6,'Bridgend Manuf'!$M$12:$BM$12)/_xlfn.XLOOKUP(DI$7,'Bridgend Manuf'!$M$6:$BM$6,'Bridgend Manuf'!$M$11:$BM$11)))))),"")</f>
        <v>0.98947368421052628</v>
      </c>
      <c r="DJ59" s="315">
        <f>IFERROR(IF(DJ$7&gt;$D$3,"",IF(BB59="OD","OD",IF(BB59="Missed","Missed",IF(BB59="TBC","TBC",IF(BB59="Undefined","Undefined",_xlfn.XLOOKUP(DJ$7,'Bridgend Manuf'!$M$6:$BM$6,'Bridgend Manuf'!$M$12:$BM$12)/_xlfn.XLOOKUP(DJ$7,'Bridgend Manuf'!$M$6:$BM$6,'Bridgend Manuf'!$M$11:$BM$11)))))),"")</f>
        <v>0.96842105263157907</v>
      </c>
      <c r="DK59" s="315">
        <f>IFERROR(IF(DK$7&gt;$D$3,"",IF(BC59="OD","OD",IF(BC59="Missed","Missed",IF(BC59="TBC","TBC",IF(BC59="Undefined","Undefined",_xlfn.XLOOKUP(DK$7,'Bridgend Manuf'!$M$6:$BM$6,'Bridgend Manuf'!$M$12:$BM$12)/_xlfn.XLOOKUP(DK$7,'Bridgend Manuf'!$M$6:$BM$6,'Bridgend Manuf'!$M$11:$BM$11)))))),"")</f>
        <v>0.97894736842105268</v>
      </c>
      <c r="DL59" s="315">
        <f>IFERROR(IF(DL$7&gt;$D$3,"",IF(BD59="OD","OD",IF(BD59="Missed","Missed",IF(BD59="TBC","TBC",IF(BD59="Undefined","Undefined",_xlfn.XLOOKUP(DL$7,'Bridgend Manuf'!$M$6:$BM$6,'Bridgend Manuf'!$M$12:$BM$12)/_xlfn.XLOOKUP(DL$7,'Bridgend Manuf'!$M$6:$BM$6,'Bridgend Manuf'!$M$11:$BM$11)))))),"")</f>
        <v>0.93684210526315792</v>
      </c>
      <c r="DM59" s="315">
        <f>IFERROR(IF(DM$7&gt;$D$3,"",IF(BE59="OD","OD",IF(BE59="Missed","Missed",IF(BE59="TBC","TBC",IF(BE59="Undefined","Undefined",_xlfn.XLOOKUP(DM$7,'Bridgend Manuf'!$M$6:$BM$6,'Bridgend Manuf'!$M$12:$BM$12)/_xlfn.XLOOKUP(DM$7,'Bridgend Manuf'!$M$6:$BM$6,'Bridgend Manuf'!$M$11:$BM$11)))))),"")</f>
        <v>0.87368421052631584</v>
      </c>
      <c r="DN59" s="315">
        <f>IFERROR(IF(DN$7&gt;$D$3,"",IF(BF59="OD","OD",IF(BF59="Missed","Missed",IF(BF59="TBC","TBC",IF(BF59="Undefined","Undefined",_xlfn.XLOOKUP(DN$7,'Bridgend Manuf'!$M$6:$BM$6,'Bridgend Manuf'!$M$12:$BM$12)/_xlfn.XLOOKUP(DN$7,'Bridgend Manuf'!$M$6:$BM$6,'Bridgend Manuf'!$M$11:$BM$11)))))),"")</f>
        <v>1</v>
      </c>
      <c r="DO59" s="315">
        <f>IFERROR(IF(DO$7&gt;$D$3,"",IF(BG59="OD","OD",IF(BG59="Missed","Missed",IF(BG59="TBC","TBC",IF(BG59="Undefined","Undefined",_xlfn.XLOOKUP(DO$7,'Bridgend Manuf'!$M$6:$BM$6,'Bridgend Manuf'!$M$12:$BM$12)/_xlfn.XLOOKUP(DO$7,'Bridgend Manuf'!$M$6:$BM$6,'Bridgend Manuf'!$M$11:$BM$11)))))),"")</f>
        <v>1.0105263157894737</v>
      </c>
      <c r="DP59" s="315">
        <f>IFERROR(IF(DP$7&gt;$D$3,"",IF(BH59="OD","OD",IF(BH59="Missed","Missed",IF(BH59="TBC","TBC",IF(BH59="Undefined","Undefined",_xlfn.XLOOKUP(DP$7,'Bridgend Manuf'!$M$6:$BM$6,'Bridgend Manuf'!$M$12:$BM$12)/_xlfn.XLOOKUP(DP$7,'Bridgend Manuf'!$M$6:$BM$6,'Bridgend Manuf'!$M$11:$BM$11)))))),"")</f>
        <v>0.94736842105263164</v>
      </c>
      <c r="DQ59" s="315">
        <f>IFERROR(IF(DQ$7&gt;$D$3,"",IF(BI59="OD","OD",IF(BI59="Missed","Missed",IF(BI59="TBC","TBC",IF(BI59="Undefined","Undefined",_xlfn.XLOOKUP(DQ$7,'Bridgend Manuf'!$M$6:$BM$6,'Bridgend Manuf'!$M$12:$BM$12)/_xlfn.XLOOKUP(DQ$7,'Bridgend Manuf'!$M$6:$BM$6,'Bridgend Manuf'!$M$11:$BM$11)))))),"")</f>
        <v>1.0315789473684212</v>
      </c>
      <c r="DR59" s="315">
        <f>IFERROR(IF(DR$7&gt;$D$3,"",IF(BJ59="OD","OD",IF(BJ59="Missed","Missed",IF(BJ59="TBC","TBC",IF(BJ59="Undefined","Undefined",_xlfn.XLOOKUP(DR$7,'Bridgend Manuf'!$M$6:$BM$6,'Bridgend Manuf'!$M$12:$BM$12)/_xlfn.XLOOKUP(DR$7,'Bridgend Manuf'!$M$6:$BM$6,'Bridgend Manuf'!$M$11:$BM$11)))))),"")</f>
        <v>0.95789473684210535</v>
      </c>
      <c r="DS59" s="315">
        <f>IFERROR(IF(DS$7&gt;$D$3,"",IF(BK59="OD","OD",IF(BK59="Missed","Missed",IF(BK59="TBC","TBC",IF(BK59="Undefined","Undefined",_xlfn.XLOOKUP(DS$7,'Bridgend Manuf'!$M$6:$BM$6,'Bridgend Manuf'!$M$12:$BM$12)/_xlfn.XLOOKUP(DS$7,'Bridgend Manuf'!$M$6:$BM$6,'Bridgend Manuf'!$M$11:$BM$11)))))),"")</f>
        <v>1.0210526315789474</v>
      </c>
      <c r="DT59" s="315">
        <f>IFERROR(IF(DT$7&gt;$D$3,"",IF(BL59="OD","OD",IF(BL59="Missed","Missed",IF(BL59="TBC","TBC",IF(BL59="Undefined","Undefined",_xlfn.XLOOKUP(DT$7,'Bridgend Manuf'!$M$6:$BM$6,'Bridgend Manuf'!$M$12:$BM$12)/_xlfn.XLOOKUP(DT$7,'Bridgend Manuf'!$M$6:$BM$6,'Bridgend Manuf'!$M$11:$BM$11)))))),"")</f>
        <v>1</v>
      </c>
      <c r="DU59" s="315">
        <f>IFERROR(IF(DU$7&gt;$D$3,"",IF(BM59="OD","OD",IF(BM59="Missed","Missed",IF(BM59="TBC","TBC",IF(BM59="Undefined","Undefined",_xlfn.XLOOKUP(DU$7,'Bridgend Manuf'!$M$6:$BM$6,'Bridgend Manuf'!$M$12:$BM$12)/_xlfn.XLOOKUP(DU$7,'Bridgend Manuf'!$M$6:$BM$6,'Bridgend Manuf'!$M$11:$BM$11)))))),"")</f>
        <v>0.95789473684210535</v>
      </c>
      <c r="DV59" s="315">
        <f>IFERROR(IF(DV$7&gt;$D$3,"",IF(BN59="OD","OD",IF(BN59="Missed","Missed",IF(BN59="TBC","TBC",IF(BN59="Undefined","Undefined",_xlfn.XLOOKUP(DV$7,'Bridgend Manuf'!$M$6:$BM$6,'Bridgend Manuf'!$M$12:$BM$12)/_xlfn.XLOOKUP(DV$7,'Bridgend Manuf'!$M$6:$BM$6,'Bridgend Manuf'!$M$11:$BM$11)))))),"")</f>
        <v>1.0210526315789474</v>
      </c>
      <c r="DW59" s="315">
        <f>IFERROR(IF(DW$7&gt;$D$3,"",IF(BO59="OD","OD",IF(BO59="Missed","Missed",IF(BO59="TBC","TBC",IF(BO59="Undefined","Undefined",_xlfn.XLOOKUP(DW$7,'Bridgend Manuf'!$M$6:$BM$6,'Bridgend Manuf'!$M$12:$BM$12)/_xlfn.XLOOKUP(DW$7,'Bridgend Manuf'!$M$6:$BM$6,'Bridgend Manuf'!$M$11:$BM$11)))))),"")</f>
        <v>1.0210526315789474</v>
      </c>
      <c r="DX59" s="315">
        <f>IFERROR(IF(DX$7&gt;$D$3,"",IF(BP59="OD","OD",IF(BP59="Missed","Missed",IF(BP59="TBC","TBC",IF(BP59="Undefined","Undefined",_xlfn.XLOOKUP(DX$7,'Bridgend Manuf'!$M$6:$BM$6,'Bridgend Manuf'!$M$12:$BM$12)/_xlfn.XLOOKUP(DX$7,'Bridgend Manuf'!$M$6:$BM$6,'Bridgend Manuf'!$M$11:$BM$11)))))),"")</f>
        <v>1.0421052631578949</v>
      </c>
      <c r="DY59" s="315">
        <f>IFERROR(IF(DY$7&gt;$D$3,"",IF(BQ59="OD","OD",IF(BQ59="Missed","Missed",IF(BQ59="TBC","TBC",IF(BQ59="Undefined","Undefined",_xlfn.XLOOKUP(DY$7,'Bridgend Manuf'!$M$6:$BM$6,'Bridgend Manuf'!$M$12:$BM$12)/_xlfn.XLOOKUP(DY$7,'Bridgend Manuf'!$M$6:$BM$6,'Bridgend Manuf'!$M$11:$BM$11)))))),"")</f>
        <v>0.98947368421052628</v>
      </c>
      <c r="DZ59" s="315">
        <f>IFERROR(IF(DZ$7&gt;$D$3,"",IF(BR59="OD","OD",IF(BR59="Missed","Missed",IF(BR59="TBC","TBC",IF(BR59="Undefined","Undefined",_xlfn.XLOOKUP(DZ$7,'Bridgend Manuf'!$M$6:$BM$6,'Bridgend Manuf'!$M$12:$BM$12)/_xlfn.XLOOKUP(DZ$7,'Bridgend Manuf'!$M$6:$BM$6,'Bridgend Manuf'!$M$11:$BM$11)))))),"")</f>
        <v>0.97894736842105268</v>
      </c>
      <c r="EA59" s="315">
        <f>IFERROR(IF(EA$7&gt;$D$3,"",IF(BS59="OD","OD",IF(BS59="Missed","Missed",IF(BS59="TBC","TBC",IF(BS59="Undefined","Undefined",_xlfn.XLOOKUP(EA$7,'Bridgend Manuf'!$M$6:$BM$6,'Bridgend Manuf'!$M$12:$BM$12)/_xlfn.XLOOKUP(EA$7,'Bridgend Manuf'!$M$6:$BM$6,'Bridgend Manuf'!$M$11:$BM$11)))))),"")</f>
        <v>0.98947368421052628</v>
      </c>
      <c r="EB59" s="315">
        <f>IFERROR(IF(EB$7&gt;$D$3,"",IF(BT59="OD","OD",IF(BT59="Missed","Missed",IF(BT59="TBC","TBC",IF(BT59="Undefined","Undefined",_xlfn.XLOOKUP(EB$7,'Bridgend Manuf'!$M$6:$BM$6,'Bridgend Manuf'!$M$12:$BM$12)/_xlfn.XLOOKUP(EB$7,'Bridgend Manuf'!$M$6:$BM$6,'Bridgend Manuf'!$M$11:$BM$11)))))),"")</f>
        <v>1.0105263157894737</v>
      </c>
      <c r="EC59" s="315">
        <f>IFERROR(IF(EC$7&gt;$D$3,"",IF(BU59="OD","OD",IF(BU59="Missed","Missed",IF(BU59="TBC","TBC",IF(BU59="Undefined","Undefined",_xlfn.XLOOKUP(EC$7,'Bridgend Manuf'!$M$6:$BM$6,'Bridgend Manuf'!$M$12:$BM$12)/_xlfn.XLOOKUP(EC$7,'Bridgend Manuf'!$M$6:$BM$6,'Bridgend Manuf'!$M$11:$BM$11)))))),"")</f>
        <v>0.9157894736842106</v>
      </c>
      <c r="ED59" s="315">
        <f>IFERROR(IF(ED$7&gt;$D$3,"",IF(BV59="OD","OD",IF(BV59="Missed","Missed",IF(BV59="TBC","TBC",IF(BV59="Undefined","Undefined",_xlfn.XLOOKUP(ED$7,'Bridgend Manuf'!$M$6:$BM$6,'Bridgend Manuf'!$M$12:$BM$12)/_xlfn.XLOOKUP(ED$7,'Bridgend Manuf'!$M$6:$BM$6,'Bridgend Manuf'!$M$11:$BM$11)))))),"")</f>
        <v>0.89473684210526316</v>
      </c>
      <c r="EE59" s="315">
        <f>IFERROR(IF(EE$7&gt;$D$3,"",IF(BW59="OD","OD",IF(BW59="Missed","Missed",IF(BW59="TBC","TBC",IF(BW59="Undefined","Undefined",_xlfn.XLOOKUP(EE$7,'Bridgend Manuf'!$M$6:$BM$6,'Bridgend Manuf'!$M$12:$BM$12)/_xlfn.XLOOKUP(EE$7,'Bridgend Manuf'!$M$6:$BM$6,'Bridgend Manuf'!$M$11:$BM$11)))))),"")</f>
        <v>0.96842105263157907</v>
      </c>
      <c r="EF59" s="315">
        <f>IFERROR(IF(EF$7&gt;$D$3,"",IF(BX59="OD","OD",IF(BX59="Missed","Missed",IF(BX59="TBC","TBC",IF(BX59="Undefined","Undefined",_xlfn.XLOOKUP(EF$7,'Bridgend Manuf'!$M$6:$BM$6,'Bridgend Manuf'!$M$12:$BM$12)/_xlfn.XLOOKUP(EF$7,'Bridgend Manuf'!$M$6:$BM$6,'Bridgend Manuf'!$M$11:$BM$11)))))),"")</f>
        <v>0.98947368421052628</v>
      </c>
      <c r="EG59" s="315">
        <f>IFERROR(IF(EG$7&gt;$D$3,"",IF(BY59="OD","OD",IF(BY59="Missed","Missed",IF(BY59="TBC","TBC",IF(BY59="Undefined","Undefined",_xlfn.XLOOKUP(EG$7,'Bridgend Manuf'!$M$6:$BM$6,'Bridgend Manuf'!$M$12:$BM$12)/_xlfn.XLOOKUP(EG$7,'Bridgend Manuf'!$M$6:$BM$6,'Bridgend Manuf'!$M$11:$BM$11)))))),"")</f>
        <v>1.0105263157894737</v>
      </c>
      <c r="EH59" s="315" t="str">
        <f>IFERROR(IF(EH$7&gt;$D$3,"",IF(BZ59="OD","OD",IF(BZ59="Missed","Missed",IF(BZ59="TBC","TBC",IF(BZ59="Undefined","Undefined",_xlfn.XLOOKUP(EH$7,'Bridgend Manuf'!$M$6:$BM$6,'Bridgend Manuf'!$M$12:$BM$12)/_xlfn.XLOOKUP(EH$7,'Bridgend Manuf'!$M$6:$BM$6,'Bridgend Manuf'!$M$11:$BM$11)))))),"")</f>
        <v>OD</v>
      </c>
      <c r="EI59" s="315" t="str">
        <f>IFERROR(IF(EI$7&gt;$D$3,"",IF(CA59="OD","OD",IF(CA59="Missed","Missed",IF(CA59="TBC","TBC",IF(CA59="Undefined","Undefined",_xlfn.XLOOKUP(EI$7,'Bridgend Manuf'!$M$6:$BM$6,'Bridgend Manuf'!$M$12:$BM$12)/_xlfn.XLOOKUP(EI$7,'Bridgend Manuf'!$M$6:$BM$6,'Bridgend Manuf'!$M$11:$BM$11)))))),"")</f>
        <v>OD</v>
      </c>
      <c r="EJ59" s="315" t="str">
        <f>IFERROR(IF(EJ$7&gt;$D$3,"",IF(CB59="OD","OD",IF(CB59="Missed","Missed",IF(CB59="TBC","TBC",IF(CB59="Undefined","Undefined",_xlfn.XLOOKUP(EJ$7,'Bridgend Manuf'!$M$6:$BM$6,'Bridgend Manuf'!$M$12:$BM$12)/_xlfn.XLOOKUP(EJ$7,'Bridgend Manuf'!$M$6:$BM$6,'Bridgend Manuf'!$M$11:$BM$11)))))),"")</f>
        <v>OD</v>
      </c>
      <c r="EK59" s="315" t="str">
        <f>IFERROR(IF(EK$7&gt;$D$3,"",IF(CC59="OD","OD",IF(CC59="Missed","Missed",IF(CC59="TBC","TBC",IF(CC59="Undefined","Undefined",_xlfn.XLOOKUP(EK$7,'Bridgend Manuf'!$M$6:$BM$6,'Bridgend Manuf'!$M$12:$BM$12)/_xlfn.XLOOKUP(EK$7,'Bridgend Manuf'!$M$6:$BM$6,'Bridgend Manuf'!$M$11:$BM$11)))))),"")</f>
        <v/>
      </c>
      <c r="EL59" s="315" t="str">
        <f>IFERROR(IF(EL$7&gt;$D$3,"",IF(CD59="OD","OD",IF(CD59="Missed","Missed",IF(CD59="TBC","TBC",IF(CD59="Undefined","Undefined",_xlfn.XLOOKUP(EL$7,'Bridgend Manuf'!$M$6:$BM$6,'Bridgend Manuf'!$M$12:$BM$12)/_xlfn.XLOOKUP(EL$7,'Bridgend Manuf'!$M$6:$BM$6,'Bridgend Manuf'!$M$11:$BM$11)))))),"")</f>
        <v/>
      </c>
      <c r="EM59" s="315" t="str">
        <f>IFERROR(IF(EM$7&gt;$D$3,"",IF(CE59="OD","OD",IF(CE59="Missed","Missed",IF(CE59="TBC","TBC",IF(CE59="Undefined","Undefined",_xlfn.XLOOKUP(EM$7,'Bridgend Manuf'!$M$6:$BM$6,'Bridgend Manuf'!$M$12:$BM$12)/_xlfn.XLOOKUP(EM$7,'Bridgend Manuf'!$M$6:$BM$6,'Bridgend Manuf'!$M$11:$BM$11)))))),"")</f>
        <v/>
      </c>
      <c r="EN59" s="315" t="str">
        <f>IFERROR(IF(EN$7&gt;$D$3,"",IF(CF59="OD","OD",IF(CF59="Missed","Missed",IF(CF59="TBC","TBC",IF(CF59="Undefined","Undefined",_xlfn.XLOOKUP(EN$7,'Bridgend Manuf'!$M$6:$BM$6,'Bridgend Manuf'!$M$12:$BM$12)/_xlfn.XLOOKUP(EN$7,'Bridgend Manuf'!$M$6:$BM$6,'Bridgend Manuf'!$M$11:$BM$11)))))),"")</f>
        <v/>
      </c>
      <c r="EO59" s="315" t="str">
        <f>IFERROR(IF(EO$7&gt;$D$3,"",IF(CG59="OD","OD",IF(CG59="Missed","Missed",IF(CG59="TBC","TBC",IF(CG59="Undefined","Undefined",_xlfn.XLOOKUP(EO$7,'Bridgend Manuf'!$M$6:$BM$6,'Bridgend Manuf'!$M$12:$BM$12)/_xlfn.XLOOKUP(EO$7,'Bridgend Manuf'!$M$6:$BM$6,'Bridgend Manuf'!$M$11:$BM$11)))))),"")</f>
        <v/>
      </c>
      <c r="EP59" s="315" t="str">
        <f>IFERROR(IF(EP$7&gt;$D$3,"",IF(CH59="OD","OD",IF(CH59="Missed","Missed",IF(CH59="TBC","TBC",IF(CH59="Undefined","Undefined",_xlfn.XLOOKUP(EP$7,'Bridgend Manuf'!$M$6:$BM$6,'Bridgend Manuf'!$M$12:$BM$12)/_xlfn.XLOOKUP(EP$7,'Bridgend Manuf'!$M$6:$BM$6,'Bridgend Manuf'!$M$11:$BM$11)))))),"")</f>
        <v/>
      </c>
      <c r="EQ59" s="315" t="str">
        <f>IFERROR(IF(EQ$7&gt;$D$3,"",IF(CI59="OD","OD",IF(CI59="Missed","Missed",IF(CI59="TBC","TBC",IF(CI59="Undefined","Undefined",_xlfn.XLOOKUP(EQ$7,'Bridgend Manuf'!$M$6:$BM$6,'Bridgend Manuf'!$M$12:$BM$12)/_xlfn.XLOOKUP(EQ$7,'Bridgend Manuf'!$M$6:$BM$6,'Bridgend Manuf'!$M$11:$BM$11)))))),"")</f>
        <v/>
      </c>
      <c r="ER59" s="315" t="str">
        <f>IFERROR(IF(ER$7&gt;$D$3,"",IF(CJ59="OD","OD",IF(CJ59="Missed","Missed",IF(CJ59="TBC","TBC",IF(CJ59="Undefined","Undefined",_xlfn.XLOOKUP(ER$7,'Bridgend Manuf'!$M$6:$BM$6,'Bridgend Manuf'!$M$12:$BM$12)/_xlfn.XLOOKUP(ER$7,'Bridgend Manuf'!$M$6:$BM$6,'Bridgend Manuf'!$M$11:$BM$11)))))),"")</f>
        <v/>
      </c>
      <c r="ES59" s="315" t="str">
        <f>IFERROR(IF(ES$7&gt;$D$3,"",IF(CK59="OD","OD",IF(CK59="Missed","Missed",IF(CK59="TBC","TBC",IF(CK59="Undefined","Undefined",_xlfn.XLOOKUP(ES$7,'Bridgend Manuf'!$M$6:$BM$6,'Bridgend Manuf'!$M$12:$BM$12)/_xlfn.XLOOKUP(ES$7,'Bridgend Manuf'!$M$6:$BM$6,'Bridgend Manuf'!$M$11:$BM$11)))))),"")</f>
        <v/>
      </c>
      <c r="ET59" s="315" t="str">
        <f>IFERROR(IF(ET$7&gt;$D$3,"",IF(CL59="OD","OD",IF(CL59="Missed","Missed",IF(CL59="TBC","TBC",IF(CL59="Undefined","Undefined",_xlfn.XLOOKUP(ET$7,'Bridgend Manuf'!$M$6:$BM$6,'Bridgend Manuf'!$M$12:$BM$12)/_xlfn.XLOOKUP(ET$7,'Bridgend Manuf'!$M$6:$BM$6,'Bridgend Manuf'!$M$11:$BM$11)))))),"")</f>
        <v/>
      </c>
      <c r="EU59" s="315" t="str">
        <f>IFERROR(IF(EU$7&gt;$D$3,"",IF(CM59="OD","OD",IF(CM59="Missed","Missed",IF(CM59="TBC","TBC",IF(CM59="Undefined","Undefined",_xlfn.XLOOKUP(EU$7,'Bridgend Manuf'!$M$6:$BM$6,'Bridgend Manuf'!$M$12:$BM$12)/_xlfn.XLOOKUP(EU$7,'Bridgend Manuf'!$M$6:$BM$6,'Bridgend Manuf'!$M$11:$BM$11)))))),"")</f>
        <v/>
      </c>
      <c r="EW59" s="465" t="str">
        <f>+$A59</f>
        <v>Bridgend Manuf-KPI D1</v>
      </c>
      <c r="EX59" s="136" t="str">
        <f>+$C59</f>
        <v>KPI D1</v>
      </c>
      <c r="EY59" s="144" t="str">
        <f>+$D59</f>
        <v>Delivery</v>
      </c>
      <c r="EZ59" s="144" t="str">
        <f>+$E59</f>
        <v>Percentage of OTIF that achieved delivery date</v>
      </c>
      <c r="FA59" s="145" t="str">
        <f>+$F59</f>
        <v>Percentage</v>
      </c>
      <c r="FB59" s="145" t="s">
        <v>251</v>
      </c>
      <c r="FC59" s="219" t="str">
        <f>IF(FC$7&gt;$D$3,"",IF($FA57&lt;FC$7,"OD",_xlfn.XLOOKUP(FC$7,'Bridgend Manuf'!$M$6:$BM$6,'Bridgend Manuf'!$M$12:$BM$12)))</f>
        <v>Blank</v>
      </c>
      <c r="FD59" s="219">
        <f>IF(FD$7&gt;$D$3,"",IF($FA57&lt;FD$7,"OD",_xlfn.XLOOKUP(FD$7,'Bridgend Manuf'!$M$6:$BM$6,'Bridgend Manuf'!$M$12:$BM$12)))</f>
        <v>0.92</v>
      </c>
      <c r="FE59" s="219">
        <f>IF(FE$7&gt;$D$3,"",IF($FA57&lt;FE$7,"OD",_xlfn.XLOOKUP(FE$7,'Bridgend Manuf'!$M$6:$BM$6,'Bridgend Manuf'!$M$12:$BM$12)))</f>
        <v>0.97</v>
      </c>
      <c r="FF59" s="219">
        <f>IF(FF$7&gt;$D$3,"",IF($FA57&lt;FF$7,"OD",_xlfn.XLOOKUP(FF$7,'Bridgend Manuf'!$M$6:$BM$6,'Bridgend Manuf'!$M$12:$BM$12)))</f>
        <v>0.9</v>
      </c>
      <c r="FG59" s="219">
        <f>IF(FG$7&gt;$D$3,"",IF($FA57&lt;FG$7,"OD",_xlfn.XLOOKUP(FG$7,'Bridgend Manuf'!$M$6:$BM$6,'Bridgend Manuf'!$M$12:$BM$12)))</f>
        <v>0.93</v>
      </c>
      <c r="FH59" s="219">
        <f>IF(FH$7&gt;$D$3,"",IF($FA57&lt;FH$7,"OD",_xlfn.XLOOKUP(FH$7,'Bridgend Manuf'!$M$6:$BM$6,'Bridgend Manuf'!$M$12:$BM$12)))</f>
        <v>0.94</v>
      </c>
      <c r="FI59" s="219">
        <f>IF(FI$7&gt;$D$3,"",IF($FA57&lt;FI$7,"OD",_xlfn.XLOOKUP(FI$7,'Bridgend Manuf'!$M$6:$BM$6,'Bridgend Manuf'!$M$12:$BM$12)))</f>
        <v>0.96</v>
      </c>
      <c r="FJ59" s="219">
        <f>IF(FJ$7&gt;$D$3,"",IF($FA57&lt;FJ$7,"OD",_xlfn.XLOOKUP(FJ$7,'Bridgend Manuf'!$M$6:$BM$6,'Bridgend Manuf'!$M$12:$BM$12)))</f>
        <v>0.92</v>
      </c>
      <c r="FK59" s="219">
        <f>IF(FK$7&gt;$D$3,"",IF($FA57&lt;FK$7,"OD",_xlfn.XLOOKUP(FK$7,'Bridgend Manuf'!$M$6:$BM$6,'Bridgend Manuf'!$M$12:$BM$12)))</f>
        <v>0.9</v>
      </c>
      <c r="FL59" s="219">
        <f>IF(FL$7&gt;$D$3,"",IF($FA57&lt;FL$7,"OD",_xlfn.XLOOKUP(FL$7,'Bridgend Manuf'!$M$6:$BM$6,'Bridgend Manuf'!$M$12:$BM$12)))</f>
        <v>0.96</v>
      </c>
      <c r="FM59" s="219">
        <f>IF(FM$7&gt;$D$3,"",IF($FA57&lt;FM$7,"OD",_xlfn.XLOOKUP(FM$7,'Bridgend Manuf'!$M$6:$BM$6,'Bridgend Manuf'!$M$12:$BM$12)))</f>
        <v>0.95</v>
      </c>
      <c r="FN59" s="219">
        <f>IF(FN$7&gt;$D$3,"",IF($FA57&lt;FN$7,"OD",_xlfn.XLOOKUP(FN$7,'Bridgend Manuf'!$M$6:$BM$6,'Bridgend Manuf'!$M$12:$BM$12)))</f>
        <v>0.92</v>
      </c>
      <c r="FO59" s="219">
        <f>IF(FO$7&gt;$D$3,"",IF($FA57&lt;FO$7,"OD",_xlfn.XLOOKUP(FO$7,'Bridgend Manuf'!$M$6:$BM$6,'Bridgend Manuf'!$M$12:$BM$12)))</f>
        <v>0.91</v>
      </c>
      <c r="FP59" s="219">
        <f>IF(FP$7&gt;$D$3,"",IF($FA57&lt;FP$7,"OD",_xlfn.XLOOKUP(FP$7,'Bridgend Manuf'!$M$6:$BM$6,'Bridgend Manuf'!$M$12:$BM$12)))</f>
        <v>0.91</v>
      </c>
      <c r="FQ59" s="219">
        <f>IF(FQ$7&gt;$D$3,"",IF($FA57&lt;FQ$7,"OD",_xlfn.XLOOKUP(FQ$7,'Bridgend Manuf'!$M$6:$BM$6,'Bridgend Manuf'!$M$12:$BM$12)))</f>
        <v>0.94</v>
      </c>
      <c r="FR59" s="219">
        <f>IF(FR$7&gt;$D$3,"",IF($FA57&lt;FR$7,"OD",_xlfn.XLOOKUP(FR$7,'Bridgend Manuf'!$M$6:$BM$6,'Bridgend Manuf'!$M$12:$BM$12)))</f>
        <v>0.92</v>
      </c>
      <c r="FS59" s="219">
        <f>IF(FS$7&gt;$D$3,"",IF($FA57&lt;FS$7,"OD",_xlfn.XLOOKUP(FS$7,'Bridgend Manuf'!$M$6:$BM$6,'Bridgend Manuf'!$M$12:$BM$12)))</f>
        <v>0.93</v>
      </c>
      <c r="FT59" s="219">
        <f>IF(FT$7&gt;$D$3,"",IF($FA57&lt;FT$7,"OD",_xlfn.XLOOKUP(FT$7,'Bridgend Manuf'!$M$6:$BM$6,'Bridgend Manuf'!$M$12:$BM$12)))</f>
        <v>0.89</v>
      </c>
      <c r="FU59" s="219">
        <f>IF(FU$7&gt;$D$3,"",IF($FA57&lt;FU$7,"OD",_xlfn.XLOOKUP(FU$7,'Bridgend Manuf'!$M$6:$BM$6,'Bridgend Manuf'!$M$12:$BM$12)))</f>
        <v>0.83</v>
      </c>
      <c r="FV59" s="219">
        <f>IF(FV$7&gt;$D$3,"",IF($FA57&lt;FV$7,"OD",_xlfn.XLOOKUP(FV$7,'Bridgend Manuf'!$M$6:$BM$6,'Bridgend Manuf'!$M$12:$BM$12)))</f>
        <v>0.95</v>
      </c>
      <c r="FW59" s="219">
        <f>IF(FW$7&gt;$D$3,"",IF($FA57&lt;FW$7,"OD",_xlfn.XLOOKUP(FW$7,'Bridgend Manuf'!$M$6:$BM$6,'Bridgend Manuf'!$M$12:$BM$12)))</f>
        <v>0.96</v>
      </c>
      <c r="FX59" s="219">
        <f>IF(FX$7&gt;$D$3,"",IF($FA57&lt;FX$7,"OD",_xlfn.XLOOKUP(FX$7,'Bridgend Manuf'!$M$6:$BM$6,'Bridgend Manuf'!$M$12:$BM$12)))</f>
        <v>0.9</v>
      </c>
      <c r="FY59" s="219">
        <f>IF(FY$7&gt;$D$3,"",IF($FA57&lt;FY$7,"OD",_xlfn.XLOOKUP(FY$7,'Bridgend Manuf'!$M$6:$BM$6,'Bridgend Manuf'!$M$12:$BM$12)))</f>
        <v>0.98</v>
      </c>
      <c r="FZ59" s="219">
        <f>IF(FZ$7&gt;$D$3,"",IF($FA57&lt;FZ$7,"OD",_xlfn.XLOOKUP(FZ$7,'Bridgend Manuf'!$M$6:$BM$6,'Bridgend Manuf'!$M$12:$BM$12)))</f>
        <v>0.91</v>
      </c>
      <c r="GA59" s="219">
        <f>IF(GA$7&gt;$D$3,"",IF($FA57&lt;GA$7,"OD",_xlfn.XLOOKUP(GA$7,'Bridgend Manuf'!$M$6:$BM$6,'Bridgend Manuf'!$M$12:$BM$12)))</f>
        <v>0.97</v>
      </c>
      <c r="GB59" s="219">
        <f>IF(GB$7&gt;$D$3,"",IF($FA57&lt;GB$7,"OD",_xlfn.XLOOKUP(GB$7,'Bridgend Manuf'!$M$6:$BM$6,'Bridgend Manuf'!$M$12:$BM$12)))</f>
        <v>0.95</v>
      </c>
      <c r="GC59" s="219">
        <f>IF(GC$7&gt;$D$3,"",IF($FA57&lt;GC$7,"OD",_xlfn.XLOOKUP(GC$7,'Bridgend Manuf'!$M$6:$BM$6,'Bridgend Manuf'!$M$12:$BM$12)))</f>
        <v>0.91</v>
      </c>
      <c r="GD59" s="219">
        <f>IF(GD$7&gt;$D$3,"",IF($FA57&lt;GD$7,"OD",_xlfn.XLOOKUP(GD$7,'Bridgend Manuf'!$M$6:$BM$6,'Bridgend Manuf'!$M$12:$BM$12)))</f>
        <v>0.97</v>
      </c>
      <c r="GE59" s="219">
        <f>IF(GE$7&gt;$D$3,"",IF($FA57&lt;GE$7,"OD",_xlfn.XLOOKUP(GE$7,'Bridgend Manuf'!$M$6:$BM$6,'Bridgend Manuf'!$M$12:$BM$12)))</f>
        <v>0.97</v>
      </c>
      <c r="GF59" s="219">
        <f>IF(GF$7&gt;$D$3,"",IF($FA57&lt;GF$7,"OD",_xlfn.XLOOKUP(GF$7,'Bridgend Manuf'!$M$6:$BM$6,'Bridgend Manuf'!$M$12:$BM$12)))</f>
        <v>0.99</v>
      </c>
      <c r="GG59" s="219">
        <f>IF(GG$7&gt;$D$3,"",IF($FA57&lt;GG$7,"OD",_xlfn.XLOOKUP(GG$7,'Bridgend Manuf'!$M$6:$BM$6,'Bridgend Manuf'!$M$12:$BM$12)))</f>
        <v>0.94</v>
      </c>
      <c r="GH59" s="219">
        <f>IF(GH$7&gt;$D$3,"",IF($FA57&lt;GH$7,"OD",_xlfn.XLOOKUP(GH$7,'Bridgend Manuf'!$M$6:$BM$6,'Bridgend Manuf'!$M$12:$BM$12)))</f>
        <v>0.93</v>
      </c>
      <c r="GI59" s="219">
        <f>IF(GI$7&gt;$D$3,"",IF($FA57&lt;GI$7,"OD",_xlfn.XLOOKUP(GI$7,'Bridgend Manuf'!$M$6:$BM$6,'Bridgend Manuf'!$M$12:$BM$12)))</f>
        <v>0.94</v>
      </c>
      <c r="GJ59" s="219">
        <f>IF(GJ$7&gt;$D$3,"",IF($FA57&lt;GJ$7,"OD",_xlfn.XLOOKUP(GJ$7,'Bridgend Manuf'!$M$6:$BM$6,'Bridgend Manuf'!$M$12:$BM$12)))</f>
        <v>0.96</v>
      </c>
      <c r="GK59" s="219">
        <f>IF(GK$7&gt;$D$3,"",IF($FA57&lt;GK$7,"OD",_xlfn.XLOOKUP(GK$7,'Bridgend Manuf'!$M$6:$BM$6,'Bridgend Manuf'!$M$12:$BM$12)))</f>
        <v>0.87</v>
      </c>
      <c r="GL59" s="219">
        <f>IF(GL$7&gt;$D$3,"",IF($FA57&lt;GL$7,"OD",_xlfn.XLOOKUP(GL$7,'Bridgend Manuf'!$M$6:$BM$6,'Bridgend Manuf'!$M$12:$BM$12)))</f>
        <v>0.85</v>
      </c>
      <c r="GM59" s="219">
        <f>IF(GM$7&gt;$D$3,"",IF($FA57&lt;GM$7,"OD",_xlfn.XLOOKUP(GM$7,'Bridgend Manuf'!$M$6:$BM$6,'Bridgend Manuf'!$M$12:$BM$12)))</f>
        <v>0.92</v>
      </c>
      <c r="GN59" s="219">
        <f>IF(GN$7&gt;$D$3,"",IF($FA57&lt;GN$7,"OD",_xlfn.XLOOKUP(GN$7,'Bridgend Manuf'!$M$6:$BM$6,'Bridgend Manuf'!$M$12:$BM$12)))</f>
        <v>0.94</v>
      </c>
      <c r="GO59" s="219">
        <f>IF(GO$7&gt;$D$3,"",IF($FA57&lt;GO$7,"OD",_xlfn.XLOOKUP(GO$7,'Bridgend Manuf'!$M$6:$BM$6,'Bridgend Manuf'!$M$12:$BM$12)))</f>
        <v>0.96</v>
      </c>
      <c r="GP59" s="219">
        <f>IF(GP$7&gt;$D$3,"",IF($FA57&lt;GP$7,"OD",_xlfn.XLOOKUP(GP$7,'Bridgend Manuf'!$M$6:$BM$6,'Bridgend Manuf'!$M$12:$BM$12)))</f>
        <v>0</v>
      </c>
      <c r="GQ59" s="219">
        <f>IF(GQ$7&gt;$D$3,"",IF($FA57&lt;GQ$7,"OD",_xlfn.XLOOKUP(GQ$7,'Bridgend Manuf'!$M$6:$BM$6,'Bridgend Manuf'!$M$12:$BM$12)))</f>
        <v>0</v>
      </c>
      <c r="GR59" s="219">
        <f>IF(GR$7&gt;$D$3,"",IF($FA57&lt;GR$7,"OD",_xlfn.XLOOKUP(GR$7,'Bridgend Manuf'!$M$6:$BM$6,'Bridgend Manuf'!$M$12:$BM$12)))</f>
        <v>0</v>
      </c>
      <c r="GS59" s="219" t="str">
        <f>IF(GS$7&gt;$D$3,"",IF($FA57&lt;GS$7,"OD",_xlfn.XLOOKUP(GS$7,'Bridgend Manuf'!$M$6:$BM$6,'Bridgend Manuf'!$M$12:$BM$12)))</f>
        <v/>
      </c>
      <c r="GT59" s="219" t="str">
        <f>IF(GT$7&gt;$D$3,"",IF($FA57&lt;GT$7,"OD",_xlfn.XLOOKUP(GT$7,'Bridgend Manuf'!$M$6:$BM$6,'Bridgend Manuf'!$M$12:$BM$12)))</f>
        <v/>
      </c>
      <c r="GU59" s="219" t="str">
        <f>IF(GU$7&gt;$D$3,"",IF($FA57&lt;GU$7,"OD",_xlfn.XLOOKUP(GU$7,'Bridgend Manuf'!$M$6:$BM$6,'Bridgend Manuf'!$M$12:$BM$12)))</f>
        <v/>
      </c>
      <c r="GV59" s="219" t="str">
        <f>IF(GV$7&gt;$D$3,"",IF($FA57&lt;GV$7,"OD",_xlfn.XLOOKUP(GV$7,'Bridgend Manuf'!$M$6:$BM$6,'Bridgend Manuf'!$M$12:$BM$12)))</f>
        <v/>
      </c>
      <c r="GW59" s="219" t="str">
        <f>IF(GW$7&gt;$D$3,"",IF($FA57&lt;GW$7,"OD",_xlfn.XLOOKUP(GW$7,'Bridgend Manuf'!$M$6:$BM$6,'Bridgend Manuf'!$M$12:$BM$12)))</f>
        <v/>
      </c>
      <c r="GX59" s="219" t="str">
        <f>IF(GX$7&gt;$D$3,"",IF($FA57&lt;GX$7,"OD",_xlfn.XLOOKUP(GX$7,'Bridgend Manuf'!$M$6:$BM$6,'Bridgend Manuf'!$M$12:$BM$12)))</f>
        <v/>
      </c>
      <c r="GY59" s="219" t="str">
        <f>IF(GY$7&gt;$D$3,"",IF($FA57&lt;GY$7,"OD",_xlfn.XLOOKUP(GY$7,'Bridgend Manuf'!$M$6:$BM$6,'Bridgend Manuf'!$M$12:$BM$12)))</f>
        <v/>
      </c>
      <c r="GZ59" s="219" t="str">
        <f>IF(GZ$7&gt;$D$3,"",IF($FA57&lt;GZ$7,"OD",_xlfn.XLOOKUP(GZ$7,'Bridgend Manuf'!$M$6:$BM$6,'Bridgend Manuf'!$M$12:$BM$12)))</f>
        <v/>
      </c>
      <c r="HA59" s="219" t="str">
        <f>IF(HA$7&gt;$D$3,"",IF($FA57&lt;HA$7,"OD",_xlfn.XLOOKUP(HA$7,'Bridgend Manuf'!$M$6:$BM$6,'Bridgend Manuf'!$M$12:$BM$12)))</f>
        <v/>
      </c>
      <c r="HB59" s="219" t="str">
        <f>IF(HB$7&gt;$D$3,"",IF($FA57&lt;HB$7,"OD",_xlfn.XLOOKUP(HB$7,'Bridgend Manuf'!$M$6:$BM$6,'Bridgend Manuf'!$M$12:$BM$12)))</f>
        <v/>
      </c>
      <c r="HC59" s="219" t="str">
        <f>IF(HC$7&gt;$D$3,"",IF($FA57&lt;HC$7,"OD",_xlfn.XLOOKUP(HC$7,'Bridgend Manuf'!$M$6:$BM$6,'Bridgend Manuf'!$M$12:$BM$12)))</f>
        <v/>
      </c>
      <c r="HE59" s="136" t="str">
        <f>+$C59</f>
        <v>KPI D1</v>
      </c>
      <c r="HF59" s="144" t="str">
        <f>+$D59</f>
        <v>Delivery</v>
      </c>
      <c r="HG59" s="144" t="str">
        <f>+$E59</f>
        <v>Percentage of OTIF that achieved delivery date</v>
      </c>
      <c r="HH59" s="145" t="str">
        <f>+$F59</f>
        <v>Percentage</v>
      </c>
      <c r="HI59" s="145" t="s">
        <v>44</v>
      </c>
      <c r="HJ59" s="219" t="s">
        <v>122</v>
      </c>
      <c r="HK59" s="219">
        <f>IF(HK$7&gt;$D$3,"",IF($FA57&lt;HK$7,"OD",_xlfn.XLOOKUP(HK$7,'Bridgend Manuf'!$M$6:$BM$6,'Bridgend Manuf'!$M$11:$BM$11)))</f>
        <v>0.95</v>
      </c>
      <c r="HL59" s="219">
        <f>IF(HL$7&gt;$D$3,"",IF($FA57&lt;HL$7,"OD",_xlfn.XLOOKUP(HL$7,'Bridgend Manuf'!$M$6:$BM$6,'Bridgend Manuf'!$M$11:$BM$11)))</f>
        <v>0.95</v>
      </c>
      <c r="HM59" s="219">
        <f>IF(HM$7&gt;$D$3,"",IF($FA57&lt;HM$7,"OD",_xlfn.XLOOKUP(HM$7,'Bridgend Manuf'!$M$6:$BM$6,'Bridgend Manuf'!$M$11:$BM$11)))</f>
        <v>0.95</v>
      </c>
      <c r="HN59" s="219">
        <f>IF(HN$7&gt;$D$3,"",IF($FA57&lt;HN$7,"OD",_xlfn.XLOOKUP(HN$7,'Bridgend Manuf'!$M$6:$BM$6,'Bridgend Manuf'!$M$11:$BM$11)))</f>
        <v>0.95</v>
      </c>
      <c r="HO59" s="219">
        <f>IF(HO$7&gt;$D$3,"",IF($FA57&lt;HO$7,"OD",_xlfn.XLOOKUP(HO$7,'Bridgend Manuf'!$M$6:$BM$6,'Bridgend Manuf'!$M$11:$BM$11)))</f>
        <v>0.95</v>
      </c>
      <c r="HP59" s="219">
        <f>IF(HP$7&gt;$D$3,"",IF($FA57&lt;HP$7,"OD",_xlfn.XLOOKUP(HP$7,'Bridgend Manuf'!$M$6:$BM$6,'Bridgend Manuf'!$M$11:$BM$11)))</f>
        <v>0.95</v>
      </c>
      <c r="HQ59" s="219">
        <f>IF(HQ$7&gt;$D$3,"",IF($FA57&lt;HQ$7,"OD",_xlfn.XLOOKUP(HQ$7,'Bridgend Manuf'!$M$6:$BM$6,'Bridgend Manuf'!$M$11:$BM$11)))</f>
        <v>0.95</v>
      </c>
      <c r="HR59" s="219">
        <f>IF(HR$7&gt;$D$3,"",IF($FA57&lt;HR$7,"OD",_xlfn.XLOOKUP(HR$7,'Bridgend Manuf'!$M$6:$BM$6,'Bridgend Manuf'!$M$11:$BM$11)))</f>
        <v>0.95</v>
      </c>
      <c r="HS59" s="219">
        <f>IF(HS$7&gt;$D$3,"",IF($FA57&lt;HS$7,"OD",_xlfn.XLOOKUP(HS$7,'Bridgend Manuf'!$M$6:$BM$6,'Bridgend Manuf'!$M$11:$BM$11)))</f>
        <v>0.95</v>
      </c>
      <c r="HT59" s="219">
        <f>IF(HT$7&gt;$D$3,"",IF($FA57&lt;HT$7,"OD",_xlfn.XLOOKUP(HT$7,'Bridgend Manuf'!$M$6:$BM$6,'Bridgend Manuf'!$M$11:$BM$11)))</f>
        <v>0.95</v>
      </c>
      <c r="HU59" s="219">
        <f>IF(HU$7&gt;$D$3,"",IF($FA57&lt;HU$7,"OD",_xlfn.XLOOKUP(HU$7,'Bridgend Manuf'!$M$6:$BM$6,'Bridgend Manuf'!$M$11:$BM$11)))</f>
        <v>0.95</v>
      </c>
      <c r="HV59" s="219">
        <f>IF(HV$7&gt;$D$3,"",IF($FA57&lt;HV$7,"OD",_xlfn.XLOOKUP(HV$7,'Bridgend Manuf'!$M$6:$BM$6,'Bridgend Manuf'!$M$11:$BM$11)))</f>
        <v>0.95</v>
      </c>
      <c r="HW59" s="219">
        <f>IF(HW$7&gt;$D$3,"",IF($FA57&lt;HW$7,"OD",_xlfn.XLOOKUP(HW$7,'Bridgend Manuf'!$M$6:$BM$6,'Bridgend Manuf'!$M$11:$BM$11)))</f>
        <v>0.95</v>
      </c>
      <c r="HX59" s="219">
        <f>IF(HX$7&gt;$D$3,"",IF($FA57&lt;HX$7,"OD",_xlfn.XLOOKUP(HX$7,'Bridgend Manuf'!$M$6:$BM$6,'Bridgend Manuf'!$M$11:$BM$11)))</f>
        <v>0.95</v>
      </c>
      <c r="HY59" s="219">
        <f>IF(HY$7&gt;$D$3,"",IF($FA57&lt;HY$7,"OD",_xlfn.XLOOKUP(HY$7,'Bridgend Manuf'!$M$6:$BM$6,'Bridgend Manuf'!$M$11:$BM$11)))</f>
        <v>0.95</v>
      </c>
      <c r="HZ59" s="219">
        <f>IF(HZ$7&gt;$D$3,"",IF($FA57&lt;HZ$7,"OD",_xlfn.XLOOKUP(HZ$7,'Bridgend Manuf'!$M$6:$BM$6,'Bridgend Manuf'!$M$11:$BM$11)))</f>
        <v>0.95</v>
      </c>
      <c r="IA59" s="219">
        <f>IF(IA$7&gt;$D$3,"",IF($FA57&lt;IA$7,"OD",_xlfn.XLOOKUP(IA$7,'Bridgend Manuf'!$M$6:$BM$6,'Bridgend Manuf'!$M$11:$BM$11)))</f>
        <v>0.95</v>
      </c>
      <c r="IB59" s="219">
        <f>IF(IB$7&gt;$D$3,"",IF($FA57&lt;IB$7,"OD",_xlfn.XLOOKUP(IB$7,'Bridgend Manuf'!$M$6:$BM$6,'Bridgend Manuf'!$M$11:$BM$11)))</f>
        <v>0.95</v>
      </c>
      <c r="IC59" s="219">
        <f>IF(IC$7&gt;$D$3,"",IF($FA57&lt;IC$7,"OD",_xlfn.XLOOKUP(IC$7,'Bridgend Manuf'!$M$6:$BM$6,'Bridgend Manuf'!$M$11:$BM$11)))</f>
        <v>0.95</v>
      </c>
      <c r="ID59" s="219">
        <f>IF(ID$7&gt;$D$3,"",IF($FA57&lt;ID$7,"OD",_xlfn.XLOOKUP(ID$7,'Bridgend Manuf'!$M$6:$BM$6,'Bridgend Manuf'!$M$11:$BM$11)))</f>
        <v>0.95</v>
      </c>
      <c r="IE59" s="219">
        <f>IF(IE$7&gt;$D$3,"",IF($FA57&lt;IE$7,"OD",_xlfn.XLOOKUP(IE$7,'Bridgend Manuf'!$M$6:$BM$6,'Bridgend Manuf'!$M$11:$BM$11)))</f>
        <v>0.95</v>
      </c>
      <c r="IF59" s="219">
        <f>IF(IF$7&gt;$D$3,"",IF($FA57&lt;IF$7,"OD",_xlfn.XLOOKUP(IF$7,'Bridgend Manuf'!$M$6:$BM$6,'Bridgend Manuf'!$M$11:$BM$11)))</f>
        <v>0.95</v>
      </c>
      <c r="IG59" s="219">
        <f>IF(IG$7&gt;$D$3,"",IF($FA57&lt;IG$7,"OD",_xlfn.XLOOKUP(IG$7,'Bridgend Manuf'!$M$6:$BM$6,'Bridgend Manuf'!$M$11:$BM$11)))</f>
        <v>0.95</v>
      </c>
      <c r="IH59" s="219">
        <f>IF(IH$7&gt;$D$3,"",IF($FA57&lt;IH$7,"OD",_xlfn.XLOOKUP(IH$7,'Bridgend Manuf'!$M$6:$BM$6,'Bridgend Manuf'!$M$11:$BM$11)))</f>
        <v>0.95</v>
      </c>
      <c r="II59" s="219">
        <f>IF(II$7&gt;$D$3,"",IF($FA57&lt;II$7,"OD",_xlfn.XLOOKUP(II$7,'Bridgend Manuf'!$M$6:$BM$6,'Bridgend Manuf'!$M$11:$BM$11)))</f>
        <v>0.95</v>
      </c>
      <c r="IJ59" s="219">
        <f>IF(IJ$7&gt;$D$3,"",IF($FA57&lt;IJ$7,"OD",_xlfn.XLOOKUP(IJ$7,'Bridgend Manuf'!$M$6:$BM$6,'Bridgend Manuf'!$M$11:$BM$11)))</f>
        <v>0.95</v>
      </c>
      <c r="IK59" s="219">
        <f>IF(IK$7&gt;$D$3,"",IF($FA57&lt;IK$7,"OD",_xlfn.XLOOKUP(IK$7,'Bridgend Manuf'!$M$6:$BM$6,'Bridgend Manuf'!$M$11:$BM$11)))</f>
        <v>0.95</v>
      </c>
      <c r="IL59" s="219">
        <f>IF(IL$7&gt;$D$3,"",IF($FA57&lt;IL$7,"OD",_xlfn.XLOOKUP(IL$7,'Bridgend Manuf'!$M$6:$BM$6,'Bridgend Manuf'!$M$11:$BM$11)))</f>
        <v>0.95</v>
      </c>
      <c r="IM59" s="219">
        <f>IF(IM$7&gt;$D$3,"",IF($FA57&lt;IM$7,"OD",_xlfn.XLOOKUP(IM$7,'Bridgend Manuf'!$M$6:$BM$6,'Bridgend Manuf'!$M$11:$BM$11)))</f>
        <v>0.95</v>
      </c>
      <c r="IN59" s="219">
        <f>IF(IN$7&gt;$D$3,"",IF($FA57&lt;IN$7,"OD",_xlfn.XLOOKUP(IN$7,'Bridgend Manuf'!$M$6:$BM$6,'Bridgend Manuf'!$M$11:$BM$11)))</f>
        <v>0.95</v>
      </c>
      <c r="IO59" s="219">
        <f>IF(IO$7&gt;$D$3,"",IF($FA57&lt;IO$7,"OD",_xlfn.XLOOKUP(IO$7,'Bridgend Manuf'!$M$6:$BM$6,'Bridgend Manuf'!$M$11:$BM$11)))</f>
        <v>0.95</v>
      </c>
      <c r="IP59" s="219">
        <f>IF(IP$7&gt;$D$3,"",IF($FA57&lt;IP$7,"OD",_xlfn.XLOOKUP(IP$7,'Bridgend Manuf'!$M$6:$BM$6,'Bridgend Manuf'!$M$11:$BM$11)))</f>
        <v>0.95</v>
      </c>
      <c r="IQ59" s="219">
        <f>IF(IQ$7&gt;$D$3,"",IF($FA57&lt;IQ$7,"OD",_xlfn.XLOOKUP(IQ$7,'Bridgend Manuf'!$M$6:$BM$6,'Bridgend Manuf'!$M$11:$BM$11)))</f>
        <v>0.95</v>
      </c>
      <c r="IR59" s="219">
        <f>IF(IR$7&gt;$D$3,"",IF($FA57&lt;IR$7,"OD",_xlfn.XLOOKUP(IR$7,'Bridgend Manuf'!$M$6:$BM$6,'Bridgend Manuf'!$M$11:$BM$11)))</f>
        <v>0.95</v>
      </c>
      <c r="IS59" s="219">
        <f>IF(IS$7&gt;$D$3,"",IF($FA57&lt;IS$7,"OD",_xlfn.XLOOKUP(IS$7,'Bridgend Manuf'!$M$6:$BM$6,'Bridgend Manuf'!$M$11:$BM$11)))</f>
        <v>0.95</v>
      </c>
      <c r="IT59" s="219">
        <f>IF(IT$7&gt;$D$3,"",IF($FA57&lt;IT$7,"OD",_xlfn.XLOOKUP(IT$7,'Bridgend Manuf'!$M$6:$BM$6,'Bridgend Manuf'!$M$11:$BM$11)))</f>
        <v>0.95</v>
      </c>
      <c r="IU59" s="219">
        <f>IF(IU$7&gt;$D$3,"",IF($FA57&lt;IU$7,"OD",_xlfn.XLOOKUP(IU$7,'Bridgend Manuf'!$M$6:$BM$6,'Bridgend Manuf'!$M$11:$BM$11)))</f>
        <v>0.95</v>
      </c>
      <c r="IV59" s="219">
        <f>IF(IV$7&gt;$D$3,"",IF($FA57&lt;IV$7,"OD",_xlfn.XLOOKUP(IV$7,'Bridgend Manuf'!$M$6:$BM$6,'Bridgend Manuf'!$M$11:$BM$11)))</f>
        <v>0.95</v>
      </c>
      <c r="IW59" s="219">
        <f>IF(IW$7&gt;$D$3,"",IF($FA57&lt;IW$7,"OD",_xlfn.XLOOKUP(IW$7,'Bridgend Manuf'!$M$6:$BM$6,'Bridgend Manuf'!$M$11:$BM$11)))</f>
        <v>0.95</v>
      </c>
      <c r="IX59" s="219">
        <f>IF(IX$7&gt;$D$3,"",IF($FA57&lt;IX$7,"OD",_xlfn.XLOOKUP(IX$7,'Bridgend Manuf'!$M$6:$BM$6,'Bridgend Manuf'!$M$11:$BM$11)))</f>
        <v>0.95</v>
      </c>
      <c r="IY59" s="219">
        <f>IF(IY$7&gt;$D$3,"",IF($FA57&lt;IY$7,"OD",_xlfn.XLOOKUP(IY$7,'Bridgend Manuf'!$M$6:$BM$6,'Bridgend Manuf'!$M$11:$BM$11)))</f>
        <v>0.95</v>
      </c>
      <c r="IZ59" s="219" t="str">
        <f>IF(IZ$7&gt;$D$3,"",IF($FA57&lt;IZ$7,"OD",_xlfn.XLOOKUP(IZ$7,'Bridgend Manuf'!$M$6:$BM$6,'Bridgend Manuf'!$M$11:$BM$11)))</f>
        <v/>
      </c>
      <c r="JA59" s="219" t="str">
        <f>IF(JA$7&gt;$D$3,"",IF($FA57&lt;JA$7,"OD",_xlfn.XLOOKUP(JA$7,'Bridgend Manuf'!$M$6:$BM$6,'Bridgend Manuf'!$M$11:$BM$11)))</f>
        <v/>
      </c>
      <c r="JB59" s="219" t="str">
        <f>IF(JB$7&gt;$D$3,"",IF($FA57&lt;JB$7,"OD",_xlfn.XLOOKUP(JB$7,'Bridgend Manuf'!$M$6:$BM$6,'Bridgend Manuf'!$M$11:$BM$11)))</f>
        <v/>
      </c>
      <c r="JC59" s="219" t="str">
        <f>IF(JC$7&gt;$D$3,"",IF($FA57&lt;JC$7,"OD",_xlfn.XLOOKUP(JC$7,'Bridgend Manuf'!$M$6:$BM$6,'Bridgend Manuf'!$M$11:$BM$11)))</f>
        <v/>
      </c>
      <c r="JD59" s="219" t="str">
        <f>IF(JD$7&gt;$D$3,"",IF($FA57&lt;JD$7,"OD",_xlfn.XLOOKUP(JD$7,'Bridgend Manuf'!$M$6:$BM$6,'Bridgend Manuf'!$M$11:$BM$11)))</f>
        <v/>
      </c>
      <c r="JE59" s="219" t="str">
        <f>IF(JE$7&gt;$D$3,"",IF($FA57&lt;JE$7,"OD",_xlfn.XLOOKUP(JE$7,'Bridgend Manuf'!$M$6:$BM$6,'Bridgend Manuf'!$M$11:$BM$11)))</f>
        <v/>
      </c>
      <c r="JF59" s="219" t="str">
        <f>IF(JF$7&gt;$D$3,"",IF($FA57&lt;JF$7,"OD",_xlfn.XLOOKUP(JF$7,'Bridgend Manuf'!$M$6:$BM$6,'Bridgend Manuf'!$M$11:$BM$11)))</f>
        <v/>
      </c>
      <c r="JG59" s="219" t="str">
        <f>IF(JG$7&gt;$D$3,"",IF($FA57&lt;JG$7,"OD",_xlfn.XLOOKUP(JG$7,'Bridgend Manuf'!$M$6:$BM$6,'Bridgend Manuf'!$M$11:$BM$11)))</f>
        <v/>
      </c>
      <c r="JH59" s="219" t="str">
        <f>IF(JH$7&gt;$D$3,"",IF($FA57&lt;JH$7,"OD",_xlfn.XLOOKUP(JH$7,'Bridgend Manuf'!$M$6:$BM$6,'Bridgend Manuf'!$M$11:$BM$11)))</f>
        <v/>
      </c>
      <c r="JI59" s="219" t="str">
        <f>IF(JI$7&gt;$D$3,"",IF($FA57&lt;JI$7,"OD",_xlfn.XLOOKUP(JI$7,'Bridgend Manuf'!$M$6:$BM$6,'Bridgend Manuf'!$M$11:$BM$11)))</f>
        <v/>
      </c>
      <c r="JJ59" s="219" t="str">
        <f>IF(JJ$7&gt;$D$3,"",IF($FA57&lt;JJ$7,"OD",_xlfn.XLOOKUP(JJ$7,'Bridgend Manuf'!$M$6:$BM$6,'Bridgend Manuf'!$M$11:$BM$11)))</f>
        <v/>
      </c>
      <c r="JM59" s="136" t="str">
        <f>+$C59</f>
        <v>KPI D1</v>
      </c>
      <c r="JN59" s="144" t="str">
        <f>+$D59</f>
        <v>Delivery</v>
      </c>
      <c r="JO59" s="144" t="str">
        <f>+$E59</f>
        <v>Percentage of OTIF that achieved delivery date</v>
      </c>
      <c r="JP59" s="145" t="str">
        <f>+$F59</f>
        <v>Percentage</v>
      </c>
      <c r="JQ59" s="145" t="s">
        <v>284</v>
      </c>
      <c r="JR59" s="219" t="str">
        <f>IFERROR(AVERAGE(FC59:$FC59),"")</f>
        <v/>
      </c>
      <c r="JS59" s="219">
        <f>IFERROR(AVERAGE($FC59:FD59),"")</f>
        <v>0.92</v>
      </c>
      <c r="JT59" s="219">
        <f>IFERROR(AVERAGE($FC59:FE59),"")</f>
        <v>0.94500000000000006</v>
      </c>
      <c r="JU59" s="219">
        <f>IFERROR(AVERAGE($FC59:FF59),"")</f>
        <v>0.93</v>
      </c>
      <c r="JV59" s="219">
        <f>IFERROR(AVERAGE($FC59:FG59),"")</f>
        <v>0.93</v>
      </c>
      <c r="JW59" s="219">
        <f>IFERROR(AVERAGE($FC59:FH59),"")</f>
        <v>0.93200000000000005</v>
      </c>
      <c r="JX59" s="219">
        <f>IFERROR(AVERAGE($FC59:FI59),"")</f>
        <v>0.93666666666666665</v>
      </c>
      <c r="JY59" s="219">
        <f>IFERROR(AVERAGE($FC59:FJ59),"")</f>
        <v>0.93428571428571427</v>
      </c>
      <c r="JZ59" s="219">
        <f>IFERROR(AVERAGE($FC59:FK59),"")</f>
        <v>0.93</v>
      </c>
      <c r="KA59" s="219">
        <f>IFERROR(AVERAGE($FC59:FL59),"")</f>
        <v>0.93333333333333335</v>
      </c>
      <c r="KB59" s="219">
        <f>IFERROR(AVERAGE($FC59:FM59),"")</f>
        <v>0.93499999999999994</v>
      </c>
      <c r="KC59" s="219">
        <f>IFERROR(AVERAGE($FC59:FN59),"")</f>
        <v>0.9336363636363636</v>
      </c>
      <c r="KD59" s="219">
        <f>IFERROR(AVERAGE($FC59:FO59),"")</f>
        <v>0.93166666666666664</v>
      </c>
      <c r="KE59" s="219">
        <f>IFERROR(AVERAGE($FC59:FP59),"")</f>
        <v>0.92999999999999994</v>
      </c>
      <c r="KF59" s="219">
        <f>IFERROR(AVERAGE($FC59:FQ59),"")</f>
        <v>0.93071428571428572</v>
      </c>
      <c r="KG59" s="219">
        <f>IFERROR(AVERAGE($FC59:FR59),"")</f>
        <v>0.92999999999999994</v>
      </c>
      <c r="KH59" s="219">
        <f>IFERROR(AVERAGE($FC59:FS59),"")</f>
        <v>0.92999999999999994</v>
      </c>
      <c r="KI59" s="219">
        <f>IFERROR(AVERAGE($FC59:FT59),"")</f>
        <v>0.92764705882352938</v>
      </c>
      <c r="KJ59" s="219">
        <f>IFERROR(AVERAGE($FC59:FU59),"")</f>
        <v>0.92222222222222205</v>
      </c>
      <c r="KK59" s="219">
        <f>IFERROR(AVERAGE($FC59:FV59),"")</f>
        <v>0.92368421052631566</v>
      </c>
      <c r="KL59" s="219">
        <f>IFERROR(AVERAGE($FC59:FW59),"")</f>
        <v>0.92549999999999988</v>
      </c>
      <c r="KM59" s="219">
        <f>IFERROR(AVERAGE($FC59:FX59),"")</f>
        <v>0.92428571428571416</v>
      </c>
      <c r="KN59" s="219">
        <f>IFERROR(AVERAGE($FC59:FY59),"")</f>
        <v>0.92681818181818165</v>
      </c>
      <c r="KO59" s="219">
        <f>IFERROR(AVERAGE($FC59:FZ59),"")</f>
        <v>0.926086956521739</v>
      </c>
      <c r="KP59" s="219">
        <f>IFERROR(AVERAGE($FC59:GA59),"")</f>
        <v>0.9279166666666665</v>
      </c>
      <c r="KQ59" s="219">
        <f>IFERROR(AVERAGE($FC59:GB59),"")</f>
        <v>0.92879999999999985</v>
      </c>
      <c r="KR59" s="219">
        <f>IFERROR(AVERAGE($FC59:GC59),"")</f>
        <v>0.92807692307692291</v>
      </c>
      <c r="KS59" s="219">
        <f>IFERROR(AVERAGE($FC59:GD59),"")</f>
        <v>0.92962962962962947</v>
      </c>
      <c r="KT59" s="219">
        <f>IFERROR(AVERAGE($FC59:GE59),"")</f>
        <v>0.93107142857142833</v>
      </c>
      <c r="KU59" s="219">
        <f>IFERROR(AVERAGE($FC59:GF59),"")</f>
        <v>0.93310344827586178</v>
      </c>
      <c r="KV59" s="219">
        <f>IFERROR(AVERAGE($FC59:GG59),"")</f>
        <v>0.93333333333333313</v>
      </c>
      <c r="KW59" s="219">
        <f>IFERROR(AVERAGE($FC59:GH59),"")</f>
        <v>0.93322580645161268</v>
      </c>
      <c r="KX59" s="219">
        <f>IFERROR(AVERAGE($FC59:GI59),"")</f>
        <v>0.93343749999999981</v>
      </c>
      <c r="KY59" s="219">
        <f>IFERROR(AVERAGE($FC59:GJ59),"")</f>
        <v>0.9342424242424241</v>
      </c>
      <c r="KZ59" s="219">
        <f>IFERROR(AVERAGE($FC59:GK59),"")</f>
        <v>0.9323529411764705</v>
      </c>
      <c r="LA59" s="219">
        <f>IFERROR(AVERAGE($FC59:GL59),"")</f>
        <v>0.92999999999999994</v>
      </c>
      <c r="LB59" s="219">
        <f>IFERROR(AVERAGE($FC59:GM59),"")</f>
        <v>0.92972222222222223</v>
      </c>
      <c r="LC59" s="219">
        <f>IFERROR(AVERAGE($FC59:GN59),"")</f>
        <v>0.92999999999999994</v>
      </c>
      <c r="LD59" s="219">
        <f>IFERROR(AVERAGE($FC59:GO59),"")</f>
        <v>0.9307894736842105</v>
      </c>
      <c r="LE59" s="219">
        <f>IFERROR(AVERAGE($FC59:GP59),"")</f>
        <v>0.90692307692307683</v>
      </c>
      <c r="LF59" s="219">
        <f>IFERROR(AVERAGE($FC59:GQ59),"")</f>
        <v>0.88424999999999998</v>
      </c>
      <c r="LG59" s="219">
        <f>IFERROR(AVERAGE($FC59:GR59),"")</f>
        <v>0.86268292682926828</v>
      </c>
      <c r="LH59" s="219">
        <f>IFERROR(AVERAGE($FC59:GS59),"")</f>
        <v>0.86268292682926828</v>
      </c>
      <c r="LI59" s="219">
        <f>IFERROR(AVERAGE($FC59:GT59),"")</f>
        <v>0.86268292682926828</v>
      </c>
      <c r="LJ59" s="219">
        <f>IFERROR(AVERAGE($FC59:GU59),"")</f>
        <v>0.86268292682926828</v>
      </c>
      <c r="LK59" s="219">
        <f>IFERROR(AVERAGE($FC59:GV59),"")</f>
        <v>0.86268292682926828</v>
      </c>
      <c r="LL59" s="219">
        <f>IFERROR(AVERAGE($FC59:GW59),"")</f>
        <v>0.86268292682926828</v>
      </c>
      <c r="LM59" s="219">
        <f>IFERROR(AVERAGE($FC59:GX59),"")</f>
        <v>0.86268292682926828</v>
      </c>
      <c r="LN59" s="219">
        <f>IFERROR(AVERAGE($FC59:GY59),"")</f>
        <v>0.86268292682926828</v>
      </c>
      <c r="LO59" s="219">
        <f>IFERROR(AVERAGE($FC59:GZ59),"")</f>
        <v>0.86268292682926828</v>
      </c>
      <c r="LP59" s="219">
        <f>IFERROR(AVERAGE($FC59:HA59),"")</f>
        <v>0.86268292682926828</v>
      </c>
      <c r="LQ59" s="219">
        <f>IFERROR(AVERAGE($FC59:HB59),"")</f>
        <v>0.86268292682926828</v>
      </c>
      <c r="LR59" s="219">
        <f>IFERROR(AVERAGE($FC59:HC59),"")</f>
        <v>0.86268292682926828</v>
      </c>
      <c r="LT59" s="136" t="str">
        <f>+$C59</f>
        <v>KPI D1</v>
      </c>
      <c r="LU59" s="144" t="str">
        <f>+$D59</f>
        <v>Delivery</v>
      </c>
      <c r="LV59" s="144" t="str">
        <f>+$E59</f>
        <v>Percentage of OTIF that achieved delivery date</v>
      </c>
      <c r="LW59" s="145" t="str">
        <f>+$F59</f>
        <v>Percentage</v>
      </c>
      <c r="LX59" s="145" t="s">
        <v>285</v>
      </c>
      <c r="LY59" s="219" t="str">
        <f>IFERROR(AVERAGE($HJ59:HJ59),"")</f>
        <v/>
      </c>
      <c r="LZ59" s="219">
        <f>IFERROR(IF(LAD$7&gt;$D$3,"",AVERAGE($HJ59:HK59)),"")</f>
        <v>0.95</v>
      </c>
      <c r="MA59" s="219">
        <f>IFERROR(IF(MA$7&gt;$D$3,"",AVERAGE($HJ59:HL59)),"")</f>
        <v>0.95</v>
      </c>
      <c r="MB59" s="219">
        <f>IFERROR(IF(MB$7&gt;$D$3,"",AVERAGE($HJ59:HM59)),"")</f>
        <v>0.94999999999999984</v>
      </c>
      <c r="MC59" s="219">
        <f>IFERROR(IF(MC$7&gt;$D$3,"",AVERAGE($HJ59:HN59)),"")</f>
        <v>0.95</v>
      </c>
      <c r="MD59" s="219">
        <f>IFERROR(IF(MD$7&gt;$D$3,"",AVERAGE($HJ59:HO59)),"")</f>
        <v>0.95</v>
      </c>
      <c r="ME59" s="219">
        <f>IFERROR(IF(ME$7&gt;$D$3,"",AVERAGE($HJ59:HP59)),"")</f>
        <v>0.95000000000000007</v>
      </c>
      <c r="MF59" s="219">
        <f>IFERROR(IF(MF$7&gt;$D$3,"",AVERAGE($HJ59:HQ59)),"")</f>
        <v>0.95000000000000007</v>
      </c>
      <c r="MG59" s="219">
        <f>IFERROR(IF(MG$7&gt;$D$3,"",AVERAGE($HJ59:HR59)),"")</f>
        <v>0.95000000000000007</v>
      </c>
      <c r="MH59" s="219">
        <f>IFERROR(IF(MH$7&gt;$D$3,"",AVERAGE($HJ59:HS59)),"")</f>
        <v>0.95000000000000007</v>
      </c>
      <c r="MI59" s="219">
        <f>IFERROR(IF(MI$7&gt;$D$3,"",AVERAGE($HJ59:HT59)),"")</f>
        <v>0.95</v>
      </c>
      <c r="MJ59" s="219">
        <f>IFERROR(IF(MJ$7&gt;$D$3,"",AVERAGE($HJ59:HU59)),"")</f>
        <v>0.95</v>
      </c>
      <c r="MK59" s="219">
        <f>IFERROR(IF(MK$7&gt;$D$3,"",AVERAGE($HJ59:HV59)),"")</f>
        <v>0.94999999999999984</v>
      </c>
      <c r="ML59" s="219">
        <f>IFERROR(IF(ML$7&gt;$D$3,"",AVERAGE($HJ59:HW59)),"")</f>
        <v>0.94999999999999984</v>
      </c>
      <c r="MM59" s="219">
        <f>IFERROR(IF(MM$7&gt;$D$3,"",AVERAGE($HJ59:HX59)),"")</f>
        <v>0.94999999999999984</v>
      </c>
      <c r="MN59" s="219">
        <f>IFERROR(IF(MN$7&gt;$D$3,"",AVERAGE($HJ59:HY59)),"")</f>
        <v>0.94999999999999973</v>
      </c>
      <c r="MO59" s="219">
        <f>IFERROR(IF(MO$7&gt;$D$3,"",AVERAGE($HJ59:HZ59)),"")</f>
        <v>0.94999999999999973</v>
      </c>
      <c r="MP59" s="219">
        <f>IFERROR(IF(MP$7&gt;$D$3,"",AVERAGE($HJ59:IA59)),"")</f>
        <v>0.94999999999999973</v>
      </c>
      <c r="MQ59" s="219">
        <f>IFERROR(IF(MQ$7&gt;$D$3,"",AVERAGE($HJ59:IB59)),"")</f>
        <v>0.94999999999999973</v>
      </c>
      <c r="MR59" s="219">
        <f>IFERROR(IF(MR$7&gt;$D$3,"",AVERAGE($HJ59:IC59)),"")</f>
        <v>0.94999999999999962</v>
      </c>
      <c r="MS59" s="219">
        <f>IFERROR(IF(MS$7&gt;$D$3,"",AVERAGE($HJ59:ID59)),"")</f>
        <v>0.94999999999999962</v>
      </c>
      <c r="MT59" s="219">
        <f>IFERROR(IF(MT$7&gt;$D$3,"",AVERAGE($HJ59:IE59)),"")</f>
        <v>0.94999999999999962</v>
      </c>
      <c r="MU59" s="219">
        <f>IFERROR(IF(MU$7&gt;$D$3,"",AVERAGE($HJ59:IF59)),"")</f>
        <v>0.94999999999999962</v>
      </c>
      <c r="MV59" s="219">
        <f>IFERROR(IF(MV$7&gt;$D$3,"",AVERAGE($HJ59:IG59)),"")</f>
        <v>0.94999999999999962</v>
      </c>
      <c r="MW59" s="219">
        <f>IFERROR(IF(MW$7&gt;$D$3,"",AVERAGE($HJ59:IH59)),"")</f>
        <v>0.94999999999999962</v>
      </c>
      <c r="MX59" s="219">
        <f>IFERROR(IF(MX$7&gt;$D$3,"",AVERAGE($HJ59:II59)),"")</f>
        <v>0.94999999999999962</v>
      </c>
      <c r="MY59" s="219">
        <f>IFERROR(IF(MY$7&gt;$D$3,"",AVERAGE($HJ59:IJ59)),"")</f>
        <v>0.94999999999999951</v>
      </c>
      <c r="MZ59" s="219">
        <f>IFERROR(IF(MZ$7&gt;$D$3,"",AVERAGE($HJ59:IK59)),"")</f>
        <v>0.94999999999999951</v>
      </c>
      <c r="NA59" s="219">
        <f>IFERROR(IF(NA$7&gt;$D$3,"",AVERAGE($HJ59:IL59)),"")</f>
        <v>0.94999999999999951</v>
      </c>
      <c r="NB59" s="219">
        <f>IFERROR(IF(NB$7&gt;$D$3,"",AVERAGE($HJ59:IM59)),"")</f>
        <v>0.94999999999999951</v>
      </c>
      <c r="NC59" s="219">
        <f>IFERROR(IF(NC$7&gt;$D$3,"",AVERAGE($HJ59:IN59)),"")</f>
        <v>0.94999999999999951</v>
      </c>
      <c r="ND59" s="219">
        <f>IFERROR(IF(ND$7&gt;$D$3,"",AVERAGE($HJ59:IO59)),"")</f>
        <v>0.94999999999999951</v>
      </c>
      <c r="NE59" s="219">
        <f>IFERROR(IF(NE$7&gt;$D$3,"",AVERAGE($HJ59:IP59)),"")</f>
        <v>0.94999999999999951</v>
      </c>
      <c r="NF59" s="219">
        <f>IFERROR(IF(NF$7&gt;$D$3,"",AVERAGE($HJ59:IQ59)),"")</f>
        <v>0.94999999999999951</v>
      </c>
      <c r="NG59" s="219">
        <f>IFERROR(IF(NG$7&gt;$D$3,"",AVERAGE($HJ59:IR59)),"")</f>
        <v>0.94999999999999951</v>
      </c>
      <c r="NH59" s="219">
        <f>IFERROR(IF(NH$7&gt;$D$3,"",AVERAGE($HJ59:IS59)),"")</f>
        <v>0.94999999999999962</v>
      </c>
      <c r="NI59" s="219">
        <f>IFERROR(IF(NI$7&gt;$D$3,"",AVERAGE($HJ59:IT59)),"")</f>
        <v>0.94999999999999973</v>
      </c>
      <c r="NJ59" s="219">
        <f>IFERROR(IF(NJ$7&gt;$D$3,"",AVERAGE($HJ59:IU59)),"")</f>
        <v>0.94999999999999973</v>
      </c>
      <c r="NK59" s="219">
        <f>IFERROR(IF(NK$7&gt;$D$3,"",AVERAGE($HJ59:IV59)),"")</f>
        <v>0.94999999999999984</v>
      </c>
      <c r="NL59" s="219">
        <f>IFERROR(IF(NL$7&gt;$D$3,"",AVERAGE($HJ59:IW59)),"")</f>
        <v>0.95</v>
      </c>
      <c r="NM59" s="219">
        <f>IFERROR(IF(NM$7&gt;$D$3,"",AVERAGE($HJ59:IX59)),"")</f>
        <v>0.95</v>
      </c>
      <c r="NN59" s="219">
        <f>IFERROR(IF(NN$7&gt;$D$3,"",AVERAGE($HJ59:IY59)),"")</f>
        <v>0.95000000000000007</v>
      </c>
      <c r="NO59" s="219" t="str">
        <f>IFERROR(IF(NO$7&gt;$D$3,"",AVERAGE($HJ59:IZ59)),"")</f>
        <v/>
      </c>
      <c r="NP59" s="219" t="str">
        <f>IFERROR(IF(NP$7&gt;$D$3,"",AVERAGE($HJ59:JA59)),"")</f>
        <v/>
      </c>
      <c r="NQ59" s="219" t="str">
        <f>IFERROR(IF(NQ$7&gt;$D$3,"",AVERAGE($HJ59:JB59)),"")</f>
        <v/>
      </c>
      <c r="NR59" s="219" t="str">
        <f>IFERROR(IF(NR$7&gt;$D$3,"",AVERAGE($HJ59:JC59)),"")</f>
        <v/>
      </c>
      <c r="NS59" s="219" t="str">
        <f>IFERROR(IF(NS$7&gt;$D$3,"",AVERAGE($HJ59:JD59)),"")</f>
        <v/>
      </c>
      <c r="NT59" s="219" t="str">
        <f>IFERROR(IF(NT$7&gt;$D$3,"",AVERAGE($HJ59:JE59)),"")</f>
        <v/>
      </c>
      <c r="NU59" s="219" t="str">
        <f>IFERROR(IF(NU$7&gt;$D$3,"",AVERAGE($HJ59:JF59)),"")</f>
        <v/>
      </c>
      <c r="NV59" s="219" t="str">
        <f>IFERROR(IF(NV$7&gt;$D$3,"",AVERAGE($HJ59:JG59)),"")</f>
        <v/>
      </c>
      <c r="NW59" s="219" t="str">
        <f>IFERROR(IF(NW$7&gt;$D$3,"",AVERAGE($HJ59:JH59)),"")</f>
        <v/>
      </c>
      <c r="NX59" s="219" t="str">
        <f>IFERROR(IF(NX$7&gt;$D$3,"",AVERAGE($HJ59:JI59)),"")</f>
        <v/>
      </c>
      <c r="NY59" s="219" t="str">
        <f>IFERROR(IF(NY$7&gt;$D$3,"",AVERAGE($HJ59:JJ59)),"")</f>
        <v/>
      </c>
    </row>
    <row r="60" spans="1:389" x14ac:dyDescent="0.3">
      <c r="A60" t="str">
        <f>$B$57&amp;"-"&amp;C60</f>
        <v>Bridgend Manuf-KPI Q1</v>
      </c>
      <c r="B60" s="918">
        <f>+'KPI Stats'!B59</f>
        <v>0</v>
      </c>
      <c r="C60" s="136" t="str">
        <f>+'KPI Stats'!C59</f>
        <v>KPI Q1</v>
      </c>
      <c r="D60" s="144" t="str">
        <f>+'KPI Stats'!D59</f>
        <v>Quality</v>
      </c>
      <c r="E60" s="144" t="str">
        <f>+'KPI Stats'!E59</f>
        <v>Customer Complaints</v>
      </c>
      <c r="F60" s="145" t="str">
        <f>+'KPI Stats'!F59</f>
        <v>Count</v>
      </c>
      <c r="G60" s="169" t="str">
        <f>+'KPI Stats'!G59</f>
        <v>Over</v>
      </c>
      <c r="J60" s="69" t="str">
        <f>_xlfn.XLOOKUP(J$7,$AM$7:$CM$7,$AM60:$CM60,,FALSE)</f>
        <v>OD</v>
      </c>
      <c r="K60" s="264">
        <f>_xlfn.XLOOKUP(K$7,$FC$7:$HC$7,$FC60:$HC60,,FALSE)</f>
        <v>0</v>
      </c>
      <c r="L60" s="278">
        <f>_xlfn.XLOOKUP(L$7,$HJ$7:$JJ$7,$HJ60:$JJ60,,FALSE)</f>
        <v>3</v>
      </c>
      <c r="M60" s="272" t="str">
        <f>_xlfn.XLOOKUP(M$7,$CU$7:$EU$7,$CU60:$EU60,,FALSE)</f>
        <v>OD</v>
      </c>
      <c r="P60" s="69" t="str">
        <f>_xlfn.XLOOKUP(P$7,$AM$7:$CM$7,$AM60:$CM60,,FALSE)</f>
        <v>OD</v>
      </c>
      <c r="Q60" s="264">
        <f t="shared" si="195"/>
        <v>0</v>
      </c>
      <c r="R60" s="269">
        <f t="shared" si="195"/>
        <v>0</v>
      </c>
      <c r="S60" s="288" t="str">
        <f t="shared" si="196"/>
        <v>OD</v>
      </c>
      <c r="T60" s="265" t="str">
        <f t="shared" si="196"/>
        <v>OD</v>
      </c>
      <c r="U60" s="295" t="str">
        <f>IF(F57&lt;$R$2,"Not Complete",IF(Q60=R60,"Same −",IF($G60="Over",IF(Q60&lt;R60,"Better ↑","Worse ↓"),IF($G60="Under",IF(Q60&gt;R60,"Better ↑","Worse ↓"),"err"))))</f>
        <v>Same −</v>
      </c>
      <c r="X60" s="69" t="str">
        <f t="shared" si="197"/>
        <v>G</v>
      </c>
      <c r="Y60" s="264">
        <f>_xlfn.XLOOKUP(Y$7,$JR$7:$LR$7,$JR60:$LR60,FALSE)</f>
        <v>2.2926829268292681</v>
      </c>
      <c r="Z60" s="278">
        <f>_xlfn.XLOOKUP(Z$7,$LY$7:$NY$7,$LY60:$NY60,FALSE)</f>
        <v>3</v>
      </c>
      <c r="AA60" s="275">
        <f>IF(G60="under",Y60/Z60,IF(G60="over",Z60/Y60,"err"))</f>
        <v>1.3085106382978724</v>
      </c>
      <c r="AB60" s="295" t="str">
        <f>IF(F57&lt;$R$2,"TBC",IF(Y60=Z60,"Same −",IF($G60="Over",IF(Z60&lt;Y60,"Better ↑ ","Worse ↓ "),IF($G60="Under",IF(Y60&gt;Z60,"Better ↑ ","Worse ↓ "),"err"))))</f>
        <v xml:space="preserve">Worse ↓ </v>
      </c>
      <c r="AC60" s="69" t="str">
        <f>IF(AND(G60="above adero",AD60&gt;0),"R",IF(AF60&gt;1,"G",IF(AF60&gt;0.95,"A","R")))</f>
        <v>G</v>
      </c>
      <c r="AD60" s="114">
        <f>_xlfn.XLOOKUP(AD$7,$JR$7:$LR$7,$JR60:$LR60,FALSE)</f>
        <v>2.35</v>
      </c>
      <c r="AE60" s="114">
        <f>_xlfn.XLOOKUP(AE$7,$LY$7:$NY$7,$LY60:$NY60,FALSE)</f>
        <v>3</v>
      </c>
      <c r="AF60" s="252">
        <f>IF(G60="under",AD60/AE60,IF(G60="over",AE60/AD60,"err"))</f>
        <v>1.2765957446808509</v>
      </c>
      <c r="AH60" s="465" t="str">
        <f>+$A60</f>
        <v>Bridgend Manuf-KPI Q1</v>
      </c>
      <c r="AI60" s="136" t="str">
        <f t="shared" si="198"/>
        <v>KPI Q1</v>
      </c>
      <c r="AJ60" s="144" t="str">
        <f t="shared" si="198"/>
        <v>Quality</v>
      </c>
      <c r="AK60" s="144" t="str">
        <f t="shared" si="184"/>
        <v>Customer Complaints</v>
      </c>
      <c r="AL60" s="145" t="str">
        <f t="shared" si="184"/>
        <v>Count</v>
      </c>
      <c r="AM60" s="69" t="str">
        <f>IF(AM$7&gt;$D$3,"",_xlfn.XLOOKUP(AM$7,'Bridgend Manuf'!$M$6:$BM$6,'Bridgend Manuf'!$M$16:$BM$16))</f>
        <v>Blank</v>
      </c>
      <c r="AN60" s="199" t="str">
        <f>IF(AN$7&gt;$D$3,"",_xlfn.XLOOKUP(AN$7,'Bridgend Manuf'!$M$6:$BM$6,'Bridgend Manuf'!$M$16:$BM$16))</f>
        <v>G</v>
      </c>
      <c r="AO60" s="69" t="str">
        <f>IF(AO$7&gt;$D$3,"",_xlfn.XLOOKUP(AO$7,'Bridgend Manuf'!$M$6:$BM$6,'Bridgend Manuf'!$M$16:$BM$16))</f>
        <v>R</v>
      </c>
      <c r="AP60" s="69" t="str">
        <f>IF(AP$7&gt;$D$3,"",_xlfn.XLOOKUP(AP$7,'Bridgend Manuf'!$M$6:$BM$6,'Bridgend Manuf'!$M$16:$BM$16))</f>
        <v>G</v>
      </c>
      <c r="AQ60" s="69" t="str">
        <f>IF(AQ$7&gt;$D$3,"",_xlfn.XLOOKUP(AQ$7,'Bridgend Manuf'!$M$6:$BM$6,'Bridgend Manuf'!$M$16:$BM$16))</f>
        <v>R</v>
      </c>
      <c r="AR60" s="69" t="str">
        <f>IF(AR$7&gt;$D$3,"",_xlfn.XLOOKUP(AR$7,'Bridgend Manuf'!$M$6:$BM$6,'Bridgend Manuf'!$M$16:$BM$16))</f>
        <v>G</v>
      </c>
      <c r="AS60" s="69" t="str">
        <f>IF(AS$7&gt;$D$3,"",_xlfn.XLOOKUP(AS$7,'Bridgend Manuf'!$M$6:$BM$6,'Bridgend Manuf'!$M$16:$BM$16))</f>
        <v>G</v>
      </c>
      <c r="AT60" s="69" t="str">
        <f>IF(AT$7&gt;$D$3,"",_xlfn.XLOOKUP(AT$7,'Bridgend Manuf'!$M$6:$BM$6,'Bridgend Manuf'!$M$16:$BM$16))</f>
        <v>G</v>
      </c>
      <c r="AU60" s="69" t="str">
        <f>IF(AU$7&gt;$D$3,"",_xlfn.XLOOKUP(AU$7,'Bridgend Manuf'!$M$6:$BM$6,'Bridgend Manuf'!$M$16:$BM$16))</f>
        <v>R</v>
      </c>
      <c r="AV60" s="69" t="str">
        <f>IF(AV$7&gt;$D$3,"",_xlfn.XLOOKUP(AV$7,'Bridgend Manuf'!$M$6:$BM$6,'Bridgend Manuf'!$M$16:$BM$16))</f>
        <v>R</v>
      </c>
      <c r="AW60" s="69" t="str">
        <f>IF(AW$7&gt;$D$3,"",_xlfn.XLOOKUP(AW$7,'Bridgend Manuf'!$M$6:$BM$6,'Bridgend Manuf'!$M$16:$BM$16))</f>
        <v>G</v>
      </c>
      <c r="AX60" s="69" t="str">
        <f>IF(AX$7&gt;$D$3,"",_xlfn.XLOOKUP(AX$7,'Bridgend Manuf'!$M$6:$BM$6,'Bridgend Manuf'!$M$16:$BM$16))</f>
        <v>G</v>
      </c>
      <c r="AY60" s="69" t="str">
        <f>IF(AY$7&gt;$D$3,"",_xlfn.XLOOKUP(AY$7,'Bridgend Manuf'!$M$6:$BM$6,'Bridgend Manuf'!$M$16:$BM$16))</f>
        <v>G</v>
      </c>
      <c r="AZ60" s="69" t="str">
        <f>IF(AZ$7&gt;$D$3,"",_xlfn.XLOOKUP(AZ$7,'Bridgend Manuf'!$M$6:$BM$6,'Bridgend Manuf'!$M$16:$BM$16))</f>
        <v>G</v>
      </c>
      <c r="BA60" s="69" t="str">
        <f>IF(BA$7&gt;$D$3,"",_xlfn.XLOOKUP(BA$7,'Bridgend Manuf'!$M$6:$BM$6,'Bridgend Manuf'!$M$16:$BM$16))</f>
        <v>G</v>
      </c>
      <c r="BB60" s="69" t="str">
        <f>IF(BB$7&gt;$D$3,"",_xlfn.XLOOKUP(BB$7,'Bridgend Manuf'!$M$6:$BM$6,'Bridgend Manuf'!$M$16:$BM$16))</f>
        <v>G</v>
      </c>
      <c r="BC60" s="69" t="str">
        <f>IF(BC$7&gt;$D$3,"",_xlfn.XLOOKUP(BC$7,'Bridgend Manuf'!$M$6:$BM$6,'Bridgend Manuf'!$M$16:$BM$16))</f>
        <v>G</v>
      </c>
      <c r="BD60" s="69" t="str">
        <f>IF(BD$7&gt;$D$3,"",_xlfn.XLOOKUP(BD$7,'Bridgend Manuf'!$M$6:$BM$6,'Bridgend Manuf'!$M$16:$BM$16))</f>
        <v>R</v>
      </c>
      <c r="BE60" s="69" t="str">
        <f>IF(BE$7&gt;$D$3,"",_xlfn.XLOOKUP(BE$7,'Bridgend Manuf'!$M$6:$BM$6,'Bridgend Manuf'!$M$16:$BM$16))</f>
        <v>G</v>
      </c>
      <c r="BF60" s="69" t="str">
        <f>IF(BF$7&gt;$D$3,"",_xlfn.XLOOKUP(BF$7,'Bridgend Manuf'!$M$6:$BM$6,'Bridgend Manuf'!$M$16:$BM$16))</f>
        <v>G</v>
      </c>
      <c r="BG60" s="69" t="str">
        <f>IF(BG$7&gt;$D$3,"",_xlfn.XLOOKUP(BG$7,'Bridgend Manuf'!$M$6:$BM$6,'Bridgend Manuf'!$M$16:$BM$16))</f>
        <v>G</v>
      </c>
      <c r="BH60" s="69" t="str">
        <f>IF(BH$7&gt;$D$3,"",_xlfn.XLOOKUP(BH$7,'Bridgend Manuf'!$M$6:$BM$6,'Bridgend Manuf'!$M$16:$BM$16))</f>
        <v>R</v>
      </c>
      <c r="BI60" s="69" t="str">
        <f>IF(BI$7&gt;$D$3,"",_xlfn.XLOOKUP(BI$7,'Bridgend Manuf'!$M$6:$BM$6,'Bridgend Manuf'!$M$16:$BM$16))</f>
        <v>G</v>
      </c>
      <c r="BJ60" s="69" t="str">
        <f>IF(BJ$7&gt;$D$3,"",_xlfn.XLOOKUP(BJ$7,'Bridgend Manuf'!$M$6:$BM$6,'Bridgend Manuf'!$M$16:$BM$16))</f>
        <v>G</v>
      </c>
      <c r="BK60" s="69" t="str">
        <f>IF(BK$7&gt;$D$3,"",_xlfn.XLOOKUP(BK$7,'Bridgend Manuf'!$M$6:$BM$6,'Bridgend Manuf'!$M$16:$BM$16))</f>
        <v>G</v>
      </c>
      <c r="BL60" s="69" t="str">
        <f>IF(BL$7&gt;$D$3,"",_xlfn.XLOOKUP(BL$7,'Bridgend Manuf'!$M$6:$BM$6,'Bridgend Manuf'!$M$16:$BM$16))</f>
        <v>R</v>
      </c>
      <c r="BM60" s="69" t="str">
        <f>IF(BM$7&gt;$D$3,"",_xlfn.XLOOKUP(BM$7,'Bridgend Manuf'!$M$6:$BM$6,'Bridgend Manuf'!$M$16:$BM$16))</f>
        <v>R</v>
      </c>
      <c r="BN60" s="69" t="str">
        <f>IF(BN$7&gt;$D$3,"",_xlfn.XLOOKUP(BN$7,'Bridgend Manuf'!$M$6:$BM$6,'Bridgend Manuf'!$M$16:$BM$16))</f>
        <v>G</v>
      </c>
      <c r="BO60" s="69" t="str">
        <f>IF(BO$7&gt;$D$3,"",_xlfn.XLOOKUP(BO$7,'Bridgend Manuf'!$M$6:$BM$6,'Bridgend Manuf'!$M$16:$BM$16))</f>
        <v>G</v>
      </c>
      <c r="BP60" s="69" t="str">
        <f>IF(BP$7&gt;$D$3,"",_xlfn.XLOOKUP(BP$7,'Bridgend Manuf'!$M$6:$BM$6,'Bridgend Manuf'!$M$16:$BM$16))</f>
        <v>G</v>
      </c>
      <c r="BQ60" s="69" t="str">
        <f>IF(BQ$7&gt;$D$3,"",_xlfn.XLOOKUP(BQ$7,'Bridgend Manuf'!$M$6:$BM$6,'Bridgend Manuf'!$M$16:$BM$16))</f>
        <v>G</v>
      </c>
      <c r="BR60" s="69" t="str">
        <f>IF(BR$7&gt;$D$3,"",_xlfn.XLOOKUP(BR$7,'Bridgend Manuf'!$M$6:$BM$6,'Bridgend Manuf'!$M$16:$BM$16))</f>
        <v>G</v>
      </c>
      <c r="BS60" s="69" t="str">
        <f>IF(BS$7&gt;$D$3,"",_xlfn.XLOOKUP(BS$7,'Bridgend Manuf'!$M$6:$BM$6,'Bridgend Manuf'!$M$16:$BM$16))</f>
        <v>G</v>
      </c>
      <c r="BT60" s="69" t="str">
        <f>IF(BT$7&gt;$D$3,"",_xlfn.XLOOKUP(BT$7,'Bridgend Manuf'!$M$6:$BM$6,'Bridgend Manuf'!$M$16:$BM$16))</f>
        <v>G</v>
      </c>
      <c r="BU60" s="69" t="str">
        <f>IF(BU$7&gt;$D$3,"",_xlfn.XLOOKUP(BU$7,'Bridgend Manuf'!$M$6:$BM$6,'Bridgend Manuf'!$M$16:$BM$16))</f>
        <v>G</v>
      </c>
      <c r="BV60" s="69" t="str">
        <f>IF(BV$7&gt;$D$3,"",_xlfn.XLOOKUP(BV$7,'Bridgend Manuf'!$M$6:$BM$6,'Bridgend Manuf'!$M$16:$BM$16))</f>
        <v>G</v>
      </c>
      <c r="BW60" s="69" t="str">
        <f>IF(BW$7&gt;$D$3,"",_xlfn.XLOOKUP(BW$7,'Bridgend Manuf'!$M$6:$BM$6,'Bridgend Manuf'!$M$16:$BM$16))</f>
        <v>G</v>
      </c>
      <c r="BX60" s="69" t="str">
        <f>IF(BX$7&gt;$D$3,"",_xlfn.XLOOKUP(BX$7,'Bridgend Manuf'!$M$6:$BM$6,'Bridgend Manuf'!$M$16:$BM$16))</f>
        <v>G</v>
      </c>
      <c r="BY60" s="69" t="str">
        <f>IF(BY$7&gt;$D$3,"",_xlfn.XLOOKUP(BY$7,'Bridgend Manuf'!$M$6:$BM$6,'Bridgend Manuf'!$M$16:$BM$16))</f>
        <v>G</v>
      </c>
      <c r="BZ60" s="69" t="str">
        <f>IF(BZ$7&gt;$D$3,"",_xlfn.XLOOKUP(BZ$7,'Bridgend Manuf'!$M$6:$BM$6,'Bridgend Manuf'!$M$16:$BM$16))</f>
        <v>OD</v>
      </c>
      <c r="CA60" s="69" t="str">
        <f>IF(CA$7&gt;$D$3,"",_xlfn.XLOOKUP(CA$7,'Bridgend Manuf'!$M$6:$BM$6,'Bridgend Manuf'!$M$16:$BM$16))</f>
        <v>OD</v>
      </c>
      <c r="CB60" s="69" t="str">
        <f>IF(CB$7&gt;$D$3,"",_xlfn.XLOOKUP(CB$7,'Bridgend Manuf'!$M$6:$BM$6,'Bridgend Manuf'!$M$16:$BM$16))</f>
        <v>OD</v>
      </c>
      <c r="CC60" s="69" t="str">
        <f>IF(CC$7&gt;$D$3,"",_xlfn.XLOOKUP(CC$7,'Bridgend Manuf'!$M$6:$BM$6,'Bridgend Manuf'!$M$16:$BM$16))</f>
        <v/>
      </c>
      <c r="CD60" s="69" t="str">
        <f>IF(CD$7&gt;$D$3,"",_xlfn.XLOOKUP(CD$7,'Bridgend Manuf'!$M$6:$BM$6,'Bridgend Manuf'!$M$16:$BM$16))</f>
        <v/>
      </c>
      <c r="CE60" s="69" t="str">
        <f>IF(CE$7&gt;$D$3,"",_xlfn.XLOOKUP(CE$7,'Bridgend Manuf'!$M$6:$BM$6,'Bridgend Manuf'!$M$16:$BM$16))</f>
        <v/>
      </c>
      <c r="CF60" s="69" t="str">
        <f>IF(CF$7&gt;$D$3,"",_xlfn.XLOOKUP(CF$7,'Bridgend Manuf'!$M$6:$BM$6,'Bridgend Manuf'!$M$16:$BM$16))</f>
        <v/>
      </c>
      <c r="CG60" s="69" t="str">
        <f>IF(CG$7&gt;$D$3,"",_xlfn.XLOOKUP(CG$7,'Bridgend Manuf'!$M$6:$BM$6,'Bridgend Manuf'!$M$16:$BM$16))</f>
        <v/>
      </c>
      <c r="CH60" s="69" t="str">
        <f>IF(CH$7&gt;$D$3,"",_xlfn.XLOOKUP(CH$7,'Bridgend Manuf'!$M$6:$BM$6,'Bridgend Manuf'!$M$16:$BM$16))</f>
        <v/>
      </c>
      <c r="CI60" s="69" t="str">
        <f>IF(CI$7&gt;$D$3,"",_xlfn.XLOOKUP(CI$7,'Bridgend Manuf'!$M$6:$BM$6,'Bridgend Manuf'!$M$16:$BM$16))</f>
        <v/>
      </c>
      <c r="CJ60" s="69" t="str">
        <f>IF(CJ$7&gt;$D$3,"",_xlfn.XLOOKUP(CJ$7,'Bridgend Manuf'!$M$6:$BM$6,'Bridgend Manuf'!$M$16:$BM$16))</f>
        <v/>
      </c>
      <c r="CK60" s="69" t="str">
        <f>IF(CK$7&gt;$D$3,"",_xlfn.XLOOKUP(CK$7,'Bridgend Manuf'!$M$6:$BM$6,'Bridgend Manuf'!$M$16:$BM$16))</f>
        <v/>
      </c>
      <c r="CL60" s="69" t="str">
        <f>IF(CL$7&gt;$D$3,"",_xlfn.XLOOKUP(CL$7,'Bridgend Manuf'!$M$6:$BM$6,'Bridgend Manuf'!$M$16:$BM$16))</f>
        <v/>
      </c>
      <c r="CM60" s="69" t="str">
        <f>IF(CM$7&gt;$D$3,"",_xlfn.XLOOKUP(CM$7,'Bridgend Manuf'!$M$6:$BM$6,'Bridgend Manuf'!$M$16:$BM$16))</f>
        <v/>
      </c>
      <c r="CO60" s="465" t="str">
        <f>+$A60</f>
        <v>Bridgend Manuf-KPI Q1</v>
      </c>
      <c r="CP60" s="136" t="str">
        <f t="shared" si="199"/>
        <v>KPI Q1</v>
      </c>
      <c r="CQ60" s="144" t="str">
        <f t="shared" si="199"/>
        <v>Quality</v>
      </c>
      <c r="CR60" s="144" t="str">
        <f t="shared" si="186"/>
        <v>Customer Complaints</v>
      </c>
      <c r="CS60" s="145" t="str">
        <f t="shared" si="186"/>
        <v>Count</v>
      </c>
      <c r="CT60" s="207" t="s">
        <v>246</v>
      </c>
      <c r="CU60" s="423" t="str">
        <f>IF(CU$7&gt;$D$3,"",_xlfn.XLOOKUP(CU$7,'Bridgend Manuf'!$M$6:$BM$6,'Bridgend Manuf'!$M$16:$BM$16))</f>
        <v>Blank</v>
      </c>
      <c r="CV60" s="323">
        <f>IFERROR(IF(CV$7&gt;$D$3,"",IF(AN60="OD","OD",IF(AN60="Missed","Missed",IF(AN60="TBC","TBC",IF(AN60="Undefined","Undefined",_xlfn.XLOOKUP(CV$7,'Bridgend Manuf'!$M$6:$BM$6,'Bridgend Manuf'!$M$14:$BM$14)/_xlfn.XLOOKUP(CV$7,'Bridgend Manuf'!$M$6:$BM$6,'Bridgend Manuf'!$M$15:$BM$15)))))),"100%")</f>
        <v>3</v>
      </c>
      <c r="CW60" s="315">
        <f>IFERROR(IF(CW$7&gt;$D$3,"",IF(AO60="OD","OD",IF(AO60="Missed","Missed",IF(AO60="TBC","TBC",IF(AO60="Undefined","Undefined",_xlfn.XLOOKUP(CW$7,'Bridgend Manuf'!$M$6:$BM$6,'Bridgend Manuf'!$M$14:$BM$14)/_xlfn.XLOOKUP(CW$7,'Bridgend Manuf'!$M$6:$BM$6,'Bridgend Manuf'!$M$15:$BM$15)))))),"100%")</f>
        <v>0.5</v>
      </c>
      <c r="CX60" s="315">
        <f>IFERROR(IF(CX$7&gt;$D$3,"",IF(AP60="OD","OD",IF(AP60="Missed","Missed",IF(AP60="TBC","TBC",IF(AP60="Undefined","Undefined",_xlfn.XLOOKUP(CX$7,'Bridgend Manuf'!$M$6:$BM$6,'Bridgend Manuf'!$M$14:$BM$14)/_xlfn.XLOOKUP(CX$7,'Bridgend Manuf'!$M$6:$BM$6,'Bridgend Manuf'!$M$15:$BM$15)))))),"100%")</f>
        <v>1.5</v>
      </c>
      <c r="CY60" s="315">
        <f>IFERROR(IF(CY$7&gt;$D$3,"",IF(AQ60="OD","OD",IF(AQ60="Missed","Missed",IF(AQ60="TBC","TBC",IF(AQ60="Undefined","Undefined",_xlfn.XLOOKUP(CY$7,'Bridgend Manuf'!$M$6:$BM$6,'Bridgend Manuf'!$M$14:$BM$14)/_xlfn.XLOOKUP(CY$7,'Bridgend Manuf'!$M$6:$BM$6,'Bridgend Manuf'!$M$15:$BM$15)))))),"100%")</f>
        <v>0.6</v>
      </c>
      <c r="CZ60" s="315">
        <f>IFERROR(IF(CZ$7&gt;$D$3,"",IF(AR60="OD","OD",IF(AR60="Missed","Missed",IF(AR60="TBC","TBC",IF(AR60="Undefined","Undefined",_xlfn.XLOOKUP(CZ$7,'Bridgend Manuf'!$M$6:$BM$6,'Bridgend Manuf'!$M$14:$BM$14)/_xlfn.XLOOKUP(CZ$7,'Bridgend Manuf'!$M$6:$BM$6,'Bridgend Manuf'!$M$15:$BM$15)))))),"100%")</f>
        <v>3</v>
      </c>
      <c r="DA60" s="315">
        <f>IFERROR(IF(DA$7&gt;$D$3,"",IF(AS60="OD","OD",IF(AS60="Missed","Missed",IF(AS60="TBC","TBC",IF(AS60="Undefined","Undefined",_xlfn.XLOOKUP(DA$7,'Bridgend Manuf'!$M$6:$BM$6,'Bridgend Manuf'!$M$14:$BM$14)/_xlfn.XLOOKUP(DA$7,'Bridgend Manuf'!$M$6:$BM$6,'Bridgend Manuf'!$M$15:$BM$15)))))),"100%")</f>
        <v>3</v>
      </c>
      <c r="DB60" s="315">
        <f>IFERROR(IF(DB$7&gt;$D$3,"",IF(AT60="OD","OD",IF(AT60="Missed","Missed",IF(AT60="TBC","TBC",IF(AT60="Undefined","Undefined",_xlfn.XLOOKUP(DB$7,'Bridgend Manuf'!$M$6:$BM$6,'Bridgend Manuf'!$M$14:$BM$14)/_xlfn.XLOOKUP(DB$7,'Bridgend Manuf'!$M$6:$BM$6,'Bridgend Manuf'!$M$15:$BM$15)))))),"100%")</f>
        <v>1.5</v>
      </c>
      <c r="DC60" s="315">
        <f>IFERROR(IF(DC$7&gt;$D$3,"",IF(AU60="OD","OD",IF(AU60="Missed","Missed",IF(AU60="TBC","TBC",IF(AU60="Undefined","Undefined",_xlfn.XLOOKUP(DC$7,'Bridgend Manuf'!$M$6:$BM$6,'Bridgend Manuf'!$M$14:$BM$14)/_xlfn.XLOOKUP(DC$7,'Bridgend Manuf'!$M$6:$BM$6,'Bridgend Manuf'!$M$15:$BM$15)))))),"100%")</f>
        <v>0.75</v>
      </c>
      <c r="DD60" s="315">
        <f>IFERROR(IF(DD$7&gt;$D$3,"",IF(AV60="OD","OD",IF(AV60="Missed","Missed",IF(AV60="TBC","TBC",IF(AV60="Undefined","Undefined",_xlfn.XLOOKUP(DD$7,'Bridgend Manuf'!$M$6:$BM$6,'Bridgend Manuf'!$M$14:$BM$14)/_xlfn.XLOOKUP(DD$7,'Bridgend Manuf'!$M$6:$BM$6,'Bridgend Manuf'!$M$15:$BM$15)))))),"100%")</f>
        <v>0.75</v>
      </c>
      <c r="DE60" s="315">
        <f>IFERROR(IF(DE$7&gt;$D$3,"",IF(AW60="OD","OD",IF(AW60="Missed","Missed",IF(AW60="TBC","TBC",IF(AW60="Undefined","Undefined",_xlfn.XLOOKUP(DE$7,'Bridgend Manuf'!$M$6:$BM$6,'Bridgend Manuf'!$M$14:$BM$14)/_xlfn.XLOOKUP(DE$7,'Bridgend Manuf'!$M$6:$BM$6,'Bridgend Manuf'!$M$15:$BM$15)))))),"100%")</f>
        <v>1.5</v>
      </c>
      <c r="DF60" s="315" t="str">
        <f>IFERROR(IF(DF$7&gt;$D$3,"",IF(AX60="OD","OD",IF(AX60="Missed","Missed",IF(AX60="TBC","TBC",IF(AX60="Undefined","Undefined",_xlfn.XLOOKUP(DF$7,'Bridgend Manuf'!$M$6:$BM$6,'Bridgend Manuf'!$M$14:$BM$14)/_xlfn.XLOOKUP(DF$7,'Bridgend Manuf'!$M$6:$BM$6,'Bridgend Manuf'!$M$15:$BM$15)))))),"100%")</f>
        <v>100%</v>
      </c>
      <c r="DG60" s="315" t="str">
        <f>IFERROR(IF(DG$7&gt;$D$3,"",IF(AY60="OD","OD",IF(AY60="Missed","Missed",IF(AY60="TBC","TBC",IF(AY60="Undefined","Undefined",_xlfn.XLOOKUP(DG$7,'Bridgend Manuf'!$M$6:$BM$6,'Bridgend Manuf'!$M$14:$BM$14)/_xlfn.XLOOKUP(DG$7,'Bridgend Manuf'!$M$6:$BM$6,'Bridgend Manuf'!$M$15:$BM$15)))))),"100%")</f>
        <v>100%</v>
      </c>
      <c r="DH60" s="315" t="str">
        <f>IFERROR(IF(DH$7&gt;$D$3,"",IF(AZ60="OD","OD",IF(AZ60="Missed","Missed",IF(AZ60="TBC","TBC",IF(AZ60="Undefined","Undefined",_xlfn.XLOOKUP(DH$7,'Bridgend Manuf'!$M$6:$BM$6,'Bridgend Manuf'!$M$14:$BM$14)/_xlfn.XLOOKUP(DH$7,'Bridgend Manuf'!$M$6:$BM$6,'Bridgend Manuf'!$M$15:$BM$15)))))),"100%")</f>
        <v>100%</v>
      </c>
      <c r="DI60" s="315">
        <f>IFERROR(IF(DI$7&gt;$D$3,"",IF(BA60="OD","OD",IF(BA60="Missed","Missed",IF(BA60="TBC","TBC",IF(BA60="Undefined","Undefined",_xlfn.XLOOKUP(DI$7,'Bridgend Manuf'!$M$6:$BM$6,'Bridgend Manuf'!$M$14:$BM$14)/_xlfn.XLOOKUP(DI$7,'Bridgend Manuf'!$M$6:$BM$6,'Bridgend Manuf'!$M$15:$BM$15)))))),"100%")</f>
        <v>1.5</v>
      </c>
      <c r="DJ60" s="315">
        <f>IFERROR(IF(DJ$7&gt;$D$3,"",IF(BB60="OD","OD",IF(BB60="Missed","Missed",IF(BB60="TBC","TBC",IF(BB60="Undefined","Undefined",_xlfn.XLOOKUP(DJ$7,'Bridgend Manuf'!$M$6:$BM$6,'Bridgend Manuf'!$M$14:$BM$14)/_xlfn.XLOOKUP(DJ$7,'Bridgend Manuf'!$M$6:$BM$6,'Bridgend Manuf'!$M$15:$BM$15)))))),"100%")</f>
        <v>1</v>
      </c>
      <c r="DK60" s="315" t="str">
        <f>IFERROR(IF(DK$7&gt;$D$3,"",IF(BC60="OD","OD",IF(BC60="Missed","Missed",IF(BC60="TBC","TBC",IF(BC60="Undefined","Undefined",_xlfn.XLOOKUP(DK$7,'Bridgend Manuf'!$M$6:$BM$6,'Bridgend Manuf'!$M$14:$BM$14)/_xlfn.XLOOKUP(DK$7,'Bridgend Manuf'!$M$6:$BM$6,'Bridgend Manuf'!$M$15:$BM$15)))))),"100%")</f>
        <v>100%</v>
      </c>
      <c r="DL60" s="315">
        <f>IFERROR(IF(DL$7&gt;$D$3,"",IF(BD60="OD","OD",IF(BD60="Missed","Missed",IF(BD60="TBC","TBC",IF(BD60="Undefined","Undefined",_xlfn.XLOOKUP(DL$7,'Bridgend Manuf'!$M$6:$BM$6,'Bridgend Manuf'!$M$14:$BM$14)/_xlfn.XLOOKUP(DL$7,'Bridgend Manuf'!$M$6:$BM$6,'Bridgend Manuf'!$M$15:$BM$15)))))),"100%")</f>
        <v>0.6</v>
      </c>
      <c r="DM60" s="315">
        <f>IFERROR(IF(DM$7&gt;$D$3,"",IF(BE60="OD","OD",IF(BE60="Missed","Missed",IF(BE60="TBC","TBC",IF(BE60="Undefined","Undefined",_xlfn.XLOOKUP(DM$7,'Bridgend Manuf'!$M$6:$BM$6,'Bridgend Manuf'!$M$14:$BM$14)/_xlfn.XLOOKUP(DM$7,'Bridgend Manuf'!$M$6:$BM$6,'Bridgend Manuf'!$M$15:$BM$15)))))),"100%")</f>
        <v>1</v>
      </c>
      <c r="DN60" s="315">
        <f>IFERROR(IF(DN$7&gt;$D$3,"",IF(BF60="OD","OD",IF(BF60="Missed","Missed",IF(BF60="TBC","TBC",IF(BF60="Undefined","Undefined",_xlfn.XLOOKUP(DN$7,'Bridgend Manuf'!$M$6:$BM$6,'Bridgend Manuf'!$M$14:$BM$14)/_xlfn.XLOOKUP(DN$7,'Bridgend Manuf'!$M$6:$BM$6,'Bridgend Manuf'!$M$15:$BM$15)))))),"100%")</f>
        <v>1</v>
      </c>
      <c r="DO60" s="315">
        <f>IFERROR(IF(DO$7&gt;$D$3,"",IF(BG60="OD","OD",IF(BG60="Missed","Missed",IF(BG60="TBC","TBC",IF(BG60="Undefined","Undefined",_xlfn.XLOOKUP(DO$7,'Bridgend Manuf'!$M$6:$BM$6,'Bridgend Manuf'!$M$14:$BM$14)/_xlfn.XLOOKUP(DO$7,'Bridgend Manuf'!$M$6:$BM$6,'Bridgend Manuf'!$M$15:$BM$15)))))),"100%")</f>
        <v>1.5</v>
      </c>
      <c r="DP60" s="315">
        <f>IFERROR(IF(DP$7&gt;$D$3,"",IF(BH60="OD","OD",IF(BH60="Missed","Missed",IF(BH60="TBC","TBC",IF(BH60="Undefined","Undefined",_xlfn.XLOOKUP(DP$7,'Bridgend Manuf'!$M$6:$BM$6,'Bridgend Manuf'!$M$14:$BM$14)/_xlfn.XLOOKUP(DP$7,'Bridgend Manuf'!$M$6:$BM$6,'Bridgend Manuf'!$M$15:$BM$15)))))),"100%")</f>
        <v>0.75</v>
      </c>
      <c r="DQ60" s="315">
        <f>IFERROR(IF(DQ$7&gt;$D$3,"",IF(BI60="OD","OD",IF(BI60="Missed","Missed",IF(BI60="TBC","TBC",IF(BI60="Undefined","Undefined",_xlfn.XLOOKUP(DQ$7,'Bridgend Manuf'!$M$6:$BM$6,'Bridgend Manuf'!$M$14:$BM$14)/_xlfn.XLOOKUP(DQ$7,'Bridgend Manuf'!$M$6:$BM$6,'Bridgend Manuf'!$M$15:$BM$15)))))),"100%")</f>
        <v>1</v>
      </c>
      <c r="DR60" s="315">
        <f>IFERROR(IF(DR$7&gt;$D$3,"",IF(BJ60="OD","OD",IF(BJ60="Missed","Missed",IF(BJ60="TBC","TBC",IF(BJ60="Undefined","Undefined",_xlfn.XLOOKUP(DR$7,'Bridgend Manuf'!$M$6:$BM$6,'Bridgend Manuf'!$M$14:$BM$14)/_xlfn.XLOOKUP(DR$7,'Bridgend Manuf'!$M$6:$BM$6,'Bridgend Manuf'!$M$15:$BM$15)))))),"100%")</f>
        <v>1.5</v>
      </c>
      <c r="DS60" s="315">
        <f>IFERROR(IF(DS$7&gt;$D$3,"",IF(BK60="OD","OD",IF(BK60="Missed","Missed",IF(BK60="TBC","TBC",IF(BK60="Undefined","Undefined",_xlfn.XLOOKUP(DS$7,'Bridgend Manuf'!$M$6:$BM$6,'Bridgend Manuf'!$M$14:$BM$14)/_xlfn.XLOOKUP(DS$7,'Bridgend Manuf'!$M$6:$BM$6,'Bridgend Manuf'!$M$15:$BM$15)))))),"100%")</f>
        <v>1</v>
      </c>
      <c r="DT60" s="315">
        <f>IFERROR(IF(DT$7&gt;$D$3,"",IF(BL60="OD","OD",IF(BL60="Missed","Missed",IF(BL60="TBC","TBC",IF(BL60="Undefined","Undefined",_xlfn.XLOOKUP(DT$7,'Bridgend Manuf'!$M$6:$BM$6,'Bridgend Manuf'!$M$14:$BM$14)/_xlfn.XLOOKUP(DT$7,'Bridgend Manuf'!$M$6:$BM$6,'Bridgend Manuf'!$M$15:$BM$15)))))),"100%")</f>
        <v>0.6</v>
      </c>
      <c r="DU60" s="315">
        <f>IFERROR(IF(DU$7&gt;$D$3,"",IF(BM60="OD","OD",IF(BM60="Missed","Missed",IF(BM60="TBC","TBC",IF(BM60="Undefined","Undefined",_xlfn.XLOOKUP(DU$7,'Bridgend Manuf'!$M$6:$BM$6,'Bridgend Manuf'!$M$14:$BM$14)/_xlfn.XLOOKUP(DU$7,'Bridgend Manuf'!$M$6:$BM$6,'Bridgend Manuf'!$M$15:$BM$15)))))),"100%")</f>
        <v>0.375</v>
      </c>
      <c r="DV60" s="315" t="str">
        <f>IFERROR(IF(DV$7&gt;$D$3,"",IF(BN60="OD","OD",IF(BN60="Missed","Missed",IF(BN60="TBC","TBC",IF(BN60="Undefined","Undefined",_xlfn.XLOOKUP(DV$7,'Bridgend Manuf'!$M$6:$BM$6,'Bridgend Manuf'!$M$14:$BM$14)/_xlfn.XLOOKUP(DV$7,'Bridgend Manuf'!$M$6:$BM$6,'Bridgend Manuf'!$M$15:$BM$15)))))),"100%")</f>
        <v>100%</v>
      </c>
      <c r="DW60" s="315">
        <f>IFERROR(IF(DW$7&gt;$D$3,"",IF(BO60="OD","OD",IF(BO60="Missed","Missed",IF(BO60="TBC","TBC",IF(BO60="Undefined","Undefined",_xlfn.XLOOKUP(DW$7,'Bridgend Manuf'!$M$6:$BM$6,'Bridgend Manuf'!$M$14:$BM$14)/_xlfn.XLOOKUP(DW$7,'Bridgend Manuf'!$M$6:$BM$6,'Bridgend Manuf'!$M$15:$BM$15)))))),"100%")</f>
        <v>1.5</v>
      </c>
      <c r="DX60" s="315">
        <f>IFERROR(IF(DX$7&gt;$D$3,"",IF(BP60="OD","OD",IF(BP60="Missed","Missed",IF(BP60="TBC","TBC",IF(BP60="Undefined","Undefined",_xlfn.XLOOKUP(DX$7,'Bridgend Manuf'!$M$6:$BM$6,'Bridgend Manuf'!$M$14:$BM$14)/_xlfn.XLOOKUP(DX$7,'Bridgend Manuf'!$M$6:$BM$6,'Bridgend Manuf'!$M$15:$BM$15)))))),"100%")</f>
        <v>1</v>
      </c>
      <c r="DY60" s="315">
        <f>IFERROR(IF(DY$7&gt;$D$3,"",IF(BQ60="OD","OD",IF(BQ60="Missed","Missed",IF(BQ60="TBC","TBC",IF(BQ60="Undefined","Undefined",_xlfn.XLOOKUP(DY$7,'Bridgend Manuf'!$M$6:$BM$6,'Bridgend Manuf'!$M$14:$BM$14)/_xlfn.XLOOKUP(DY$7,'Bridgend Manuf'!$M$6:$BM$6,'Bridgend Manuf'!$M$15:$BM$15)))))),"100%")</f>
        <v>1</v>
      </c>
      <c r="DZ60" s="315">
        <f>IFERROR(IF(DZ$7&gt;$D$3,"",IF(BR60="OD","OD",IF(BR60="Missed","Missed",IF(BR60="TBC","TBC",IF(BR60="Undefined","Undefined",_xlfn.XLOOKUP(DZ$7,'Bridgend Manuf'!$M$6:$BM$6,'Bridgend Manuf'!$M$14:$BM$14)/_xlfn.XLOOKUP(DZ$7,'Bridgend Manuf'!$M$6:$BM$6,'Bridgend Manuf'!$M$15:$BM$15)))))),"100%")</f>
        <v>1</v>
      </c>
      <c r="EA60" s="315">
        <f>IFERROR(IF(EA$7&gt;$D$3,"",IF(BS60="OD","OD",IF(BS60="Missed","Missed",IF(BS60="TBC","TBC",IF(BS60="Undefined","Undefined",_xlfn.XLOOKUP(EA$7,'Bridgend Manuf'!$M$6:$BM$6,'Bridgend Manuf'!$M$14:$BM$14)/_xlfn.XLOOKUP(EA$7,'Bridgend Manuf'!$M$6:$BM$6,'Bridgend Manuf'!$M$15:$BM$15)))))),"100%")</f>
        <v>3</v>
      </c>
      <c r="EB60" s="315">
        <f>IFERROR(IF(EB$7&gt;$D$3,"",IF(BT60="OD","OD",IF(BT60="Missed","Missed",IF(BT60="TBC","TBC",IF(BT60="Undefined","Undefined",_xlfn.XLOOKUP(EB$7,'Bridgend Manuf'!$M$6:$BM$6,'Bridgend Manuf'!$M$14:$BM$14)/_xlfn.XLOOKUP(EB$7,'Bridgend Manuf'!$M$6:$BM$6,'Bridgend Manuf'!$M$15:$BM$15)))))),"100%")</f>
        <v>3</v>
      </c>
      <c r="EC60" s="315">
        <f>IFERROR(IF(EC$7&gt;$D$3,"",IF(BU60="OD","OD",IF(BU60="Missed","Missed",IF(BU60="TBC","TBC",IF(BU60="Undefined","Undefined",_xlfn.XLOOKUP(EC$7,'Bridgend Manuf'!$M$6:$BM$6,'Bridgend Manuf'!$M$14:$BM$14)/_xlfn.XLOOKUP(EC$7,'Bridgend Manuf'!$M$6:$BM$6,'Bridgend Manuf'!$M$15:$BM$15)))))),"100%")</f>
        <v>1.5</v>
      </c>
      <c r="ED60" s="315">
        <f>IFERROR(IF(ED$7&gt;$D$3,"",IF(BV60="OD","OD",IF(BV60="Missed","Missed",IF(BV60="TBC","TBC",IF(BV60="Undefined","Undefined",_xlfn.XLOOKUP(ED$7,'Bridgend Manuf'!$M$6:$BM$6,'Bridgend Manuf'!$M$14:$BM$14)/_xlfn.XLOOKUP(ED$7,'Bridgend Manuf'!$M$6:$BM$6,'Bridgend Manuf'!$M$15:$BM$15)))))),"100%")</f>
        <v>1</v>
      </c>
      <c r="EE60" s="315" t="str">
        <f>IFERROR(IF(EE$7&gt;$D$3,"",IF(BW60="OD","OD",IF(BW60="Missed","Missed",IF(BW60="TBC","TBC",IF(BW60="Undefined","Undefined",_xlfn.XLOOKUP(EE$7,'Bridgend Manuf'!$M$6:$BM$6,'Bridgend Manuf'!$M$14:$BM$14)/_xlfn.XLOOKUP(EE$7,'Bridgend Manuf'!$M$6:$BM$6,'Bridgend Manuf'!$M$15:$BM$15)))))),"100%")</f>
        <v>100%</v>
      </c>
      <c r="EF60" s="315">
        <f>IFERROR(IF(EF$7&gt;$D$3,"",IF(BX60="OD","OD",IF(BX60="Missed","Missed",IF(BX60="TBC","TBC",IF(BX60="Undefined","Undefined",_xlfn.XLOOKUP(EF$7,'Bridgend Manuf'!$M$6:$BM$6,'Bridgend Manuf'!$M$14:$BM$14)/_xlfn.XLOOKUP(EF$7,'Bridgend Manuf'!$M$6:$BM$6,'Bridgend Manuf'!$M$15:$BM$15)))))),"100%")</f>
        <v>1.5</v>
      </c>
      <c r="EG60" s="315">
        <f>IFERROR(IF(EG$7&gt;$D$3,"",IF(BY60="OD","OD",IF(BY60="Missed","Missed",IF(BY60="TBC","TBC",IF(BY60="Undefined","Undefined",_xlfn.XLOOKUP(EG$7,'Bridgend Manuf'!$M$6:$BM$6,'Bridgend Manuf'!$M$14:$BM$14)/_xlfn.XLOOKUP(EG$7,'Bridgend Manuf'!$M$6:$BM$6,'Bridgend Manuf'!$M$15:$BM$15)))))),"100%")</f>
        <v>1</v>
      </c>
      <c r="EH60" s="315" t="str">
        <f>IFERROR(IF(EH$7&gt;$D$3,"",IF(BZ60="OD","OD",IF(BZ60="Missed","Missed",IF(BZ60="TBC","TBC",IF(BZ60="Undefined","Undefined",_xlfn.XLOOKUP(EH$7,'Bridgend Manuf'!$M$6:$BM$6,'Bridgend Manuf'!$M$14:$BM$14)/_xlfn.XLOOKUP(EH$7,'Bridgend Manuf'!$M$6:$BM$6,'Bridgend Manuf'!$M$15:$BM$15)))))),"100%")</f>
        <v>OD</v>
      </c>
      <c r="EI60" s="315" t="str">
        <f>IFERROR(IF(EI$7&gt;$D$3,"",IF(CA60="OD","OD",IF(CA60="Missed","Missed",IF(CA60="TBC","TBC",IF(CA60="Undefined","Undefined",_xlfn.XLOOKUP(EI$7,'Bridgend Manuf'!$M$6:$BM$6,'Bridgend Manuf'!$M$14:$BM$14)/_xlfn.XLOOKUP(EI$7,'Bridgend Manuf'!$M$6:$BM$6,'Bridgend Manuf'!$M$15:$BM$15)))))),"100%")</f>
        <v>OD</v>
      </c>
      <c r="EJ60" s="315" t="str">
        <f>IFERROR(IF(EJ$7&gt;$D$3,"",IF(CB60="OD","OD",IF(CB60="Missed","Missed",IF(CB60="TBC","TBC",IF(CB60="Undefined","Undefined",_xlfn.XLOOKUP(EJ$7,'Bridgend Manuf'!$M$6:$BM$6,'Bridgend Manuf'!$M$14:$BM$14)/_xlfn.XLOOKUP(EJ$7,'Bridgend Manuf'!$M$6:$BM$6,'Bridgend Manuf'!$M$15:$BM$15)))))),"100%")</f>
        <v>OD</v>
      </c>
      <c r="EK60" s="315" t="str">
        <f>IFERROR(IF(EK$7&gt;$D$3,"",IF(CC60="OD","OD",IF(CC60="Missed","Missed",IF(CC60="TBC","TBC",IF(CC60="Undefined","Undefined",_xlfn.XLOOKUP(EK$7,'Bridgend Manuf'!$M$6:$BM$6,'Bridgend Manuf'!$M$14:$BM$14)/_xlfn.XLOOKUP(EK$7,'Bridgend Manuf'!$M$6:$BM$6,'Bridgend Manuf'!$M$15:$BM$15)))))),"100%")</f>
        <v/>
      </c>
      <c r="EL60" s="315" t="str">
        <f>IFERROR(IF(EL$7&gt;$D$3,"",IF(CD60="OD","OD",IF(CD60="Missed","Missed",IF(CD60="TBC","TBC",IF(CD60="Undefined","Undefined",_xlfn.XLOOKUP(EL$7,'Bridgend Manuf'!$M$6:$BM$6,'Bridgend Manuf'!$M$14:$BM$14)/_xlfn.XLOOKUP(EL$7,'Bridgend Manuf'!$M$6:$BM$6,'Bridgend Manuf'!$M$15:$BM$15)))))),"100%")</f>
        <v/>
      </c>
      <c r="EM60" s="315" t="str">
        <f>IFERROR(IF(EM$7&gt;$D$3,"",IF(CE60="OD","OD",IF(CE60="Missed","Missed",IF(CE60="TBC","TBC",IF(CE60="Undefined","Undefined",_xlfn.XLOOKUP(EM$7,'Bridgend Manuf'!$M$6:$BM$6,'Bridgend Manuf'!$M$14:$BM$14)/_xlfn.XLOOKUP(EM$7,'Bridgend Manuf'!$M$6:$BM$6,'Bridgend Manuf'!$M$15:$BM$15)))))),"100%")</f>
        <v/>
      </c>
      <c r="EN60" s="315" t="str">
        <f>IFERROR(IF(EN$7&gt;$D$3,"",IF(CF60="OD","OD",IF(CF60="Missed","Missed",IF(CF60="TBC","TBC",IF(CF60="Undefined","Undefined",_xlfn.XLOOKUP(EN$7,'Bridgend Manuf'!$M$6:$BM$6,'Bridgend Manuf'!$M$14:$BM$14)/_xlfn.XLOOKUP(EN$7,'Bridgend Manuf'!$M$6:$BM$6,'Bridgend Manuf'!$M$15:$BM$15)))))),"100%")</f>
        <v/>
      </c>
      <c r="EO60" s="315" t="str">
        <f>IFERROR(IF(EO$7&gt;$D$3,"",IF(CG60="OD","OD",IF(CG60="Missed","Missed",IF(CG60="TBC","TBC",IF(CG60="Undefined","Undefined",_xlfn.XLOOKUP(EO$7,'Bridgend Manuf'!$M$6:$BM$6,'Bridgend Manuf'!$M$14:$BM$14)/_xlfn.XLOOKUP(EO$7,'Bridgend Manuf'!$M$6:$BM$6,'Bridgend Manuf'!$M$15:$BM$15)))))),"100%")</f>
        <v/>
      </c>
      <c r="EP60" s="315" t="str">
        <f>IFERROR(IF(EP$7&gt;$D$3,"",IF(CH60="OD","OD",IF(CH60="Missed","Missed",IF(CH60="TBC","TBC",IF(CH60="Undefined","Undefined",_xlfn.XLOOKUP(EP$7,'Bridgend Manuf'!$M$6:$BM$6,'Bridgend Manuf'!$M$14:$BM$14)/_xlfn.XLOOKUP(EP$7,'Bridgend Manuf'!$M$6:$BM$6,'Bridgend Manuf'!$M$15:$BM$15)))))),"100%")</f>
        <v/>
      </c>
      <c r="EQ60" s="315" t="str">
        <f>IFERROR(IF(EQ$7&gt;$D$3,"",IF(CI60="OD","OD",IF(CI60="Missed","Missed",IF(CI60="TBC","TBC",IF(CI60="Undefined","Undefined",_xlfn.XLOOKUP(EQ$7,'Bridgend Manuf'!$M$6:$BM$6,'Bridgend Manuf'!$M$14:$BM$14)/_xlfn.XLOOKUP(EQ$7,'Bridgend Manuf'!$M$6:$BM$6,'Bridgend Manuf'!$M$15:$BM$15)))))),"100%")</f>
        <v/>
      </c>
      <c r="ER60" s="315" t="str">
        <f>IFERROR(IF(ER$7&gt;$D$3,"",IF(CJ60="OD","OD",IF(CJ60="Missed","Missed",IF(CJ60="TBC","TBC",IF(CJ60="Undefined","Undefined",_xlfn.XLOOKUP(ER$7,'Bridgend Manuf'!$M$6:$BM$6,'Bridgend Manuf'!$M$14:$BM$14)/_xlfn.XLOOKUP(ER$7,'Bridgend Manuf'!$M$6:$BM$6,'Bridgend Manuf'!$M$15:$BM$15)))))),"100%")</f>
        <v/>
      </c>
      <c r="ES60" s="315" t="str">
        <f>IFERROR(IF(ES$7&gt;$D$3,"",IF(CK60="OD","OD",IF(CK60="Missed","Missed",IF(CK60="TBC","TBC",IF(CK60="Undefined","Undefined",_xlfn.XLOOKUP(ES$7,'Bridgend Manuf'!$M$6:$BM$6,'Bridgend Manuf'!$M$14:$BM$14)/_xlfn.XLOOKUP(ES$7,'Bridgend Manuf'!$M$6:$BM$6,'Bridgend Manuf'!$M$15:$BM$15)))))),"100%")</f>
        <v/>
      </c>
      <c r="ET60" s="315" t="str">
        <f>IFERROR(IF(ET$7&gt;$D$3,"",IF(CL60="OD","OD",IF(CL60="Missed","Missed",IF(CL60="TBC","TBC",IF(CL60="Undefined","Undefined",_xlfn.XLOOKUP(ET$7,'Bridgend Manuf'!$M$6:$BM$6,'Bridgend Manuf'!$M$14:$BM$14)/_xlfn.XLOOKUP(ET$7,'Bridgend Manuf'!$M$6:$BM$6,'Bridgend Manuf'!$M$15:$BM$15)))))),"100%")</f>
        <v/>
      </c>
      <c r="EU60" s="315" t="str">
        <f>IFERROR(IF(EU$7&gt;$D$3,"",IF(CM60="OD","OD",IF(CM60="Missed","Missed",IF(CM60="TBC","TBC",IF(CM60="Undefined","Undefined",_xlfn.XLOOKUP(EU$7,'Bridgend Manuf'!$M$6:$BM$6,'Bridgend Manuf'!$M$14:$BM$14)/_xlfn.XLOOKUP(EU$7,'Bridgend Manuf'!$M$6:$BM$6,'Bridgend Manuf'!$M$15:$BM$15)))))),"100%")</f>
        <v/>
      </c>
      <c r="EW60" s="465" t="str">
        <f>+$A60</f>
        <v>Bridgend Manuf-KPI Q1</v>
      </c>
      <c r="EX60" s="136" t="str">
        <f>+$C60</f>
        <v>KPI Q1</v>
      </c>
      <c r="EY60" s="144" t="str">
        <f>+$D60</f>
        <v>Quality</v>
      </c>
      <c r="EZ60" s="144" t="str">
        <f>+$E60</f>
        <v>Customer Complaints</v>
      </c>
      <c r="FA60" s="145" t="str">
        <f>+$F60</f>
        <v>Count</v>
      </c>
      <c r="FB60" s="145" t="s">
        <v>251</v>
      </c>
      <c r="FC60" s="223" t="str">
        <f>IF(FC$7&gt;$D$3,"",IF($FA57&lt;FC$7,"OD",_xlfn.XLOOKUP(FC$7,'Bridgend Manuf'!$M$6:$BM$6,'Bridgend Manuf'!$M$15:$BM$15)))</f>
        <v>Blank</v>
      </c>
      <c r="FD60" s="223">
        <f>IF(FD$7&gt;$D$3,"",IF($FA57&lt;FD$7,"OD",_xlfn.XLOOKUP(FD$7,'Bridgend Manuf'!$M$6:$BM$6,'Bridgend Manuf'!$M$15:$BM$15)))</f>
        <v>1</v>
      </c>
      <c r="FE60" s="223">
        <f>IF(FE$7&gt;$D$3,"",IF($FA57&lt;FE$7,"OD",_xlfn.XLOOKUP(FE$7,'Bridgend Manuf'!$M$6:$BM$6,'Bridgend Manuf'!$M$15:$BM$15)))</f>
        <v>6</v>
      </c>
      <c r="FF60" s="223">
        <f>IF(FF$7&gt;$D$3,"",IF($FA57&lt;FF$7,"OD",_xlfn.XLOOKUP(FF$7,'Bridgend Manuf'!$M$6:$BM$6,'Bridgend Manuf'!$M$15:$BM$15)))</f>
        <v>2</v>
      </c>
      <c r="FG60" s="223">
        <f>IF(FG$7&gt;$D$3,"",IF($FA57&lt;FG$7,"OD",_xlfn.XLOOKUP(FG$7,'Bridgend Manuf'!$M$6:$BM$6,'Bridgend Manuf'!$M$15:$BM$15)))</f>
        <v>5</v>
      </c>
      <c r="FH60" s="223">
        <f>IF(FH$7&gt;$D$3,"",IF($FA57&lt;FH$7,"OD",_xlfn.XLOOKUP(FH$7,'Bridgend Manuf'!$M$6:$BM$6,'Bridgend Manuf'!$M$15:$BM$15)))</f>
        <v>1</v>
      </c>
      <c r="FI60" s="223">
        <f>IF(FI$7&gt;$D$3,"",IF($FA57&lt;FI$7,"OD",_xlfn.XLOOKUP(FI$7,'Bridgend Manuf'!$M$6:$BM$6,'Bridgend Manuf'!$M$15:$BM$15)))</f>
        <v>1</v>
      </c>
      <c r="FJ60" s="223">
        <f>IF(FJ$7&gt;$D$3,"",IF($FA57&lt;FJ$7,"OD",_xlfn.XLOOKUP(FJ$7,'Bridgend Manuf'!$M$6:$BM$6,'Bridgend Manuf'!$M$15:$BM$15)))</f>
        <v>2</v>
      </c>
      <c r="FK60" s="223">
        <f>IF(FK$7&gt;$D$3,"",IF($FA57&lt;FK$7,"OD",_xlfn.XLOOKUP(FK$7,'Bridgend Manuf'!$M$6:$BM$6,'Bridgend Manuf'!$M$15:$BM$15)))</f>
        <v>4</v>
      </c>
      <c r="FL60" s="223">
        <f>IF(FL$7&gt;$D$3,"",IF($FA57&lt;FL$7,"OD",_xlfn.XLOOKUP(FL$7,'Bridgend Manuf'!$M$6:$BM$6,'Bridgend Manuf'!$M$15:$BM$15)))</f>
        <v>4</v>
      </c>
      <c r="FM60" s="223">
        <f>IF(FM$7&gt;$D$3,"",IF($FA57&lt;FM$7,"OD",_xlfn.XLOOKUP(FM$7,'Bridgend Manuf'!$M$6:$BM$6,'Bridgend Manuf'!$M$15:$BM$15)))</f>
        <v>2</v>
      </c>
      <c r="FN60" s="223">
        <f>IF(FN$7&gt;$D$3,"",IF($FA57&lt;FN$7,"OD",_xlfn.XLOOKUP(FN$7,'Bridgend Manuf'!$M$6:$BM$6,'Bridgend Manuf'!$M$15:$BM$15)))</f>
        <v>0</v>
      </c>
      <c r="FO60" s="223">
        <f>IF(FO$7&gt;$D$3,"",IF($FA57&lt;FO$7,"OD",_xlfn.XLOOKUP(FO$7,'Bridgend Manuf'!$M$6:$BM$6,'Bridgend Manuf'!$M$15:$BM$15)))</f>
        <v>0</v>
      </c>
      <c r="FP60" s="223">
        <f>IF(FP$7&gt;$D$3,"",IF($FA57&lt;FP$7,"OD",_xlfn.XLOOKUP(FP$7,'Bridgend Manuf'!$M$6:$BM$6,'Bridgend Manuf'!$M$15:$BM$15)))</f>
        <v>0</v>
      </c>
      <c r="FQ60" s="223">
        <f>IF(FQ$7&gt;$D$3,"",IF($FA57&lt;FQ$7,"OD",_xlfn.XLOOKUP(FQ$7,'Bridgend Manuf'!$M$6:$BM$6,'Bridgend Manuf'!$M$15:$BM$15)))</f>
        <v>2</v>
      </c>
      <c r="FR60" s="223">
        <f>IF(FR$7&gt;$D$3,"",IF($FA57&lt;FR$7,"OD",_xlfn.XLOOKUP(FR$7,'Bridgend Manuf'!$M$6:$BM$6,'Bridgend Manuf'!$M$15:$BM$15)))</f>
        <v>3</v>
      </c>
      <c r="FS60" s="223">
        <f>IF(FS$7&gt;$D$3,"",IF($FA57&lt;FS$7,"OD",_xlfn.XLOOKUP(FS$7,'Bridgend Manuf'!$M$6:$BM$6,'Bridgend Manuf'!$M$15:$BM$15)))</f>
        <v>0</v>
      </c>
      <c r="FT60" s="223">
        <f>IF(FT$7&gt;$D$3,"",IF($FA57&lt;FT$7,"OD",_xlfn.XLOOKUP(FT$7,'Bridgend Manuf'!$M$6:$BM$6,'Bridgend Manuf'!$M$15:$BM$15)))</f>
        <v>5</v>
      </c>
      <c r="FU60" s="223">
        <f>IF(FU$7&gt;$D$3,"",IF($FA57&lt;FU$7,"OD",_xlfn.XLOOKUP(FU$7,'Bridgend Manuf'!$M$6:$BM$6,'Bridgend Manuf'!$M$15:$BM$15)))</f>
        <v>3</v>
      </c>
      <c r="FV60" s="223">
        <f>IF(FV$7&gt;$D$3,"",IF($FA57&lt;FV$7,"OD",_xlfn.XLOOKUP(FV$7,'Bridgend Manuf'!$M$6:$BM$6,'Bridgend Manuf'!$M$15:$BM$15)))</f>
        <v>3</v>
      </c>
      <c r="FW60" s="223">
        <f>IF(FW$7&gt;$D$3,"",IF($FA57&lt;FW$7,"OD",_xlfn.XLOOKUP(FW$7,'Bridgend Manuf'!$M$6:$BM$6,'Bridgend Manuf'!$M$15:$BM$15)))</f>
        <v>2</v>
      </c>
      <c r="FX60" s="223">
        <f>IF(FX$7&gt;$D$3,"",IF($FA57&lt;FX$7,"OD",_xlfn.XLOOKUP(FX$7,'Bridgend Manuf'!$M$6:$BM$6,'Bridgend Manuf'!$M$15:$BM$15)))</f>
        <v>4</v>
      </c>
      <c r="FY60" s="223">
        <f>IF(FY$7&gt;$D$3,"",IF($FA57&lt;FY$7,"OD",_xlfn.XLOOKUP(FY$7,'Bridgend Manuf'!$M$6:$BM$6,'Bridgend Manuf'!$M$15:$BM$15)))</f>
        <v>3</v>
      </c>
      <c r="FZ60" s="223">
        <f>IF(FZ$7&gt;$D$3,"",IF($FA57&lt;FZ$7,"OD",_xlfn.XLOOKUP(FZ$7,'Bridgend Manuf'!$M$6:$BM$6,'Bridgend Manuf'!$M$15:$BM$15)))</f>
        <v>2</v>
      </c>
      <c r="GA60" s="223">
        <f>IF(GA$7&gt;$D$3,"",IF($FA57&lt;GA$7,"OD",_xlfn.XLOOKUP(GA$7,'Bridgend Manuf'!$M$6:$BM$6,'Bridgend Manuf'!$M$15:$BM$15)))</f>
        <v>3</v>
      </c>
      <c r="GB60" s="223">
        <f>IF(GB$7&gt;$D$3,"",IF($FA57&lt;GB$7,"OD",_xlfn.XLOOKUP(GB$7,'Bridgend Manuf'!$M$6:$BM$6,'Bridgend Manuf'!$M$15:$BM$15)))</f>
        <v>5</v>
      </c>
      <c r="GC60" s="223">
        <f>IF(GC$7&gt;$D$3,"",IF($FA57&lt;GC$7,"OD",_xlfn.XLOOKUP(GC$7,'Bridgend Manuf'!$M$6:$BM$6,'Bridgend Manuf'!$M$15:$BM$15)))</f>
        <v>8</v>
      </c>
      <c r="GD60" s="223">
        <f>IF(GD$7&gt;$D$3,"",IF($FA57&lt;GD$7,"OD",_xlfn.XLOOKUP(GD$7,'Bridgend Manuf'!$M$6:$BM$6,'Bridgend Manuf'!$M$15:$BM$15)))</f>
        <v>0</v>
      </c>
      <c r="GE60" s="223">
        <f>IF(GE$7&gt;$D$3,"",IF($FA57&lt;GE$7,"OD",_xlfn.XLOOKUP(GE$7,'Bridgend Manuf'!$M$6:$BM$6,'Bridgend Manuf'!$M$15:$BM$15)))</f>
        <v>2</v>
      </c>
      <c r="GF60" s="223">
        <f>IF(GF$7&gt;$D$3,"",IF($FA57&lt;GF$7,"OD",_xlfn.XLOOKUP(GF$7,'Bridgend Manuf'!$M$6:$BM$6,'Bridgend Manuf'!$M$15:$BM$15)))</f>
        <v>3</v>
      </c>
      <c r="GG60" s="223">
        <f>IF(GG$7&gt;$D$3,"",IF($FA57&lt;GG$7,"OD",_xlfn.XLOOKUP(GG$7,'Bridgend Manuf'!$M$6:$BM$6,'Bridgend Manuf'!$M$15:$BM$15)))</f>
        <v>3</v>
      </c>
      <c r="GH60" s="223">
        <f>IF(GH$7&gt;$D$3,"",IF($FA57&lt;GH$7,"OD",_xlfn.XLOOKUP(GH$7,'Bridgend Manuf'!$M$6:$BM$6,'Bridgend Manuf'!$M$15:$BM$15)))</f>
        <v>3</v>
      </c>
      <c r="GI60" s="223">
        <f>IF(GI$7&gt;$D$3,"",IF($FA57&lt;GI$7,"OD",_xlfn.XLOOKUP(GI$7,'Bridgend Manuf'!$M$6:$BM$6,'Bridgend Manuf'!$M$15:$BM$15)))</f>
        <v>1</v>
      </c>
      <c r="GJ60" s="223">
        <f>IF(GJ$7&gt;$D$3,"",IF($FA57&lt;GJ$7,"OD",_xlfn.XLOOKUP(GJ$7,'Bridgend Manuf'!$M$6:$BM$6,'Bridgend Manuf'!$M$15:$BM$15)))</f>
        <v>1</v>
      </c>
      <c r="GK60" s="223">
        <f>IF(GK$7&gt;$D$3,"",IF($FA57&lt;GK$7,"OD",_xlfn.XLOOKUP(GK$7,'Bridgend Manuf'!$M$6:$BM$6,'Bridgend Manuf'!$M$15:$BM$15)))</f>
        <v>2</v>
      </c>
      <c r="GL60" s="223">
        <f>IF(GL$7&gt;$D$3,"",IF($FA57&lt;GL$7,"OD",_xlfn.XLOOKUP(GL$7,'Bridgend Manuf'!$M$6:$BM$6,'Bridgend Manuf'!$M$15:$BM$15)))</f>
        <v>3</v>
      </c>
      <c r="GM60" s="223">
        <f>IF(GM$7&gt;$D$3,"",IF($FA57&lt;GM$7,"OD",_xlfn.XLOOKUP(GM$7,'Bridgend Manuf'!$M$6:$BM$6,'Bridgend Manuf'!$M$15:$BM$15)))</f>
        <v>0</v>
      </c>
      <c r="GN60" s="223">
        <f>IF(GN$7&gt;$D$3,"",IF($FA57&lt;GN$7,"OD",_xlfn.XLOOKUP(GN$7,'Bridgend Manuf'!$M$6:$BM$6,'Bridgend Manuf'!$M$15:$BM$15)))</f>
        <v>2</v>
      </c>
      <c r="GO60" s="223">
        <f>IF(GO$7&gt;$D$3,"",IF($FA57&lt;GO$7,"OD",_xlfn.XLOOKUP(GO$7,'Bridgend Manuf'!$M$6:$BM$6,'Bridgend Manuf'!$M$15:$BM$15)))</f>
        <v>3</v>
      </c>
      <c r="GP60" s="223">
        <f>IF(GP$7&gt;$D$3,"",IF($FA57&lt;GP$7,"OD",_xlfn.XLOOKUP(GP$7,'Bridgend Manuf'!$M$6:$BM$6,'Bridgend Manuf'!$M$15:$BM$15)))</f>
        <v>0</v>
      </c>
      <c r="GQ60" s="223">
        <f>IF(GQ$7&gt;$D$3,"",IF($FA57&lt;GQ$7,"OD",_xlfn.XLOOKUP(GQ$7,'Bridgend Manuf'!$M$6:$BM$6,'Bridgend Manuf'!$M$15:$BM$15)))</f>
        <v>0</v>
      </c>
      <c r="GR60" s="223">
        <f>IF(GR$7&gt;$D$3,"",IF($FA57&lt;GR$7,"OD",_xlfn.XLOOKUP(GR$7,'Bridgend Manuf'!$M$6:$BM$6,'Bridgend Manuf'!$M$15:$BM$15)))</f>
        <v>0</v>
      </c>
      <c r="GS60" s="223" t="str">
        <f>IF(GS$7&gt;$D$3,"",IF($FA57&lt;GS$7,"OD",_xlfn.XLOOKUP(GS$7,'Bridgend Manuf'!$M$6:$BM$6,'Bridgend Manuf'!$M$15:$BM$15)))</f>
        <v/>
      </c>
      <c r="GT60" s="223" t="str">
        <f>IF(GT$7&gt;$D$3,"",IF($FA57&lt;GT$7,"OD",_xlfn.XLOOKUP(GT$7,'Bridgend Manuf'!$M$6:$BM$6,'Bridgend Manuf'!$M$15:$BM$15)))</f>
        <v/>
      </c>
      <c r="GU60" s="223" t="str">
        <f>IF(GU$7&gt;$D$3,"",IF($FA57&lt;GU$7,"OD",_xlfn.XLOOKUP(GU$7,'Bridgend Manuf'!$M$6:$BM$6,'Bridgend Manuf'!$M$15:$BM$15)))</f>
        <v/>
      </c>
      <c r="GV60" s="223" t="str">
        <f>IF(GV$7&gt;$D$3,"",IF($FA57&lt;GV$7,"OD",_xlfn.XLOOKUP(GV$7,'Bridgend Manuf'!$M$6:$BM$6,'Bridgend Manuf'!$M$15:$BM$15)))</f>
        <v/>
      </c>
      <c r="GW60" s="223" t="str">
        <f>IF(GW$7&gt;$D$3,"",IF($FA57&lt;GW$7,"OD",_xlfn.XLOOKUP(GW$7,'Bridgend Manuf'!$M$6:$BM$6,'Bridgend Manuf'!$M$15:$BM$15)))</f>
        <v/>
      </c>
      <c r="GX60" s="223" t="str">
        <f>IF(GX$7&gt;$D$3,"",IF($FA57&lt;GX$7,"OD",_xlfn.XLOOKUP(GX$7,'Bridgend Manuf'!$M$6:$BM$6,'Bridgend Manuf'!$M$15:$BM$15)))</f>
        <v/>
      </c>
      <c r="GY60" s="223" t="str">
        <f>IF(GY$7&gt;$D$3,"",IF($FA57&lt;GY$7,"OD",_xlfn.XLOOKUP(GY$7,'Bridgend Manuf'!$M$6:$BM$6,'Bridgend Manuf'!$M$15:$BM$15)))</f>
        <v/>
      </c>
      <c r="GZ60" s="223" t="str">
        <f>IF(GZ$7&gt;$D$3,"",IF($FA57&lt;GZ$7,"OD",_xlfn.XLOOKUP(GZ$7,'Bridgend Manuf'!$M$6:$BM$6,'Bridgend Manuf'!$M$15:$BM$15)))</f>
        <v/>
      </c>
      <c r="HA60" s="223" t="str">
        <f>IF(HA$7&gt;$D$3,"",IF($FA57&lt;HA$7,"OD",_xlfn.XLOOKUP(HA$7,'Bridgend Manuf'!$M$6:$BM$6,'Bridgend Manuf'!$M$15:$BM$15)))</f>
        <v/>
      </c>
      <c r="HB60" s="223" t="str">
        <f>IF(HB$7&gt;$D$3,"",IF($FA57&lt;HB$7,"OD",_xlfn.XLOOKUP(HB$7,'Bridgend Manuf'!$M$6:$BM$6,'Bridgend Manuf'!$M$15:$BM$15)))</f>
        <v/>
      </c>
      <c r="HC60" s="223" t="str">
        <f>IF(HC$7&gt;$D$3,"",IF($FA57&lt;HC$7,"OD",_xlfn.XLOOKUP(HC$7,'Bridgend Manuf'!$M$6:$BM$6,'Bridgend Manuf'!$M$15:$BM$15)))</f>
        <v/>
      </c>
      <c r="HE60" s="136" t="str">
        <f>+$C60</f>
        <v>KPI Q1</v>
      </c>
      <c r="HF60" s="144" t="str">
        <f>+$D60</f>
        <v>Quality</v>
      </c>
      <c r="HG60" s="144" t="str">
        <f>+$E60</f>
        <v>Customer Complaints</v>
      </c>
      <c r="HH60" s="145" t="str">
        <f>+$F60</f>
        <v>Count</v>
      </c>
      <c r="HI60" s="145" t="s">
        <v>44</v>
      </c>
      <c r="HJ60" s="223" t="s">
        <v>122</v>
      </c>
      <c r="HK60" s="223">
        <f>IF(HK$7&gt;$D$3,"",IF($FA57&lt;HK$7,"OD",_xlfn.XLOOKUP(HK$7,'Bridgend Manuf'!$M$6:$BM$6,'Bridgend Manuf'!$M$14:$BM$14)))</f>
        <v>3</v>
      </c>
      <c r="HL60" s="223">
        <f>IF(HL$7&gt;$D$3,"",IF($FA57&lt;HL$7,"OD",_xlfn.XLOOKUP(HL$7,'Bridgend Manuf'!$M$6:$BM$6,'Bridgend Manuf'!$M$14:$BM$14)))</f>
        <v>3</v>
      </c>
      <c r="HM60" s="223">
        <f>IF(HM$7&gt;$D$3,"",IF($FA57&lt;HM$7,"OD",_xlfn.XLOOKUP(HM$7,'Bridgend Manuf'!$M$6:$BM$6,'Bridgend Manuf'!$M$14:$BM$14)))</f>
        <v>3</v>
      </c>
      <c r="HN60" s="223">
        <f>IF(HN$7&gt;$D$3,"",IF($FA57&lt;HN$7,"OD",_xlfn.XLOOKUP(HN$7,'Bridgend Manuf'!$M$6:$BM$6,'Bridgend Manuf'!$M$14:$BM$14)))</f>
        <v>3</v>
      </c>
      <c r="HO60" s="223">
        <f>IF(HO$7&gt;$D$3,"",IF($FA57&lt;HO$7,"OD",_xlfn.XLOOKUP(HO$7,'Bridgend Manuf'!$M$6:$BM$6,'Bridgend Manuf'!$M$14:$BM$14)))</f>
        <v>3</v>
      </c>
      <c r="HP60" s="223">
        <f>IF(HP$7&gt;$D$3,"",IF($FA57&lt;HP$7,"OD",_xlfn.XLOOKUP(HP$7,'Bridgend Manuf'!$M$6:$BM$6,'Bridgend Manuf'!$M$14:$BM$14)))</f>
        <v>3</v>
      </c>
      <c r="HQ60" s="223">
        <f>IF(HQ$7&gt;$D$3,"",IF($FA57&lt;HQ$7,"OD",_xlfn.XLOOKUP(HQ$7,'Bridgend Manuf'!$M$6:$BM$6,'Bridgend Manuf'!$M$14:$BM$14)))</f>
        <v>3</v>
      </c>
      <c r="HR60" s="223">
        <f>IF(HR$7&gt;$D$3,"",IF($FA57&lt;HR$7,"OD",_xlfn.XLOOKUP(HR$7,'Bridgend Manuf'!$M$6:$BM$6,'Bridgend Manuf'!$M$14:$BM$14)))</f>
        <v>3</v>
      </c>
      <c r="HS60" s="223">
        <f>IF(HS$7&gt;$D$3,"",IF($FA57&lt;HS$7,"OD",_xlfn.XLOOKUP(HS$7,'Bridgend Manuf'!$M$6:$BM$6,'Bridgend Manuf'!$M$14:$BM$14)))</f>
        <v>3</v>
      </c>
      <c r="HT60" s="223">
        <f>IF(HT$7&gt;$D$3,"",IF($FA57&lt;HT$7,"OD",_xlfn.XLOOKUP(HT$7,'Bridgend Manuf'!$M$6:$BM$6,'Bridgend Manuf'!$M$14:$BM$14)))</f>
        <v>3</v>
      </c>
      <c r="HU60" s="223">
        <f>IF(HU$7&gt;$D$3,"",IF($FA57&lt;HU$7,"OD",_xlfn.XLOOKUP(HU$7,'Bridgend Manuf'!$M$6:$BM$6,'Bridgend Manuf'!$M$14:$BM$14)))</f>
        <v>3</v>
      </c>
      <c r="HV60" s="223">
        <f>IF(HV$7&gt;$D$3,"",IF($FA57&lt;HV$7,"OD",_xlfn.XLOOKUP(HV$7,'Bridgend Manuf'!$M$6:$BM$6,'Bridgend Manuf'!$M$14:$BM$14)))</f>
        <v>3</v>
      </c>
      <c r="HW60" s="223">
        <f>IF(HW$7&gt;$D$3,"",IF($FA57&lt;HW$7,"OD",_xlfn.XLOOKUP(HW$7,'Bridgend Manuf'!$M$6:$BM$6,'Bridgend Manuf'!$M$14:$BM$14)))</f>
        <v>3</v>
      </c>
      <c r="HX60" s="223">
        <f>IF(HX$7&gt;$D$3,"",IF($FA57&lt;HX$7,"OD",_xlfn.XLOOKUP(HX$7,'Bridgend Manuf'!$M$6:$BM$6,'Bridgend Manuf'!$M$14:$BM$14)))</f>
        <v>3</v>
      </c>
      <c r="HY60" s="223">
        <f>IF(HY$7&gt;$D$3,"",IF($FA57&lt;HY$7,"OD",_xlfn.XLOOKUP(HY$7,'Bridgend Manuf'!$M$6:$BM$6,'Bridgend Manuf'!$M$14:$BM$14)))</f>
        <v>3</v>
      </c>
      <c r="HZ60" s="223">
        <f>IF(HZ$7&gt;$D$3,"",IF($FA57&lt;HZ$7,"OD",_xlfn.XLOOKUP(HZ$7,'Bridgend Manuf'!$M$6:$BM$6,'Bridgend Manuf'!$M$14:$BM$14)))</f>
        <v>3</v>
      </c>
      <c r="IA60" s="223">
        <f>IF(IA$7&gt;$D$3,"",IF($FA57&lt;IA$7,"OD",_xlfn.XLOOKUP(IA$7,'Bridgend Manuf'!$M$6:$BM$6,'Bridgend Manuf'!$M$14:$BM$14)))</f>
        <v>3</v>
      </c>
      <c r="IB60" s="223">
        <f>IF(IB$7&gt;$D$3,"",IF($FA57&lt;IB$7,"OD",_xlfn.XLOOKUP(IB$7,'Bridgend Manuf'!$M$6:$BM$6,'Bridgend Manuf'!$M$14:$BM$14)))</f>
        <v>3</v>
      </c>
      <c r="IC60" s="223">
        <f>IF(IC$7&gt;$D$3,"",IF($FA57&lt;IC$7,"OD",_xlfn.XLOOKUP(IC$7,'Bridgend Manuf'!$M$6:$BM$6,'Bridgend Manuf'!$M$14:$BM$14)))</f>
        <v>3</v>
      </c>
      <c r="ID60" s="223">
        <f>IF(ID$7&gt;$D$3,"",IF($FA57&lt;ID$7,"OD",_xlfn.XLOOKUP(ID$7,'Bridgend Manuf'!$M$6:$BM$6,'Bridgend Manuf'!$M$14:$BM$14)))</f>
        <v>3</v>
      </c>
      <c r="IE60" s="223">
        <f>IF(IE$7&gt;$D$3,"",IF($FA57&lt;IE$7,"OD",_xlfn.XLOOKUP(IE$7,'Bridgend Manuf'!$M$6:$BM$6,'Bridgend Manuf'!$M$14:$BM$14)))</f>
        <v>3</v>
      </c>
      <c r="IF60" s="223">
        <f>IF(IF$7&gt;$D$3,"",IF($FA57&lt;IF$7,"OD",_xlfn.XLOOKUP(IF$7,'Bridgend Manuf'!$M$6:$BM$6,'Bridgend Manuf'!$M$14:$BM$14)))</f>
        <v>3</v>
      </c>
      <c r="IG60" s="223">
        <f>IF(IG$7&gt;$D$3,"",IF($FA57&lt;IG$7,"OD",_xlfn.XLOOKUP(IG$7,'Bridgend Manuf'!$M$6:$BM$6,'Bridgend Manuf'!$M$14:$BM$14)))</f>
        <v>3</v>
      </c>
      <c r="IH60" s="223">
        <f>IF(IH$7&gt;$D$3,"",IF($FA57&lt;IH$7,"OD",_xlfn.XLOOKUP(IH$7,'Bridgend Manuf'!$M$6:$BM$6,'Bridgend Manuf'!$M$14:$BM$14)))</f>
        <v>3</v>
      </c>
      <c r="II60" s="223">
        <f>IF(II$7&gt;$D$3,"",IF($FA57&lt;II$7,"OD",_xlfn.XLOOKUP(II$7,'Bridgend Manuf'!$M$6:$BM$6,'Bridgend Manuf'!$M$14:$BM$14)))</f>
        <v>3</v>
      </c>
      <c r="IJ60" s="223">
        <f>IF(IJ$7&gt;$D$3,"",IF($FA57&lt;IJ$7,"OD",_xlfn.XLOOKUP(IJ$7,'Bridgend Manuf'!$M$6:$BM$6,'Bridgend Manuf'!$M$14:$BM$14)))</f>
        <v>3</v>
      </c>
      <c r="IK60" s="223">
        <f>IF(IK$7&gt;$D$3,"",IF($FA57&lt;IK$7,"OD",_xlfn.XLOOKUP(IK$7,'Bridgend Manuf'!$M$6:$BM$6,'Bridgend Manuf'!$M$14:$BM$14)))</f>
        <v>3</v>
      </c>
      <c r="IL60" s="223">
        <f>IF(IL$7&gt;$D$3,"",IF($FA57&lt;IL$7,"OD",_xlfn.XLOOKUP(IL$7,'Bridgend Manuf'!$M$6:$BM$6,'Bridgend Manuf'!$M$14:$BM$14)))</f>
        <v>3</v>
      </c>
      <c r="IM60" s="223">
        <f>IF(IM$7&gt;$D$3,"",IF($FA57&lt;IM$7,"OD",_xlfn.XLOOKUP(IM$7,'Bridgend Manuf'!$M$6:$BM$6,'Bridgend Manuf'!$M$14:$BM$14)))</f>
        <v>3</v>
      </c>
      <c r="IN60" s="223">
        <f>IF(IN$7&gt;$D$3,"",IF($FA57&lt;IN$7,"OD",_xlfn.XLOOKUP(IN$7,'Bridgend Manuf'!$M$6:$BM$6,'Bridgend Manuf'!$M$14:$BM$14)))</f>
        <v>3</v>
      </c>
      <c r="IO60" s="223">
        <f>IF(IO$7&gt;$D$3,"",IF($FA57&lt;IO$7,"OD",_xlfn.XLOOKUP(IO$7,'Bridgend Manuf'!$M$6:$BM$6,'Bridgend Manuf'!$M$14:$BM$14)))</f>
        <v>3</v>
      </c>
      <c r="IP60" s="223">
        <f>IF(IP$7&gt;$D$3,"",IF($FA57&lt;IP$7,"OD",_xlfn.XLOOKUP(IP$7,'Bridgend Manuf'!$M$6:$BM$6,'Bridgend Manuf'!$M$14:$BM$14)))</f>
        <v>3</v>
      </c>
      <c r="IQ60" s="223">
        <f>IF(IQ$7&gt;$D$3,"",IF($FA57&lt;IQ$7,"OD",_xlfn.XLOOKUP(IQ$7,'Bridgend Manuf'!$M$6:$BM$6,'Bridgend Manuf'!$M$14:$BM$14)))</f>
        <v>3</v>
      </c>
      <c r="IR60" s="223">
        <f>IF(IR$7&gt;$D$3,"",IF($FA57&lt;IR$7,"OD",_xlfn.XLOOKUP(IR$7,'Bridgend Manuf'!$M$6:$BM$6,'Bridgend Manuf'!$M$14:$BM$14)))</f>
        <v>3</v>
      </c>
      <c r="IS60" s="223">
        <f>IF(IS$7&gt;$D$3,"",IF($FA57&lt;IS$7,"OD",_xlfn.XLOOKUP(IS$7,'Bridgend Manuf'!$M$6:$BM$6,'Bridgend Manuf'!$M$14:$BM$14)))</f>
        <v>3</v>
      </c>
      <c r="IT60" s="223">
        <f>IF(IT$7&gt;$D$3,"",IF($FA57&lt;IT$7,"OD",_xlfn.XLOOKUP(IT$7,'Bridgend Manuf'!$M$6:$BM$6,'Bridgend Manuf'!$M$14:$BM$14)))</f>
        <v>3</v>
      </c>
      <c r="IU60" s="223">
        <f>IF(IU$7&gt;$D$3,"",IF($FA57&lt;IU$7,"OD",_xlfn.XLOOKUP(IU$7,'Bridgend Manuf'!$M$6:$BM$6,'Bridgend Manuf'!$M$14:$BM$14)))</f>
        <v>3</v>
      </c>
      <c r="IV60" s="223">
        <f>IF(IV$7&gt;$D$3,"",IF($FA57&lt;IV$7,"OD",_xlfn.XLOOKUP(IV$7,'Bridgend Manuf'!$M$6:$BM$6,'Bridgend Manuf'!$M$14:$BM$14)))</f>
        <v>3</v>
      </c>
      <c r="IW60" s="223">
        <f>IF(IW$7&gt;$D$3,"",IF($FA57&lt;IW$7,"OD",_xlfn.XLOOKUP(IW$7,'Bridgend Manuf'!$M$6:$BM$6,'Bridgend Manuf'!$M$14:$BM$14)))</f>
        <v>3</v>
      </c>
      <c r="IX60" s="223">
        <f>IF(IX$7&gt;$D$3,"",IF($FA57&lt;IX$7,"OD",_xlfn.XLOOKUP(IX$7,'Bridgend Manuf'!$M$6:$BM$6,'Bridgend Manuf'!$M$14:$BM$14)))</f>
        <v>3</v>
      </c>
      <c r="IY60" s="223">
        <f>IF(IY$7&gt;$D$3,"",IF($FA57&lt;IY$7,"OD",_xlfn.XLOOKUP(IY$7,'Bridgend Manuf'!$M$6:$BM$6,'Bridgend Manuf'!$M$14:$BM$14)))</f>
        <v>3</v>
      </c>
      <c r="IZ60" s="223" t="str">
        <f>IF(IZ$7&gt;$D$3,"",IF($FA57&lt;IZ$7,"OD",_xlfn.XLOOKUP(IZ$7,'Bridgend Manuf'!$M$6:$BM$6,'Bridgend Manuf'!$M$14:$BM$14)))</f>
        <v/>
      </c>
      <c r="JA60" s="223" t="str">
        <f>IF(JA$7&gt;$D$3,"",IF($FA57&lt;JA$7,"OD",_xlfn.XLOOKUP(JA$7,'Bridgend Manuf'!$M$6:$BM$6,'Bridgend Manuf'!$M$14:$BM$14)))</f>
        <v/>
      </c>
      <c r="JB60" s="223" t="str">
        <f>IF(JB$7&gt;$D$3,"",IF($FA57&lt;JB$7,"OD",_xlfn.XLOOKUP(JB$7,'Bridgend Manuf'!$M$6:$BM$6,'Bridgend Manuf'!$M$14:$BM$14)))</f>
        <v/>
      </c>
      <c r="JC60" s="223" t="str">
        <f>IF(JC$7&gt;$D$3,"",IF($FA57&lt;JC$7,"OD",_xlfn.XLOOKUP(JC$7,'Bridgend Manuf'!$M$6:$BM$6,'Bridgend Manuf'!$M$14:$BM$14)))</f>
        <v/>
      </c>
      <c r="JD60" s="223" t="str">
        <f>IF(JD$7&gt;$D$3,"",IF($FA57&lt;JD$7,"OD",_xlfn.XLOOKUP(JD$7,'Bridgend Manuf'!$M$6:$BM$6,'Bridgend Manuf'!$M$14:$BM$14)))</f>
        <v/>
      </c>
      <c r="JE60" s="223" t="str">
        <f>IF(JE$7&gt;$D$3,"",IF($FA57&lt;JE$7,"OD",_xlfn.XLOOKUP(JE$7,'Bridgend Manuf'!$M$6:$BM$6,'Bridgend Manuf'!$M$14:$BM$14)))</f>
        <v/>
      </c>
      <c r="JF60" s="223" t="str">
        <f>IF(JF$7&gt;$D$3,"",IF($FA57&lt;JF$7,"OD",_xlfn.XLOOKUP(JF$7,'Bridgend Manuf'!$M$6:$BM$6,'Bridgend Manuf'!$M$14:$BM$14)))</f>
        <v/>
      </c>
      <c r="JG60" s="223" t="str">
        <f>IF(JG$7&gt;$D$3,"",IF($FA57&lt;JG$7,"OD",_xlfn.XLOOKUP(JG$7,'Bridgend Manuf'!$M$6:$BM$6,'Bridgend Manuf'!$M$14:$BM$14)))</f>
        <v/>
      </c>
      <c r="JH60" s="223" t="str">
        <f>IF(JH$7&gt;$D$3,"",IF($FA57&lt;JH$7,"OD",_xlfn.XLOOKUP(JH$7,'Bridgend Manuf'!$M$6:$BM$6,'Bridgend Manuf'!$M$14:$BM$14)))</f>
        <v/>
      </c>
      <c r="JI60" s="223" t="str">
        <f>IF(JI$7&gt;$D$3,"",IF($FA57&lt;JI$7,"OD",_xlfn.XLOOKUP(JI$7,'Bridgend Manuf'!$M$6:$BM$6,'Bridgend Manuf'!$M$14:$BM$14)))</f>
        <v/>
      </c>
      <c r="JJ60" s="223" t="str">
        <f>IF(JJ$7&gt;$D$3,"",IF($FA57&lt;JJ$7,"OD",_xlfn.XLOOKUP(JJ$7,'Bridgend Manuf'!$M$6:$BM$6,'Bridgend Manuf'!$M$14:$BM$14)))</f>
        <v/>
      </c>
      <c r="JM60" s="136" t="str">
        <f>+$C60</f>
        <v>KPI Q1</v>
      </c>
      <c r="JN60" s="144" t="str">
        <f>+$D60</f>
        <v>Quality</v>
      </c>
      <c r="JO60" s="144" t="str">
        <f>+$E60</f>
        <v>Customer Complaints</v>
      </c>
      <c r="JP60" s="145" t="str">
        <f>+$F60</f>
        <v>Count</v>
      </c>
      <c r="JQ60" s="145" t="s">
        <v>284</v>
      </c>
      <c r="JR60" s="226" t="str">
        <f>IFERROR(AVERAGE(FC60:$FC60),"")</f>
        <v/>
      </c>
      <c r="JS60" s="226">
        <f>IFERROR(AVERAGE($FC60:FD60),"")</f>
        <v>1</v>
      </c>
      <c r="JT60" s="226">
        <f>IFERROR(AVERAGE($FC60:FE60),"")</f>
        <v>3.5</v>
      </c>
      <c r="JU60" s="226">
        <f>IFERROR(AVERAGE($FC60:FF60),"")</f>
        <v>3</v>
      </c>
      <c r="JV60" s="226">
        <f>IFERROR(AVERAGE($FC60:FG60),"")</f>
        <v>3.5</v>
      </c>
      <c r="JW60" s="226">
        <f>IFERROR(AVERAGE($FC60:FH60),"")</f>
        <v>3</v>
      </c>
      <c r="JX60" s="226">
        <f>IFERROR(AVERAGE($FC60:FI60),"")</f>
        <v>2.6666666666666665</v>
      </c>
      <c r="JY60" s="226">
        <f>IFERROR(AVERAGE($FC60:FJ60),"")</f>
        <v>2.5714285714285716</v>
      </c>
      <c r="JZ60" s="226">
        <f>IFERROR(AVERAGE($FC60:FK60),"")</f>
        <v>2.75</v>
      </c>
      <c r="KA60" s="226">
        <f>IFERROR(AVERAGE($FC60:FL60),"")</f>
        <v>2.8888888888888888</v>
      </c>
      <c r="KB60" s="226">
        <f>IFERROR(AVERAGE($FC60:FM60),"")</f>
        <v>2.8</v>
      </c>
      <c r="KC60" s="226">
        <f>IFERROR(AVERAGE($FC60:FN60),"")</f>
        <v>2.5454545454545454</v>
      </c>
      <c r="KD60" s="226">
        <f>IFERROR(AVERAGE($FC60:FO60),"")</f>
        <v>2.3333333333333335</v>
      </c>
      <c r="KE60" s="226">
        <f>IFERROR(AVERAGE($FC60:FP60),"")</f>
        <v>2.1538461538461537</v>
      </c>
      <c r="KF60" s="226">
        <f>IFERROR(AVERAGE($FC60:FQ60),"")</f>
        <v>2.1428571428571428</v>
      </c>
      <c r="KG60" s="226">
        <f>IFERROR(AVERAGE($FC60:FR60),"")</f>
        <v>2.2000000000000002</v>
      </c>
      <c r="KH60" s="226">
        <f>IFERROR(AVERAGE($FC60:FS60),"")</f>
        <v>2.0625</v>
      </c>
      <c r="KI60" s="226">
        <f>IFERROR(AVERAGE($FC60:FT60),"")</f>
        <v>2.2352941176470589</v>
      </c>
      <c r="KJ60" s="226">
        <f>IFERROR(AVERAGE($FC60:FU60),"")</f>
        <v>2.2777777777777777</v>
      </c>
      <c r="KK60" s="226">
        <f>IFERROR(AVERAGE($FC60:FV60),"")</f>
        <v>2.3157894736842106</v>
      </c>
      <c r="KL60" s="226">
        <f>IFERROR(AVERAGE($FC60:FW60),"")</f>
        <v>2.2999999999999998</v>
      </c>
      <c r="KM60" s="226">
        <f>IFERROR(AVERAGE($FC60:FX60),"")</f>
        <v>2.3809523809523809</v>
      </c>
      <c r="KN60" s="226">
        <f>IFERROR(AVERAGE($FC60:FY60),"")</f>
        <v>2.4090909090909092</v>
      </c>
      <c r="KO60" s="226">
        <f>IFERROR(AVERAGE($FC60:FZ60),"")</f>
        <v>2.3913043478260869</v>
      </c>
      <c r="KP60" s="226">
        <f>IFERROR(AVERAGE($FC60:GA60),"")</f>
        <v>2.4166666666666665</v>
      </c>
      <c r="KQ60" s="226">
        <f>IFERROR(AVERAGE($FC60:GB60),"")</f>
        <v>2.52</v>
      </c>
      <c r="KR60" s="226">
        <f>IFERROR(AVERAGE($FC60:GC60),"")</f>
        <v>2.7307692307692308</v>
      </c>
      <c r="KS60" s="226">
        <f>IFERROR(AVERAGE($FC60:GD60),"")</f>
        <v>2.6296296296296298</v>
      </c>
      <c r="KT60" s="226">
        <f>IFERROR(AVERAGE($FC60:GE60),"")</f>
        <v>2.6071428571428572</v>
      </c>
      <c r="KU60" s="226">
        <f>IFERROR(AVERAGE($FC60:GF60),"")</f>
        <v>2.6206896551724137</v>
      </c>
      <c r="KV60" s="226">
        <f>IFERROR(AVERAGE($FC60:GG60),"")</f>
        <v>2.6333333333333333</v>
      </c>
      <c r="KW60" s="226">
        <f>IFERROR(AVERAGE($FC60:GH60),"")</f>
        <v>2.6451612903225805</v>
      </c>
      <c r="KX60" s="226">
        <f>IFERROR(AVERAGE($FC60:GI60),"")</f>
        <v>2.59375</v>
      </c>
      <c r="KY60" s="226">
        <f>IFERROR(AVERAGE($FC60:GJ60),"")</f>
        <v>2.5454545454545454</v>
      </c>
      <c r="KZ60" s="226">
        <f>IFERROR(AVERAGE($FC60:GK60),"")</f>
        <v>2.5294117647058822</v>
      </c>
      <c r="LA60" s="226">
        <f>IFERROR(AVERAGE($FC60:GL60),"")</f>
        <v>2.5428571428571427</v>
      </c>
      <c r="LB60" s="226">
        <f>IFERROR(AVERAGE($FC60:GM60),"")</f>
        <v>2.4722222222222223</v>
      </c>
      <c r="LC60" s="226">
        <f>IFERROR(AVERAGE($FC60:GN60),"")</f>
        <v>2.4594594594594597</v>
      </c>
      <c r="LD60" s="226">
        <f>IFERROR(AVERAGE($FC60:GO60),"")</f>
        <v>2.4736842105263159</v>
      </c>
      <c r="LE60" s="226">
        <f>IFERROR(AVERAGE($FC60:GP60),"")</f>
        <v>2.4102564102564101</v>
      </c>
      <c r="LF60" s="226">
        <f>IFERROR(AVERAGE($FC60:GQ60),"")</f>
        <v>2.35</v>
      </c>
      <c r="LG60" s="226">
        <f>IFERROR(AVERAGE($FC60:GR60),"")</f>
        <v>2.2926829268292681</v>
      </c>
      <c r="LH60" s="226">
        <f>IFERROR(AVERAGE($FC60:GS60),"")</f>
        <v>2.2926829268292681</v>
      </c>
      <c r="LI60" s="226">
        <f>IFERROR(AVERAGE($FC60:GT60),"")</f>
        <v>2.2926829268292681</v>
      </c>
      <c r="LJ60" s="226">
        <f>IFERROR(AVERAGE($FC60:GU60),"")</f>
        <v>2.2926829268292681</v>
      </c>
      <c r="LK60" s="226">
        <f>IFERROR(AVERAGE($FC60:GV60),"")</f>
        <v>2.2926829268292681</v>
      </c>
      <c r="LL60" s="226">
        <f>IFERROR(AVERAGE($FC60:GW60),"")</f>
        <v>2.2926829268292681</v>
      </c>
      <c r="LM60" s="226">
        <f>IFERROR(AVERAGE($FC60:GX60),"")</f>
        <v>2.2926829268292681</v>
      </c>
      <c r="LN60" s="226">
        <f>IFERROR(AVERAGE($FC60:GY60),"")</f>
        <v>2.2926829268292681</v>
      </c>
      <c r="LO60" s="226">
        <f>IFERROR(AVERAGE($FC60:GZ60),"")</f>
        <v>2.2926829268292681</v>
      </c>
      <c r="LP60" s="226">
        <f>IFERROR(AVERAGE($FC60:HA60),"")</f>
        <v>2.2926829268292681</v>
      </c>
      <c r="LQ60" s="226">
        <f>IFERROR(AVERAGE($FC60:HB60),"")</f>
        <v>2.2926829268292681</v>
      </c>
      <c r="LR60" s="226">
        <f>IFERROR(AVERAGE($FC60:HC60),"")</f>
        <v>2.2926829268292681</v>
      </c>
      <c r="LT60" s="136" t="str">
        <f>+$C60</f>
        <v>KPI Q1</v>
      </c>
      <c r="LU60" s="144" t="str">
        <f>+$D60</f>
        <v>Quality</v>
      </c>
      <c r="LV60" s="144" t="str">
        <f>+$E60</f>
        <v>Customer Complaints</v>
      </c>
      <c r="LW60" s="145" t="str">
        <f>+$F60</f>
        <v>Count</v>
      </c>
      <c r="LX60" s="145" t="s">
        <v>285</v>
      </c>
      <c r="LY60" s="223" t="str">
        <f>IFERROR(AVERAGE($HJ60:HJ60),"")</f>
        <v/>
      </c>
      <c r="LZ60" s="223">
        <f>IFERROR(IF(LAD$7&gt;$D$3,"",AVERAGE($HJ60:HK60)),"")</f>
        <v>3</v>
      </c>
      <c r="MA60" s="223">
        <f>IFERROR(IF(MA$7&gt;$D$3,"",AVERAGE($HJ60:HL60)),"")</f>
        <v>3</v>
      </c>
      <c r="MB60" s="223">
        <f>IFERROR(IF(MB$7&gt;$D$3,"",AVERAGE($HJ60:HM60)),"")</f>
        <v>3</v>
      </c>
      <c r="MC60" s="223">
        <f>IFERROR(IF(MC$7&gt;$D$3,"",AVERAGE($HJ60:HN60)),"")</f>
        <v>3</v>
      </c>
      <c r="MD60" s="223">
        <f>IFERROR(IF(MD$7&gt;$D$3,"",AVERAGE($HJ60:HO60)),"")</f>
        <v>3</v>
      </c>
      <c r="ME60" s="223">
        <f>IFERROR(IF(ME$7&gt;$D$3,"",AVERAGE($HJ60:HP60)),"")</f>
        <v>3</v>
      </c>
      <c r="MF60" s="223">
        <f>IFERROR(IF(MF$7&gt;$D$3,"",AVERAGE($HJ60:HQ60)),"")</f>
        <v>3</v>
      </c>
      <c r="MG60" s="223">
        <f>IFERROR(IF(MG$7&gt;$D$3,"",AVERAGE($HJ60:HR60)),"")</f>
        <v>3</v>
      </c>
      <c r="MH60" s="223">
        <f>IFERROR(IF(MH$7&gt;$D$3,"",AVERAGE($HJ60:HS60)),"")</f>
        <v>3</v>
      </c>
      <c r="MI60" s="223">
        <f>IFERROR(IF(MI$7&gt;$D$3,"",AVERAGE($HJ60:HT60)),"")</f>
        <v>3</v>
      </c>
      <c r="MJ60" s="223">
        <f>IFERROR(IF(MJ$7&gt;$D$3,"",AVERAGE($HJ60:HU60)),"")</f>
        <v>3</v>
      </c>
      <c r="MK60" s="223">
        <f>IFERROR(IF(MK$7&gt;$D$3,"",AVERAGE($HJ60:HV60)),"")</f>
        <v>3</v>
      </c>
      <c r="ML60" s="223">
        <f>IFERROR(IF(ML$7&gt;$D$3,"",AVERAGE($HJ60:HW60)),"")</f>
        <v>3</v>
      </c>
      <c r="MM60" s="223">
        <f>IFERROR(IF(MM$7&gt;$D$3,"",AVERAGE($HJ60:HX60)),"")</f>
        <v>3</v>
      </c>
      <c r="MN60" s="223">
        <f>IFERROR(IF(MN$7&gt;$D$3,"",AVERAGE($HJ60:HY60)),"")</f>
        <v>3</v>
      </c>
      <c r="MO60" s="223">
        <f>IFERROR(IF(MO$7&gt;$D$3,"",AVERAGE($HJ60:HZ60)),"")</f>
        <v>3</v>
      </c>
      <c r="MP60" s="223">
        <f>IFERROR(IF(MP$7&gt;$D$3,"",AVERAGE($HJ60:IA60)),"")</f>
        <v>3</v>
      </c>
      <c r="MQ60" s="223">
        <f>IFERROR(IF(MQ$7&gt;$D$3,"",AVERAGE($HJ60:IB60)),"")</f>
        <v>3</v>
      </c>
      <c r="MR60" s="223">
        <f>IFERROR(IF(MR$7&gt;$D$3,"",AVERAGE($HJ60:IC60)),"")</f>
        <v>3</v>
      </c>
      <c r="MS60" s="223">
        <f>IFERROR(IF(MS$7&gt;$D$3,"",AVERAGE($HJ60:ID60)),"")</f>
        <v>3</v>
      </c>
      <c r="MT60" s="223">
        <f>IFERROR(IF(MT$7&gt;$D$3,"",AVERAGE($HJ60:IE60)),"")</f>
        <v>3</v>
      </c>
      <c r="MU60" s="223">
        <f>IFERROR(IF(MU$7&gt;$D$3,"",AVERAGE($HJ60:IF60)),"")</f>
        <v>3</v>
      </c>
      <c r="MV60" s="223">
        <f>IFERROR(IF(MV$7&gt;$D$3,"",AVERAGE($HJ60:IG60)),"")</f>
        <v>3</v>
      </c>
      <c r="MW60" s="223">
        <f>IFERROR(IF(MW$7&gt;$D$3,"",AVERAGE($HJ60:IH60)),"")</f>
        <v>3</v>
      </c>
      <c r="MX60" s="223">
        <f>IFERROR(IF(MX$7&gt;$D$3,"",AVERAGE($HJ60:II60)),"")</f>
        <v>3</v>
      </c>
      <c r="MY60" s="223">
        <f>IFERROR(IF(MY$7&gt;$D$3,"",AVERAGE($HJ60:IJ60)),"")</f>
        <v>3</v>
      </c>
      <c r="MZ60" s="223">
        <f>IFERROR(IF(MZ$7&gt;$D$3,"",AVERAGE($HJ60:IK60)),"")</f>
        <v>3</v>
      </c>
      <c r="NA60" s="223">
        <f>IFERROR(IF(NA$7&gt;$D$3,"",AVERAGE($HJ60:IL60)),"")</f>
        <v>3</v>
      </c>
      <c r="NB60" s="223">
        <f>IFERROR(IF(NB$7&gt;$D$3,"",AVERAGE($HJ60:IM60)),"")</f>
        <v>3</v>
      </c>
      <c r="NC60" s="223">
        <f>IFERROR(IF(NC$7&gt;$D$3,"",AVERAGE($HJ60:IN60)),"")</f>
        <v>3</v>
      </c>
      <c r="ND60" s="223">
        <f>IFERROR(IF(ND$7&gt;$D$3,"",AVERAGE($HJ60:IO60)),"")</f>
        <v>3</v>
      </c>
      <c r="NE60" s="223">
        <f>IFERROR(IF(NE$7&gt;$D$3,"",AVERAGE($HJ60:IP60)),"")</f>
        <v>3</v>
      </c>
      <c r="NF60" s="223">
        <f>IFERROR(IF(NF$7&gt;$D$3,"",AVERAGE($HJ60:IQ60)),"")</f>
        <v>3</v>
      </c>
      <c r="NG60" s="223">
        <f>IFERROR(IF(NG$7&gt;$D$3,"",AVERAGE($HJ60:IR60)),"")</f>
        <v>3</v>
      </c>
      <c r="NH60" s="223">
        <f>IFERROR(IF(NH$7&gt;$D$3,"",AVERAGE($HJ60:IS60)),"")</f>
        <v>3</v>
      </c>
      <c r="NI60" s="223">
        <f>IFERROR(IF(NI$7&gt;$D$3,"",AVERAGE($HJ60:IT60)),"")</f>
        <v>3</v>
      </c>
      <c r="NJ60" s="223">
        <f>IFERROR(IF(NJ$7&gt;$D$3,"",AVERAGE($HJ60:IU60)),"")</f>
        <v>3</v>
      </c>
      <c r="NK60" s="223">
        <f>IFERROR(IF(NK$7&gt;$D$3,"",AVERAGE($HJ60:IV60)),"")</f>
        <v>3</v>
      </c>
      <c r="NL60" s="223">
        <f>IFERROR(IF(NL$7&gt;$D$3,"",AVERAGE($HJ60:IW60)),"")</f>
        <v>3</v>
      </c>
      <c r="NM60" s="223">
        <f>IFERROR(IF(NM$7&gt;$D$3,"",AVERAGE($HJ60:IX60)),"")</f>
        <v>3</v>
      </c>
      <c r="NN60" s="223">
        <f>IFERROR(IF(NN$7&gt;$D$3,"",AVERAGE($HJ60:IY60)),"")</f>
        <v>3</v>
      </c>
      <c r="NO60" s="223" t="str">
        <f>IFERROR(IF(NO$7&gt;$D$3,"",AVERAGE($HJ60:IZ60)),"")</f>
        <v/>
      </c>
      <c r="NP60" s="223" t="str">
        <f>IFERROR(IF(NP$7&gt;$D$3,"",AVERAGE($HJ60:JA60)),"")</f>
        <v/>
      </c>
      <c r="NQ60" s="223" t="str">
        <f>IFERROR(IF(NQ$7&gt;$D$3,"",AVERAGE($HJ60:JB60)),"")</f>
        <v/>
      </c>
      <c r="NR60" s="223" t="str">
        <f>IFERROR(IF(NR$7&gt;$D$3,"",AVERAGE($HJ60:JC60)),"")</f>
        <v/>
      </c>
      <c r="NS60" s="223" t="str">
        <f>IFERROR(IF(NS$7&gt;$D$3,"",AVERAGE($HJ60:JD60)),"")</f>
        <v/>
      </c>
      <c r="NT60" s="223" t="str">
        <f>IFERROR(IF(NT$7&gt;$D$3,"",AVERAGE($HJ60:JE60)),"")</f>
        <v/>
      </c>
      <c r="NU60" s="223" t="str">
        <f>IFERROR(IF(NU$7&gt;$D$3,"",AVERAGE($HJ60:JF60)),"")</f>
        <v/>
      </c>
      <c r="NV60" s="223" t="str">
        <f>IFERROR(IF(NV$7&gt;$D$3,"",AVERAGE($HJ60:JG60)),"")</f>
        <v/>
      </c>
      <c r="NW60" s="223" t="str">
        <f>IFERROR(IF(NW$7&gt;$D$3,"",AVERAGE($HJ60:JH60)),"")</f>
        <v/>
      </c>
      <c r="NX60" s="223" t="str">
        <f>IFERROR(IF(NX$7&gt;$D$3,"",AVERAGE($HJ60:JI60)),"")</f>
        <v/>
      </c>
      <c r="NY60" s="223" t="str">
        <f>IFERROR(IF(NY$7&gt;$D$3,"",AVERAGE($HJ60:JJ60)),"")</f>
        <v/>
      </c>
    </row>
    <row r="61" spans="1:389" ht="15" thickBot="1" x14ac:dyDescent="0.35">
      <c r="A61" t="str">
        <f>$B$57&amp;"-"&amp;C61</f>
        <v>Bridgend Manuf-KPI C1</v>
      </c>
      <c r="B61" s="138"/>
      <c r="C61" s="138" t="str">
        <f>+'KPI Stats'!C60</f>
        <v>KPI C1</v>
      </c>
      <c r="D61" s="146" t="str">
        <f>+'KPI Stats'!D60</f>
        <v>Cost</v>
      </c>
      <c r="E61" s="146" t="str">
        <f>+'KPI Stats'!E60</f>
        <v>Production Value per Employee</v>
      </c>
      <c r="F61" s="147" t="str">
        <f>+'KPI Stats'!F60</f>
        <v>£'s</v>
      </c>
      <c r="G61" s="170" t="str">
        <f>+'KPI Stats'!G60</f>
        <v>Under</v>
      </c>
      <c r="J61" s="160" t="str">
        <f>_xlfn.XLOOKUP(J$7,$AM$7:$CM$7,$AM61:$CM61,,FALSE)</f>
        <v>OD</v>
      </c>
      <c r="K61" s="266">
        <f>_xlfn.XLOOKUP(K$7,$FC$7:$HC$7,$FC61:$HC61,,FALSE)</f>
        <v>0</v>
      </c>
      <c r="L61" s="279">
        <f>_xlfn.XLOOKUP(L$7,$HJ$7:$JJ$7,$HJ61:$JJ61,,FALSE)</f>
        <v>0</v>
      </c>
      <c r="M61" s="273" t="str">
        <f>_xlfn.XLOOKUP(M$7,$CU$7:$EU$7,$CU61:$EU61,,FALSE)</f>
        <v>OD</v>
      </c>
      <c r="P61" s="160" t="str">
        <f>_xlfn.XLOOKUP(P$7,$AM$7:$CM$7,$AM61:$CM61,,FALSE)</f>
        <v>OD</v>
      </c>
      <c r="Q61" s="266">
        <f t="shared" si="195"/>
        <v>0</v>
      </c>
      <c r="R61" s="270">
        <f t="shared" si="195"/>
        <v>0</v>
      </c>
      <c r="S61" s="289" t="str">
        <f t="shared" si="196"/>
        <v>OD</v>
      </c>
      <c r="T61" s="267" t="str">
        <f t="shared" si="196"/>
        <v>OD</v>
      </c>
      <c r="U61" s="296" t="str">
        <f>IF(F57&lt;$R$2,"Not Complete",IF(Q61=R61,"Same −",IF($G61="Over",IF(Q61&lt;R61,"Better ↑","Worse ↓"),IF($G61="Under",IF(Q61&gt;R61,"Better ↑","Worse ↓"),"err"))))</f>
        <v>Same −</v>
      </c>
      <c r="X61" s="160" t="str">
        <f t="shared" si="197"/>
        <v>G</v>
      </c>
      <c r="Y61" s="266">
        <f>_xlfn.XLOOKUP(Y$7,$JR$7:$LR$7,$JR61:$LR61,FALSE)</f>
        <v>2362.8780487804879</v>
      </c>
      <c r="Z61" s="279">
        <f>_xlfn.XLOOKUP(Z$7,$LY$7:$NY$7,$LY61:$NY61,FALSE)</f>
        <v>2107.5853658536585</v>
      </c>
      <c r="AA61" s="276">
        <f>IF(G61="under",Y61/Z61,IF(G61="over",Z61/Y61,"err"))</f>
        <v>1.1211304116374075</v>
      </c>
      <c r="AB61" s="296" t="str">
        <f>IF(F57&lt;$R$2,"TBC",IF(Y61=Z61,"Same −",IF($G61="Over",IF(Z61&lt;Y61,"Better ↑ ","Worse ↓ "),IF($G61="Under",IF(Y61&gt;Z61,"Better ↑ ","Worse ↓ "),"err"))))</f>
        <v xml:space="preserve">Better ↑ </v>
      </c>
      <c r="AC61" s="160" t="str">
        <f>IF(AND(G61="above adero",AD61&gt;0),"R",IF(AF61&gt;1,"G",IF(AF61&gt;0.95,"A","R")))</f>
        <v>G</v>
      </c>
      <c r="AD61" s="164">
        <f>_xlfn.XLOOKUP(AD$7,$JR$7:$LR$7,$JR61:$LR61,FALSE)</f>
        <v>2421.9499999999998</v>
      </c>
      <c r="AE61" s="164">
        <f>_xlfn.XLOOKUP(AE$7,$LY$7:$NY$7,$LY61:$NY61,FALSE)</f>
        <v>2160.2750000000001</v>
      </c>
      <c r="AF61" s="255">
        <f>IF(G61="under",AD61/AE61,IF(G61="over",AE61/AD61,"err"))</f>
        <v>1.1211304116374072</v>
      </c>
      <c r="AH61" s="465" t="str">
        <f>+$A61</f>
        <v>Bridgend Manuf-KPI C1</v>
      </c>
      <c r="AI61" s="138" t="str">
        <f t="shared" si="198"/>
        <v>KPI C1</v>
      </c>
      <c r="AJ61" s="146" t="str">
        <f t="shared" si="198"/>
        <v>Cost</v>
      </c>
      <c r="AK61" s="146" t="str">
        <f t="shared" si="184"/>
        <v>Production Value per Employee</v>
      </c>
      <c r="AL61" s="147" t="str">
        <f t="shared" si="184"/>
        <v>£'s</v>
      </c>
      <c r="AM61" s="160" t="str">
        <f>IF(AM$7&gt;$D$3,"",_xlfn.XLOOKUP(AM$7,'Bridgend Manuf'!$M$6:$BM$6,'Bridgend Manuf'!$M$19:$BM$19))</f>
        <v>Blank</v>
      </c>
      <c r="AN61" s="200" t="str">
        <f>IF(AN$7&gt;$D$3,"",_xlfn.XLOOKUP(AN$7,'Bridgend Manuf'!$M$6:$BM$6,'Bridgend Manuf'!$M$19:$BM$19))</f>
        <v>R</v>
      </c>
      <c r="AO61" s="160" t="str">
        <f>IF(AO$7&gt;$D$3,"",_xlfn.XLOOKUP(AO$7,'Bridgend Manuf'!$M$6:$BM$6,'Bridgend Manuf'!$M$19:$BM$19))</f>
        <v>G</v>
      </c>
      <c r="AP61" s="160" t="str">
        <f>IF(AP$7&gt;$D$3,"",_xlfn.XLOOKUP(AP$7,'Bridgend Manuf'!$M$6:$BM$6,'Bridgend Manuf'!$M$19:$BM$19))</f>
        <v>G</v>
      </c>
      <c r="AQ61" s="160" t="str">
        <f>IF(AQ$7&gt;$D$3,"",_xlfn.XLOOKUP(AQ$7,'Bridgend Manuf'!$M$6:$BM$6,'Bridgend Manuf'!$M$19:$BM$19))</f>
        <v>G</v>
      </c>
      <c r="AR61" s="160" t="str">
        <f>IF(AR$7&gt;$D$3,"",_xlfn.XLOOKUP(AR$7,'Bridgend Manuf'!$M$6:$BM$6,'Bridgend Manuf'!$M$19:$BM$19))</f>
        <v>G</v>
      </c>
      <c r="AS61" s="160" t="str">
        <f>IF(AS$7&gt;$D$3,"",_xlfn.XLOOKUP(AS$7,'Bridgend Manuf'!$M$6:$BM$6,'Bridgend Manuf'!$M$19:$BM$19))</f>
        <v>G</v>
      </c>
      <c r="AT61" s="160" t="str">
        <f>IF(AT$7&gt;$D$3,"",_xlfn.XLOOKUP(AT$7,'Bridgend Manuf'!$M$6:$BM$6,'Bridgend Manuf'!$M$19:$BM$19))</f>
        <v>G</v>
      </c>
      <c r="AU61" s="160" t="str">
        <f>IF(AU$7&gt;$D$3,"",_xlfn.XLOOKUP(AU$7,'Bridgend Manuf'!$M$6:$BM$6,'Bridgend Manuf'!$M$19:$BM$19))</f>
        <v>G</v>
      </c>
      <c r="AV61" s="160" t="str">
        <f>IF(AV$7&gt;$D$3,"",_xlfn.XLOOKUP(AV$7,'Bridgend Manuf'!$M$6:$BM$6,'Bridgend Manuf'!$M$19:$BM$19))</f>
        <v>G</v>
      </c>
      <c r="AW61" s="160" t="str">
        <f>IF(AW$7&gt;$D$3,"",_xlfn.XLOOKUP(AW$7,'Bridgend Manuf'!$M$6:$BM$6,'Bridgend Manuf'!$M$19:$BM$19))</f>
        <v>G</v>
      </c>
      <c r="AX61" s="160" t="str">
        <f>IF(AX$7&gt;$D$3,"",_xlfn.XLOOKUP(AX$7,'Bridgend Manuf'!$M$6:$BM$6,'Bridgend Manuf'!$M$19:$BM$19))</f>
        <v>G</v>
      </c>
      <c r="AY61" s="160" t="str">
        <f>IF(AY$7&gt;$D$3,"",_xlfn.XLOOKUP(AY$7,'Bridgend Manuf'!$M$6:$BM$6,'Bridgend Manuf'!$M$19:$BM$19))</f>
        <v>G</v>
      </c>
      <c r="AZ61" s="160" t="str">
        <f>IF(AZ$7&gt;$D$3,"",_xlfn.XLOOKUP(AZ$7,'Bridgend Manuf'!$M$6:$BM$6,'Bridgend Manuf'!$M$19:$BM$19))</f>
        <v>G</v>
      </c>
      <c r="BA61" s="160" t="str">
        <f>IF(BA$7&gt;$D$3,"",_xlfn.XLOOKUP(BA$7,'Bridgend Manuf'!$M$6:$BM$6,'Bridgend Manuf'!$M$19:$BM$19))</f>
        <v>G</v>
      </c>
      <c r="BB61" s="160" t="str">
        <f>IF(BB$7&gt;$D$3,"",_xlfn.XLOOKUP(BB$7,'Bridgend Manuf'!$M$6:$BM$6,'Bridgend Manuf'!$M$19:$BM$19))</f>
        <v>R</v>
      </c>
      <c r="BC61" s="160" t="str">
        <f>IF(BC$7&gt;$D$3,"",_xlfn.XLOOKUP(BC$7,'Bridgend Manuf'!$M$6:$BM$6,'Bridgend Manuf'!$M$19:$BM$19))</f>
        <v>R</v>
      </c>
      <c r="BD61" s="160" t="str">
        <f>IF(BD$7&gt;$D$3,"",_xlfn.XLOOKUP(BD$7,'Bridgend Manuf'!$M$6:$BM$6,'Bridgend Manuf'!$M$19:$BM$19))</f>
        <v>G</v>
      </c>
      <c r="BE61" s="160" t="str">
        <f>IF(BE$7&gt;$D$3,"",_xlfn.XLOOKUP(BE$7,'Bridgend Manuf'!$M$6:$BM$6,'Bridgend Manuf'!$M$19:$BM$19))</f>
        <v>R</v>
      </c>
      <c r="BF61" s="160" t="str">
        <f>IF(BF$7&gt;$D$3,"",_xlfn.XLOOKUP(BF$7,'Bridgend Manuf'!$M$6:$BM$6,'Bridgend Manuf'!$M$19:$BM$19))</f>
        <v>G</v>
      </c>
      <c r="BG61" s="160" t="str">
        <f>IF(BG$7&gt;$D$3,"",_xlfn.XLOOKUP(BG$7,'Bridgend Manuf'!$M$6:$BM$6,'Bridgend Manuf'!$M$19:$BM$19))</f>
        <v>G</v>
      </c>
      <c r="BH61" s="160" t="str">
        <f>IF(BH$7&gt;$D$3,"",_xlfn.XLOOKUP(BH$7,'Bridgend Manuf'!$M$6:$BM$6,'Bridgend Manuf'!$M$19:$BM$19))</f>
        <v>R</v>
      </c>
      <c r="BI61" s="160" t="str">
        <f>IF(BI$7&gt;$D$3,"",_xlfn.XLOOKUP(BI$7,'Bridgend Manuf'!$M$6:$BM$6,'Bridgend Manuf'!$M$19:$BM$19))</f>
        <v>G</v>
      </c>
      <c r="BJ61" s="160" t="str">
        <f>IF(BJ$7&gt;$D$3,"",_xlfn.XLOOKUP(BJ$7,'Bridgend Manuf'!$M$6:$BM$6,'Bridgend Manuf'!$M$19:$BM$19))</f>
        <v>R</v>
      </c>
      <c r="BK61" s="160" t="str">
        <f>IF(BK$7&gt;$D$3,"",_xlfn.XLOOKUP(BK$7,'Bridgend Manuf'!$M$6:$BM$6,'Bridgend Manuf'!$M$19:$BM$19))</f>
        <v>G</v>
      </c>
      <c r="BL61" s="160" t="str">
        <f>IF(BL$7&gt;$D$3,"",_xlfn.XLOOKUP(BL$7,'Bridgend Manuf'!$M$6:$BM$6,'Bridgend Manuf'!$M$19:$BM$19))</f>
        <v>G</v>
      </c>
      <c r="BM61" s="160" t="str">
        <f>IF(BM$7&gt;$D$3,"",_xlfn.XLOOKUP(BM$7,'Bridgend Manuf'!$M$6:$BM$6,'Bridgend Manuf'!$M$19:$BM$19))</f>
        <v>R</v>
      </c>
      <c r="BN61" s="160" t="str">
        <f>IF(BN$7&gt;$D$3,"",_xlfn.XLOOKUP(BN$7,'Bridgend Manuf'!$M$6:$BM$6,'Bridgend Manuf'!$M$19:$BM$19))</f>
        <v>R</v>
      </c>
      <c r="BO61" s="160" t="str">
        <f>IF(BO$7&gt;$D$3,"",_xlfn.XLOOKUP(BO$7,'Bridgend Manuf'!$M$6:$BM$6,'Bridgend Manuf'!$M$19:$BM$19))</f>
        <v>G</v>
      </c>
      <c r="BP61" s="160" t="str">
        <f>IF(BP$7&gt;$D$3,"",_xlfn.XLOOKUP(BP$7,'Bridgend Manuf'!$M$6:$BM$6,'Bridgend Manuf'!$M$19:$BM$19))</f>
        <v>G</v>
      </c>
      <c r="BQ61" s="160" t="str">
        <f>IF(BQ$7&gt;$D$3,"",_xlfn.XLOOKUP(BQ$7,'Bridgend Manuf'!$M$6:$BM$6,'Bridgend Manuf'!$M$19:$BM$19))</f>
        <v>G</v>
      </c>
      <c r="BR61" s="160" t="str">
        <f>IF(BR$7&gt;$D$3,"",_xlfn.XLOOKUP(BR$7,'Bridgend Manuf'!$M$6:$BM$6,'Bridgend Manuf'!$M$19:$BM$19))</f>
        <v>G</v>
      </c>
      <c r="BS61" s="160" t="str">
        <f>IF(BS$7&gt;$D$3,"",_xlfn.XLOOKUP(BS$7,'Bridgend Manuf'!$M$6:$BM$6,'Bridgend Manuf'!$M$19:$BM$19))</f>
        <v>G</v>
      </c>
      <c r="BT61" s="160" t="str">
        <f>IF(BT$7&gt;$D$3,"",_xlfn.XLOOKUP(BT$7,'Bridgend Manuf'!$M$6:$BM$6,'Bridgend Manuf'!$M$19:$BM$19))</f>
        <v>G</v>
      </c>
      <c r="BU61" s="160" t="str">
        <f>IF(BU$7&gt;$D$3,"",_xlfn.XLOOKUP(BU$7,'Bridgend Manuf'!$M$6:$BM$6,'Bridgend Manuf'!$M$19:$BM$19))</f>
        <v>G</v>
      </c>
      <c r="BV61" s="160" t="str">
        <f>IF(BV$7&gt;$D$3,"",_xlfn.XLOOKUP(BV$7,'Bridgend Manuf'!$M$6:$BM$6,'Bridgend Manuf'!$M$19:$BM$19))</f>
        <v>G</v>
      </c>
      <c r="BW61" s="160" t="str">
        <f>IF(BW$7&gt;$D$3,"",_xlfn.XLOOKUP(BW$7,'Bridgend Manuf'!$M$6:$BM$6,'Bridgend Manuf'!$M$19:$BM$19))</f>
        <v>G</v>
      </c>
      <c r="BX61" s="160" t="str">
        <f>IF(BX$7&gt;$D$3,"",_xlfn.XLOOKUP(BX$7,'Bridgend Manuf'!$M$6:$BM$6,'Bridgend Manuf'!$M$19:$BM$19))</f>
        <v>R</v>
      </c>
      <c r="BY61" s="160" t="str">
        <f>IF(BY$7&gt;$D$3,"",_xlfn.XLOOKUP(BY$7,'Bridgend Manuf'!$M$6:$BM$6,'Bridgend Manuf'!$M$19:$BM$19))</f>
        <v>G</v>
      </c>
      <c r="BZ61" s="160" t="str">
        <f>IF(BZ$7&gt;$D$3,"",_xlfn.XLOOKUP(BZ$7,'Bridgend Manuf'!$M$6:$BM$6,'Bridgend Manuf'!$M$19:$BM$19))</f>
        <v>OD</v>
      </c>
      <c r="CA61" s="160" t="str">
        <f>IF(CA$7&gt;$D$3,"",_xlfn.XLOOKUP(CA$7,'Bridgend Manuf'!$M$6:$BM$6,'Bridgend Manuf'!$M$19:$BM$19))</f>
        <v>OD</v>
      </c>
      <c r="CB61" s="160" t="str">
        <f>IF(CB$7&gt;$D$3,"",_xlfn.XLOOKUP(CB$7,'Bridgend Manuf'!$M$6:$BM$6,'Bridgend Manuf'!$M$19:$BM$19))</f>
        <v>OD</v>
      </c>
      <c r="CC61" s="160" t="str">
        <f>IF(CC$7&gt;$D$3,"",_xlfn.XLOOKUP(CC$7,'Bridgend Manuf'!$M$6:$BM$6,'Bridgend Manuf'!$M$19:$BM$19))</f>
        <v/>
      </c>
      <c r="CD61" s="160" t="str">
        <f>IF(CD$7&gt;$D$3,"",_xlfn.XLOOKUP(CD$7,'Bridgend Manuf'!$M$6:$BM$6,'Bridgend Manuf'!$M$19:$BM$19))</f>
        <v/>
      </c>
      <c r="CE61" s="160" t="str">
        <f>IF(CE$7&gt;$D$3,"",_xlfn.XLOOKUP(CE$7,'Bridgend Manuf'!$M$6:$BM$6,'Bridgend Manuf'!$M$19:$BM$19))</f>
        <v/>
      </c>
      <c r="CF61" s="160" t="str">
        <f>IF(CF$7&gt;$D$3,"",_xlfn.XLOOKUP(CF$7,'Bridgend Manuf'!$M$6:$BM$6,'Bridgend Manuf'!$M$19:$BM$19))</f>
        <v/>
      </c>
      <c r="CG61" s="160" t="str">
        <f>IF(CG$7&gt;$D$3,"",_xlfn.XLOOKUP(CG$7,'Bridgend Manuf'!$M$6:$BM$6,'Bridgend Manuf'!$M$19:$BM$19))</f>
        <v/>
      </c>
      <c r="CH61" s="160" t="str">
        <f>IF(CH$7&gt;$D$3,"",_xlfn.XLOOKUP(CH$7,'Bridgend Manuf'!$M$6:$BM$6,'Bridgend Manuf'!$M$19:$BM$19))</f>
        <v/>
      </c>
      <c r="CI61" s="160" t="str">
        <f>IF(CI$7&gt;$D$3,"",_xlfn.XLOOKUP(CI$7,'Bridgend Manuf'!$M$6:$BM$6,'Bridgend Manuf'!$M$19:$BM$19))</f>
        <v/>
      </c>
      <c r="CJ61" s="160" t="str">
        <f>IF(CJ$7&gt;$D$3,"",_xlfn.XLOOKUP(CJ$7,'Bridgend Manuf'!$M$6:$BM$6,'Bridgend Manuf'!$M$19:$BM$19))</f>
        <v/>
      </c>
      <c r="CK61" s="160" t="str">
        <f>IF(CK$7&gt;$D$3,"",_xlfn.XLOOKUP(CK$7,'Bridgend Manuf'!$M$6:$BM$6,'Bridgend Manuf'!$M$19:$BM$19))</f>
        <v/>
      </c>
      <c r="CL61" s="160" t="str">
        <f>IF(CL$7&gt;$D$3,"",_xlfn.XLOOKUP(CL$7,'Bridgend Manuf'!$M$6:$BM$6,'Bridgend Manuf'!$M$19:$BM$19))</f>
        <v/>
      </c>
      <c r="CM61" s="160" t="str">
        <f>IF(CM$7&gt;$D$3,"",_xlfn.XLOOKUP(CM$7,'Bridgend Manuf'!$M$6:$BM$6,'Bridgend Manuf'!$M$19:$BM$19))</f>
        <v/>
      </c>
      <c r="CO61" s="465" t="str">
        <f>+$A61</f>
        <v>Bridgend Manuf-KPI C1</v>
      </c>
      <c r="CP61" s="138" t="str">
        <f t="shared" si="199"/>
        <v>KPI C1</v>
      </c>
      <c r="CQ61" s="146" t="str">
        <f t="shared" si="199"/>
        <v>Cost</v>
      </c>
      <c r="CR61" s="146" t="str">
        <f t="shared" si="186"/>
        <v>Production Value per Employee</v>
      </c>
      <c r="CS61" s="147" t="str">
        <f t="shared" si="186"/>
        <v>£'s</v>
      </c>
      <c r="CT61" s="208" t="s">
        <v>246</v>
      </c>
      <c r="CU61" s="424" t="str">
        <f>IF(CU$7&gt;$D$3,"",_xlfn.XLOOKUP(CU$7,'Bridgend Manuf'!$M$6:$BM$6,'Bridgend Manuf'!$M$19:$BM$19))</f>
        <v>Blank</v>
      </c>
      <c r="CV61" s="324">
        <f>IFERROR(IF(CV$7&gt;$D$3,"",IF(AN61="OD","OD",IF(AN61="Missed","Missed",IF(AN61="TBC","TBC",IF(AN61="Undefined","Undefined",_xlfn.XLOOKUP(CV$7,'Bridgend Manuf'!$M$6:$BM$6,'Bridgend Manuf'!$M$18:$BM$18)/_xlfn.XLOOKUP(CV$7,'Bridgend Manuf'!$M$6:$BM$6,'Bridgend Manuf'!$M$17:$BM$17)))))),"")</f>
        <v>0.93657042869641294</v>
      </c>
      <c r="CW61" s="325">
        <f>IFERROR(IF(CW$7&gt;$D$3,"",IF(AO61="OD","OD",IF(AO61="Missed","Missed",IF(AO61="TBC","TBC",IF(AO61="Undefined","Undefined",_xlfn.XLOOKUP(CW$7,'Bridgend Manuf'!$M$6:$BM$6,'Bridgend Manuf'!$M$18:$BM$18)/_xlfn.XLOOKUP(CW$7,'Bridgend Manuf'!$M$6:$BM$6,'Bridgend Manuf'!$M$17:$BM$17)))))),"")</f>
        <v>1.0078740157480315</v>
      </c>
      <c r="CX61" s="325">
        <f>IFERROR(IF(CX$7&gt;$D$3,"",IF(AP61="OD","OD",IF(AP61="Missed","Missed",IF(AP61="TBC","TBC",IF(AP61="Undefined","Undefined",_xlfn.XLOOKUP(CX$7,'Bridgend Manuf'!$M$6:$BM$6,'Bridgend Manuf'!$M$18:$BM$18)/_xlfn.XLOOKUP(CX$7,'Bridgend Manuf'!$M$6:$BM$6,'Bridgend Manuf'!$M$17:$BM$17)))))),"")</f>
        <v>1.2624671916010499</v>
      </c>
      <c r="CY61" s="325">
        <f>IFERROR(IF(CY$7&gt;$D$3,"",IF(AQ61="OD","OD",IF(AQ61="Missed","Missed",IF(AQ61="TBC","TBC",IF(AQ61="Undefined","Undefined",_xlfn.XLOOKUP(CY$7,'Bridgend Manuf'!$M$6:$BM$6,'Bridgend Manuf'!$M$18:$BM$18)/_xlfn.XLOOKUP(CY$7,'Bridgend Manuf'!$M$6:$BM$6,'Bridgend Manuf'!$M$17:$BM$17)))))),"")</f>
        <v>1.1452318460192477</v>
      </c>
      <c r="CZ61" s="325">
        <f>IFERROR(IF(CZ$7&gt;$D$3,"",IF(AR61="OD","OD",IF(AR61="Missed","Missed",IF(AR61="TBC","TBC",IF(AR61="Undefined","Undefined",_xlfn.XLOOKUP(CZ$7,'Bridgend Manuf'!$M$6:$BM$6,'Bridgend Manuf'!$M$18:$BM$18)/_xlfn.XLOOKUP(CZ$7,'Bridgend Manuf'!$M$6:$BM$6,'Bridgend Manuf'!$M$17:$BM$17)))))),"")</f>
        <v>1.1907261592300962</v>
      </c>
      <c r="DA61" s="325">
        <f>IFERROR(IF(DA$7&gt;$D$3,"",IF(AS61="OD","OD",IF(AS61="Missed","Missed",IF(AS61="TBC","TBC",IF(AS61="Undefined","Undefined",_xlfn.XLOOKUP(DA$7,'Bridgend Manuf'!$M$6:$BM$6,'Bridgend Manuf'!$M$18:$BM$18)/_xlfn.XLOOKUP(DA$7,'Bridgend Manuf'!$M$6:$BM$6,'Bridgend Manuf'!$M$17:$BM$17)))))),"")</f>
        <v>1.1032370953630797</v>
      </c>
      <c r="DB61" s="325">
        <f>IFERROR(IF(DB$7&gt;$D$3,"",IF(AT61="OD","OD",IF(AT61="Missed","Missed",IF(AT61="TBC","TBC",IF(AT61="Undefined","Undefined",_xlfn.XLOOKUP(DB$7,'Bridgend Manuf'!$M$6:$BM$6,'Bridgend Manuf'!$M$18:$BM$18)/_xlfn.XLOOKUP(DB$7,'Bridgend Manuf'!$M$6:$BM$6,'Bridgend Manuf'!$M$17:$BM$17)))))),"")</f>
        <v>1.1885389326334208</v>
      </c>
      <c r="DC61" s="325">
        <f>IFERROR(IF(DC$7&gt;$D$3,"",IF(AU61="OD","OD",IF(AU61="Missed","Missed",IF(AU61="TBC","TBC",IF(AU61="Undefined","Undefined",_xlfn.XLOOKUP(DC$7,'Bridgend Manuf'!$M$6:$BM$6,'Bridgend Manuf'!$M$18:$BM$18)/_xlfn.XLOOKUP(DC$7,'Bridgend Manuf'!$M$6:$BM$6,'Bridgend Manuf'!$M$17:$BM$17)))))),"")</f>
        <v>1.3722659667541557</v>
      </c>
      <c r="DD61" s="325">
        <f>IFERROR(IF(DD$7&gt;$D$3,"",IF(AV61="OD","OD",IF(AV61="Missed","Missed",IF(AV61="TBC","TBC",IF(AV61="Undefined","Undefined",_xlfn.XLOOKUP(DD$7,'Bridgend Manuf'!$M$6:$BM$6,'Bridgend Manuf'!$M$18:$BM$18)/_xlfn.XLOOKUP(DD$7,'Bridgend Manuf'!$M$6:$BM$6,'Bridgend Manuf'!$M$17:$BM$17)))))),"")</f>
        <v>1.1587926509186353</v>
      </c>
      <c r="DE61" s="325">
        <f>IFERROR(IF(DE$7&gt;$D$3,"",IF(AW61="OD","OD",IF(AW61="Missed","Missed",IF(AW61="TBC","TBC",IF(AW61="Undefined","Undefined",_xlfn.XLOOKUP(DE$7,'Bridgend Manuf'!$M$6:$BM$6,'Bridgend Manuf'!$M$18:$BM$18)/_xlfn.XLOOKUP(DE$7,'Bridgend Manuf'!$M$6:$BM$6,'Bridgend Manuf'!$M$17:$BM$17)))))),"")</f>
        <v>1.2195975503062118</v>
      </c>
      <c r="DF61" s="325">
        <f>IFERROR(IF(DF$7&gt;$D$3,"",IF(AX61="OD","OD",IF(AX61="Missed","Missed",IF(AX61="TBC","TBC",IF(AX61="Undefined","Undefined",_xlfn.XLOOKUP(DF$7,'Bridgend Manuf'!$M$6:$BM$6,'Bridgend Manuf'!$M$18:$BM$18)/_xlfn.XLOOKUP(DF$7,'Bridgend Manuf'!$M$6:$BM$6,'Bridgend Manuf'!$M$17:$BM$17)))))),"")</f>
        <v>1.3197725284339457</v>
      </c>
      <c r="DG61" s="325">
        <f>IFERROR(IF(DG$7&gt;$D$3,"",IF(AY61="OD","OD",IF(AY61="Missed","Missed",IF(AY61="TBC","TBC",IF(AY61="Undefined","Undefined",_xlfn.XLOOKUP(DG$7,'Bridgend Manuf'!$M$6:$BM$6,'Bridgend Manuf'!$M$18:$BM$18)/_xlfn.XLOOKUP(DG$7,'Bridgend Manuf'!$M$6:$BM$6,'Bridgend Manuf'!$M$17:$BM$17)))))),"")</f>
        <v>1.4728783902012248</v>
      </c>
      <c r="DH61" s="325">
        <f>IFERROR(IF(DH$7&gt;$D$3,"",IF(AZ61="OD","OD",IF(AZ61="Missed","Missed",IF(AZ61="TBC","TBC",IF(AZ61="Undefined","Undefined",_xlfn.XLOOKUP(DH$7,'Bridgend Manuf'!$M$6:$BM$6,'Bridgend Manuf'!$M$18:$BM$18)/_xlfn.XLOOKUP(DH$7,'Bridgend Manuf'!$M$6:$BM$6,'Bridgend Manuf'!$M$17:$BM$17)))))),"")</f>
        <v>1.2852143482064742</v>
      </c>
      <c r="DI61" s="325">
        <f>IFERROR(IF(DI$7&gt;$D$3,"",IF(BA61="OD","OD",IF(BA61="Missed","Missed",IF(BA61="TBC","TBC",IF(BA61="Undefined","Undefined",_xlfn.XLOOKUP(DI$7,'Bridgend Manuf'!$M$6:$BM$6,'Bridgend Manuf'!$M$18:$BM$18)/_xlfn.XLOOKUP(DI$7,'Bridgend Manuf'!$M$6:$BM$6,'Bridgend Manuf'!$M$17:$BM$17)))))),"")</f>
        <v>1.2629046369203849</v>
      </c>
      <c r="DJ61" s="325">
        <f>IFERROR(IF(DJ$7&gt;$D$3,"",IF(BB61="OD","OD",IF(BB61="Missed","Missed",IF(BB61="TBC","TBC",IF(BB61="Undefined","Undefined",_xlfn.XLOOKUP(DJ$7,'Bridgend Manuf'!$M$6:$BM$6,'Bridgend Manuf'!$M$18:$BM$18)/_xlfn.XLOOKUP(DJ$7,'Bridgend Manuf'!$M$6:$BM$6,'Bridgend Manuf'!$M$17:$BM$17)))))),"")</f>
        <v>0.93963254593175849</v>
      </c>
      <c r="DK61" s="325">
        <f>IFERROR(IF(DK$7&gt;$D$3,"",IF(BC61="OD","OD",IF(BC61="Missed","Missed",IF(BC61="TBC","TBC",IF(BC61="Undefined","Undefined",_xlfn.XLOOKUP(DK$7,'Bridgend Manuf'!$M$6:$BM$6,'Bridgend Manuf'!$M$18:$BM$18)/_xlfn.XLOOKUP(DK$7,'Bridgend Manuf'!$M$6:$BM$6,'Bridgend Manuf'!$M$17:$BM$17)))))),"")</f>
        <v>0.94313210848643925</v>
      </c>
      <c r="DL61" s="325">
        <f>IFERROR(IF(DL$7&gt;$D$3,"",IF(BD61="OD","OD",IF(BD61="Missed","Missed",IF(BD61="TBC","TBC",IF(BD61="Undefined","Undefined",_xlfn.XLOOKUP(DL$7,'Bridgend Manuf'!$M$6:$BM$6,'Bridgend Manuf'!$M$18:$BM$18)/_xlfn.XLOOKUP(DL$7,'Bridgend Manuf'!$M$6:$BM$6,'Bridgend Manuf'!$M$17:$BM$17)))))),"")</f>
        <v>1.0844269466316709</v>
      </c>
      <c r="DM61" s="325">
        <f>IFERROR(IF(DM$7&gt;$D$3,"",IF(BE61="OD","OD",IF(BE61="Missed","Missed",IF(BE61="TBC","TBC",IF(BE61="Undefined","Undefined",_xlfn.XLOOKUP(DM$7,'Bridgend Manuf'!$M$6:$BM$6,'Bridgend Manuf'!$M$18:$BM$18)/_xlfn.XLOOKUP(DM$7,'Bridgend Manuf'!$M$6:$BM$6,'Bridgend Manuf'!$M$17:$BM$17)))))),"")</f>
        <v>0.8718285214348207</v>
      </c>
      <c r="DN61" s="325">
        <f>IFERROR(IF(DN$7&gt;$D$3,"",IF(BF61="OD","OD",IF(BF61="Missed","Missed",IF(BF61="TBC","TBC",IF(BF61="Undefined","Undefined",_xlfn.XLOOKUP(DN$7,'Bridgend Manuf'!$M$6:$BM$6,'Bridgend Manuf'!$M$18:$BM$18)/_xlfn.XLOOKUP(DN$7,'Bridgend Manuf'!$M$6:$BM$6,'Bridgend Manuf'!$M$17:$BM$17)))))),"")</f>
        <v>1.0214348206474191</v>
      </c>
      <c r="DO61" s="325">
        <f>IFERROR(IF(DO$7&gt;$D$3,"",IF(BG61="OD","OD",IF(BG61="Missed","Missed",IF(BG61="TBC","TBC",IF(BG61="Undefined","Undefined",_xlfn.XLOOKUP(DO$7,'Bridgend Manuf'!$M$6:$BM$6,'Bridgend Manuf'!$M$18:$BM$18)/_xlfn.XLOOKUP(DO$7,'Bridgend Manuf'!$M$6:$BM$6,'Bridgend Manuf'!$M$17:$BM$17)))))),"")</f>
        <v>1.1504811898512686</v>
      </c>
      <c r="DP61" s="325">
        <f>IFERROR(IF(DP$7&gt;$D$3,"",IF(BH61="OD","OD",IF(BH61="Missed","Missed",IF(BH61="TBC","TBC",IF(BH61="Undefined","Undefined",_xlfn.XLOOKUP(DP$7,'Bridgend Manuf'!$M$6:$BM$6,'Bridgend Manuf'!$M$18:$BM$18)/_xlfn.XLOOKUP(DP$7,'Bridgend Manuf'!$M$6:$BM$6,'Bridgend Manuf'!$M$17:$BM$17)))))),"")</f>
        <v>0.79002624671916011</v>
      </c>
      <c r="DQ61" s="325">
        <f>IFERROR(IF(DQ$7&gt;$D$3,"",IF(BI61="OD","OD",IF(BI61="Missed","Missed",IF(BI61="TBC","TBC",IF(BI61="Undefined","Undefined",_xlfn.XLOOKUP(DQ$7,'Bridgend Manuf'!$M$6:$BM$6,'Bridgend Manuf'!$M$18:$BM$18)/_xlfn.XLOOKUP(DQ$7,'Bridgend Manuf'!$M$6:$BM$6,'Bridgend Manuf'!$M$17:$BM$17)))))),"")</f>
        <v>1.0380577427821522</v>
      </c>
      <c r="DR61" s="325">
        <f>IFERROR(IF(DR$7&gt;$D$3,"",IF(BJ61="OD","OD",IF(BJ61="Missed","Missed",IF(BJ61="TBC","TBC",IF(BJ61="Undefined","Undefined",_xlfn.XLOOKUP(DR$7,'Bridgend Manuf'!$M$6:$BM$6,'Bridgend Manuf'!$M$18:$BM$18)/_xlfn.XLOOKUP(DR$7,'Bridgend Manuf'!$M$6:$BM$6,'Bridgend Manuf'!$M$17:$BM$17)))))),"")</f>
        <v>0.91032370953630792</v>
      </c>
      <c r="DS61" s="325">
        <f>IFERROR(IF(DS$7&gt;$D$3,"",IF(BK61="OD","OD",IF(BK61="Missed","Missed",IF(BK61="TBC","TBC",IF(BK61="Undefined","Undefined",_xlfn.XLOOKUP(DS$7,'Bridgend Manuf'!$M$6:$BM$6,'Bridgend Manuf'!$M$18:$BM$18)/_xlfn.XLOOKUP(DS$7,'Bridgend Manuf'!$M$6:$BM$6,'Bridgend Manuf'!$M$17:$BM$17)))))),"")</f>
        <v>1.0616797900262467</v>
      </c>
      <c r="DT61" s="325">
        <f>IFERROR(IF(DT$7&gt;$D$3,"",IF(BL61="OD","OD",IF(BL61="Missed","Missed",IF(BL61="TBC","TBC",IF(BL61="Undefined","Undefined",_xlfn.XLOOKUP(DT$7,'Bridgend Manuf'!$M$6:$BM$6,'Bridgend Manuf'!$M$18:$BM$18)/_xlfn.XLOOKUP(DT$7,'Bridgend Manuf'!$M$6:$BM$6,'Bridgend Manuf'!$M$17:$BM$17)))))),"")</f>
        <v>1.1373578302712162</v>
      </c>
      <c r="DU61" s="325">
        <f>IFERROR(IF(DU$7&gt;$D$3,"",IF(BM61="OD","OD",IF(BM61="Missed","Missed",IF(BM61="TBC","TBC",IF(BM61="Undefined","Undefined",_xlfn.XLOOKUP(DU$7,'Bridgend Manuf'!$M$6:$BM$6,'Bridgend Manuf'!$M$18:$BM$18)/_xlfn.XLOOKUP(DU$7,'Bridgend Manuf'!$M$6:$BM$6,'Bridgend Manuf'!$M$17:$BM$17)))))),"")</f>
        <v>0.8307086614173228</v>
      </c>
      <c r="DV61" s="325">
        <f>IFERROR(IF(DV$7&gt;$D$3,"",IF(BN61="OD","OD",IF(BN61="Missed","Missed",IF(BN61="TBC","TBC",IF(BN61="Undefined","Undefined",_xlfn.XLOOKUP(DV$7,'Bridgend Manuf'!$M$6:$BM$6,'Bridgend Manuf'!$M$18:$BM$18)/_xlfn.XLOOKUP(DV$7,'Bridgend Manuf'!$M$6:$BM$6,'Bridgend Manuf'!$M$17:$BM$17)))))),"")</f>
        <v>0.79396325459317585</v>
      </c>
      <c r="DW61" s="325">
        <f>IFERROR(IF(DW$7&gt;$D$3,"",IF(BO61="OD","OD",IF(BO61="Missed","Missed",IF(BO61="TBC","TBC",IF(BO61="Undefined","Undefined",_xlfn.XLOOKUP(DW$7,'Bridgend Manuf'!$M$6:$BM$6,'Bridgend Manuf'!$M$18:$BM$18)/_xlfn.XLOOKUP(DW$7,'Bridgend Manuf'!$M$6:$BM$6,'Bridgend Manuf'!$M$17:$BM$17)))))),"")</f>
        <v>1.1583552055993001</v>
      </c>
      <c r="DX61" s="325">
        <f>IFERROR(IF(DX$7&gt;$D$3,"",IF(BP61="OD","OD",IF(BP61="Missed","Missed",IF(BP61="TBC","TBC",IF(BP61="Undefined","Undefined",_xlfn.XLOOKUP(DX$7,'Bridgend Manuf'!$M$6:$BM$6,'Bridgend Manuf'!$M$18:$BM$18)/_xlfn.XLOOKUP(DX$7,'Bridgend Manuf'!$M$6:$BM$6,'Bridgend Manuf'!$M$17:$BM$17)))))),"")</f>
        <v>1.4081364829396326</v>
      </c>
      <c r="DY61" s="325">
        <f>IFERROR(IF(DY$7&gt;$D$3,"",IF(BQ61="OD","OD",IF(BQ61="Missed","Missed",IF(BQ61="TBC","TBC",IF(BQ61="Undefined","Undefined",_xlfn.XLOOKUP(DY$7,'Bridgend Manuf'!$M$6:$BM$6,'Bridgend Manuf'!$M$18:$BM$18)/_xlfn.XLOOKUP(DY$7,'Bridgend Manuf'!$M$6:$BM$6,'Bridgend Manuf'!$M$17:$BM$17)))))),"")</f>
        <v>1.3692038495188101</v>
      </c>
      <c r="DZ61" s="325">
        <f>IFERROR(IF(DZ$7&gt;$D$3,"",IF(BR61="OD","OD",IF(BR61="Missed","Missed",IF(BR61="TBC","TBC",IF(BR61="Undefined","Undefined",_xlfn.XLOOKUP(DZ$7,'Bridgend Manuf'!$M$6:$BM$6,'Bridgend Manuf'!$M$18:$BM$18)/_xlfn.XLOOKUP(DZ$7,'Bridgend Manuf'!$M$6:$BM$6,'Bridgend Manuf'!$M$17:$BM$17)))))),"")</f>
        <v>1.2493438320209973</v>
      </c>
      <c r="EA61" s="325">
        <f>IFERROR(IF(EA$7&gt;$D$3,"",IF(BS61="OD","OD",IF(BS61="Missed","Missed",IF(BS61="TBC","TBC",IF(BS61="Undefined","Undefined",_xlfn.XLOOKUP(EA$7,'Bridgend Manuf'!$M$6:$BM$6,'Bridgend Manuf'!$M$18:$BM$18)/_xlfn.XLOOKUP(EA$7,'Bridgend Manuf'!$M$6:$BM$6,'Bridgend Manuf'!$M$17:$BM$17)))))),"")</f>
        <v>1.041557305336833</v>
      </c>
      <c r="EB61" s="325">
        <f>IFERROR(IF(EB$7&gt;$D$3,"",IF(BT61="OD","OD",IF(BT61="Missed","Missed",IF(BT61="TBC","TBC",IF(BT61="Undefined","Undefined",_xlfn.XLOOKUP(EB$7,'Bridgend Manuf'!$M$6:$BM$6,'Bridgend Manuf'!$M$18:$BM$18)/_xlfn.XLOOKUP(EB$7,'Bridgend Manuf'!$M$6:$BM$6,'Bridgend Manuf'!$M$17:$BM$17)))))),"")</f>
        <v>1.4063867016622922</v>
      </c>
      <c r="EC61" s="325">
        <f>IFERROR(IF(EC$7&gt;$D$3,"",IF(BU61="OD","OD",IF(BU61="Missed","Missed",IF(BU61="TBC","TBC",IF(BU61="Undefined","Undefined",_xlfn.XLOOKUP(EC$7,'Bridgend Manuf'!$M$6:$BM$6,'Bridgend Manuf'!$M$18:$BM$18)/_xlfn.XLOOKUP(EC$7,'Bridgend Manuf'!$M$6:$BM$6,'Bridgend Manuf'!$M$17:$BM$17)))))),"")</f>
        <v>1.1689447785675233</v>
      </c>
      <c r="ED61" s="325">
        <f>IFERROR(IF(ED$7&gt;$D$3,"",IF(BV61="OD","OD",IF(BV61="Missed","Missed",IF(BV61="TBC","TBC",IF(BV61="Undefined","Undefined",_xlfn.XLOOKUP(ED$7,'Bridgend Manuf'!$M$6:$BM$6,'Bridgend Manuf'!$M$18:$BM$18)/_xlfn.XLOOKUP(ED$7,'Bridgend Manuf'!$M$6:$BM$6,'Bridgend Manuf'!$M$17:$BM$17)))))),"")</f>
        <v>1.0643044619422573</v>
      </c>
      <c r="EE61" s="325">
        <f>IFERROR(IF(EE$7&gt;$D$3,"",IF(BW61="OD","OD",IF(BW61="Missed","Missed",IF(BW61="TBC","TBC",IF(BW61="Undefined","Undefined",_xlfn.XLOOKUP(EE$7,'Bridgend Manuf'!$M$6:$BM$6,'Bridgend Manuf'!$M$18:$BM$18)/_xlfn.XLOOKUP(EE$7,'Bridgend Manuf'!$M$6:$BM$6,'Bridgend Manuf'!$M$17:$BM$17)))))),"")</f>
        <v>1.0341207349081365</v>
      </c>
      <c r="EF61" s="325">
        <f>IFERROR(IF(EF$7&gt;$D$3,"",IF(BX61="OD","OD",IF(BX61="Missed","Missed",IF(BX61="TBC","TBC",IF(BX61="Undefined","Undefined",_xlfn.XLOOKUP(EF$7,'Bridgend Manuf'!$M$6:$BM$6,'Bridgend Manuf'!$M$18:$BM$18)/_xlfn.XLOOKUP(EF$7,'Bridgend Manuf'!$M$6:$BM$6,'Bridgend Manuf'!$M$17:$BM$17)))))),"")</f>
        <v>0.87226596675415569</v>
      </c>
      <c r="EG61" s="325">
        <f>IFERROR(IF(EG$7&gt;$D$3,"",IF(BY61="OD","OD",IF(BY61="Missed","Missed",IF(BY61="TBC","TBC",IF(BY61="Undefined","Undefined",_xlfn.XLOOKUP(EG$7,'Bridgend Manuf'!$M$6:$BM$6,'Bridgend Manuf'!$M$18:$BM$18)/_xlfn.XLOOKUP(EG$7,'Bridgend Manuf'!$M$6:$BM$6,'Bridgend Manuf'!$M$17:$BM$17)))))),"")</f>
        <v>1.3407699037620298</v>
      </c>
      <c r="EH61" s="325" t="str">
        <f>IFERROR(IF(EH$7&gt;$D$3,"",IF(BZ61="OD","OD",IF(BZ61="Missed","Missed",IF(BZ61="TBC","TBC",IF(BZ61="Undefined","Undefined",_xlfn.XLOOKUP(EH$7,'Bridgend Manuf'!$M$6:$BM$6,'Bridgend Manuf'!$M$18:$BM$18)/_xlfn.XLOOKUP(EH$7,'Bridgend Manuf'!$M$6:$BM$6,'Bridgend Manuf'!$M$17:$BM$17)))))),"")</f>
        <v>OD</v>
      </c>
      <c r="EI61" s="325" t="str">
        <f>IFERROR(IF(EI$7&gt;$D$3,"",IF(CA61="OD","OD",IF(CA61="Missed","Missed",IF(CA61="TBC","TBC",IF(CA61="Undefined","Undefined",_xlfn.XLOOKUP(EI$7,'Bridgend Manuf'!$M$6:$BM$6,'Bridgend Manuf'!$M$18:$BM$18)/_xlfn.XLOOKUP(EI$7,'Bridgend Manuf'!$M$6:$BM$6,'Bridgend Manuf'!$M$17:$BM$17)))))),"")</f>
        <v>OD</v>
      </c>
      <c r="EJ61" s="325" t="str">
        <f>IFERROR(IF(EJ$7&gt;$D$3,"",IF(CB61="OD","OD",IF(CB61="Missed","Missed",IF(CB61="TBC","TBC",IF(CB61="Undefined","Undefined",_xlfn.XLOOKUP(EJ$7,'Bridgend Manuf'!$M$6:$BM$6,'Bridgend Manuf'!$M$18:$BM$18)/_xlfn.XLOOKUP(EJ$7,'Bridgend Manuf'!$M$6:$BM$6,'Bridgend Manuf'!$M$17:$BM$17)))))),"")</f>
        <v>OD</v>
      </c>
      <c r="EK61" s="325" t="str">
        <f>IFERROR(IF(EK$7&gt;$D$3,"",IF(CC61="OD","OD",IF(CC61="Missed","Missed",IF(CC61="TBC","TBC",IF(CC61="Undefined","Undefined",_xlfn.XLOOKUP(EK$7,'Bridgend Manuf'!$M$6:$BM$6,'Bridgend Manuf'!$M$18:$BM$18)/_xlfn.XLOOKUP(EK$7,'Bridgend Manuf'!$M$6:$BM$6,'Bridgend Manuf'!$M$17:$BM$17)))))),"")</f>
        <v/>
      </c>
      <c r="EL61" s="325" t="str">
        <f>IFERROR(IF(EL$7&gt;$D$3,"",IF(CD61="OD","OD",IF(CD61="Missed","Missed",IF(CD61="TBC","TBC",IF(CD61="Undefined","Undefined",_xlfn.XLOOKUP(EL$7,'Bridgend Manuf'!$M$6:$BM$6,'Bridgend Manuf'!$M$18:$BM$18)/_xlfn.XLOOKUP(EL$7,'Bridgend Manuf'!$M$6:$BM$6,'Bridgend Manuf'!$M$17:$BM$17)))))),"")</f>
        <v/>
      </c>
      <c r="EM61" s="325" t="str">
        <f>IFERROR(IF(EM$7&gt;$D$3,"",IF(CE61="OD","OD",IF(CE61="Missed","Missed",IF(CE61="TBC","TBC",IF(CE61="Undefined","Undefined",_xlfn.XLOOKUP(EM$7,'Bridgend Manuf'!$M$6:$BM$6,'Bridgend Manuf'!$M$18:$BM$18)/_xlfn.XLOOKUP(EM$7,'Bridgend Manuf'!$M$6:$BM$6,'Bridgend Manuf'!$M$17:$BM$17)))))),"")</f>
        <v/>
      </c>
      <c r="EN61" s="325" t="str">
        <f>IFERROR(IF(EN$7&gt;$D$3,"",IF(CF61="OD","OD",IF(CF61="Missed","Missed",IF(CF61="TBC","TBC",IF(CF61="Undefined","Undefined",_xlfn.XLOOKUP(EN$7,'Bridgend Manuf'!$M$6:$BM$6,'Bridgend Manuf'!$M$18:$BM$18)/_xlfn.XLOOKUP(EN$7,'Bridgend Manuf'!$M$6:$BM$6,'Bridgend Manuf'!$M$17:$BM$17)))))),"")</f>
        <v/>
      </c>
      <c r="EO61" s="325" t="str">
        <f>IFERROR(IF(EO$7&gt;$D$3,"",IF(CG61="OD","OD",IF(CG61="Missed","Missed",IF(CG61="TBC","TBC",IF(CG61="Undefined","Undefined",_xlfn.XLOOKUP(EO$7,'Bridgend Manuf'!$M$6:$BM$6,'Bridgend Manuf'!$M$18:$BM$18)/_xlfn.XLOOKUP(EO$7,'Bridgend Manuf'!$M$6:$BM$6,'Bridgend Manuf'!$M$17:$BM$17)))))),"")</f>
        <v/>
      </c>
      <c r="EP61" s="325" t="str">
        <f>IFERROR(IF(EP$7&gt;$D$3,"",IF(CH61="OD","OD",IF(CH61="Missed","Missed",IF(CH61="TBC","TBC",IF(CH61="Undefined","Undefined",_xlfn.XLOOKUP(EP$7,'Bridgend Manuf'!$M$6:$BM$6,'Bridgend Manuf'!$M$18:$BM$18)/_xlfn.XLOOKUP(EP$7,'Bridgend Manuf'!$M$6:$BM$6,'Bridgend Manuf'!$M$17:$BM$17)))))),"")</f>
        <v/>
      </c>
      <c r="EQ61" s="325" t="str">
        <f>IFERROR(IF(EQ$7&gt;$D$3,"",IF(CI61="OD","OD",IF(CI61="Missed","Missed",IF(CI61="TBC","TBC",IF(CI61="Undefined","Undefined",_xlfn.XLOOKUP(EQ$7,'Bridgend Manuf'!$M$6:$BM$6,'Bridgend Manuf'!$M$18:$BM$18)/_xlfn.XLOOKUP(EQ$7,'Bridgend Manuf'!$M$6:$BM$6,'Bridgend Manuf'!$M$17:$BM$17)))))),"")</f>
        <v/>
      </c>
      <c r="ER61" s="325" t="str">
        <f>IFERROR(IF(ER$7&gt;$D$3,"",IF(CJ61="OD","OD",IF(CJ61="Missed","Missed",IF(CJ61="TBC","TBC",IF(CJ61="Undefined","Undefined",_xlfn.XLOOKUP(ER$7,'Bridgend Manuf'!$M$6:$BM$6,'Bridgend Manuf'!$M$18:$BM$18)/_xlfn.XLOOKUP(ER$7,'Bridgend Manuf'!$M$6:$BM$6,'Bridgend Manuf'!$M$17:$BM$17)))))),"")</f>
        <v/>
      </c>
      <c r="ES61" s="325" t="str">
        <f>IFERROR(IF(ES$7&gt;$D$3,"",IF(CK61="OD","OD",IF(CK61="Missed","Missed",IF(CK61="TBC","TBC",IF(CK61="Undefined","Undefined",_xlfn.XLOOKUP(ES$7,'Bridgend Manuf'!$M$6:$BM$6,'Bridgend Manuf'!$M$18:$BM$18)/_xlfn.XLOOKUP(ES$7,'Bridgend Manuf'!$M$6:$BM$6,'Bridgend Manuf'!$M$17:$BM$17)))))),"")</f>
        <v/>
      </c>
      <c r="ET61" s="325" t="str">
        <f>IFERROR(IF(ET$7&gt;$D$3,"",IF(CL61="OD","OD",IF(CL61="Missed","Missed",IF(CL61="TBC","TBC",IF(CL61="Undefined","Undefined",_xlfn.XLOOKUP(ET$7,'Bridgend Manuf'!$M$6:$BM$6,'Bridgend Manuf'!$M$18:$BM$18)/_xlfn.XLOOKUP(ET$7,'Bridgend Manuf'!$M$6:$BM$6,'Bridgend Manuf'!$M$17:$BM$17)))))),"")</f>
        <v/>
      </c>
      <c r="EU61" s="325" t="str">
        <f>IFERROR(IF(EU$7&gt;$D$3,"",IF(CM61="OD","OD",IF(CM61="Missed","Missed",IF(CM61="TBC","TBC",IF(CM61="Undefined","Undefined",_xlfn.XLOOKUP(EU$7,'Bridgend Manuf'!$M$6:$BM$6,'Bridgend Manuf'!$M$18:$BM$18)/_xlfn.XLOOKUP(EU$7,'Bridgend Manuf'!$M$6:$BM$6,'Bridgend Manuf'!$M$17:$BM$17)))))),"")</f>
        <v/>
      </c>
      <c r="EW61" s="465" t="str">
        <f>+$A61</f>
        <v>Bridgend Manuf-KPI C1</v>
      </c>
      <c r="EX61" s="138" t="str">
        <f>+$C61</f>
        <v>KPI C1</v>
      </c>
      <c r="EY61" s="146" t="str">
        <f>+$D61</f>
        <v>Cost</v>
      </c>
      <c r="EZ61" s="146" t="str">
        <f>+$E61</f>
        <v>Production Value per Employee</v>
      </c>
      <c r="FA61" s="147" t="str">
        <f>+$F61</f>
        <v>£'s</v>
      </c>
      <c r="FB61" s="147" t="s">
        <v>251</v>
      </c>
      <c r="FC61" s="224" t="str">
        <f>IF(FC$7&gt;$D$3,"",IF($FA58&lt;FC$7,"OD",_xlfn.XLOOKUP(FC$7,'Bridgend Manuf'!$M$6:$BM$6,'Bridgend Manuf'!$M$18:$BM$18)))</f>
        <v>Blank</v>
      </c>
      <c r="FD61" s="224">
        <f>IF(FD$7&gt;$D$3,"",IF($FA58&lt;FD$7,"OD",_xlfn.XLOOKUP(FD$7,'Bridgend Manuf'!$M$6:$BM$6,'Bridgend Manuf'!$M$18:$BM$18)))</f>
        <v>2141</v>
      </c>
      <c r="FE61" s="224">
        <f>IF(FE$7&gt;$D$3,"",IF($FA58&lt;FE$7,"OD",_xlfn.XLOOKUP(FE$7,'Bridgend Manuf'!$M$6:$BM$6,'Bridgend Manuf'!$M$18:$BM$18)))</f>
        <v>2304</v>
      </c>
      <c r="FF61" s="224">
        <f>IF(FF$7&gt;$D$3,"",IF($FA58&lt;FF$7,"OD",_xlfn.XLOOKUP(FF$7,'Bridgend Manuf'!$M$6:$BM$6,'Bridgend Manuf'!$M$18:$BM$18)))</f>
        <v>2886</v>
      </c>
      <c r="FG61" s="224">
        <f>IF(FG$7&gt;$D$3,"",IF($FA58&lt;FG$7,"OD",_xlfn.XLOOKUP(FG$7,'Bridgend Manuf'!$M$6:$BM$6,'Bridgend Manuf'!$M$18:$BM$18)))</f>
        <v>2618</v>
      </c>
      <c r="FH61" s="224">
        <f>IF(FH$7&gt;$D$3,"",IF($FA58&lt;FH$7,"OD",_xlfn.XLOOKUP(FH$7,'Bridgend Manuf'!$M$6:$BM$6,'Bridgend Manuf'!$M$18:$BM$18)))</f>
        <v>2722</v>
      </c>
      <c r="FI61" s="224">
        <f>IF(FI$7&gt;$D$3,"",IF($FA58&lt;FI$7,"OD",_xlfn.XLOOKUP(FI$7,'Bridgend Manuf'!$M$6:$BM$6,'Bridgend Manuf'!$M$18:$BM$18)))</f>
        <v>2522</v>
      </c>
      <c r="FJ61" s="224">
        <f>IF(FJ$7&gt;$D$3,"",IF($FA58&lt;FJ$7,"OD",_xlfn.XLOOKUP(FJ$7,'Bridgend Manuf'!$M$6:$BM$6,'Bridgend Manuf'!$M$18:$BM$18)))</f>
        <v>2717</v>
      </c>
      <c r="FK61" s="224">
        <f>IF(FK$7&gt;$D$3,"",IF($FA58&lt;FK$7,"OD",_xlfn.XLOOKUP(FK$7,'Bridgend Manuf'!$M$6:$BM$6,'Bridgend Manuf'!$M$18:$BM$18)))</f>
        <v>3137</v>
      </c>
      <c r="FL61" s="224">
        <f>IF(FL$7&gt;$D$3,"",IF($FA58&lt;FL$7,"OD",_xlfn.XLOOKUP(FL$7,'Bridgend Manuf'!$M$6:$BM$6,'Bridgend Manuf'!$M$18:$BM$18)))</f>
        <v>2649</v>
      </c>
      <c r="FM61" s="224">
        <f>IF(FM$7&gt;$D$3,"",IF($FA58&lt;FM$7,"OD",_xlfn.XLOOKUP(FM$7,'Bridgend Manuf'!$M$6:$BM$6,'Bridgend Manuf'!$M$18:$BM$18)))</f>
        <v>2788</v>
      </c>
      <c r="FN61" s="224">
        <f>IF(FN$7&gt;$D$3,"",IF($FA58&lt;FN$7,"OD",_xlfn.XLOOKUP(FN$7,'Bridgend Manuf'!$M$6:$BM$6,'Bridgend Manuf'!$M$18:$BM$18)))</f>
        <v>3017</v>
      </c>
      <c r="FO61" s="224">
        <f>IF(FO$7&gt;$D$3,"",IF($FA58&lt;FO$7,"OD",_xlfn.XLOOKUP(FO$7,'Bridgend Manuf'!$M$6:$BM$6,'Bridgend Manuf'!$M$18:$BM$18)))</f>
        <v>3367</v>
      </c>
      <c r="FP61" s="224">
        <f>IF(FP$7&gt;$D$3,"",IF($FA58&lt;FP$7,"OD",_xlfn.XLOOKUP(FP$7,'Bridgend Manuf'!$M$6:$BM$6,'Bridgend Manuf'!$M$18:$BM$18)))</f>
        <v>2938</v>
      </c>
      <c r="FQ61" s="224">
        <f>IF(FQ$7&gt;$D$3,"",IF($FA58&lt;FQ$7,"OD",_xlfn.XLOOKUP(FQ$7,'Bridgend Manuf'!$M$6:$BM$6,'Bridgend Manuf'!$M$18:$BM$18)))</f>
        <v>2887</v>
      </c>
      <c r="FR61" s="224">
        <f>IF(FR$7&gt;$D$3,"",IF($FA58&lt;FR$7,"OD",_xlfn.XLOOKUP(FR$7,'Bridgend Manuf'!$M$6:$BM$6,'Bridgend Manuf'!$M$18:$BM$18)))</f>
        <v>2148</v>
      </c>
      <c r="FS61" s="224">
        <f>IF(FS$7&gt;$D$3,"",IF($FA58&lt;FS$7,"OD",_xlfn.XLOOKUP(FS$7,'Bridgend Manuf'!$M$6:$BM$6,'Bridgend Manuf'!$M$18:$BM$18)))</f>
        <v>2156</v>
      </c>
      <c r="FT61" s="224">
        <f>IF(FT$7&gt;$D$3,"",IF($FA58&lt;FT$7,"OD",_xlfn.XLOOKUP(FT$7,'Bridgend Manuf'!$M$6:$BM$6,'Bridgend Manuf'!$M$18:$BM$18)))</f>
        <v>2479</v>
      </c>
      <c r="FU61" s="224">
        <f>IF(FU$7&gt;$D$3,"",IF($FA58&lt;FU$7,"OD",_xlfn.XLOOKUP(FU$7,'Bridgend Manuf'!$M$6:$BM$6,'Bridgend Manuf'!$M$18:$BM$18)))</f>
        <v>1993</v>
      </c>
      <c r="FV61" s="224">
        <f>IF(FV$7&gt;$D$3,"",IF($FA58&lt;FV$7,"OD",_xlfn.XLOOKUP(FV$7,'Bridgend Manuf'!$M$6:$BM$6,'Bridgend Manuf'!$M$18:$BM$18)))</f>
        <v>2335</v>
      </c>
      <c r="FW61" s="224">
        <f>IF(FW$7&gt;$D$3,"",IF($FA58&lt;FW$7,"OD",_xlfn.XLOOKUP(FW$7,'Bridgend Manuf'!$M$6:$BM$6,'Bridgend Manuf'!$M$18:$BM$18)))</f>
        <v>2630</v>
      </c>
      <c r="FX61" s="224">
        <f>IF(FX$7&gt;$D$3,"",IF($FA58&lt;FX$7,"OD",_xlfn.XLOOKUP(FX$7,'Bridgend Manuf'!$M$6:$BM$6,'Bridgend Manuf'!$M$18:$BM$18)))</f>
        <v>1806</v>
      </c>
      <c r="FY61" s="224">
        <f>IF(FY$7&gt;$D$3,"",IF($FA58&lt;FY$7,"OD",_xlfn.XLOOKUP(FY$7,'Bridgend Manuf'!$M$6:$BM$6,'Bridgend Manuf'!$M$18:$BM$18)))</f>
        <v>2373</v>
      </c>
      <c r="FZ61" s="224">
        <f>IF(FZ$7&gt;$D$3,"",IF($FA58&lt;FZ$7,"OD",_xlfn.XLOOKUP(FZ$7,'Bridgend Manuf'!$M$6:$BM$6,'Bridgend Manuf'!$M$18:$BM$18)))</f>
        <v>2081</v>
      </c>
      <c r="GA61" s="224">
        <f>IF(GA$7&gt;$D$3,"",IF($FA58&lt;GA$7,"OD",_xlfn.XLOOKUP(GA$7,'Bridgend Manuf'!$M$6:$BM$6,'Bridgend Manuf'!$M$18:$BM$18)))</f>
        <v>2427</v>
      </c>
      <c r="GB61" s="224">
        <f>IF(GB$7&gt;$D$3,"",IF($FA58&lt;GB$7,"OD",_xlfn.XLOOKUP(GB$7,'Bridgend Manuf'!$M$6:$BM$6,'Bridgend Manuf'!$M$18:$BM$18)))</f>
        <v>2600</v>
      </c>
      <c r="GC61" s="224">
        <f>IF(GC$7&gt;$D$3,"",IF($FA58&lt;GC$7,"OD",_xlfn.XLOOKUP(GC$7,'Bridgend Manuf'!$M$6:$BM$6,'Bridgend Manuf'!$M$18:$BM$18)))</f>
        <v>1899</v>
      </c>
      <c r="GD61" s="224">
        <f>IF(GD$7&gt;$D$3,"",IF($FA58&lt;GD$7,"OD",_xlfn.XLOOKUP(GD$7,'Bridgend Manuf'!$M$6:$BM$6,'Bridgend Manuf'!$M$18:$BM$18)))</f>
        <v>1815</v>
      </c>
      <c r="GE61" s="224">
        <f>IF(GE$7&gt;$D$3,"",IF($FA58&lt;GE$7,"OD",_xlfn.XLOOKUP(GE$7,'Bridgend Manuf'!$M$6:$BM$6,'Bridgend Manuf'!$M$18:$BM$18)))</f>
        <v>2648</v>
      </c>
      <c r="GF61" s="224">
        <f>IF(GF$7&gt;$D$3,"",IF($FA58&lt;GF$7,"OD",_xlfn.XLOOKUP(GF$7,'Bridgend Manuf'!$M$6:$BM$6,'Bridgend Manuf'!$M$18:$BM$18)))</f>
        <v>3219</v>
      </c>
      <c r="GG61" s="224">
        <f>IF(GG$7&gt;$D$3,"",IF($FA58&lt;GG$7,"OD",_xlfn.XLOOKUP(GG$7,'Bridgend Manuf'!$M$6:$BM$6,'Bridgend Manuf'!$M$18:$BM$18)))</f>
        <v>3130</v>
      </c>
      <c r="GH61" s="224">
        <f>IF(GH$7&gt;$D$3,"",IF($FA58&lt;GH$7,"OD",_xlfn.XLOOKUP(GH$7,'Bridgend Manuf'!$M$6:$BM$6,'Bridgend Manuf'!$M$18:$BM$18)))</f>
        <v>2856</v>
      </c>
      <c r="GI61" s="224">
        <f>IF(GI$7&gt;$D$3,"",IF($FA58&lt;GI$7,"OD",_xlfn.XLOOKUP(GI$7,'Bridgend Manuf'!$M$6:$BM$6,'Bridgend Manuf'!$M$18:$BM$18)))</f>
        <v>2381</v>
      </c>
      <c r="GJ61" s="224">
        <f>IF(GJ$7&gt;$D$3,"",IF($FA58&lt;GJ$7,"OD",_xlfn.XLOOKUP(GJ$7,'Bridgend Manuf'!$M$6:$BM$6,'Bridgend Manuf'!$M$18:$BM$18)))</f>
        <v>3215</v>
      </c>
      <c r="GK61" s="224">
        <f>IF(GK$7&gt;$D$3,"",IF($FA58&lt;GK$7,"OD",_xlfn.XLOOKUP(GK$7,'Bridgend Manuf'!$M$6:$BM$6,'Bridgend Manuf'!$M$18:$BM$18)))</f>
        <v>2138</v>
      </c>
      <c r="GL61" s="224">
        <f>IF(GL$7&gt;$D$3,"",IF($FA58&lt;GL$7,"OD",_xlfn.XLOOKUP(GL$7,'Bridgend Manuf'!$M$6:$BM$6,'Bridgend Manuf'!$M$18:$BM$18)))</f>
        <v>2433</v>
      </c>
      <c r="GM61" s="224">
        <f>IF(GM$7&gt;$D$3,"",IF($FA58&lt;GM$7,"OD",_xlfn.XLOOKUP(GM$7,'Bridgend Manuf'!$M$6:$BM$6,'Bridgend Manuf'!$M$18:$BM$18)))</f>
        <v>2364</v>
      </c>
      <c r="GN61" s="224">
        <f>IF(GN$7&gt;$D$3,"",IF($FA58&lt;GN$7,"OD",_xlfn.XLOOKUP(GN$7,'Bridgend Manuf'!$M$6:$BM$6,'Bridgend Manuf'!$M$18:$BM$18)))</f>
        <v>1994</v>
      </c>
      <c r="GO61" s="224">
        <f>IF(GO$7&gt;$D$3,"",IF($FA58&lt;GO$7,"OD",_xlfn.XLOOKUP(GO$7,'Bridgend Manuf'!$M$6:$BM$6,'Bridgend Manuf'!$M$18:$BM$18)))</f>
        <v>3065</v>
      </c>
      <c r="GP61" s="224">
        <f>IF(GP$7&gt;$D$3,"",IF($FA58&lt;GP$7,"OD",_xlfn.XLOOKUP(GP$7,'Bridgend Manuf'!$M$6:$BM$6,'Bridgend Manuf'!$M$18:$BM$18)))</f>
        <v>0</v>
      </c>
      <c r="GQ61" s="224">
        <f>IF(GQ$7&gt;$D$3,"",IF($FA58&lt;GQ$7,"OD",_xlfn.XLOOKUP(GQ$7,'Bridgend Manuf'!$M$6:$BM$6,'Bridgend Manuf'!$M$18:$BM$18)))</f>
        <v>0</v>
      </c>
      <c r="GR61" s="224">
        <f>IF(GR$7&gt;$D$3,"",IF($FA58&lt;GR$7,"OD",_xlfn.XLOOKUP(GR$7,'Bridgend Manuf'!$M$6:$BM$6,'Bridgend Manuf'!$M$18:$BM$18)))</f>
        <v>0</v>
      </c>
      <c r="GS61" s="224" t="str">
        <f>IF(GS$7&gt;$D$3,"",IF($FA58&lt;GS$7,"OD",_xlfn.XLOOKUP(GS$7,'Bridgend Manuf'!$M$6:$BM$6,'Bridgend Manuf'!$M$18:$BM$18)))</f>
        <v/>
      </c>
      <c r="GT61" s="224" t="str">
        <f>IF(GT$7&gt;$D$3,"",IF($FA58&lt;GT$7,"OD",_xlfn.XLOOKUP(GT$7,'Bridgend Manuf'!$M$6:$BM$6,'Bridgend Manuf'!$M$18:$BM$18)))</f>
        <v/>
      </c>
      <c r="GU61" s="224" t="str">
        <f>IF(GU$7&gt;$D$3,"",IF($FA58&lt;GU$7,"OD",_xlfn.XLOOKUP(GU$7,'Bridgend Manuf'!$M$6:$BM$6,'Bridgend Manuf'!$M$18:$BM$18)))</f>
        <v/>
      </c>
      <c r="GV61" s="224" t="str">
        <f>IF(GV$7&gt;$D$3,"",IF($FA58&lt;GV$7,"OD",_xlfn.XLOOKUP(GV$7,'Bridgend Manuf'!$M$6:$BM$6,'Bridgend Manuf'!$M$18:$BM$18)))</f>
        <v/>
      </c>
      <c r="GW61" s="224" t="str">
        <f>IF(GW$7&gt;$D$3,"",IF($FA58&lt;GW$7,"OD",_xlfn.XLOOKUP(GW$7,'Bridgend Manuf'!$M$6:$BM$6,'Bridgend Manuf'!$M$18:$BM$18)))</f>
        <v/>
      </c>
      <c r="GX61" s="224" t="str">
        <f>IF(GX$7&gt;$D$3,"",IF($FA58&lt;GX$7,"OD",_xlfn.XLOOKUP(GX$7,'Bridgend Manuf'!$M$6:$BM$6,'Bridgend Manuf'!$M$18:$BM$18)))</f>
        <v/>
      </c>
      <c r="GY61" s="224" t="str">
        <f>IF(GY$7&gt;$D$3,"",IF($FA58&lt;GY$7,"OD",_xlfn.XLOOKUP(GY$7,'Bridgend Manuf'!$M$6:$BM$6,'Bridgend Manuf'!$M$18:$BM$18)))</f>
        <v/>
      </c>
      <c r="GZ61" s="224" t="str">
        <f>IF(GZ$7&gt;$D$3,"",IF($FA58&lt;GZ$7,"OD",_xlfn.XLOOKUP(GZ$7,'Bridgend Manuf'!$M$6:$BM$6,'Bridgend Manuf'!$M$18:$BM$18)))</f>
        <v/>
      </c>
      <c r="HA61" s="224" t="str">
        <f>IF(HA$7&gt;$D$3,"",IF($FA58&lt;HA$7,"OD",_xlfn.XLOOKUP(HA$7,'Bridgend Manuf'!$M$6:$BM$6,'Bridgend Manuf'!$M$18:$BM$18)))</f>
        <v/>
      </c>
      <c r="HB61" s="224" t="str">
        <f>IF(HB$7&gt;$D$3,"",IF($FA58&lt;HB$7,"OD",_xlfn.XLOOKUP(HB$7,'Bridgend Manuf'!$M$6:$BM$6,'Bridgend Manuf'!$M$18:$BM$18)))</f>
        <v/>
      </c>
      <c r="HC61" s="224" t="str">
        <f>IF(HC$7&gt;$D$3,"",IF($FA58&lt;HC$7,"OD",_xlfn.XLOOKUP(HC$7,'Bridgend Manuf'!$M$6:$BM$6,'Bridgend Manuf'!$M$18:$BM$18)))</f>
        <v/>
      </c>
      <c r="HE61" s="138" t="str">
        <f>+$C61</f>
        <v>KPI C1</v>
      </c>
      <c r="HF61" s="146" t="str">
        <f>+$D61</f>
        <v>Cost</v>
      </c>
      <c r="HG61" s="146" t="str">
        <f>+$E61</f>
        <v>Production Value per Employee</v>
      </c>
      <c r="HH61" s="147" t="str">
        <f>+$F61</f>
        <v>£'s</v>
      </c>
      <c r="HI61" s="147" t="s">
        <v>44</v>
      </c>
      <c r="HJ61" s="224" t="s">
        <v>122</v>
      </c>
      <c r="HK61" s="224">
        <f>IF(HK$7&gt;$D$3,"",IF($FA58&lt;HK$7,"OD",_xlfn.XLOOKUP(HK$7,'Bridgend Manuf'!$M$6:$BM$6,'Bridgend Manuf'!$M$17:$BM$17)))</f>
        <v>2286</v>
      </c>
      <c r="HL61" s="224">
        <f>IF(HL$7&gt;$D$3,"",IF($FA58&lt;HL$7,"OD",_xlfn.XLOOKUP(HL$7,'Bridgend Manuf'!$M$6:$BM$6,'Bridgend Manuf'!$M$17:$BM$17)))</f>
        <v>2286</v>
      </c>
      <c r="HM61" s="224">
        <f>IF(HM$7&gt;$D$3,"",IF($FA58&lt;HM$7,"OD",_xlfn.XLOOKUP(HM$7,'Bridgend Manuf'!$M$6:$BM$6,'Bridgend Manuf'!$M$17:$BM$17)))</f>
        <v>2286</v>
      </c>
      <c r="HN61" s="224">
        <f>IF(HN$7&gt;$D$3,"",IF($FA58&lt;HN$7,"OD",_xlfn.XLOOKUP(HN$7,'Bridgend Manuf'!$M$6:$BM$6,'Bridgend Manuf'!$M$17:$BM$17)))</f>
        <v>2286</v>
      </c>
      <c r="HO61" s="224">
        <f>IF(HO$7&gt;$D$3,"",IF($FA58&lt;HO$7,"OD",_xlfn.XLOOKUP(HO$7,'Bridgend Manuf'!$M$6:$BM$6,'Bridgend Manuf'!$M$17:$BM$17)))</f>
        <v>2286</v>
      </c>
      <c r="HP61" s="224">
        <f>IF(HP$7&gt;$D$3,"",IF($FA58&lt;HP$7,"OD",_xlfn.XLOOKUP(HP$7,'Bridgend Manuf'!$M$6:$BM$6,'Bridgend Manuf'!$M$17:$BM$17)))</f>
        <v>2286</v>
      </c>
      <c r="HQ61" s="224">
        <f>IF(HQ$7&gt;$D$3,"",IF($FA58&lt;HQ$7,"OD",_xlfn.XLOOKUP(HQ$7,'Bridgend Manuf'!$M$6:$BM$6,'Bridgend Manuf'!$M$17:$BM$17)))</f>
        <v>2286</v>
      </c>
      <c r="HR61" s="224">
        <f>IF(HR$7&gt;$D$3,"",IF($FA58&lt;HR$7,"OD",_xlfn.XLOOKUP(HR$7,'Bridgend Manuf'!$M$6:$BM$6,'Bridgend Manuf'!$M$17:$BM$17)))</f>
        <v>2286</v>
      </c>
      <c r="HS61" s="224">
        <f>IF(HS$7&gt;$D$3,"",IF($FA58&lt;HS$7,"OD",_xlfn.XLOOKUP(HS$7,'Bridgend Manuf'!$M$6:$BM$6,'Bridgend Manuf'!$M$17:$BM$17)))</f>
        <v>2286</v>
      </c>
      <c r="HT61" s="224">
        <f>IF(HT$7&gt;$D$3,"",IF($FA58&lt;HT$7,"OD",_xlfn.XLOOKUP(HT$7,'Bridgend Manuf'!$M$6:$BM$6,'Bridgend Manuf'!$M$17:$BM$17)))</f>
        <v>2286</v>
      </c>
      <c r="HU61" s="224">
        <f>IF(HU$7&gt;$D$3,"",IF($FA58&lt;HU$7,"OD",_xlfn.XLOOKUP(HU$7,'Bridgend Manuf'!$M$6:$BM$6,'Bridgend Manuf'!$M$17:$BM$17)))</f>
        <v>2286</v>
      </c>
      <c r="HV61" s="224">
        <f>IF(HV$7&gt;$D$3,"",IF($FA58&lt;HV$7,"OD",_xlfn.XLOOKUP(HV$7,'Bridgend Manuf'!$M$6:$BM$6,'Bridgend Manuf'!$M$17:$BM$17)))</f>
        <v>2286</v>
      </c>
      <c r="HW61" s="224">
        <f>IF(HW$7&gt;$D$3,"",IF($FA58&lt;HW$7,"OD",_xlfn.XLOOKUP(HW$7,'Bridgend Manuf'!$M$6:$BM$6,'Bridgend Manuf'!$M$17:$BM$17)))</f>
        <v>2286</v>
      </c>
      <c r="HX61" s="224">
        <f>IF(HX$7&gt;$D$3,"",IF($FA58&lt;HX$7,"OD",_xlfn.XLOOKUP(HX$7,'Bridgend Manuf'!$M$6:$BM$6,'Bridgend Manuf'!$M$17:$BM$17)))</f>
        <v>2286</v>
      </c>
      <c r="HY61" s="224">
        <f>IF(HY$7&gt;$D$3,"",IF($FA58&lt;HY$7,"OD",_xlfn.XLOOKUP(HY$7,'Bridgend Manuf'!$M$6:$BM$6,'Bridgend Manuf'!$M$17:$BM$17)))</f>
        <v>2286</v>
      </c>
      <c r="HZ61" s="224">
        <f>IF(HZ$7&gt;$D$3,"",IF($FA58&lt;HZ$7,"OD",_xlfn.XLOOKUP(HZ$7,'Bridgend Manuf'!$M$6:$BM$6,'Bridgend Manuf'!$M$17:$BM$17)))</f>
        <v>2286</v>
      </c>
      <c r="IA61" s="224">
        <f>IF(IA$7&gt;$D$3,"",IF($FA58&lt;IA$7,"OD",_xlfn.XLOOKUP(IA$7,'Bridgend Manuf'!$M$6:$BM$6,'Bridgend Manuf'!$M$17:$BM$17)))</f>
        <v>2286</v>
      </c>
      <c r="IB61" s="224">
        <f>IF(IB$7&gt;$D$3,"",IF($FA58&lt;IB$7,"OD",_xlfn.XLOOKUP(IB$7,'Bridgend Manuf'!$M$6:$BM$6,'Bridgend Manuf'!$M$17:$BM$17)))</f>
        <v>2286</v>
      </c>
      <c r="IC61" s="224">
        <f>IF(IC$7&gt;$D$3,"",IF($FA58&lt;IC$7,"OD",_xlfn.XLOOKUP(IC$7,'Bridgend Manuf'!$M$6:$BM$6,'Bridgend Manuf'!$M$17:$BM$17)))</f>
        <v>2286</v>
      </c>
      <c r="ID61" s="224">
        <f>IF(ID$7&gt;$D$3,"",IF($FA58&lt;ID$7,"OD",_xlfn.XLOOKUP(ID$7,'Bridgend Manuf'!$M$6:$BM$6,'Bridgend Manuf'!$M$17:$BM$17)))</f>
        <v>2286</v>
      </c>
      <c r="IE61" s="224">
        <f>IF(IE$7&gt;$D$3,"",IF($FA58&lt;IE$7,"OD",_xlfn.XLOOKUP(IE$7,'Bridgend Manuf'!$M$6:$BM$6,'Bridgend Manuf'!$M$17:$BM$17)))</f>
        <v>2286</v>
      </c>
      <c r="IF61" s="224">
        <f>IF(IF$7&gt;$D$3,"",IF($FA58&lt;IF$7,"OD",_xlfn.XLOOKUP(IF$7,'Bridgend Manuf'!$M$6:$BM$6,'Bridgend Manuf'!$M$17:$BM$17)))</f>
        <v>2286</v>
      </c>
      <c r="IG61" s="224">
        <f>IF(IG$7&gt;$D$3,"",IF($FA58&lt;IG$7,"OD",_xlfn.XLOOKUP(IG$7,'Bridgend Manuf'!$M$6:$BM$6,'Bridgend Manuf'!$M$17:$BM$17)))</f>
        <v>2286</v>
      </c>
      <c r="IH61" s="224">
        <f>IF(IH$7&gt;$D$3,"",IF($FA58&lt;IH$7,"OD",_xlfn.XLOOKUP(IH$7,'Bridgend Manuf'!$M$6:$BM$6,'Bridgend Manuf'!$M$17:$BM$17)))</f>
        <v>2286</v>
      </c>
      <c r="II61" s="224">
        <f>IF(II$7&gt;$D$3,"",IF($FA58&lt;II$7,"OD",_xlfn.XLOOKUP(II$7,'Bridgend Manuf'!$M$6:$BM$6,'Bridgend Manuf'!$M$17:$BM$17)))</f>
        <v>2286</v>
      </c>
      <c r="IJ61" s="224">
        <f>IF(IJ$7&gt;$D$3,"",IF($FA58&lt;IJ$7,"OD",_xlfn.XLOOKUP(IJ$7,'Bridgend Manuf'!$M$6:$BM$6,'Bridgend Manuf'!$M$17:$BM$17)))</f>
        <v>2286</v>
      </c>
      <c r="IK61" s="224">
        <f>IF(IK$7&gt;$D$3,"",IF($FA58&lt;IK$7,"OD",_xlfn.XLOOKUP(IK$7,'Bridgend Manuf'!$M$6:$BM$6,'Bridgend Manuf'!$M$17:$BM$17)))</f>
        <v>2286</v>
      </c>
      <c r="IL61" s="224">
        <f>IF(IL$7&gt;$D$3,"",IF($FA58&lt;IL$7,"OD",_xlfn.XLOOKUP(IL$7,'Bridgend Manuf'!$M$6:$BM$6,'Bridgend Manuf'!$M$17:$BM$17)))</f>
        <v>2286</v>
      </c>
      <c r="IM61" s="224">
        <f>IF(IM$7&gt;$D$3,"",IF($FA58&lt;IM$7,"OD",_xlfn.XLOOKUP(IM$7,'Bridgend Manuf'!$M$6:$BM$6,'Bridgend Manuf'!$M$17:$BM$17)))</f>
        <v>2286</v>
      </c>
      <c r="IN61" s="224">
        <f>IF(IN$7&gt;$D$3,"",IF($FA58&lt;IN$7,"OD",_xlfn.XLOOKUP(IN$7,'Bridgend Manuf'!$M$6:$BM$6,'Bridgend Manuf'!$M$17:$BM$17)))</f>
        <v>2286</v>
      </c>
      <c r="IO61" s="224">
        <f>IF(IO$7&gt;$D$3,"",IF($FA58&lt;IO$7,"OD",_xlfn.XLOOKUP(IO$7,'Bridgend Manuf'!$M$6:$BM$6,'Bridgend Manuf'!$M$17:$BM$17)))</f>
        <v>2286</v>
      </c>
      <c r="IP61" s="224">
        <f>IF(IP$7&gt;$D$3,"",IF($FA58&lt;IP$7,"OD",_xlfn.XLOOKUP(IP$7,'Bridgend Manuf'!$M$6:$BM$6,'Bridgend Manuf'!$M$17:$BM$17)))</f>
        <v>2286</v>
      </c>
      <c r="IQ61" s="224">
        <f>IF(IQ$7&gt;$D$3,"",IF($FA58&lt;IQ$7,"OD",_xlfn.XLOOKUP(IQ$7,'Bridgend Manuf'!$M$6:$BM$6,'Bridgend Manuf'!$M$17:$BM$17)))</f>
        <v>2286</v>
      </c>
      <c r="IR61" s="224">
        <f>IF(IR$7&gt;$D$3,"",IF($FA58&lt;IR$7,"OD",_xlfn.XLOOKUP(IR$7,'Bridgend Manuf'!$M$6:$BM$6,'Bridgend Manuf'!$M$17:$BM$17)))</f>
        <v>1829</v>
      </c>
      <c r="IS61" s="224">
        <f>IF(IS$7&gt;$D$3,"",IF($FA58&lt;IS$7,"OD",_xlfn.XLOOKUP(IS$7,'Bridgend Manuf'!$M$6:$BM$6,'Bridgend Manuf'!$M$17:$BM$17)))</f>
        <v>2286</v>
      </c>
      <c r="IT61" s="224">
        <f>IF(IT$7&gt;$D$3,"",IF($FA58&lt;IT$7,"OD",_xlfn.XLOOKUP(IT$7,'Bridgend Manuf'!$M$6:$BM$6,'Bridgend Manuf'!$M$17:$BM$17)))</f>
        <v>2286</v>
      </c>
      <c r="IU61" s="224">
        <f>IF(IU$7&gt;$D$3,"",IF($FA58&lt;IU$7,"OD",_xlfn.XLOOKUP(IU$7,'Bridgend Manuf'!$M$6:$BM$6,'Bridgend Manuf'!$M$17:$BM$17)))</f>
        <v>2286</v>
      </c>
      <c r="IV61" s="224">
        <f>IF(IV$7&gt;$D$3,"",IF($FA58&lt;IV$7,"OD",_xlfn.XLOOKUP(IV$7,'Bridgend Manuf'!$M$6:$BM$6,'Bridgend Manuf'!$M$17:$BM$17)))</f>
        <v>2286</v>
      </c>
      <c r="IW61" s="224">
        <f>IF(IW$7&gt;$D$3,"",IF($FA58&lt;IW$7,"OD",_xlfn.XLOOKUP(IW$7,'Bridgend Manuf'!$M$6:$BM$6,'Bridgend Manuf'!$M$17:$BM$17)))</f>
        <v>0</v>
      </c>
      <c r="IX61" s="224">
        <f>IF(IX$7&gt;$D$3,"",IF($FA58&lt;IX$7,"OD",_xlfn.XLOOKUP(IX$7,'Bridgend Manuf'!$M$6:$BM$6,'Bridgend Manuf'!$M$17:$BM$17)))</f>
        <v>0</v>
      </c>
      <c r="IY61" s="224">
        <f>IF(IY$7&gt;$D$3,"",IF($FA58&lt;IY$7,"OD",_xlfn.XLOOKUP(IY$7,'Bridgend Manuf'!$M$6:$BM$6,'Bridgend Manuf'!$M$17:$BM$17)))</f>
        <v>0</v>
      </c>
      <c r="IZ61" s="224" t="str">
        <f>IF(IZ$7&gt;$D$3,"",IF($FA58&lt;IZ$7,"OD",_xlfn.XLOOKUP(IZ$7,'Bridgend Manuf'!$M$6:$BM$6,'Bridgend Manuf'!$M$17:$BM$17)))</f>
        <v/>
      </c>
      <c r="JA61" s="224" t="str">
        <f>IF(JA$7&gt;$D$3,"",IF($FA58&lt;JA$7,"OD",_xlfn.XLOOKUP(JA$7,'Bridgend Manuf'!$M$6:$BM$6,'Bridgend Manuf'!$M$17:$BM$17)))</f>
        <v/>
      </c>
      <c r="JB61" s="224" t="str">
        <f>IF(JB$7&gt;$D$3,"",IF($FA58&lt;JB$7,"OD",_xlfn.XLOOKUP(JB$7,'Bridgend Manuf'!$M$6:$BM$6,'Bridgend Manuf'!$M$17:$BM$17)))</f>
        <v/>
      </c>
      <c r="JC61" s="224" t="str">
        <f>IF(JC$7&gt;$D$3,"",IF($FA58&lt;JC$7,"OD",_xlfn.XLOOKUP(JC$7,'Bridgend Manuf'!$M$6:$BM$6,'Bridgend Manuf'!$M$17:$BM$17)))</f>
        <v/>
      </c>
      <c r="JD61" s="224" t="str">
        <f>IF(JD$7&gt;$D$3,"",IF($FA58&lt;JD$7,"OD",_xlfn.XLOOKUP(JD$7,'Bridgend Manuf'!$M$6:$BM$6,'Bridgend Manuf'!$M$17:$BM$17)))</f>
        <v/>
      </c>
      <c r="JE61" s="224" t="str">
        <f>IF(JE$7&gt;$D$3,"",IF($FA58&lt;JE$7,"OD",_xlfn.XLOOKUP(JE$7,'Bridgend Manuf'!$M$6:$BM$6,'Bridgend Manuf'!$M$17:$BM$17)))</f>
        <v/>
      </c>
      <c r="JF61" s="224" t="str">
        <f>IF(JF$7&gt;$D$3,"",IF($FA58&lt;JF$7,"OD",_xlfn.XLOOKUP(JF$7,'Bridgend Manuf'!$M$6:$BM$6,'Bridgend Manuf'!$M$17:$BM$17)))</f>
        <v/>
      </c>
      <c r="JG61" s="224" t="str">
        <f>IF(JG$7&gt;$D$3,"",IF($FA58&lt;JG$7,"OD",_xlfn.XLOOKUP(JG$7,'Bridgend Manuf'!$M$6:$BM$6,'Bridgend Manuf'!$M$17:$BM$17)))</f>
        <v/>
      </c>
      <c r="JH61" s="224" t="str">
        <f>IF(JH$7&gt;$D$3,"",IF($FA58&lt;JH$7,"OD",_xlfn.XLOOKUP(JH$7,'Bridgend Manuf'!$M$6:$BM$6,'Bridgend Manuf'!$M$17:$BM$17)))</f>
        <v/>
      </c>
      <c r="JI61" s="224" t="str">
        <f>IF(JI$7&gt;$D$3,"",IF($FA58&lt;JI$7,"OD",_xlfn.XLOOKUP(JI$7,'Bridgend Manuf'!$M$6:$BM$6,'Bridgend Manuf'!$M$17:$BM$17)))</f>
        <v/>
      </c>
      <c r="JJ61" s="224" t="str">
        <f>IF(JJ$7&gt;$D$3,"",IF($FA58&lt;JJ$7,"OD",_xlfn.XLOOKUP(JJ$7,'Bridgend Manuf'!$M$6:$BM$6,'Bridgend Manuf'!$M$17:$BM$17)))</f>
        <v/>
      </c>
      <c r="JM61" s="138" t="str">
        <f>+$C61</f>
        <v>KPI C1</v>
      </c>
      <c r="JN61" s="146" t="str">
        <f>+$D61</f>
        <v>Cost</v>
      </c>
      <c r="JO61" s="146" t="str">
        <f>+$E61</f>
        <v>Production Value per Employee</v>
      </c>
      <c r="JP61" s="147" t="str">
        <f>+$F61</f>
        <v>£'s</v>
      </c>
      <c r="JQ61" s="147" t="s">
        <v>284</v>
      </c>
      <c r="JR61" s="227" t="str">
        <f>IFERROR(AVERAGE(FC61:$FC61),"")</f>
        <v/>
      </c>
      <c r="JS61" s="227">
        <f>IFERROR(AVERAGE($FC61:FD61),"")</f>
        <v>2141</v>
      </c>
      <c r="JT61" s="227">
        <f>IFERROR(AVERAGE($FC61:FE61),"")</f>
        <v>2222.5</v>
      </c>
      <c r="JU61" s="227">
        <f>IFERROR(AVERAGE($FC61:FF61),"")</f>
        <v>2443.6666666666665</v>
      </c>
      <c r="JV61" s="227">
        <f>IFERROR(AVERAGE($FC61:FG61),"")</f>
        <v>2487.25</v>
      </c>
      <c r="JW61" s="227">
        <f>IFERROR(AVERAGE($FC61:FH61),"")</f>
        <v>2534.1999999999998</v>
      </c>
      <c r="JX61" s="227">
        <f>IFERROR(AVERAGE($FC61:FI61),"")</f>
        <v>2532.1666666666665</v>
      </c>
      <c r="JY61" s="227">
        <f>IFERROR(AVERAGE($FC61:FJ61),"")</f>
        <v>2558.5714285714284</v>
      </c>
      <c r="JZ61" s="227">
        <f>IFERROR(AVERAGE($FC61:FK61),"")</f>
        <v>2630.875</v>
      </c>
      <c r="KA61" s="227">
        <f>IFERROR(AVERAGE($FC61:FL61),"")</f>
        <v>2632.8888888888887</v>
      </c>
      <c r="KB61" s="227">
        <f>IFERROR(AVERAGE($FC61:FM61),"")</f>
        <v>2648.4</v>
      </c>
      <c r="KC61" s="227">
        <f>IFERROR(AVERAGE($FC61:FN61),"")</f>
        <v>2681.909090909091</v>
      </c>
      <c r="KD61" s="227">
        <f>IFERROR(AVERAGE($FC61:FO61),"")</f>
        <v>2739</v>
      </c>
      <c r="KE61" s="227">
        <f>IFERROR(AVERAGE($FC61:FP61),"")</f>
        <v>2754.3076923076924</v>
      </c>
      <c r="KF61" s="227">
        <f>IFERROR(AVERAGE($FC61:FQ61),"")</f>
        <v>2763.7857142857142</v>
      </c>
      <c r="KG61" s="227">
        <f>IFERROR(AVERAGE($FC61:FR61),"")</f>
        <v>2722.7333333333331</v>
      </c>
      <c r="KH61" s="227">
        <f>IFERROR(AVERAGE($FC61:FS61),"")</f>
        <v>2687.3125</v>
      </c>
      <c r="KI61" s="227">
        <f>IFERROR(AVERAGE($FC61:FT61),"")</f>
        <v>2675.0588235294117</v>
      </c>
      <c r="KJ61" s="227">
        <f>IFERROR(AVERAGE($FC61:FU61),"")</f>
        <v>2637.1666666666665</v>
      </c>
      <c r="KK61" s="227">
        <f>IFERROR(AVERAGE($FC61:FV61),"")</f>
        <v>2621.2631578947367</v>
      </c>
      <c r="KL61" s="227">
        <f>IFERROR(AVERAGE($FC61:FW61),"")</f>
        <v>2621.7</v>
      </c>
      <c r="KM61" s="227">
        <f>IFERROR(AVERAGE($FC61:FX61),"")</f>
        <v>2582.8571428571427</v>
      </c>
      <c r="KN61" s="227">
        <f>IFERROR(AVERAGE($FC61:FY61),"")</f>
        <v>2573.318181818182</v>
      </c>
      <c r="KO61" s="227">
        <f>IFERROR(AVERAGE($FC61:FZ61),"")</f>
        <v>2551.913043478261</v>
      </c>
      <c r="KP61" s="227">
        <f>IFERROR(AVERAGE($FC61:GA61),"")</f>
        <v>2546.7083333333335</v>
      </c>
      <c r="KQ61" s="227">
        <f>IFERROR(AVERAGE($FC61:GB61),"")</f>
        <v>2548.84</v>
      </c>
      <c r="KR61" s="227">
        <f>IFERROR(AVERAGE($FC61:GC61),"")</f>
        <v>2523.8461538461538</v>
      </c>
      <c r="KS61" s="227">
        <f>IFERROR(AVERAGE($FC61:GD61),"")</f>
        <v>2497.5925925925926</v>
      </c>
      <c r="KT61" s="227">
        <f>IFERROR(AVERAGE($FC61:GE61),"")</f>
        <v>2502.9642857142858</v>
      </c>
      <c r="KU61" s="227">
        <f>IFERROR(AVERAGE($FC61:GF61),"")</f>
        <v>2527.655172413793</v>
      </c>
      <c r="KV61" s="227">
        <f>IFERROR(AVERAGE($FC61:GG61),"")</f>
        <v>2547.7333333333331</v>
      </c>
      <c r="KW61" s="227">
        <f>IFERROR(AVERAGE($FC61:GH61),"")</f>
        <v>2557.6774193548385</v>
      </c>
      <c r="KX61" s="227">
        <f>IFERROR(AVERAGE($FC61:GI61),"")</f>
        <v>2552.15625</v>
      </c>
      <c r="KY61" s="227">
        <f>IFERROR(AVERAGE($FC61:GJ61),"")</f>
        <v>2572.242424242424</v>
      </c>
      <c r="KZ61" s="227">
        <f>IFERROR(AVERAGE($FC61:GK61),"")</f>
        <v>2559.4705882352941</v>
      </c>
      <c r="LA61" s="227">
        <f>IFERROR(AVERAGE($FC61:GL61),"")</f>
        <v>2555.8571428571427</v>
      </c>
      <c r="LB61" s="227">
        <f>IFERROR(AVERAGE($FC61:GM61),"")</f>
        <v>2550.5277777777778</v>
      </c>
      <c r="LC61" s="227">
        <f>IFERROR(AVERAGE($FC61:GN61),"")</f>
        <v>2535.4864864864867</v>
      </c>
      <c r="LD61" s="227">
        <f>IFERROR(AVERAGE($FC61:GO61),"")</f>
        <v>2549.4210526315787</v>
      </c>
      <c r="LE61" s="227">
        <f>IFERROR(AVERAGE($FC61:GP61),"")</f>
        <v>2484.0512820512822</v>
      </c>
      <c r="LF61" s="227">
        <f>IFERROR(AVERAGE($FC61:GQ61),"")</f>
        <v>2421.9499999999998</v>
      </c>
      <c r="LG61" s="227">
        <f>IFERROR(AVERAGE($FC61:GR61),"")</f>
        <v>2362.8780487804879</v>
      </c>
      <c r="LH61" s="227">
        <f>IFERROR(AVERAGE($FC61:GS61),"")</f>
        <v>2362.8780487804879</v>
      </c>
      <c r="LI61" s="227">
        <f>IFERROR(AVERAGE($FC61:GT61),"")</f>
        <v>2362.8780487804879</v>
      </c>
      <c r="LJ61" s="227">
        <f>IFERROR(AVERAGE($FC61:GU61),"")</f>
        <v>2362.8780487804879</v>
      </c>
      <c r="LK61" s="227">
        <f>IFERROR(AVERAGE($FC61:GV61),"")</f>
        <v>2362.8780487804879</v>
      </c>
      <c r="LL61" s="227">
        <f>IFERROR(AVERAGE($FC61:GW61),"")</f>
        <v>2362.8780487804879</v>
      </c>
      <c r="LM61" s="227">
        <f>IFERROR(AVERAGE($FC61:GX61),"")</f>
        <v>2362.8780487804879</v>
      </c>
      <c r="LN61" s="227">
        <f>IFERROR(AVERAGE($FC61:GY61),"")</f>
        <v>2362.8780487804879</v>
      </c>
      <c r="LO61" s="227">
        <f>IFERROR(AVERAGE($FC61:GZ61),"")</f>
        <v>2362.8780487804879</v>
      </c>
      <c r="LP61" s="227">
        <f>IFERROR(AVERAGE($FC61:HA61),"")</f>
        <v>2362.8780487804879</v>
      </c>
      <c r="LQ61" s="227">
        <f>IFERROR(AVERAGE($FC61:HB61),"")</f>
        <v>2362.8780487804879</v>
      </c>
      <c r="LR61" s="227">
        <f>IFERROR(AVERAGE($FC61:HC61),"")</f>
        <v>2362.8780487804879</v>
      </c>
      <c r="LT61" s="138" t="str">
        <f>+$C61</f>
        <v>KPI C1</v>
      </c>
      <c r="LU61" s="146" t="str">
        <f>+$D61</f>
        <v>Cost</v>
      </c>
      <c r="LV61" s="146" t="str">
        <f>+$E61</f>
        <v>Production Value per Employee</v>
      </c>
      <c r="LW61" s="147" t="str">
        <f>+$F61</f>
        <v>£'s</v>
      </c>
      <c r="LX61" s="147" t="s">
        <v>285</v>
      </c>
      <c r="LY61" s="224" t="str">
        <f>IFERROR(AVERAGE($HJ61:HJ61),"")</f>
        <v/>
      </c>
      <c r="LZ61" s="224">
        <f>IFERROR(IF(LAD$7&gt;$D$3,"",AVERAGE($HJ61:HK61)),"")</f>
        <v>2286</v>
      </c>
      <c r="MA61" s="224">
        <f>IFERROR(IF(MA$7&gt;$D$3,"",AVERAGE($HJ61:HL61)),"")</f>
        <v>2286</v>
      </c>
      <c r="MB61" s="224">
        <f>IFERROR(IF(MB$7&gt;$D$3,"",AVERAGE($HJ61:HM61)),"")</f>
        <v>2286</v>
      </c>
      <c r="MC61" s="224">
        <f>IFERROR(IF(MC$7&gt;$D$3,"",AVERAGE($HJ61:HN61)),"")</f>
        <v>2286</v>
      </c>
      <c r="MD61" s="224">
        <f>IFERROR(IF(MD$7&gt;$D$3,"",AVERAGE($HJ61:HO61)),"")</f>
        <v>2286</v>
      </c>
      <c r="ME61" s="224">
        <f>IFERROR(IF(ME$7&gt;$D$3,"",AVERAGE($HJ61:HP61)),"")</f>
        <v>2286</v>
      </c>
      <c r="MF61" s="224">
        <f>IFERROR(IF(MF$7&gt;$D$3,"",AVERAGE($HJ61:HQ61)),"")</f>
        <v>2286</v>
      </c>
      <c r="MG61" s="224">
        <f>IFERROR(IF(MG$7&gt;$D$3,"",AVERAGE($HJ61:HR61)),"")</f>
        <v>2286</v>
      </c>
      <c r="MH61" s="224">
        <f>IFERROR(IF(MH$7&gt;$D$3,"",AVERAGE($HJ61:HS61)),"")</f>
        <v>2286</v>
      </c>
      <c r="MI61" s="224">
        <f>IFERROR(IF(MI$7&gt;$D$3,"",AVERAGE($HJ61:HT61)),"")</f>
        <v>2286</v>
      </c>
      <c r="MJ61" s="224">
        <f>IFERROR(IF(MJ$7&gt;$D$3,"",AVERAGE($HJ61:HU61)),"")</f>
        <v>2286</v>
      </c>
      <c r="MK61" s="224">
        <f>IFERROR(IF(MK$7&gt;$D$3,"",AVERAGE($HJ61:HV61)),"")</f>
        <v>2286</v>
      </c>
      <c r="ML61" s="224">
        <f>IFERROR(IF(ML$7&gt;$D$3,"",AVERAGE($HJ61:HW61)),"")</f>
        <v>2286</v>
      </c>
      <c r="MM61" s="224">
        <f>IFERROR(IF(MM$7&gt;$D$3,"",AVERAGE($HJ61:HX61)),"")</f>
        <v>2286</v>
      </c>
      <c r="MN61" s="224">
        <f>IFERROR(IF(MN$7&gt;$D$3,"",AVERAGE($HJ61:HY61)),"")</f>
        <v>2286</v>
      </c>
      <c r="MO61" s="224">
        <f>IFERROR(IF(MO$7&gt;$D$3,"",AVERAGE($HJ61:HZ61)),"")</f>
        <v>2286</v>
      </c>
      <c r="MP61" s="224">
        <f>IFERROR(IF(MP$7&gt;$D$3,"",AVERAGE($HJ61:IA61)),"")</f>
        <v>2286</v>
      </c>
      <c r="MQ61" s="224">
        <f>IFERROR(IF(MQ$7&gt;$D$3,"",AVERAGE($HJ61:IB61)),"")</f>
        <v>2286</v>
      </c>
      <c r="MR61" s="224">
        <f>IFERROR(IF(MR$7&gt;$D$3,"",AVERAGE($HJ61:IC61)),"")</f>
        <v>2286</v>
      </c>
      <c r="MS61" s="224">
        <f>IFERROR(IF(MS$7&gt;$D$3,"",AVERAGE($HJ61:ID61)),"")</f>
        <v>2286</v>
      </c>
      <c r="MT61" s="224">
        <f>IFERROR(IF(MT$7&gt;$D$3,"",AVERAGE($HJ61:IE61)),"")</f>
        <v>2286</v>
      </c>
      <c r="MU61" s="224">
        <f>IFERROR(IF(MU$7&gt;$D$3,"",AVERAGE($HJ61:IF61)),"")</f>
        <v>2286</v>
      </c>
      <c r="MV61" s="224">
        <f>IFERROR(IF(MV$7&gt;$D$3,"",AVERAGE($HJ61:IG61)),"")</f>
        <v>2286</v>
      </c>
      <c r="MW61" s="224">
        <f>IFERROR(IF(MW$7&gt;$D$3,"",AVERAGE($HJ61:IH61)),"")</f>
        <v>2286</v>
      </c>
      <c r="MX61" s="224">
        <f>IFERROR(IF(MX$7&gt;$D$3,"",AVERAGE($HJ61:II61)),"")</f>
        <v>2286</v>
      </c>
      <c r="MY61" s="224">
        <f>IFERROR(IF(MY$7&gt;$D$3,"",AVERAGE($HJ61:IJ61)),"")</f>
        <v>2286</v>
      </c>
      <c r="MZ61" s="224">
        <f>IFERROR(IF(MZ$7&gt;$D$3,"",AVERAGE($HJ61:IK61)),"")</f>
        <v>2286</v>
      </c>
      <c r="NA61" s="224">
        <f>IFERROR(IF(NA$7&gt;$D$3,"",AVERAGE($HJ61:IL61)),"")</f>
        <v>2286</v>
      </c>
      <c r="NB61" s="224">
        <f>IFERROR(IF(NB$7&gt;$D$3,"",AVERAGE($HJ61:IM61)),"")</f>
        <v>2286</v>
      </c>
      <c r="NC61" s="224">
        <f>IFERROR(IF(NC$7&gt;$D$3,"",AVERAGE($HJ61:IN61)),"")</f>
        <v>2286</v>
      </c>
      <c r="ND61" s="224">
        <f>IFERROR(IF(ND$7&gt;$D$3,"",AVERAGE($HJ61:IO61)),"")</f>
        <v>2286</v>
      </c>
      <c r="NE61" s="224">
        <f>IFERROR(IF(NE$7&gt;$D$3,"",AVERAGE($HJ61:IP61)),"")</f>
        <v>2286</v>
      </c>
      <c r="NF61" s="224">
        <f>IFERROR(IF(NF$7&gt;$D$3,"",AVERAGE($HJ61:IQ61)),"")</f>
        <v>2286</v>
      </c>
      <c r="NG61" s="224">
        <f>IFERROR(IF(NG$7&gt;$D$3,"",AVERAGE($HJ61:IR61)),"")</f>
        <v>2272.5588235294117</v>
      </c>
      <c r="NH61" s="224">
        <f>IFERROR(IF(NH$7&gt;$D$3,"",AVERAGE($HJ61:IS61)),"")</f>
        <v>2272.9428571428571</v>
      </c>
      <c r="NI61" s="224">
        <f>IFERROR(IF(NI$7&gt;$D$3,"",AVERAGE($HJ61:IT61)),"")</f>
        <v>2273.3055555555557</v>
      </c>
      <c r="NJ61" s="224">
        <f>IFERROR(IF(NJ$7&gt;$D$3,"",AVERAGE($HJ61:IU61)),"")</f>
        <v>2273.6486486486488</v>
      </c>
      <c r="NK61" s="224">
        <f>IFERROR(IF(NK$7&gt;$D$3,"",AVERAGE($HJ61:IV61)),"")</f>
        <v>2273.9736842105262</v>
      </c>
      <c r="NL61" s="224">
        <f>IFERROR(IF(NL$7&gt;$D$3,"",AVERAGE($HJ61:IW61)),"")</f>
        <v>2215.6666666666665</v>
      </c>
      <c r="NM61" s="224">
        <f>IFERROR(IF(NM$7&gt;$D$3,"",AVERAGE($HJ61:IX61)),"")</f>
        <v>2160.2750000000001</v>
      </c>
      <c r="NN61" s="224">
        <f>IFERROR(IF(NN$7&gt;$D$3,"",AVERAGE($HJ61:IY61)),"")</f>
        <v>2107.5853658536585</v>
      </c>
      <c r="NO61" s="224" t="str">
        <f>IFERROR(IF(NO$7&gt;$D$3,"",AVERAGE($HJ61:IZ61)),"")</f>
        <v/>
      </c>
      <c r="NP61" s="224" t="str">
        <f>IFERROR(IF(NP$7&gt;$D$3,"",AVERAGE($HJ61:JA61)),"")</f>
        <v/>
      </c>
      <c r="NQ61" s="224" t="str">
        <f>IFERROR(IF(NQ$7&gt;$D$3,"",AVERAGE($HJ61:JB61)),"")</f>
        <v/>
      </c>
      <c r="NR61" s="224" t="str">
        <f>IFERROR(IF(NR$7&gt;$D$3,"",AVERAGE($HJ61:JC61)),"")</f>
        <v/>
      </c>
      <c r="NS61" s="224" t="str">
        <f>IFERROR(IF(NS$7&gt;$D$3,"",AVERAGE($HJ61:JD61)),"")</f>
        <v/>
      </c>
      <c r="NT61" s="224" t="str">
        <f>IFERROR(IF(NT$7&gt;$D$3,"",AVERAGE($HJ61:JE61)),"")</f>
        <v/>
      </c>
      <c r="NU61" s="224" t="str">
        <f>IFERROR(IF(NU$7&gt;$D$3,"",AVERAGE($HJ61:JF61)),"")</f>
        <v/>
      </c>
      <c r="NV61" s="224" t="str">
        <f>IFERROR(IF(NV$7&gt;$D$3,"",AVERAGE($HJ61:JG61)),"")</f>
        <v/>
      </c>
      <c r="NW61" s="224" t="str">
        <f>IFERROR(IF(NW$7&gt;$D$3,"",AVERAGE($HJ61:JH61)),"")</f>
        <v/>
      </c>
      <c r="NX61" s="224" t="str">
        <f>IFERROR(IF(NX$7&gt;$D$3,"",AVERAGE($HJ61:JI61)),"")</f>
        <v/>
      </c>
      <c r="NY61" s="224" t="str">
        <f>IFERROR(IF(NY$7&gt;$D$3,"",AVERAGE($HJ61:JJ61)),"")</f>
        <v/>
      </c>
    </row>
    <row r="62" spans="1:389" ht="15" thickBot="1" x14ac:dyDescent="0.35">
      <c r="AB62" s="292"/>
      <c r="AH62" s="465"/>
      <c r="AN62" s="201"/>
      <c r="CO62" s="465"/>
      <c r="CV62" s="316"/>
      <c r="CW62" s="316"/>
      <c r="CX62" s="316"/>
      <c r="CY62" s="316"/>
      <c r="CZ62" s="316"/>
      <c r="DA62" s="316"/>
      <c r="DB62" s="316"/>
      <c r="DC62" s="316"/>
      <c r="DD62" s="316"/>
      <c r="DE62" s="316"/>
      <c r="DF62" s="316"/>
      <c r="DG62" s="316"/>
      <c r="DH62" s="316"/>
      <c r="DI62" s="316"/>
      <c r="DJ62" s="316"/>
      <c r="DK62" s="316"/>
      <c r="DL62" s="316"/>
      <c r="DM62" s="316"/>
      <c r="DN62" s="316"/>
      <c r="DO62" s="316"/>
      <c r="DP62" s="316"/>
      <c r="DQ62" s="316"/>
      <c r="DR62" s="316"/>
      <c r="DS62" s="316"/>
      <c r="DT62" s="316"/>
      <c r="DU62" s="316"/>
      <c r="DV62" s="316"/>
      <c r="DW62" s="316"/>
      <c r="DX62" s="316"/>
      <c r="DY62" s="316"/>
      <c r="DZ62" s="316"/>
      <c r="EA62" s="316"/>
      <c r="EB62" s="316"/>
      <c r="EC62" s="316"/>
      <c r="ED62" s="316"/>
      <c r="EE62" s="316"/>
      <c r="EF62" s="316"/>
      <c r="EG62" s="316"/>
      <c r="EH62" s="316"/>
      <c r="EI62" s="316"/>
      <c r="EJ62" s="316"/>
      <c r="EK62" s="316"/>
      <c r="EL62" s="316"/>
      <c r="EM62" s="316"/>
      <c r="EN62" s="316"/>
      <c r="EO62" s="316"/>
      <c r="EP62" s="316"/>
      <c r="EQ62" s="316"/>
      <c r="ER62" s="316"/>
      <c r="ES62" s="316"/>
      <c r="ET62" s="316"/>
      <c r="EU62" s="316"/>
      <c r="EW62" s="465"/>
      <c r="FC62" s="201"/>
      <c r="FD62" s="201"/>
      <c r="FE62" s="201"/>
      <c r="FF62" s="201"/>
      <c r="FG62" s="201"/>
      <c r="FH62" s="201"/>
      <c r="FI62" s="201"/>
      <c r="FJ62" s="201"/>
      <c r="FK62" s="201"/>
      <c r="FL62" s="201"/>
      <c r="FM62" s="201"/>
      <c r="FN62" s="201"/>
      <c r="FO62" s="201"/>
      <c r="FP62" s="201"/>
      <c r="FQ62" s="201"/>
      <c r="FR62" s="201"/>
      <c r="FS62" s="201"/>
      <c r="FT62" s="201"/>
      <c r="FU62" s="201"/>
      <c r="FV62" s="201"/>
      <c r="FW62" s="201"/>
      <c r="FX62" s="201"/>
      <c r="FY62" s="201"/>
      <c r="FZ62" s="201"/>
      <c r="GA62" s="201"/>
      <c r="GB62" s="201"/>
      <c r="GC62" s="201"/>
      <c r="GD62" s="201"/>
      <c r="GE62" s="201"/>
      <c r="GF62" s="201"/>
      <c r="GG62" s="201"/>
      <c r="GH62" s="201"/>
      <c r="GI62" s="201"/>
      <c r="GJ62" s="201"/>
      <c r="GK62" s="201"/>
      <c r="GL62" s="201"/>
      <c r="GM62" s="201"/>
      <c r="GN62" s="201"/>
      <c r="GO62" s="201"/>
      <c r="GP62" s="201"/>
      <c r="GQ62" s="201"/>
      <c r="GR62" s="201"/>
      <c r="GS62" s="201"/>
      <c r="GT62" s="201"/>
      <c r="GU62" s="201"/>
      <c r="GV62" s="201"/>
      <c r="GW62" s="201"/>
      <c r="GX62" s="201"/>
      <c r="GY62" s="201"/>
      <c r="GZ62" s="201"/>
      <c r="HA62" s="201"/>
      <c r="HB62" s="201"/>
      <c r="HC62" s="201"/>
      <c r="HJ62" s="201"/>
      <c r="HK62" s="201"/>
      <c r="HL62" s="249"/>
      <c r="HM62" s="249"/>
      <c r="HN62" s="249"/>
      <c r="HO62" s="249"/>
      <c r="HP62" s="249"/>
      <c r="HQ62" s="249"/>
      <c r="HR62" s="249"/>
      <c r="HS62" s="249"/>
      <c r="HT62" s="249"/>
      <c r="HU62" s="249"/>
      <c r="HV62" s="249"/>
      <c r="HW62" s="249"/>
      <c r="HX62" s="249"/>
      <c r="HY62" s="249"/>
      <c r="HZ62" s="249"/>
      <c r="IA62" s="249"/>
      <c r="IB62" s="249"/>
      <c r="IC62" s="249"/>
      <c r="ID62" s="249"/>
      <c r="IE62" s="249"/>
      <c r="IF62" s="249"/>
      <c r="IG62" s="249"/>
      <c r="IH62" s="249"/>
      <c r="II62" s="249"/>
      <c r="IJ62" s="249"/>
      <c r="IK62" s="249"/>
      <c r="IL62" s="249"/>
      <c r="IM62" s="249"/>
      <c r="IN62" s="249"/>
      <c r="IO62" s="249"/>
      <c r="IP62" s="249"/>
      <c r="IQ62" s="249"/>
      <c r="IR62" s="249"/>
      <c r="IS62" s="249"/>
      <c r="IT62" s="249"/>
      <c r="IU62" s="249"/>
      <c r="IV62" s="249"/>
      <c r="IW62" s="249"/>
      <c r="IX62" s="249"/>
      <c r="IY62" s="249"/>
      <c r="IZ62" s="249"/>
      <c r="JA62" s="249"/>
      <c r="JB62" s="249"/>
      <c r="JC62" s="249"/>
      <c r="JD62" s="249"/>
      <c r="JE62" s="249"/>
      <c r="JF62" s="249"/>
      <c r="JG62" s="249"/>
      <c r="JH62" s="249"/>
      <c r="JI62" s="249"/>
      <c r="JJ62" s="249"/>
      <c r="JR62" s="249"/>
      <c r="JS62" s="249"/>
      <c r="JT62" s="249"/>
      <c r="JU62" s="249"/>
      <c r="JV62" s="249"/>
      <c r="JW62" s="249"/>
      <c r="JX62" s="249"/>
      <c r="JY62" s="249"/>
      <c r="JZ62" s="249"/>
      <c r="KA62" s="249"/>
      <c r="KB62" s="249"/>
      <c r="KC62" s="249"/>
      <c r="KD62" s="249"/>
      <c r="KE62" s="249"/>
      <c r="KF62" s="249"/>
      <c r="KG62" s="249"/>
      <c r="KH62" s="249"/>
      <c r="KI62" s="249"/>
      <c r="KJ62" s="249"/>
      <c r="KK62" s="249"/>
      <c r="KL62" s="249"/>
      <c r="KM62" s="249"/>
      <c r="KN62" s="249"/>
      <c r="KO62" s="249"/>
      <c r="KP62" s="249"/>
      <c r="KQ62" s="249"/>
      <c r="KR62" s="249"/>
      <c r="KS62" s="249"/>
      <c r="KT62" s="249"/>
      <c r="KU62" s="249"/>
      <c r="KV62" s="249"/>
      <c r="KW62" s="249"/>
      <c r="KX62" s="249"/>
      <c r="KY62" s="249"/>
      <c r="KZ62" s="249"/>
      <c r="LA62" s="249"/>
      <c r="LB62" s="249"/>
      <c r="LC62" s="249"/>
      <c r="LD62" s="249"/>
      <c r="LE62" s="249"/>
      <c r="LF62" s="249"/>
      <c r="LG62" s="249"/>
      <c r="LH62" s="249"/>
      <c r="LI62" s="249"/>
      <c r="LJ62" s="249"/>
      <c r="LK62" s="249"/>
      <c r="LL62" s="249"/>
      <c r="LM62" s="249"/>
      <c r="LN62" s="249"/>
      <c r="LO62" s="249"/>
      <c r="LP62" s="249"/>
      <c r="LQ62" s="249"/>
      <c r="LR62" s="249"/>
      <c r="LY62" s="201"/>
      <c r="LZ62" s="201"/>
      <c r="MA62" s="201"/>
      <c r="MB62" s="201"/>
      <c r="MC62" s="201"/>
      <c r="MD62" s="201"/>
      <c r="ME62" s="201"/>
      <c r="MF62" s="201"/>
      <c r="MG62" s="201"/>
      <c r="MH62" s="201"/>
      <c r="MI62" s="201"/>
      <c r="MJ62" s="201"/>
      <c r="MK62" s="201"/>
      <c r="ML62" s="201"/>
      <c r="MM62" s="201"/>
      <c r="MN62" s="201"/>
      <c r="MO62" s="201"/>
      <c r="MP62" s="201"/>
      <c r="MQ62" s="201"/>
      <c r="MR62" s="201"/>
      <c r="MS62" s="201"/>
      <c r="MT62" s="201"/>
      <c r="MU62" s="201"/>
      <c r="MV62" s="201"/>
      <c r="MW62" s="201"/>
      <c r="MX62" s="201"/>
      <c r="MY62" s="201"/>
      <c r="MZ62" s="201"/>
      <c r="NA62" s="201"/>
      <c r="NB62" s="201"/>
      <c r="NC62" s="201"/>
      <c r="ND62" s="201"/>
      <c r="NE62" s="201"/>
      <c r="NF62" s="201"/>
      <c r="NG62" s="201"/>
      <c r="NH62" s="201"/>
      <c r="NI62" s="201"/>
      <c r="NJ62" s="201"/>
      <c r="NK62" s="201"/>
      <c r="NL62" s="201"/>
      <c r="NM62" s="201"/>
      <c r="NN62" s="201"/>
      <c r="NO62" s="201"/>
      <c r="NP62" s="201"/>
      <c r="NQ62" s="201"/>
      <c r="NR62" s="201"/>
      <c r="NS62" s="201"/>
      <c r="NT62" s="201"/>
      <c r="NU62" s="201"/>
      <c r="NV62" s="201"/>
      <c r="NW62" s="201"/>
      <c r="NX62" s="201"/>
      <c r="NY62" s="201"/>
    </row>
    <row r="63" spans="1:389" ht="28.2" customHeight="1" thickBot="1" x14ac:dyDescent="0.35">
      <c r="B63" s="180" t="str">
        <f>+'KPI Stats'!B62</f>
        <v>Maybole Manuf</v>
      </c>
      <c r="C63" s="133" t="str">
        <f>+'KPI Stats'!C62</f>
        <v>Scott McMillan</v>
      </c>
      <c r="D63" s="134"/>
      <c r="E63" s="141" t="str">
        <f>+'KPI Stats'!E62</f>
        <v>Completed to Week</v>
      </c>
      <c r="F63" s="141">
        <f>+'KPI Stats'!F62</f>
        <v>42</v>
      </c>
      <c r="G63" s="181" t="s">
        <v>506</v>
      </c>
      <c r="J63" s="181" t="str">
        <f>+$B63</f>
        <v>Maybole Manuf</v>
      </c>
      <c r="K63" s="181"/>
      <c r="L63" s="182"/>
      <c r="M63" s="183"/>
      <c r="P63" s="181" t="str">
        <f>+$B63</f>
        <v>Maybole Manuf</v>
      </c>
      <c r="Q63" s="181"/>
      <c r="R63" s="181"/>
      <c r="S63" s="183"/>
      <c r="T63" s="183"/>
      <c r="U63" s="291"/>
      <c r="X63" s="181" t="str">
        <f>+$B63</f>
        <v>Maybole Manuf</v>
      </c>
      <c r="Y63" s="181"/>
      <c r="Z63" s="181"/>
      <c r="AA63" s="183"/>
      <c r="AB63" s="291"/>
      <c r="AC63" s="181" t="str">
        <f>+$B63</f>
        <v>Maybole Manuf</v>
      </c>
      <c r="AD63" s="181"/>
      <c r="AE63" s="181"/>
      <c r="AF63" s="183"/>
      <c r="AH63" s="465"/>
      <c r="AI63" s="191" t="str">
        <f>+B64</f>
        <v>Manufacturing Maybole</v>
      </c>
      <c r="AJ63" s="192"/>
      <c r="AK63" s="141" t="str">
        <f t="shared" ref="AK63:AL67" si="200">+E63</f>
        <v>Completed to Week</v>
      </c>
      <c r="AL63" s="141">
        <f t="shared" si="200"/>
        <v>42</v>
      </c>
      <c r="AM63" s="209" t="str">
        <f>+$B63</f>
        <v>Maybole Manuf</v>
      </c>
      <c r="AN63" s="210" t="str">
        <f t="shared" ref="AN63:CM63" si="201">+$B63</f>
        <v>Maybole Manuf</v>
      </c>
      <c r="AO63" s="209" t="str">
        <f t="shared" si="201"/>
        <v>Maybole Manuf</v>
      </c>
      <c r="AP63" s="209" t="str">
        <f t="shared" si="201"/>
        <v>Maybole Manuf</v>
      </c>
      <c r="AQ63" s="209" t="str">
        <f t="shared" si="201"/>
        <v>Maybole Manuf</v>
      </c>
      <c r="AR63" s="209" t="str">
        <f t="shared" si="201"/>
        <v>Maybole Manuf</v>
      </c>
      <c r="AS63" s="209" t="str">
        <f t="shared" si="201"/>
        <v>Maybole Manuf</v>
      </c>
      <c r="AT63" s="209" t="str">
        <f t="shared" si="201"/>
        <v>Maybole Manuf</v>
      </c>
      <c r="AU63" s="209" t="str">
        <f t="shared" si="201"/>
        <v>Maybole Manuf</v>
      </c>
      <c r="AV63" s="209" t="str">
        <f t="shared" si="201"/>
        <v>Maybole Manuf</v>
      </c>
      <c r="AW63" s="209" t="str">
        <f t="shared" si="201"/>
        <v>Maybole Manuf</v>
      </c>
      <c r="AX63" s="209" t="str">
        <f t="shared" si="201"/>
        <v>Maybole Manuf</v>
      </c>
      <c r="AY63" s="209" t="str">
        <f t="shared" si="201"/>
        <v>Maybole Manuf</v>
      </c>
      <c r="AZ63" s="209" t="str">
        <f t="shared" si="201"/>
        <v>Maybole Manuf</v>
      </c>
      <c r="BA63" s="209" t="str">
        <f t="shared" si="201"/>
        <v>Maybole Manuf</v>
      </c>
      <c r="BB63" s="209" t="str">
        <f t="shared" si="201"/>
        <v>Maybole Manuf</v>
      </c>
      <c r="BC63" s="209" t="str">
        <f t="shared" si="201"/>
        <v>Maybole Manuf</v>
      </c>
      <c r="BD63" s="209" t="str">
        <f t="shared" si="201"/>
        <v>Maybole Manuf</v>
      </c>
      <c r="BE63" s="209" t="str">
        <f t="shared" si="201"/>
        <v>Maybole Manuf</v>
      </c>
      <c r="BF63" s="209" t="str">
        <f t="shared" si="201"/>
        <v>Maybole Manuf</v>
      </c>
      <c r="BG63" s="209" t="str">
        <f t="shared" si="201"/>
        <v>Maybole Manuf</v>
      </c>
      <c r="BH63" s="209" t="str">
        <f t="shared" si="201"/>
        <v>Maybole Manuf</v>
      </c>
      <c r="BI63" s="209" t="str">
        <f t="shared" si="201"/>
        <v>Maybole Manuf</v>
      </c>
      <c r="BJ63" s="209" t="str">
        <f t="shared" si="201"/>
        <v>Maybole Manuf</v>
      </c>
      <c r="BK63" s="209" t="str">
        <f t="shared" si="201"/>
        <v>Maybole Manuf</v>
      </c>
      <c r="BL63" s="209" t="str">
        <f t="shared" si="201"/>
        <v>Maybole Manuf</v>
      </c>
      <c r="BM63" s="209" t="str">
        <f t="shared" si="201"/>
        <v>Maybole Manuf</v>
      </c>
      <c r="BN63" s="209" t="str">
        <f t="shared" si="201"/>
        <v>Maybole Manuf</v>
      </c>
      <c r="BO63" s="209" t="str">
        <f t="shared" si="201"/>
        <v>Maybole Manuf</v>
      </c>
      <c r="BP63" s="209" t="str">
        <f t="shared" si="201"/>
        <v>Maybole Manuf</v>
      </c>
      <c r="BQ63" s="209" t="str">
        <f t="shared" si="201"/>
        <v>Maybole Manuf</v>
      </c>
      <c r="BR63" s="209" t="str">
        <f t="shared" si="201"/>
        <v>Maybole Manuf</v>
      </c>
      <c r="BS63" s="209" t="str">
        <f t="shared" si="201"/>
        <v>Maybole Manuf</v>
      </c>
      <c r="BT63" s="209" t="str">
        <f t="shared" si="201"/>
        <v>Maybole Manuf</v>
      </c>
      <c r="BU63" s="209" t="str">
        <f t="shared" si="201"/>
        <v>Maybole Manuf</v>
      </c>
      <c r="BV63" s="209" t="str">
        <f t="shared" si="201"/>
        <v>Maybole Manuf</v>
      </c>
      <c r="BW63" s="209" t="str">
        <f t="shared" si="201"/>
        <v>Maybole Manuf</v>
      </c>
      <c r="BX63" s="209" t="str">
        <f t="shared" si="201"/>
        <v>Maybole Manuf</v>
      </c>
      <c r="BY63" s="209" t="str">
        <f t="shared" si="201"/>
        <v>Maybole Manuf</v>
      </c>
      <c r="BZ63" s="209" t="str">
        <f t="shared" si="201"/>
        <v>Maybole Manuf</v>
      </c>
      <c r="CA63" s="209" t="str">
        <f t="shared" si="201"/>
        <v>Maybole Manuf</v>
      </c>
      <c r="CB63" s="209" t="str">
        <f t="shared" si="201"/>
        <v>Maybole Manuf</v>
      </c>
      <c r="CC63" s="209" t="str">
        <f t="shared" si="201"/>
        <v>Maybole Manuf</v>
      </c>
      <c r="CD63" s="209" t="str">
        <f t="shared" si="201"/>
        <v>Maybole Manuf</v>
      </c>
      <c r="CE63" s="209" t="str">
        <f t="shared" si="201"/>
        <v>Maybole Manuf</v>
      </c>
      <c r="CF63" s="209" t="str">
        <f t="shared" si="201"/>
        <v>Maybole Manuf</v>
      </c>
      <c r="CG63" s="209" t="str">
        <f t="shared" si="201"/>
        <v>Maybole Manuf</v>
      </c>
      <c r="CH63" s="209" t="str">
        <f t="shared" si="201"/>
        <v>Maybole Manuf</v>
      </c>
      <c r="CI63" s="209" t="str">
        <f t="shared" si="201"/>
        <v>Maybole Manuf</v>
      </c>
      <c r="CJ63" s="209" t="str">
        <f t="shared" si="201"/>
        <v>Maybole Manuf</v>
      </c>
      <c r="CK63" s="209" t="str">
        <f t="shared" si="201"/>
        <v>Maybole Manuf</v>
      </c>
      <c r="CL63" s="209" t="str">
        <f t="shared" si="201"/>
        <v>Maybole Manuf</v>
      </c>
      <c r="CM63" s="209" t="str">
        <f t="shared" si="201"/>
        <v>Maybole Manuf</v>
      </c>
      <c r="CO63" s="465"/>
      <c r="CP63" s="191" t="str">
        <f>+B64</f>
        <v>Manufacturing Maybole</v>
      </c>
      <c r="CQ63" s="192"/>
      <c r="CR63" s="141" t="str">
        <f t="shared" ref="CR63:CS67" si="202">+E63</f>
        <v>Completed to Week</v>
      </c>
      <c r="CS63" s="141">
        <f t="shared" si="202"/>
        <v>42</v>
      </c>
      <c r="CT63" s="351" t="str">
        <f>+G63</f>
        <v>Weekly KPI</v>
      </c>
      <c r="CU63" s="209" t="str">
        <f>+$B63</f>
        <v>Maybole Manuf</v>
      </c>
      <c r="CV63" s="321" t="str">
        <f t="shared" ref="CV63:EU63" si="203">+$B63</f>
        <v>Maybole Manuf</v>
      </c>
      <c r="CW63" s="321" t="str">
        <f t="shared" si="203"/>
        <v>Maybole Manuf</v>
      </c>
      <c r="CX63" s="321" t="str">
        <f t="shared" si="203"/>
        <v>Maybole Manuf</v>
      </c>
      <c r="CY63" s="321" t="str">
        <f t="shared" si="203"/>
        <v>Maybole Manuf</v>
      </c>
      <c r="CZ63" s="321" t="str">
        <f t="shared" si="203"/>
        <v>Maybole Manuf</v>
      </c>
      <c r="DA63" s="321" t="str">
        <f t="shared" si="203"/>
        <v>Maybole Manuf</v>
      </c>
      <c r="DB63" s="321" t="str">
        <f t="shared" si="203"/>
        <v>Maybole Manuf</v>
      </c>
      <c r="DC63" s="321" t="str">
        <f t="shared" si="203"/>
        <v>Maybole Manuf</v>
      </c>
      <c r="DD63" s="321" t="str">
        <f t="shared" si="203"/>
        <v>Maybole Manuf</v>
      </c>
      <c r="DE63" s="321" t="str">
        <f t="shared" si="203"/>
        <v>Maybole Manuf</v>
      </c>
      <c r="DF63" s="321" t="str">
        <f t="shared" si="203"/>
        <v>Maybole Manuf</v>
      </c>
      <c r="DG63" s="321" t="str">
        <f t="shared" si="203"/>
        <v>Maybole Manuf</v>
      </c>
      <c r="DH63" s="321" t="str">
        <f t="shared" si="203"/>
        <v>Maybole Manuf</v>
      </c>
      <c r="DI63" s="321" t="str">
        <f t="shared" si="203"/>
        <v>Maybole Manuf</v>
      </c>
      <c r="DJ63" s="321" t="str">
        <f t="shared" si="203"/>
        <v>Maybole Manuf</v>
      </c>
      <c r="DK63" s="321" t="str">
        <f t="shared" si="203"/>
        <v>Maybole Manuf</v>
      </c>
      <c r="DL63" s="321" t="str">
        <f t="shared" si="203"/>
        <v>Maybole Manuf</v>
      </c>
      <c r="DM63" s="321" t="str">
        <f t="shared" si="203"/>
        <v>Maybole Manuf</v>
      </c>
      <c r="DN63" s="321" t="str">
        <f t="shared" si="203"/>
        <v>Maybole Manuf</v>
      </c>
      <c r="DO63" s="321" t="str">
        <f t="shared" si="203"/>
        <v>Maybole Manuf</v>
      </c>
      <c r="DP63" s="321" t="str">
        <f t="shared" si="203"/>
        <v>Maybole Manuf</v>
      </c>
      <c r="DQ63" s="321" t="str">
        <f t="shared" si="203"/>
        <v>Maybole Manuf</v>
      </c>
      <c r="DR63" s="321" t="str">
        <f t="shared" si="203"/>
        <v>Maybole Manuf</v>
      </c>
      <c r="DS63" s="321" t="str">
        <f t="shared" si="203"/>
        <v>Maybole Manuf</v>
      </c>
      <c r="DT63" s="321" t="str">
        <f t="shared" si="203"/>
        <v>Maybole Manuf</v>
      </c>
      <c r="DU63" s="321" t="str">
        <f t="shared" si="203"/>
        <v>Maybole Manuf</v>
      </c>
      <c r="DV63" s="321" t="str">
        <f t="shared" si="203"/>
        <v>Maybole Manuf</v>
      </c>
      <c r="DW63" s="321" t="str">
        <f t="shared" si="203"/>
        <v>Maybole Manuf</v>
      </c>
      <c r="DX63" s="321" t="str">
        <f t="shared" si="203"/>
        <v>Maybole Manuf</v>
      </c>
      <c r="DY63" s="321" t="str">
        <f t="shared" si="203"/>
        <v>Maybole Manuf</v>
      </c>
      <c r="DZ63" s="321" t="str">
        <f t="shared" si="203"/>
        <v>Maybole Manuf</v>
      </c>
      <c r="EA63" s="321" t="str">
        <f t="shared" si="203"/>
        <v>Maybole Manuf</v>
      </c>
      <c r="EB63" s="321" t="str">
        <f t="shared" si="203"/>
        <v>Maybole Manuf</v>
      </c>
      <c r="EC63" s="321" t="str">
        <f t="shared" si="203"/>
        <v>Maybole Manuf</v>
      </c>
      <c r="ED63" s="321" t="str">
        <f t="shared" si="203"/>
        <v>Maybole Manuf</v>
      </c>
      <c r="EE63" s="321" t="str">
        <f t="shared" si="203"/>
        <v>Maybole Manuf</v>
      </c>
      <c r="EF63" s="321" t="str">
        <f t="shared" si="203"/>
        <v>Maybole Manuf</v>
      </c>
      <c r="EG63" s="321" t="str">
        <f t="shared" si="203"/>
        <v>Maybole Manuf</v>
      </c>
      <c r="EH63" s="321" t="str">
        <f t="shared" si="203"/>
        <v>Maybole Manuf</v>
      </c>
      <c r="EI63" s="321" t="str">
        <f t="shared" si="203"/>
        <v>Maybole Manuf</v>
      </c>
      <c r="EJ63" s="321" t="str">
        <f t="shared" si="203"/>
        <v>Maybole Manuf</v>
      </c>
      <c r="EK63" s="321" t="str">
        <f t="shared" si="203"/>
        <v>Maybole Manuf</v>
      </c>
      <c r="EL63" s="321" t="str">
        <f t="shared" si="203"/>
        <v>Maybole Manuf</v>
      </c>
      <c r="EM63" s="321" t="str">
        <f t="shared" si="203"/>
        <v>Maybole Manuf</v>
      </c>
      <c r="EN63" s="321" t="str">
        <f t="shared" si="203"/>
        <v>Maybole Manuf</v>
      </c>
      <c r="EO63" s="321" t="str">
        <f t="shared" si="203"/>
        <v>Maybole Manuf</v>
      </c>
      <c r="EP63" s="321" t="str">
        <f t="shared" si="203"/>
        <v>Maybole Manuf</v>
      </c>
      <c r="EQ63" s="321" t="str">
        <f t="shared" si="203"/>
        <v>Maybole Manuf</v>
      </c>
      <c r="ER63" s="321" t="str">
        <f t="shared" si="203"/>
        <v>Maybole Manuf</v>
      </c>
      <c r="ES63" s="321" t="str">
        <f t="shared" si="203"/>
        <v>Maybole Manuf</v>
      </c>
      <c r="ET63" s="321" t="str">
        <f t="shared" si="203"/>
        <v>Maybole Manuf</v>
      </c>
      <c r="EU63" s="321" t="str">
        <f t="shared" si="203"/>
        <v>Maybole Manuf</v>
      </c>
      <c r="EW63" s="465"/>
      <c r="EX63" s="191" t="str">
        <f t="shared" ref="EX63" si="204">+$B63</f>
        <v>Maybole Manuf</v>
      </c>
      <c r="EY63" s="192"/>
      <c r="EZ63" s="141" t="str">
        <f>+$E63</f>
        <v>Completed to Week</v>
      </c>
      <c r="FA63" s="141">
        <f>+$F63</f>
        <v>42</v>
      </c>
      <c r="FB63" s="141"/>
      <c r="FC63" s="210" t="str">
        <f t="shared" ref="FC63:HC63" si="205">+$B63</f>
        <v>Maybole Manuf</v>
      </c>
      <c r="FD63" s="210" t="str">
        <f t="shared" si="205"/>
        <v>Maybole Manuf</v>
      </c>
      <c r="FE63" s="210" t="str">
        <f t="shared" si="205"/>
        <v>Maybole Manuf</v>
      </c>
      <c r="FF63" s="210" t="str">
        <f t="shared" si="205"/>
        <v>Maybole Manuf</v>
      </c>
      <c r="FG63" s="210" t="str">
        <f t="shared" si="205"/>
        <v>Maybole Manuf</v>
      </c>
      <c r="FH63" s="210" t="str">
        <f t="shared" si="205"/>
        <v>Maybole Manuf</v>
      </c>
      <c r="FI63" s="210" t="str">
        <f t="shared" si="205"/>
        <v>Maybole Manuf</v>
      </c>
      <c r="FJ63" s="210" t="str">
        <f t="shared" si="205"/>
        <v>Maybole Manuf</v>
      </c>
      <c r="FK63" s="210" t="str">
        <f t="shared" si="205"/>
        <v>Maybole Manuf</v>
      </c>
      <c r="FL63" s="210" t="str">
        <f t="shared" si="205"/>
        <v>Maybole Manuf</v>
      </c>
      <c r="FM63" s="210" t="str">
        <f t="shared" si="205"/>
        <v>Maybole Manuf</v>
      </c>
      <c r="FN63" s="210" t="str">
        <f t="shared" si="205"/>
        <v>Maybole Manuf</v>
      </c>
      <c r="FO63" s="210" t="str">
        <f t="shared" si="205"/>
        <v>Maybole Manuf</v>
      </c>
      <c r="FP63" s="210" t="str">
        <f t="shared" si="205"/>
        <v>Maybole Manuf</v>
      </c>
      <c r="FQ63" s="210" t="str">
        <f t="shared" si="205"/>
        <v>Maybole Manuf</v>
      </c>
      <c r="FR63" s="210" t="str">
        <f t="shared" si="205"/>
        <v>Maybole Manuf</v>
      </c>
      <c r="FS63" s="210" t="str">
        <f t="shared" si="205"/>
        <v>Maybole Manuf</v>
      </c>
      <c r="FT63" s="210" t="str">
        <f t="shared" si="205"/>
        <v>Maybole Manuf</v>
      </c>
      <c r="FU63" s="210" t="str">
        <f t="shared" si="205"/>
        <v>Maybole Manuf</v>
      </c>
      <c r="FV63" s="210" t="str">
        <f t="shared" si="205"/>
        <v>Maybole Manuf</v>
      </c>
      <c r="FW63" s="210" t="str">
        <f t="shared" si="205"/>
        <v>Maybole Manuf</v>
      </c>
      <c r="FX63" s="210" t="str">
        <f t="shared" si="205"/>
        <v>Maybole Manuf</v>
      </c>
      <c r="FY63" s="210" t="str">
        <f t="shared" si="205"/>
        <v>Maybole Manuf</v>
      </c>
      <c r="FZ63" s="210" t="str">
        <f t="shared" si="205"/>
        <v>Maybole Manuf</v>
      </c>
      <c r="GA63" s="210" t="str">
        <f t="shared" si="205"/>
        <v>Maybole Manuf</v>
      </c>
      <c r="GB63" s="210" t="str">
        <f t="shared" si="205"/>
        <v>Maybole Manuf</v>
      </c>
      <c r="GC63" s="210" t="str">
        <f t="shared" si="205"/>
        <v>Maybole Manuf</v>
      </c>
      <c r="GD63" s="210" t="str">
        <f t="shared" si="205"/>
        <v>Maybole Manuf</v>
      </c>
      <c r="GE63" s="210" t="str">
        <f t="shared" si="205"/>
        <v>Maybole Manuf</v>
      </c>
      <c r="GF63" s="210" t="str">
        <f t="shared" si="205"/>
        <v>Maybole Manuf</v>
      </c>
      <c r="GG63" s="210" t="str">
        <f t="shared" si="205"/>
        <v>Maybole Manuf</v>
      </c>
      <c r="GH63" s="210" t="str">
        <f t="shared" si="205"/>
        <v>Maybole Manuf</v>
      </c>
      <c r="GI63" s="210" t="str">
        <f t="shared" si="205"/>
        <v>Maybole Manuf</v>
      </c>
      <c r="GJ63" s="210" t="str">
        <f t="shared" si="205"/>
        <v>Maybole Manuf</v>
      </c>
      <c r="GK63" s="210" t="str">
        <f t="shared" si="205"/>
        <v>Maybole Manuf</v>
      </c>
      <c r="GL63" s="210" t="str">
        <f t="shared" si="205"/>
        <v>Maybole Manuf</v>
      </c>
      <c r="GM63" s="210" t="str">
        <f t="shared" si="205"/>
        <v>Maybole Manuf</v>
      </c>
      <c r="GN63" s="210" t="str">
        <f t="shared" si="205"/>
        <v>Maybole Manuf</v>
      </c>
      <c r="GO63" s="210" t="str">
        <f t="shared" si="205"/>
        <v>Maybole Manuf</v>
      </c>
      <c r="GP63" s="210" t="str">
        <f t="shared" si="205"/>
        <v>Maybole Manuf</v>
      </c>
      <c r="GQ63" s="210" t="str">
        <f t="shared" si="205"/>
        <v>Maybole Manuf</v>
      </c>
      <c r="GR63" s="210" t="str">
        <f t="shared" si="205"/>
        <v>Maybole Manuf</v>
      </c>
      <c r="GS63" s="210" t="str">
        <f t="shared" si="205"/>
        <v>Maybole Manuf</v>
      </c>
      <c r="GT63" s="210" t="str">
        <f t="shared" si="205"/>
        <v>Maybole Manuf</v>
      </c>
      <c r="GU63" s="210" t="str">
        <f t="shared" si="205"/>
        <v>Maybole Manuf</v>
      </c>
      <c r="GV63" s="210" t="str">
        <f t="shared" si="205"/>
        <v>Maybole Manuf</v>
      </c>
      <c r="GW63" s="210" t="str">
        <f t="shared" si="205"/>
        <v>Maybole Manuf</v>
      </c>
      <c r="GX63" s="210" t="str">
        <f t="shared" si="205"/>
        <v>Maybole Manuf</v>
      </c>
      <c r="GY63" s="210" t="str">
        <f t="shared" si="205"/>
        <v>Maybole Manuf</v>
      </c>
      <c r="GZ63" s="210" t="str">
        <f t="shared" si="205"/>
        <v>Maybole Manuf</v>
      </c>
      <c r="HA63" s="210" t="str">
        <f t="shared" si="205"/>
        <v>Maybole Manuf</v>
      </c>
      <c r="HB63" s="210" t="str">
        <f t="shared" si="205"/>
        <v>Maybole Manuf</v>
      </c>
      <c r="HC63" s="210" t="str">
        <f t="shared" si="205"/>
        <v>Maybole Manuf</v>
      </c>
      <c r="HE63" s="191" t="str">
        <f>+$B63</f>
        <v>Maybole Manuf</v>
      </c>
      <c r="HF63" s="192"/>
      <c r="HG63" s="141" t="str">
        <f>+$E63</f>
        <v>Completed to Week</v>
      </c>
      <c r="HH63" s="141">
        <f>+$F63</f>
        <v>42</v>
      </c>
      <c r="HI63" s="141" t="str">
        <f>+GJ63</f>
        <v>Maybole Manuf</v>
      </c>
      <c r="HJ63" s="210" t="str">
        <f t="shared" ref="HJ63:HK63" si="206">+$B63</f>
        <v>Maybole Manuf</v>
      </c>
      <c r="HK63" s="210" t="str">
        <f t="shared" si="206"/>
        <v>Maybole Manuf</v>
      </c>
      <c r="HL63" s="251" t="str">
        <f t="shared" ref="HL63:JJ63" si="207">+$B63</f>
        <v>Maybole Manuf</v>
      </c>
      <c r="HM63" s="251" t="str">
        <f t="shared" si="207"/>
        <v>Maybole Manuf</v>
      </c>
      <c r="HN63" s="251" t="str">
        <f t="shared" si="207"/>
        <v>Maybole Manuf</v>
      </c>
      <c r="HO63" s="251" t="str">
        <f t="shared" si="207"/>
        <v>Maybole Manuf</v>
      </c>
      <c r="HP63" s="251" t="str">
        <f t="shared" si="207"/>
        <v>Maybole Manuf</v>
      </c>
      <c r="HQ63" s="251" t="str">
        <f t="shared" si="207"/>
        <v>Maybole Manuf</v>
      </c>
      <c r="HR63" s="251" t="str">
        <f t="shared" si="207"/>
        <v>Maybole Manuf</v>
      </c>
      <c r="HS63" s="251" t="str">
        <f t="shared" si="207"/>
        <v>Maybole Manuf</v>
      </c>
      <c r="HT63" s="251" t="str">
        <f t="shared" si="207"/>
        <v>Maybole Manuf</v>
      </c>
      <c r="HU63" s="251" t="str">
        <f t="shared" si="207"/>
        <v>Maybole Manuf</v>
      </c>
      <c r="HV63" s="251" t="str">
        <f t="shared" si="207"/>
        <v>Maybole Manuf</v>
      </c>
      <c r="HW63" s="251" t="str">
        <f t="shared" si="207"/>
        <v>Maybole Manuf</v>
      </c>
      <c r="HX63" s="251" t="str">
        <f t="shared" si="207"/>
        <v>Maybole Manuf</v>
      </c>
      <c r="HY63" s="251" t="str">
        <f t="shared" si="207"/>
        <v>Maybole Manuf</v>
      </c>
      <c r="HZ63" s="251" t="str">
        <f t="shared" si="207"/>
        <v>Maybole Manuf</v>
      </c>
      <c r="IA63" s="251" t="str">
        <f t="shared" si="207"/>
        <v>Maybole Manuf</v>
      </c>
      <c r="IB63" s="251" t="str">
        <f t="shared" si="207"/>
        <v>Maybole Manuf</v>
      </c>
      <c r="IC63" s="251" t="str">
        <f t="shared" si="207"/>
        <v>Maybole Manuf</v>
      </c>
      <c r="ID63" s="251" t="str">
        <f t="shared" si="207"/>
        <v>Maybole Manuf</v>
      </c>
      <c r="IE63" s="251" t="str">
        <f t="shared" si="207"/>
        <v>Maybole Manuf</v>
      </c>
      <c r="IF63" s="251" t="str">
        <f t="shared" si="207"/>
        <v>Maybole Manuf</v>
      </c>
      <c r="IG63" s="251" t="str">
        <f t="shared" si="207"/>
        <v>Maybole Manuf</v>
      </c>
      <c r="IH63" s="251" t="str">
        <f t="shared" si="207"/>
        <v>Maybole Manuf</v>
      </c>
      <c r="II63" s="251" t="str">
        <f t="shared" si="207"/>
        <v>Maybole Manuf</v>
      </c>
      <c r="IJ63" s="251" t="str">
        <f t="shared" si="207"/>
        <v>Maybole Manuf</v>
      </c>
      <c r="IK63" s="251" t="str">
        <f t="shared" si="207"/>
        <v>Maybole Manuf</v>
      </c>
      <c r="IL63" s="251" t="str">
        <f t="shared" si="207"/>
        <v>Maybole Manuf</v>
      </c>
      <c r="IM63" s="251" t="str">
        <f t="shared" si="207"/>
        <v>Maybole Manuf</v>
      </c>
      <c r="IN63" s="251" t="str">
        <f t="shared" si="207"/>
        <v>Maybole Manuf</v>
      </c>
      <c r="IO63" s="251" t="str">
        <f t="shared" si="207"/>
        <v>Maybole Manuf</v>
      </c>
      <c r="IP63" s="251" t="str">
        <f t="shared" si="207"/>
        <v>Maybole Manuf</v>
      </c>
      <c r="IQ63" s="251" t="str">
        <f t="shared" si="207"/>
        <v>Maybole Manuf</v>
      </c>
      <c r="IR63" s="251" t="str">
        <f t="shared" si="207"/>
        <v>Maybole Manuf</v>
      </c>
      <c r="IS63" s="251" t="str">
        <f t="shared" si="207"/>
        <v>Maybole Manuf</v>
      </c>
      <c r="IT63" s="251" t="str">
        <f t="shared" si="207"/>
        <v>Maybole Manuf</v>
      </c>
      <c r="IU63" s="251" t="str">
        <f t="shared" si="207"/>
        <v>Maybole Manuf</v>
      </c>
      <c r="IV63" s="251" t="str">
        <f t="shared" si="207"/>
        <v>Maybole Manuf</v>
      </c>
      <c r="IW63" s="251" t="str">
        <f t="shared" si="207"/>
        <v>Maybole Manuf</v>
      </c>
      <c r="IX63" s="251" t="str">
        <f t="shared" si="207"/>
        <v>Maybole Manuf</v>
      </c>
      <c r="IY63" s="251" t="str">
        <f t="shared" si="207"/>
        <v>Maybole Manuf</v>
      </c>
      <c r="IZ63" s="251" t="str">
        <f t="shared" si="207"/>
        <v>Maybole Manuf</v>
      </c>
      <c r="JA63" s="251" t="str">
        <f t="shared" si="207"/>
        <v>Maybole Manuf</v>
      </c>
      <c r="JB63" s="251" t="str">
        <f t="shared" si="207"/>
        <v>Maybole Manuf</v>
      </c>
      <c r="JC63" s="251" t="str">
        <f t="shared" si="207"/>
        <v>Maybole Manuf</v>
      </c>
      <c r="JD63" s="251" t="str">
        <f t="shared" si="207"/>
        <v>Maybole Manuf</v>
      </c>
      <c r="JE63" s="251" t="str">
        <f t="shared" si="207"/>
        <v>Maybole Manuf</v>
      </c>
      <c r="JF63" s="251" t="str">
        <f t="shared" si="207"/>
        <v>Maybole Manuf</v>
      </c>
      <c r="JG63" s="251" t="str">
        <f t="shared" si="207"/>
        <v>Maybole Manuf</v>
      </c>
      <c r="JH63" s="251" t="str">
        <f t="shared" si="207"/>
        <v>Maybole Manuf</v>
      </c>
      <c r="JI63" s="251" t="str">
        <f t="shared" si="207"/>
        <v>Maybole Manuf</v>
      </c>
      <c r="JJ63" s="251" t="str">
        <f t="shared" si="207"/>
        <v>Maybole Manuf</v>
      </c>
      <c r="JM63" s="191" t="str">
        <f t="shared" ref="JM63" si="208">+$B63</f>
        <v>Maybole Manuf</v>
      </c>
      <c r="JN63" s="192"/>
      <c r="JO63" s="141" t="str">
        <f>+$E63</f>
        <v>Completed to Week</v>
      </c>
      <c r="JP63" s="141">
        <f>+$F63</f>
        <v>42</v>
      </c>
      <c r="JQ63" s="141"/>
      <c r="JR63" s="251" t="str">
        <f t="shared" ref="JR63:LR63" si="209">+$B63</f>
        <v>Maybole Manuf</v>
      </c>
      <c r="JS63" s="251" t="str">
        <f t="shared" si="209"/>
        <v>Maybole Manuf</v>
      </c>
      <c r="JT63" s="251" t="str">
        <f t="shared" si="209"/>
        <v>Maybole Manuf</v>
      </c>
      <c r="JU63" s="251" t="str">
        <f t="shared" si="209"/>
        <v>Maybole Manuf</v>
      </c>
      <c r="JV63" s="251" t="str">
        <f t="shared" si="209"/>
        <v>Maybole Manuf</v>
      </c>
      <c r="JW63" s="251" t="str">
        <f t="shared" si="209"/>
        <v>Maybole Manuf</v>
      </c>
      <c r="JX63" s="251" t="str">
        <f t="shared" si="209"/>
        <v>Maybole Manuf</v>
      </c>
      <c r="JY63" s="251" t="str">
        <f t="shared" si="209"/>
        <v>Maybole Manuf</v>
      </c>
      <c r="JZ63" s="251" t="str">
        <f t="shared" si="209"/>
        <v>Maybole Manuf</v>
      </c>
      <c r="KA63" s="251" t="str">
        <f t="shared" si="209"/>
        <v>Maybole Manuf</v>
      </c>
      <c r="KB63" s="251" t="str">
        <f t="shared" si="209"/>
        <v>Maybole Manuf</v>
      </c>
      <c r="KC63" s="251" t="str">
        <f t="shared" si="209"/>
        <v>Maybole Manuf</v>
      </c>
      <c r="KD63" s="251" t="str">
        <f t="shared" si="209"/>
        <v>Maybole Manuf</v>
      </c>
      <c r="KE63" s="251" t="str">
        <f t="shared" si="209"/>
        <v>Maybole Manuf</v>
      </c>
      <c r="KF63" s="251" t="str">
        <f t="shared" si="209"/>
        <v>Maybole Manuf</v>
      </c>
      <c r="KG63" s="251" t="str">
        <f t="shared" si="209"/>
        <v>Maybole Manuf</v>
      </c>
      <c r="KH63" s="251" t="str">
        <f t="shared" si="209"/>
        <v>Maybole Manuf</v>
      </c>
      <c r="KI63" s="251" t="str">
        <f t="shared" si="209"/>
        <v>Maybole Manuf</v>
      </c>
      <c r="KJ63" s="251" t="str">
        <f t="shared" si="209"/>
        <v>Maybole Manuf</v>
      </c>
      <c r="KK63" s="251" t="str">
        <f t="shared" si="209"/>
        <v>Maybole Manuf</v>
      </c>
      <c r="KL63" s="251" t="str">
        <f t="shared" si="209"/>
        <v>Maybole Manuf</v>
      </c>
      <c r="KM63" s="251" t="str">
        <f t="shared" si="209"/>
        <v>Maybole Manuf</v>
      </c>
      <c r="KN63" s="251" t="str">
        <f t="shared" si="209"/>
        <v>Maybole Manuf</v>
      </c>
      <c r="KO63" s="251" t="str">
        <f t="shared" si="209"/>
        <v>Maybole Manuf</v>
      </c>
      <c r="KP63" s="251" t="str">
        <f t="shared" si="209"/>
        <v>Maybole Manuf</v>
      </c>
      <c r="KQ63" s="251" t="str">
        <f t="shared" si="209"/>
        <v>Maybole Manuf</v>
      </c>
      <c r="KR63" s="251" t="str">
        <f t="shared" si="209"/>
        <v>Maybole Manuf</v>
      </c>
      <c r="KS63" s="251" t="str">
        <f t="shared" si="209"/>
        <v>Maybole Manuf</v>
      </c>
      <c r="KT63" s="251" t="str">
        <f t="shared" si="209"/>
        <v>Maybole Manuf</v>
      </c>
      <c r="KU63" s="251" t="str">
        <f t="shared" si="209"/>
        <v>Maybole Manuf</v>
      </c>
      <c r="KV63" s="251" t="str">
        <f t="shared" si="209"/>
        <v>Maybole Manuf</v>
      </c>
      <c r="KW63" s="251" t="str">
        <f t="shared" si="209"/>
        <v>Maybole Manuf</v>
      </c>
      <c r="KX63" s="251" t="str">
        <f t="shared" si="209"/>
        <v>Maybole Manuf</v>
      </c>
      <c r="KY63" s="251" t="str">
        <f t="shared" si="209"/>
        <v>Maybole Manuf</v>
      </c>
      <c r="KZ63" s="251" t="str">
        <f t="shared" si="209"/>
        <v>Maybole Manuf</v>
      </c>
      <c r="LA63" s="251" t="str">
        <f t="shared" si="209"/>
        <v>Maybole Manuf</v>
      </c>
      <c r="LB63" s="251" t="str">
        <f t="shared" si="209"/>
        <v>Maybole Manuf</v>
      </c>
      <c r="LC63" s="251" t="str">
        <f t="shared" si="209"/>
        <v>Maybole Manuf</v>
      </c>
      <c r="LD63" s="251" t="str">
        <f t="shared" si="209"/>
        <v>Maybole Manuf</v>
      </c>
      <c r="LE63" s="251" t="str">
        <f t="shared" si="209"/>
        <v>Maybole Manuf</v>
      </c>
      <c r="LF63" s="251" t="str">
        <f t="shared" si="209"/>
        <v>Maybole Manuf</v>
      </c>
      <c r="LG63" s="251" t="str">
        <f t="shared" si="209"/>
        <v>Maybole Manuf</v>
      </c>
      <c r="LH63" s="251" t="str">
        <f t="shared" si="209"/>
        <v>Maybole Manuf</v>
      </c>
      <c r="LI63" s="251" t="str">
        <f t="shared" si="209"/>
        <v>Maybole Manuf</v>
      </c>
      <c r="LJ63" s="251" t="str">
        <f t="shared" si="209"/>
        <v>Maybole Manuf</v>
      </c>
      <c r="LK63" s="251" t="str">
        <f t="shared" si="209"/>
        <v>Maybole Manuf</v>
      </c>
      <c r="LL63" s="251" t="str">
        <f t="shared" si="209"/>
        <v>Maybole Manuf</v>
      </c>
      <c r="LM63" s="251" t="str">
        <f t="shared" si="209"/>
        <v>Maybole Manuf</v>
      </c>
      <c r="LN63" s="251" t="str">
        <f t="shared" si="209"/>
        <v>Maybole Manuf</v>
      </c>
      <c r="LO63" s="251" t="str">
        <f t="shared" si="209"/>
        <v>Maybole Manuf</v>
      </c>
      <c r="LP63" s="251" t="str">
        <f t="shared" si="209"/>
        <v>Maybole Manuf</v>
      </c>
      <c r="LQ63" s="251" t="str">
        <f t="shared" si="209"/>
        <v>Maybole Manuf</v>
      </c>
      <c r="LR63" s="251" t="str">
        <f t="shared" si="209"/>
        <v>Maybole Manuf</v>
      </c>
      <c r="LT63" s="191" t="str">
        <f>+$B63</f>
        <v>Maybole Manuf</v>
      </c>
      <c r="LU63" s="192"/>
      <c r="LV63" s="141" t="str">
        <f>+$E63</f>
        <v>Completed to Week</v>
      </c>
      <c r="LW63" s="141">
        <f>+$F63</f>
        <v>42</v>
      </c>
      <c r="LX63" s="141"/>
      <c r="LY63" s="210" t="str">
        <f t="shared" ref="LY63:NY63" si="210">+$B63</f>
        <v>Maybole Manuf</v>
      </c>
      <c r="LZ63" s="210" t="str">
        <f t="shared" si="210"/>
        <v>Maybole Manuf</v>
      </c>
      <c r="MA63" s="210" t="str">
        <f t="shared" si="210"/>
        <v>Maybole Manuf</v>
      </c>
      <c r="MB63" s="210" t="str">
        <f t="shared" si="210"/>
        <v>Maybole Manuf</v>
      </c>
      <c r="MC63" s="210" t="str">
        <f t="shared" si="210"/>
        <v>Maybole Manuf</v>
      </c>
      <c r="MD63" s="210" t="str">
        <f t="shared" si="210"/>
        <v>Maybole Manuf</v>
      </c>
      <c r="ME63" s="210" t="str">
        <f t="shared" si="210"/>
        <v>Maybole Manuf</v>
      </c>
      <c r="MF63" s="210" t="str">
        <f t="shared" si="210"/>
        <v>Maybole Manuf</v>
      </c>
      <c r="MG63" s="210" t="str">
        <f t="shared" si="210"/>
        <v>Maybole Manuf</v>
      </c>
      <c r="MH63" s="210" t="str">
        <f t="shared" si="210"/>
        <v>Maybole Manuf</v>
      </c>
      <c r="MI63" s="210" t="str">
        <f t="shared" si="210"/>
        <v>Maybole Manuf</v>
      </c>
      <c r="MJ63" s="210" t="str">
        <f t="shared" si="210"/>
        <v>Maybole Manuf</v>
      </c>
      <c r="MK63" s="210" t="str">
        <f t="shared" si="210"/>
        <v>Maybole Manuf</v>
      </c>
      <c r="ML63" s="210" t="str">
        <f t="shared" si="210"/>
        <v>Maybole Manuf</v>
      </c>
      <c r="MM63" s="210" t="str">
        <f t="shared" si="210"/>
        <v>Maybole Manuf</v>
      </c>
      <c r="MN63" s="210" t="str">
        <f t="shared" si="210"/>
        <v>Maybole Manuf</v>
      </c>
      <c r="MO63" s="210" t="str">
        <f t="shared" si="210"/>
        <v>Maybole Manuf</v>
      </c>
      <c r="MP63" s="210" t="str">
        <f t="shared" si="210"/>
        <v>Maybole Manuf</v>
      </c>
      <c r="MQ63" s="210" t="str">
        <f t="shared" si="210"/>
        <v>Maybole Manuf</v>
      </c>
      <c r="MR63" s="210" t="str">
        <f t="shared" si="210"/>
        <v>Maybole Manuf</v>
      </c>
      <c r="MS63" s="210" t="str">
        <f t="shared" si="210"/>
        <v>Maybole Manuf</v>
      </c>
      <c r="MT63" s="210" t="str">
        <f t="shared" si="210"/>
        <v>Maybole Manuf</v>
      </c>
      <c r="MU63" s="210" t="str">
        <f t="shared" si="210"/>
        <v>Maybole Manuf</v>
      </c>
      <c r="MV63" s="210" t="str">
        <f t="shared" si="210"/>
        <v>Maybole Manuf</v>
      </c>
      <c r="MW63" s="210" t="str">
        <f t="shared" si="210"/>
        <v>Maybole Manuf</v>
      </c>
      <c r="MX63" s="210" t="str">
        <f t="shared" si="210"/>
        <v>Maybole Manuf</v>
      </c>
      <c r="MY63" s="210" t="str">
        <f t="shared" si="210"/>
        <v>Maybole Manuf</v>
      </c>
      <c r="MZ63" s="210" t="str">
        <f t="shared" si="210"/>
        <v>Maybole Manuf</v>
      </c>
      <c r="NA63" s="210" t="str">
        <f t="shared" si="210"/>
        <v>Maybole Manuf</v>
      </c>
      <c r="NB63" s="210" t="str">
        <f t="shared" si="210"/>
        <v>Maybole Manuf</v>
      </c>
      <c r="NC63" s="210" t="str">
        <f t="shared" si="210"/>
        <v>Maybole Manuf</v>
      </c>
      <c r="ND63" s="210" t="str">
        <f t="shared" si="210"/>
        <v>Maybole Manuf</v>
      </c>
      <c r="NE63" s="210" t="str">
        <f t="shared" si="210"/>
        <v>Maybole Manuf</v>
      </c>
      <c r="NF63" s="210" t="str">
        <f t="shared" si="210"/>
        <v>Maybole Manuf</v>
      </c>
      <c r="NG63" s="210" t="str">
        <f t="shared" si="210"/>
        <v>Maybole Manuf</v>
      </c>
      <c r="NH63" s="210" t="str">
        <f t="shared" si="210"/>
        <v>Maybole Manuf</v>
      </c>
      <c r="NI63" s="210" t="str">
        <f t="shared" si="210"/>
        <v>Maybole Manuf</v>
      </c>
      <c r="NJ63" s="210" t="str">
        <f t="shared" si="210"/>
        <v>Maybole Manuf</v>
      </c>
      <c r="NK63" s="210" t="str">
        <f t="shared" si="210"/>
        <v>Maybole Manuf</v>
      </c>
      <c r="NL63" s="210" t="str">
        <f t="shared" si="210"/>
        <v>Maybole Manuf</v>
      </c>
      <c r="NM63" s="210" t="str">
        <f t="shared" si="210"/>
        <v>Maybole Manuf</v>
      </c>
      <c r="NN63" s="210" t="str">
        <f t="shared" si="210"/>
        <v>Maybole Manuf</v>
      </c>
      <c r="NO63" s="210" t="str">
        <f t="shared" si="210"/>
        <v>Maybole Manuf</v>
      </c>
      <c r="NP63" s="210" t="str">
        <f t="shared" si="210"/>
        <v>Maybole Manuf</v>
      </c>
      <c r="NQ63" s="210" t="str">
        <f t="shared" si="210"/>
        <v>Maybole Manuf</v>
      </c>
      <c r="NR63" s="210" t="str">
        <f t="shared" si="210"/>
        <v>Maybole Manuf</v>
      </c>
      <c r="NS63" s="210" t="str">
        <f t="shared" si="210"/>
        <v>Maybole Manuf</v>
      </c>
      <c r="NT63" s="210" t="str">
        <f t="shared" si="210"/>
        <v>Maybole Manuf</v>
      </c>
      <c r="NU63" s="210" t="str">
        <f t="shared" si="210"/>
        <v>Maybole Manuf</v>
      </c>
      <c r="NV63" s="210" t="str">
        <f t="shared" si="210"/>
        <v>Maybole Manuf</v>
      </c>
      <c r="NW63" s="210" t="str">
        <f t="shared" si="210"/>
        <v>Maybole Manuf</v>
      </c>
      <c r="NX63" s="210" t="str">
        <f t="shared" si="210"/>
        <v>Maybole Manuf</v>
      </c>
      <c r="NY63" s="210" t="str">
        <f t="shared" si="210"/>
        <v>Maybole Manuf</v>
      </c>
    </row>
    <row r="64" spans="1:389" x14ac:dyDescent="0.3">
      <c r="A64" t="str">
        <f>$B$63&amp;"-"&amp;C64</f>
        <v>Maybole Manuf-KPI P1</v>
      </c>
      <c r="B64" s="917" t="str">
        <f>+'KPI Stats'!B63</f>
        <v>Manufacturing Maybole</v>
      </c>
      <c r="C64" s="133" t="str">
        <f>+'KPI Stats'!C63</f>
        <v>KPI P1</v>
      </c>
      <c r="D64" s="142" t="str">
        <f>+'KPI Stats'!D63</f>
        <v>Productivity</v>
      </c>
      <c r="E64" s="142" t="str">
        <f>+'KPI Stats'!E63</f>
        <v>Production Value</v>
      </c>
      <c r="F64" s="143" t="str">
        <f>+'KPI Stats'!F63</f>
        <v>£'s</v>
      </c>
      <c r="G64" s="168" t="str">
        <f>+'KPI Stats'!G63</f>
        <v>Under</v>
      </c>
      <c r="J64" s="159" t="str">
        <f>_xlfn.XLOOKUP(J$7,$AM$7:$CM$7,$AM64:$CM64,,FALSE)</f>
        <v>R</v>
      </c>
      <c r="K64" s="262">
        <f>_xlfn.XLOOKUP(K$7,$FC$7:$HC$7,$FC64:$HC64,,FALSE)</f>
        <v>147000</v>
      </c>
      <c r="L64" s="277">
        <f>_xlfn.XLOOKUP(L$7,$HJ$7:$JJ$7,$HJ64:$JJ64,,FALSE)</f>
        <v>182478</v>
      </c>
      <c r="M64" s="274">
        <f>_xlfn.XLOOKUP(M$7,$CU$7:$EU$7,$CU64:$EU64,,FALSE)</f>
        <v>0.80557656265412814</v>
      </c>
      <c r="P64" s="159" t="str">
        <f>_xlfn.XLOOKUP(P$7,$AM$7:$CM$7,$AM64:$CM64,,FALSE)</f>
        <v>R</v>
      </c>
      <c r="Q64" s="262">
        <f t="shared" ref="Q64:R67" si="211">_xlfn.XLOOKUP(Q$7,$FC$7:$HC$7,$FC64:$HC64,FALSE)</f>
        <v>147000</v>
      </c>
      <c r="R64" s="277">
        <f t="shared" si="211"/>
        <v>123000</v>
      </c>
      <c r="S64" s="262">
        <f t="shared" ref="S64:T67" si="212">_xlfn.XLOOKUP(S$7,$CU$7:$EU$7,$CU64:$EU64,,FALSE)</f>
        <v>0.80557656265412814</v>
      </c>
      <c r="T64" s="263">
        <f t="shared" si="212"/>
        <v>0.67405385854733169</v>
      </c>
      <c r="U64" s="294" t="str">
        <f>IF(F63&lt;$R$2,"Not Complete",IF(Q64=R64,"Same −",IF($G64="Over",IF(Q64&lt;R64,"Better ↑","Worse ↓"),IF($G64="Under",IF(Q64&gt;R64,"Better ↑","Worse ↓"),"err"))))</f>
        <v>Better ↑</v>
      </c>
      <c r="X64" s="159" t="str">
        <f t="shared" ref="X64:X67" si="213">IF(Y64="","",IF(Y64="Blank","",IF(AND(G64="above zero",Y64&gt;0),"R",IF(AA64&gt;1,"G",IF(AA64&gt;0.95,"A","R")))))</f>
        <v>R</v>
      </c>
      <c r="Y64" s="262">
        <f>_xlfn.XLOOKUP(Y$7,$JR$7:$LR$7,$JR64:$LR64,FALSE)</f>
        <v>164716.41379310345</v>
      </c>
      <c r="Z64" s="277">
        <f>_xlfn.XLOOKUP(Z$7,$LY$7:$NY$7,$LY64:$NY64,FALSE)</f>
        <v>183048.96551724139</v>
      </c>
      <c r="AA64" s="281">
        <f>IF(G64="under",Y64/Z64,IF(G64="over",Z64/Y64,"err"))</f>
        <v>0.89984891926411248</v>
      </c>
      <c r="AB64" s="294" t="str">
        <f>IF(F63&lt;$R$2,"TBC",IF(Y64=Z64,"Same −",IF($G64="Over",IF(Z64&lt;Y64,"Better ↑ ","Worse ↓ "),IF($G64="Under",IF(Y64&gt;Z64,"Better ↑ ","Worse ↓ "),"err"))))</f>
        <v xml:space="preserve">Worse ↓ </v>
      </c>
      <c r="AC64" s="159" t="str">
        <f>IF(AND(G64="above adero",AD64&gt;0),"R",IF(AF64&gt;1,"G",IF(AF64&gt;0.95,"A","R")))</f>
        <v>R</v>
      </c>
      <c r="AD64" s="161">
        <f>_xlfn.XLOOKUP(AD$7,$JR$7:$LR$7,$JR64:$LR64,FALSE)</f>
        <v>165349.14285714287</v>
      </c>
      <c r="AE64" s="161">
        <f>_xlfn.XLOOKUP(AE$7,$LY$7:$NY$7,$LY64:$NY64,FALSE)</f>
        <v>183069.35714285713</v>
      </c>
      <c r="AF64" s="162">
        <f>IF(G64="under",AD64/AE64,IF(G64="over",AE64/AD64,"err"))</f>
        <v>0.90320491336031516</v>
      </c>
      <c r="AH64" s="465" t="str">
        <f>+$A64</f>
        <v>Maybole Manuf-KPI P1</v>
      </c>
      <c r="AI64" s="133" t="str">
        <f t="shared" ref="AI64:AJ67" si="214">+C64</f>
        <v>KPI P1</v>
      </c>
      <c r="AJ64" s="142" t="str">
        <f t="shared" si="214"/>
        <v>Productivity</v>
      </c>
      <c r="AK64" s="142" t="str">
        <f t="shared" si="200"/>
        <v>Production Value</v>
      </c>
      <c r="AL64" s="143" t="str">
        <f t="shared" si="200"/>
        <v>£'s</v>
      </c>
      <c r="AM64" s="159" t="str">
        <f>IF(AM$7&gt;$D$3,"",_xlfn.XLOOKUP(AM$7,'Maybole Manuf'!$M$6:$BM$6,'Maybole Manuf'!$M$10:$BM$10))</f>
        <v>Blank</v>
      </c>
      <c r="AN64" s="198" t="str">
        <f>IF(AN$7&gt;$D$3,"",_xlfn.XLOOKUP(AN$7,'Maybole Manuf'!$M$6:$BM$6,'Maybole Manuf'!$M$10:$BM$10))</f>
        <v>TBC</v>
      </c>
      <c r="AO64" s="159" t="str">
        <f>IF(AO$7&gt;$D$3,"",_xlfn.XLOOKUP(AO$7,'Maybole Manuf'!$M$6:$BM$6,'Maybole Manuf'!$M$10:$BM$10))</f>
        <v>TBC</v>
      </c>
      <c r="AP64" s="159" t="str">
        <f>IF(AP$7&gt;$D$3,"",_xlfn.XLOOKUP(AP$7,'Maybole Manuf'!$M$6:$BM$6,'Maybole Manuf'!$M$10:$BM$10))</f>
        <v>TBC</v>
      </c>
      <c r="AQ64" s="159" t="str">
        <f>IF(AQ$7&gt;$D$3,"",_xlfn.XLOOKUP(AQ$7,'Maybole Manuf'!$M$6:$BM$6,'Maybole Manuf'!$M$10:$BM$10))</f>
        <v>TBC</v>
      </c>
      <c r="AR64" s="159" t="str">
        <f>IF(AR$7&gt;$D$3,"",_xlfn.XLOOKUP(AR$7,'Maybole Manuf'!$M$6:$BM$6,'Maybole Manuf'!$M$10:$BM$10))</f>
        <v>TBC</v>
      </c>
      <c r="AS64" s="159" t="str">
        <f>IF(AS$7&gt;$D$3,"",_xlfn.XLOOKUP(AS$7,'Maybole Manuf'!$M$6:$BM$6,'Maybole Manuf'!$M$10:$BM$10))</f>
        <v>TBC</v>
      </c>
      <c r="AT64" s="159" t="str">
        <f>IF(AT$7&gt;$D$3,"",_xlfn.XLOOKUP(AT$7,'Maybole Manuf'!$M$6:$BM$6,'Maybole Manuf'!$M$10:$BM$10))</f>
        <v>TBC</v>
      </c>
      <c r="AU64" s="159" t="str">
        <f>IF(AU$7&gt;$D$3,"",_xlfn.XLOOKUP(AU$7,'Maybole Manuf'!$M$6:$BM$6,'Maybole Manuf'!$M$10:$BM$10))</f>
        <v>TBC</v>
      </c>
      <c r="AV64" s="159" t="str">
        <f>IF(AV$7&gt;$D$3,"",_xlfn.XLOOKUP(AV$7,'Maybole Manuf'!$M$6:$BM$6,'Maybole Manuf'!$M$10:$BM$10))</f>
        <v>TBC</v>
      </c>
      <c r="AW64" s="159" t="str">
        <f>IF(AW$7&gt;$D$3,"",_xlfn.XLOOKUP(AW$7,'Maybole Manuf'!$M$6:$BM$6,'Maybole Manuf'!$M$10:$BM$10))</f>
        <v>TBC</v>
      </c>
      <c r="AX64" s="159" t="str">
        <f>IF(AX$7&gt;$D$3,"",_xlfn.XLOOKUP(AX$7,'Maybole Manuf'!$M$6:$BM$6,'Maybole Manuf'!$M$10:$BM$10))</f>
        <v>TBC</v>
      </c>
      <c r="AY64" s="159" t="str">
        <f>IF(AY$7&gt;$D$3,"",_xlfn.XLOOKUP(AY$7,'Maybole Manuf'!$M$6:$BM$6,'Maybole Manuf'!$M$10:$BM$10))</f>
        <v>TBC</v>
      </c>
      <c r="AZ64" s="159" t="str">
        <f>IF(AZ$7&gt;$D$3,"",_xlfn.XLOOKUP(AZ$7,'Maybole Manuf'!$M$6:$BM$6,'Maybole Manuf'!$M$10:$BM$10))</f>
        <v>R</v>
      </c>
      <c r="BA64" s="159" t="str">
        <f>IF(BA$7&gt;$D$3,"",_xlfn.XLOOKUP(BA$7,'Maybole Manuf'!$M$6:$BM$6,'Maybole Manuf'!$M$10:$BM$10))</f>
        <v>R</v>
      </c>
      <c r="BB64" s="159" t="str">
        <f>IF(BB$7&gt;$D$3,"",_xlfn.XLOOKUP(BB$7,'Maybole Manuf'!$M$6:$BM$6,'Maybole Manuf'!$M$10:$BM$10))</f>
        <v>G</v>
      </c>
      <c r="BC64" s="159" t="str">
        <f>IF(BC$7&gt;$D$3,"",_xlfn.XLOOKUP(BC$7,'Maybole Manuf'!$M$6:$BM$6,'Maybole Manuf'!$M$10:$BM$10))</f>
        <v>A</v>
      </c>
      <c r="BD64" s="159" t="str">
        <f>IF(BD$7&gt;$D$3,"",_xlfn.XLOOKUP(BD$7,'Maybole Manuf'!$M$6:$BM$6,'Maybole Manuf'!$M$10:$BM$10))</f>
        <v>G</v>
      </c>
      <c r="BE64" s="159" t="str">
        <f>IF(BE$7&gt;$D$3,"",_xlfn.XLOOKUP(BE$7,'Maybole Manuf'!$M$6:$BM$6,'Maybole Manuf'!$M$10:$BM$10))</f>
        <v>A</v>
      </c>
      <c r="BF64" s="159" t="str">
        <f>IF(BF$7&gt;$D$3,"",_xlfn.XLOOKUP(BF$7,'Maybole Manuf'!$M$6:$BM$6,'Maybole Manuf'!$M$10:$BM$10))</f>
        <v>R</v>
      </c>
      <c r="BG64" s="159" t="str">
        <f>IF(BG$7&gt;$D$3,"",_xlfn.XLOOKUP(BG$7,'Maybole Manuf'!$M$6:$BM$6,'Maybole Manuf'!$M$10:$BM$10))</f>
        <v>A</v>
      </c>
      <c r="BH64" s="159" t="str">
        <f>IF(BH$7&gt;$D$3,"",_xlfn.XLOOKUP(BH$7,'Maybole Manuf'!$M$6:$BM$6,'Maybole Manuf'!$M$10:$BM$10))</f>
        <v>G</v>
      </c>
      <c r="BI64" s="159" t="str">
        <f>IF(BI$7&gt;$D$3,"",_xlfn.XLOOKUP(BI$7,'Maybole Manuf'!$M$6:$BM$6,'Maybole Manuf'!$M$10:$BM$10))</f>
        <v>R</v>
      </c>
      <c r="BJ64" s="159" t="str">
        <f>IF(BJ$7&gt;$D$3,"",_xlfn.XLOOKUP(BJ$7,'Maybole Manuf'!$M$6:$BM$6,'Maybole Manuf'!$M$10:$BM$10))</f>
        <v>R</v>
      </c>
      <c r="BK64" s="159" t="str">
        <f>IF(BK$7&gt;$D$3,"",_xlfn.XLOOKUP(BK$7,'Maybole Manuf'!$M$6:$BM$6,'Maybole Manuf'!$M$10:$BM$10))</f>
        <v>R</v>
      </c>
      <c r="BL64" s="159" t="str">
        <f>IF(BL$7&gt;$D$3,"",_xlfn.XLOOKUP(BL$7,'Maybole Manuf'!$M$6:$BM$6,'Maybole Manuf'!$M$10:$BM$10))</f>
        <v>G</v>
      </c>
      <c r="BM64" s="159" t="str">
        <f>IF(BM$7&gt;$D$3,"",_xlfn.XLOOKUP(BM$7,'Maybole Manuf'!$M$6:$BM$6,'Maybole Manuf'!$M$10:$BM$10))</f>
        <v>R</v>
      </c>
      <c r="BN64" s="159" t="str">
        <f>IF(BN$7&gt;$D$3,"",_xlfn.XLOOKUP(BN$7,'Maybole Manuf'!$M$6:$BM$6,'Maybole Manuf'!$M$10:$BM$10))</f>
        <v>G</v>
      </c>
      <c r="BO64" s="159" t="str">
        <f>IF(BO$7&gt;$D$3,"",_xlfn.XLOOKUP(BO$7,'Maybole Manuf'!$M$6:$BM$6,'Maybole Manuf'!$M$10:$BM$10))</f>
        <v>R</v>
      </c>
      <c r="BP64" s="159" t="str">
        <f>IF(BP$7&gt;$D$3,"",_xlfn.XLOOKUP(BP$7,'Maybole Manuf'!$M$6:$BM$6,'Maybole Manuf'!$M$10:$BM$10))</f>
        <v>G</v>
      </c>
      <c r="BQ64" s="159" t="str">
        <f>IF(BQ$7&gt;$D$3,"",_xlfn.XLOOKUP(BQ$7,'Maybole Manuf'!$M$6:$BM$6,'Maybole Manuf'!$M$10:$BM$10))</f>
        <v>R</v>
      </c>
      <c r="BR64" s="159" t="str">
        <f>IF(BR$7&gt;$D$3,"",_xlfn.XLOOKUP(BR$7,'Maybole Manuf'!$M$6:$BM$6,'Maybole Manuf'!$M$10:$BM$10))</f>
        <v>R</v>
      </c>
      <c r="BS64" s="159" t="str">
        <f>IF(BS$7&gt;$D$3,"",_xlfn.XLOOKUP(BS$7,'Maybole Manuf'!$M$6:$BM$6,'Maybole Manuf'!$M$10:$BM$10))</f>
        <v>R</v>
      </c>
      <c r="BT64" s="159" t="str">
        <f>IF(BT$7&gt;$D$3,"",_xlfn.XLOOKUP(BT$7,'Maybole Manuf'!$M$6:$BM$6,'Maybole Manuf'!$M$10:$BM$10))</f>
        <v>G</v>
      </c>
      <c r="BU64" s="159" t="str">
        <f>IF(BU$7&gt;$D$3,"",_xlfn.XLOOKUP(BU$7,'Maybole Manuf'!$M$6:$BM$6,'Maybole Manuf'!$M$10:$BM$10))</f>
        <v>A</v>
      </c>
      <c r="BV64" s="159" t="str">
        <f>IF(BV$7&gt;$D$3,"",_xlfn.XLOOKUP(BV$7,'Maybole Manuf'!$M$6:$BM$6,'Maybole Manuf'!$M$10:$BM$10))</f>
        <v>R</v>
      </c>
      <c r="BW64" s="159" t="str">
        <f>IF(BW$7&gt;$D$3,"",_xlfn.XLOOKUP(BW$7,'Maybole Manuf'!$M$6:$BM$6,'Maybole Manuf'!$M$10:$BM$10))</f>
        <v>R</v>
      </c>
      <c r="BX64" s="159" t="str">
        <f>IF(BX$7&gt;$D$3,"",_xlfn.XLOOKUP(BX$7,'Maybole Manuf'!$M$6:$BM$6,'Maybole Manuf'!$M$10:$BM$10))</f>
        <v>R</v>
      </c>
      <c r="BY64" s="159" t="str">
        <f>IF(BY$7&gt;$D$3,"",_xlfn.XLOOKUP(BY$7,'Maybole Manuf'!$M$6:$BM$6,'Maybole Manuf'!$M$10:$BM$10))</f>
        <v>R</v>
      </c>
      <c r="BZ64" s="159" t="str">
        <f>IF(BZ$7&gt;$D$3,"",_xlfn.XLOOKUP(BZ$7,'Maybole Manuf'!$M$6:$BM$6,'Maybole Manuf'!$M$10:$BM$10))</f>
        <v>G</v>
      </c>
      <c r="CA64" s="159" t="str">
        <f>IF(CA$7&gt;$D$3,"",_xlfn.XLOOKUP(CA$7,'Maybole Manuf'!$M$6:$BM$6,'Maybole Manuf'!$M$10:$BM$10))</f>
        <v>R</v>
      </c>
      <c r="CB64" s="159" t="str">
        <f>IF(CB$7&gt;$D$3,"",_xlfn.XLOOKUP(CB$7,'Maybole Manuf'!$M$6:$BM$6,'Maybole Manuf'!$M$10:$BM$10))</f>
        <v>R</v>
      </c>
      <c r="CC64" s="159" t="str">
        <f>IF(CC$7&gt;$D$3,"",_xlfn.XLOOKUP(CC$7,'Maybole Manuf'!$M$6:$BM$6,'Maybole Manuf'!$M$10:$BM$10))</f>
        <v/>
      </c>
      <c r="CD64" s="159" t="str">
        <f>IF(CD$7&gt;$D$3,"",_xlfn.XLOOKUP(CD$7,'Maybole Manuf'!$M$6:$BM$6,'Maybole Manuf'!$M$10:$BM$10))</f>
        <v/>
      </c>
      <c r="CE64" s="159" t="str">
        <f>IF(CE$7&gt;$D$3,"",_xlfn.XLOOKUP(CE$7,'Maybole Manuf'!$M$6:$BM$6,'Maybole Manuf'!$M$10:$BM$10))</f>
        <v/>
      </c>
      <c r="CF64" s="159" t="str">
        <f>IF(CF$7&gt;$D$3,"",_xlfn.XLOOKUP(CF$7,'Maybole Manuf'!$M$6:$BM$6,'Maybole Manuf'!$M$10:$BM$10))</f>
        <v/>
      </c>
      <c r="CG64" s="159" t="str">
        <f>IF(CG$7&gt;$D$3,"",_xlfn.XLOOKUP(CG$7,'Maybole Manuf'!$M$6:$BM$6,'Maybole Manuf'!$M$10:$BM$10))</f>
        <v/>
      </c>
      <c r="CH64" s="159" t="str">
        <f>IF(CH$7&gt;$D$3,"",_xlfn.XLOOKUP(CH$7,'Maybole Manuf'!$M$6:$BM$6,'Maybole Manuf'!$M$10:$BM$10))</f>
        <v/>
      </c>
      <c r="CI64" s="159" t="str">
        <f>IF(CI$7&gt;$D$3,"",_xlfn.XLOOKUP(CI$7,'Maybole Manuf'!$M$6:$BM$6,'Maybole Manuf'!$M$10:$BM$10))</f>
        <v/>
      </c>
      <c r="CJ64" s="159" t="str">
        <f>IF(CJ$7&gt;$D$3,"",_xlfn.XLOOKUP(CJ$7,'Maybole Manuf'!$M$6:$BM$6,'Maybole Manuf'!$M$10:$BM$10))</f>
        <v/>
      </c>
      <c r="CK64" s="159" t="str">
        <f>IF(CK$7&gt;$D$3,"",_xlfn.XLOOKUP(CK$7,'Maybole Manuf'!$M$6:$BM$6,'Maybole Manuf'!$M$10:$BM$10))</f>
        <v/>
      </c>
      <c r="CL64" s="159" t="str">
        <f>IF(CL$7&gt;$D$3,"",_xlfn.XLOOKUP(CL$7,'Maybole Manuf'!$M$6:$BM$6,'Maybole Manuf'!$M$10:$BM$10))</f>
        <v/>
      </c>
      <c r="CM64" s="159" t="str">
        <f>IF(CM$7&gt;$D$3,"",_xlfn.XLOOKUP(CM$7,'Maybole Manuf'!$M$6:$BM$6,'Maybole Manuf'!$M$10:$BM$10))</f>
        <v/>
      </c>
      <c r="CO64" s="465" t="str">
        <f>+$A64</f>
        <v>Maybole Manuf-KPI P1</v>
      </c>
      <c r="CP64" s="133" t="str">
        <f t="shared" ref="CP64:CQ67" si="215">+C64</f>
        <v>KPI P1</v>
      </c>
      <c r="CQ64" s="142" t="str">
        <f t="shared" si="215"/>
        <v>Productivity</v>
      </c>
      <c r="CR64" s="142" t="str">
        <f t="shared" si="202"/>
        <v>Production Value</v>
      </c>
      <c r="CS64" s="143" t="str">
        <f t="shared" si="202"/>
        <v>£'s</v>
      </c>
      <c r="CT64" s="206" t="s">
        <v>246</v>
      </c>
      <c r="CU64" s="624" t="str">
        <f>IFERROR(IF(CU$7&gt;$D$3,"",IF(AM64="Undefined","Undefined",IF(AM64="Missed","Missed",IF(AM64="OD","OD",IF(AM64="Blank","Blank",_xlfn.XLOOKUP(CU$7,'Maybole Manuf'!$M$6:$BM$6,'Maybole Manuf'!$M$9:$BM$9)/_xlfn.XLOOKUP(CU$7,'Maybole Manuf'!$M$6:$BM$6,'Maybole Manuf'!$M$8:$BM$8)))))),"")</f>
        <v>Blank</v>
      </c>
      <c r="CV64" s="327" t="str">
        <f>IFERROR(IF(CV$7&gt;$D$3,"",IF(AN64="Undefined","Undefined",IF(AN64="Missed","Missed",IF(AN64="OD","OD",IF(AN64="Blank","Blank",_xlfn.XLOOKUP(CV$7,'Maybole Manuf'!$M$6:$BM$6,'Maybole Manuf'!$M$9:$BM$9)/_xlfn.XLOOKUP(CV$7,'Maybole Manuf'!$M$6:$BM$6,'Maybole Manuf'!$M$8:$BM$8)))))),"")</f>
        <v/>
      </c>
      <c r="CW64" s="328" t="str">
        <f>IFERROR(IF(CW$7&gt;$D$3,"",IF(AO64="Undefined","Undefined",IF(AO64="Missed","Missed",IF(AO64="OD","OD",IF(AO64="Blank","Blank",_xlfn.XLOOKUP(CW$7,'Maybole Manuf'!$M$6:$BM$6,'Maybole Manuf'!$M$9:$BM$9)/_xlfn.XLOOKUP(CW$7,'Maybole Manuf'!$M$6:$BM$6,'Maybole Manuf'!$M$8:$BM$8)))))),"")</f>
        <v/>
      </c>
      <c r="CX64" s="328" t="str">
        <f>IFERROR(IF(CX$7&gt;$D$3,"",IF(AP64="Undefined","Undefined",IF(AP64="Missed","Missed",IF(AP64="OD","OD",IF(AP64="Blank","Blank",_xlfn.XLOOKUP(CX$7,'Maybole Manuf'!$M$6:$BM$6,'Maybole Manuf'!$M$9:$BM$9)/_xlfn.XLOOKUP(CX$7,'Maybole Manuf'!$M$6:$BM$6,'Maybole Manuf'!$M$8:$BM$8)))))),"")</f>
        <v/>
      </c>
      <c r="CY64" s="328" t="str">
        <f>IFERROR(IF(CY$7&gt;$D$3,"",IF(AQ64="Undefined","Undefined",IF(AQ64="Missed","Missed",IF(AQ64="OD","OD",IF(AQ64="Blank","Blank",_xlfn.XLOOKUP(CY$7,'Maybole Manuf'!$M$6:$BM$6,'Maybole Manuf'!$M$9:$BM$9)/_xlfn.XLOOKUP(CY$7,'Maybole Manuf'!$M$6:$BM$6,'Maybole Manuf'!$M$8:$BM$8)))))),"")</f>
        <v/>
      </c>
      <c r="CZ64" s="328" t="str">
        <f>IFERROR(IF(CZ$7&gt;$D$3,"",IF(AR64="Undefined","Undefined",IF(AR64="Missed","Missed",IF(AR64="OD","OD",IF(AR64="Blank","Blank",_xlfn.XLOOKUP(CZ$7,'Maybole Manuf'!$M$6:$BM$6,'Maybole Manuf'!$M$9:$BM$9)/_xlfn.XLOOKUP(CZ$7,'Maybole Manuf'!$M$6:$BM$6,'Maybole Manuf'!$M$8:$BM$8)))))),"")</f>
        <v/>
      </c>
      <c r="DA64" s="328" t="str">
        <f>IFERROR(IF(DA$7&gt;$D$3,"",IF(AS64="Undefined","Undefined",IF(AS64="Missed","Missed",IF(AS64="OD","OD",IF(AS64="Blank","Blank",_xlfn.XLOOKUP(DA$7,'Maybole Manuf'!$M$6:$BM$6,'Maybole Manuf'!$M$9:$BM$9)/_xlfn.XLOOKUP(DA$7,'Maybole Manuf'!$M$6:$BM$6,'Maybole Manuf'!$M$8:$BM$8)))))),"")</f>
        <v/>
      </c>
      <c r="DB64" s="328" t="str">
        <f>IFERROR(IF(DB$7&gt;$D$3,"",IF(AT64="Undefined","Undefined",IF(AT64="Missed","Missed",IF(AT64="OD","OD",IF(AT64="Blank","Blank",_xlfn.XLOOKUP(DB$7,'Maybole Manuf'!$M$6:$BM$6,'Maybole Manuf'!$M$9:$BM$9)/_xlfn.XLOOKUP(DB$7,'Maybole Manuf'!$M$6:$BM$6,'Maybole Manuf'!$M$8:$BM$8)))))),"")</f>
        <v/>
      </c>
      <c r="DC64" s="328" t="str">
        <f>IFERROR(IF(DC$7&gt;$D$3,"",IF(AU64="Undefined","Undefined",IF(AU64="Missed","Missed",IF(AU64="OD","OD",IF(AU64="Blank","Blank",_xlfn.XLOOKUP(DC$7,'Maybole Manuf'!$M$6:$BM$6,'Maybole Manuf'!$M$9:$BM$9)/_xlfn.XLOOKUP(DC$7,'Maybole Manuf'!$M$6:$BM$6,'Maybole Manuf'!$M$8:$BM$8)))))),"")</f>
        <v/>
      </c>
      <c r="DD64" s="328" t="str">
        <f>IFERROR(IF(DD$7&gt;$D$3,"",IF(AV64="Undefined","Undefined",IF(AV64="Missed","Missed",IF(AV64="OD","OD",IF(AV64="Blank","Blank",_xlfn.XLOOKUP(DD$7,'Maybole Manuf'!$M$6:$BM$6,'Maybole Manuf'!$M$9:$BM$9)/_xlfn.XLOOKUP(DD$7,'Maybole Manuf'!$M$6:$BM$6,'Maybole Manuf'!$M$8:$BM$8)))))),"")</f>
        <v/>
      </c>
      <c r="DE64" s="328" t="str">
        <f>IFERROR(IF(DE$7&gt;$D$3,"",IF(AW64="Undefined","Undefined",IF(AW64="Missed","Missed",IF(AW64="OD","OD",IF(AW64="Blank","Blank",_xlfn.XLOOKUP(DE$7,'Maybole Manuf'!$M$6:$BM$6,'Maybole Manuf'!$M$9:$BM$9)/_xlfn.XLOOKUP(DE$7,'Maybole Manuf'!$M$6:$BM$6,'Maybole Manuf'!$M$8:$BM$8)))))),"")</f>
        <v/>
      </c>
      <c r="DF64" s="328" t="str">
        <f>IFERROR(IF(DF$7&gt;$D$3,"",IF(AX64="Undefined","Undefined",IF(AX64="Missed","Missed",IF(AX64="OD","OD",IF(AX64="Blank","Blank",_xlfn.XLOOKUP(DF$7,'Maybole Manuf'!$M$6:$BM$6,'Maybole Manuf'!$M$9:$BM$9)/_xlfn.XLOOKUP(DF$7,'Maybole Manuf'!$M$6:$BM$6,'Maybole Manuf'!$M$8:$BM$8)))))),"")</f>
        <v/>
      </c>
      <c r="DG64" s="328" t="str">
        <f>IFERROR(IF(DG$7&gt;$D$3,"",IF(AY64="Undefined","Undefined",IF(AY64="Missed","Missed",IF(AY64="OD","OD",IF(AY64="Blank","Blank",_xlfn.XLOOKUP(DG$7,'Maybole Manuf'!$M$6:$BM$6,'Maybole Manuf'!$M$9:$BM$9)/_xlfn.XLOOKUP(DG$7,'Maybole Manuf'!$M$6:$BM$6,'Maybole Manuf'!$M$8:$BM$8)))))),"")</f>
        <v/>
      </c>
      <c r="DH64" s="328">
        <f>IFERROR(IF(DH$7&gt;$D$3,"",IF(AZ64="Undefined","Undefined",IF(AZ64="Missed","Missed",IF(AZ64="OD","OD",IF(AZ64="Blank","Blank",_xlfn.XLOOKUP(DH$7,'Maybole Manuf'!$M$6:$BM$6,'Maybole Manuf'!$M$9:$BM$9)/_xlfn.XLOOKUP(DH$7,'Maybole Manuf'!$M$6:$BM$6,'Maybole Manuf'!$M$8:$BM$8)))))),"")</f>
        <v>0.74498567335243548</v>
      </c>
      <c r="DI64" s="328">
        <f>IFERROR(IF(DI$7&gt;$D$3,"",IF(BA64="Undefined","Undefined",IF(BA64="Missed","Missed",IF(BA64="OD","OD",IF(BA64="Blank","Blank",_xlfn.XLOOKUP(DI$7,'Maybole Manuf'!$M$6:$BM$6,'Maybole Manuf'!$M$9:$BM$9)/_xlfn.XLOOKUP(DI$7,'Maybole Manuf'!$M$6:$BM$6,'Maybole Manuf'!$M$8:$BM$8)))))),"")</f>
        <v>0.87679083094555876</v>
      </c>
      <c r="DJ64" s="328">
        <f>IFERROR(IF(DJ$7&gt;$D$3,"",IF(BB64="Undefined","Undefined",IF(BB64="Missed","Missed",IF(BB64="OD","OD",IF(BB64="Blank","Blank",_xlfn.XLOOKUP(DJ$7,'Maybole Manuf'!$M$6:$BM$6,'Maybole Manuf'!$M$9:$BM$9)/_xlfn.XLOOKUP(DJ$7,'Maybole Manuf'!$M$6:$BM$6,'Maybole Manuf'!$M$8:$BM$8)))))),"")</f>
        <v>1.131204353429758</v>
      </c>
      <c r="DK64" s="328">
        <f>IFERROR(IF(DK$7&gt;$D$3,"",IF(BC64="Undefined","Undefined",IF(BC64="Missed","Missed",IF(BC64="OD","OD",IF(BC64="Blank","Blank",_xlfn.XLOOKUP(DK$7,'Maybole Manuf'!$M$6:$BM$6,'Maybole Manuf'!$M$9:$BM$9)/_xlfn.XLOOKUP(DK$7,'Maybole Manuf'!$M$6:$BM$6,'Maybole Manuf'!$M$8:$BM$8)))))),"")</f>
        <v>0.98425461835887151</v>
      </c>
      <c r="DL64" s="328">
        <f>IFERROR(IF(DL$7&gt;$D$3,"",IF(BD64="Undefined","Undefined",IF(BD64="Missed","Missed",IF(BD64="OD","OD",IF(BD64="Blank","Blank",_xlfn.XLOOKUP(DL$7,'Maybole Manuf'!$M$6:$BM$6,'Maybole Manuf'!$M$9:$BM$9)/_xlfn.XLOOKUP(DL$7,'Maybole Manuf'!$M$6:$BM$6,'Maybole Manuf'!$M$8:$BM$8)))))),"")</f>
        <v>1.1606016919185049</v>
      </c>
      <c r="DM64" s="328">
        <f>IFERROR(IF(DM$7&gt;$D$3,"",IF(BE64="Undefined","Undefined",IF(BE64="Missed","Missed",IF(BE64="OD","OD",IF(BE64="Blank","Blank",_xlfn.XLOOKUP(DM$7,'Maybole Manuf'!$M$6:$BM$6,'Maybole Manuf'!$M$9:$BM$9)/_xlfn.XLOOKUP(DM$7,'Maybole Manuf'!$M$6:$BM$6,'Maybole Manuf'!$M$8:$BM$8)))))),"")</f>
        <v>0.95065442962121927</v>
      </c>
      <c r="DN64" s="328">
        <f>IFERROR(IF(DN$7&gt;$D$3,"",IF(BF64="Undefined","Undefined",IF(BF64="Missed","Missed",IF(BF64="OD","OD",IF(BF64="Blank","Blank",_xlfn.XLOOKUP(DN$7,'Maybole Manuf'!$M$6:$BM$6,'Maybole Manuf'!$M$9:$BM$9)/_xlfn.XLOOKUP(DN$7,'Maybole Manuf'!$M$6:$BM$6,'Maybole Manuf'!$M$8:$BM$8)))))),"")</f>
        <v>0.66994814721133178</v>
      </c>
      <c r="DO64" s="328">
        <f>IFERROR(IF(DO$7&gt;$D$3,"",IF(BG64="Undefined","Undefined",IF(BG64="Missed","Missed",IF(BG64="OD","OD",IF(BG64="Blank","Blank",_xlfn.XLOOKUP(DO$7,'Maybole Manuf'!$M$6:$BM$6,'Maybole Manuf'!$M$9:$BM$9)/_xlfn.XLOOKUP(DO$7,'Maybole Manuf'!$M$6:$BM$6,'Maybole Manuf'!$M$8:$BM$8)))))),"")</f>
        <v>0.99047932211964085</v>
      </c>
      <c r="DP64" s="328">
        <f>IFERROR(IF(DP$7&gt;$D$3,"",IF(BH64="Undefined","Undefined",IF(BH64="Missed","Missed",IF(BH64="OD","OD",IF(BH64="Blank","Blank",_xlfn.XLOOKUP(DP$7,'Maybole Manuf'!$M$6:$BM$6,'Maybole Manuf'!$M$9:$BM$9)/_xlfn.XLOOKUP(DP$7,'Maybole Manuf'!$M$6:$BM$6,'Maybole Manuf'!$M$8:$BM$8)))))),"")</f>
        <v>1.0129442266346276</v>
      </c>
      <c r="DQ64" s="328">
        <f>IFERROR(IF(DQ$7&gt;$D$3,"",IF(BI64="Undefined","Undefined",IF(BI64="Missed","Missed",IF(BI64="OD","OD",IF(BI64="Blank","Blank",_xlfn.XLOOKUP(DQ$7,'Maybole Manuf'!$M$6:$BM$6,'Maybole Manuf'!$M$9:$BM$9)/_xlfn.XLOOKUP(DQ$7,'Maybole Manuf'!$M$6:$BM$6,'Maybole Manuf'!$M$8:$BM$8)))))),"")</f>
        <v>0.67520154887880435</v>
      </c>
      <c r="DR64" s="328">
        <f>IFERROR(IF(DR$7&gt;$D$3,"",IF(BJ64="Undefined","Undefined",IF(BJ64="Missed","Missed",IF(BJ64="OD","OD",IF(BJ64="Blank","Blank",_xlfn.XLOOKUP(DR$7,'Maybole Manuf'!$M$6:$BM$6,'Maybole Manuf'!$M$9:$BM$9)/_xlfn.XLOOKUP(DR$7,'Maybole Manuf'!$M$6:$BM$6,'Maybole Manuf'!$M$8:$BM$8)))))),"")</f>
        <v>0.88313750396951418</v>
      </c>
      <c r="DS64" s="328">
        <f>IFERROR(IF(DS$7&gt;$D$3,"",IF(BK64="Undefined","Undefined",IF(BK64="Missed","Missed",IF(BK64="OD","OD",IF(BK64="Blank","Blank",_xlfn.XLOOKUP(DS$7,'Maybole Manuf'!$M$6:$BM$6,'Maybole Manuf'!$M$9:$BM$9)/_xlfn.XLOOKUP(DS$7,'Maybole Manuf'!$M$6:$BM$6,'Maybole Manuf'!$M$8:$BM$8)))))),"")</f>
        <v>0.77042379045062948</v>
      </c>
      <c r="DT64" s="328">
        <f>IFERROR(IF(DT$7&gt;$D$3,"",IF(BL64="Undefined","Undefined",IF(BL64="Missed","Missed",IF(BL64="OD","OD",IF(BL64="Blank","Blank",_xlfn.XLOOKUP(DT$7,'Maybole Manuf'!$M$6:$BM$6,'Maybole Manuf'!$M$9:$BM$9)/_xlfn.XLOOKUP(DT$7,'Maybole Manuf'!$M$6:$BM$6,'Maybole Manuf'!$M$8:$BM$8)))))),"")</f>
        <v>1.0660424712402299</v>
      </c>
      <c r="DU64" s="328">
        <f>IFERROR(IF(DU$7&gt;$D$3,"",IF(BM64="Undefined","Undefined",IF(BM64="Missed","Missed",IF(BM64="OD","OD",IF(BM64="Blank","Blank",_xlfn.XLOOKUP(DU$7,'Maybole Manuf'!$M$6:$BM$6,'Maybole Manuf'!$M$9:$BM$9)/_xlfn.XLOOKUP(DU$7,'Maybole Manuf'!$M$6:$BM$6,'Maybole Manuf'!$M$8:$BM$8)))))),"")</f>
        <v>0.7775256740902301</v>
      </c>
      <c r="DV64" s="328">
        <f>IFERROR(IF(DV$7&gt;$D$3,"",IF(BN64="Undefined","Undefined",IF(BN64="Missed","Missed",IF(BN64="OD","OD",IF(BN64="Blank","Blank",_xlfn.XLOOKUP(DV$7,'Maybole Manuf'!$M$6:$BM$6,'Maybole Manuf'!$M$9:$BM$9)/_xlfn.XLOOKUP(DV$7,'Maybole Manuf'!$M$6:$BM$6,'Maybole Manuf'!$M$8:$BM$8)))))),"")</f>
        <v>1.053225814805032</v>
      </c>
      <c r="DW64" s="328">
        <f>IFERROR(IF(DW$7&gt;$D$3,"",IF(BO64="Undefined","Undefined",IF(BO64="Missed","Missed",IF(BO64="OD","OD",IF(BO64="Blank","Blank",_xlfn.XLOOKUP(DW$7,'Maybole Manuf'!$M$6:$BM$6,'Maybole Manuf'!$M$9:$BM$9)/_xlfn.XLOOKUP(DW$7,'Maybole Manuf'!$M$6:$BM$6,'Maybole Manuf'!$M$8:$BM$8)))))),"")</f>
        <v>0.71254331038983232</v>
      </c>
      <c r="DX64" s="328">
        <f>IFERROR(IF(DX$7&gt;$D$3,"",IF(BP64="Undefined","Undefined",IF(BP64="Missed","Missed",IF(BP64="OD","OD",IF(BP64="Blank","Blank",_xlfn.XLOOKUP(DX$7,'Maybole Manuf'!$M$6:$BM$6,'Maybole Manuf'!$M$9:$BM$9)/_xlfn.XLOOKUP(DX$7,'Maybole Manuf'!$M$6:$BM$6,'Maybole Manuf'!$M$8:$BM$8)))))),"")</f>
        <v>1.0392888032607739</v>
      </c>
      <c r="DY64" s="328">
        <f>IFERROR(IF(DY$7&gt;$D$3,"",IF(BQ64="Undefined","Undefined",IF(BQ64="Missed","Missed",IF(BQ64="OD","OD",IF(BQ64="Blank","Blank",_xlfn.XLOOKUP(DY$7,'Maybole Manuf'!$M$6:$BM$6,'Maybole Manuf'!$M$9:$BM$9)/_xlfn.XLOOKUP(DY$7,'Maybole Manuf'!$M$6:$BM$6,'Maybole Manuf'!$M$8:$BM$8)))))),"")</f>
        <v>0.72507678045193003</v>
      </c>
      <c r="DZ64" s="328">
        <f>IFERROR(IF(DZ$7&gt;$D$3,"",IF(BR64="Undefined","Undefined",IF(BR64="Missed","Missed",IF(BR64="OD","OD",IF(BR64="Blank","Blank",_xlfn.XLOOKUP(DZ$7,'Maybole Manuf'!$M$6:$BM$6,'Maybole Manuf'!$M$9:$BM$9)/_xlfn.XLOOKUP(DZ$7,'Maybole Manuf'!$M$6:$BM$6,'Maybole Manuf'!$M$8:$BM$8)))))),"")</f>
        <v>0.73054429291067702</v>
      </c>
      <c r="EA64" s="328">
        <f>IFERROR(IF(EA$7&gt;$D$3,"",IF(BS64="Undefined","Undefined",IF(BS64="Missed","Missed",IF(BS64="OD","OD",IF(BS64="Blank","Blank",_xlfn.XLOOKUP(EA$7,'Maybole Manuf'!$M$6:$BM$6,'Maybole Manuf'!$M$9:$BM$9)/_xlfn.XLOOKUP(EA$7,'Maybole Manuf'!$M$6:$BM$6,'Maybole Manuf'!$M$8:$BM$8)))))),"")</f>
        <v>0.72906403940886699</v>
      </c>
      <c r="EB64" s="328">
        <f>IFERROR(IF(EB$7&gt;$D$3,"",IF(BT64="Undefined","Undefined",IF(BT64="Missed","Missed",IF(BT64="OD","OD",IF(BT64="Blank","Blank",_xlfn.XLOOKUP(EB$7,'Maybole Manuf'!$M$6:$BM$6,'Maybole Manuf'!$M$9:$BM$9)/_xlfn.XLOOKUP(EB$7,'Maybole Manuf'!$M$6:$BM$6,'Maybole Manuf'!$M$8:$BM$8)))))),"")</f>
        <v>1.579743842364532</v>
      </c>
      <c r="EC64" s="328">
        <f>IFERROR(IF(EC$7&gt;$D$3,"",IF(BU64="Undefined","Undefined",IF(BU64="Missed","Missed",IF(BU64="OD","OD",IF(BU64="Blank","Blank",_xlfn.XLOOKUP(EC$7,'Maybole Manuf'!$M$6:$BM$6,'Maybole Manuf'!$M$9:$BM$9)/_xlfn.XLOOKUP(EC$7,'Maybole Manuf'!$M$6:$BM$6,'Maybole Manuf'!$M$8:$BM$8)))))),"")</f>
        <v>0.96009337756481139</v>
      </c>
      <c r="ED64" s="328">
        <f>IFERROR(IF(ED$7&gt;$D$3,"",IF(BV64="Undefined","Undefined",IF(BV64="Missed","Missed",IF(BV64="OD","OD",IF(BV64="Blank","Blank",_xlfn.XLOOKUP(ED$7,'Maybole Manuf'!$M$6:$BM$6,'Maybole Manuf'!$M$9:$BM$9)/_xlfn.XLOOKUP(ED$7,'Maybole Manuf'!$M$6:$BM$6,'Maybole Manuf'!$M$8:$BM$8)))))),"")</f>
        <v>0.91788331789919297</v>
      </c>
      <c r="EE64" s="328">
        <f>IFERROR(IF(EE$7&gt;$D$3,"",IF(BW64="Undefined","Undefined",IF(BW64="Missed","Missed",IF(BW64="OD","OD",IF(BW64="Blank","Blank",_xlfn.XLOOKUP(EE$7,'Maybole Manuf'!$M$6:$BM$6,'Maybole Manuf'!$M$9:$BM$9)/_xlfn.XLOOKUP(EE$7,'Maybole Manuf'!$M$6:$BM$6,'Maybole Manuf'!$M$8:$BM$8)))))),"")</f>
        <v>0.93475327424262467</v>
      </c>
      <c r="EF64" s="328">
        <f>IFERROR(IF(EF$7&gt;$D$3,"",IF(BX64="Undefined","Undefined",IF(BX64="Missed","Missed",IF(BX64="OD","OD",IF(BX64="Blank","Blank",_xlfn.XLOOKUP(EF$7,'Maybole Manuf'!$M$6:$BM$6,'Maybole Manuf'!$M$9:$BM$9)/_xlfn.XLOOKUP(EF$7,'Maybole Manuf'!$M$6:$BM$6,'Maybole Manuf'!$M$8:$BM$8)))))),"")</f>
        <v>0.79375578780261935</v>
      </c>
      <c r="EG64" s="328">
        <f>IFERROR(IF(EG$7&gt;$D$3,"",IF(BY64="Undefined","Undefined",IF(BY64="Missed","Missed",IF(BY64="OD","OD",IF(BY64="Blank","Blank",_xlfn.XLOOKUP(EG$7,'Maybole Manuf'!$M$6:$BM$6,'Maybole Manuf'!$M$9:$BM$9)/_xlfn.XLOOKUP(EG$7,'Maybole Manuf'!$M$6:$BM$6,'Maybole Manuf'!$M$8:$BM$8)))))),"")</f>
        <v>0.78846408255060196</v>
      </c>
      <c r="EH64" s="328">
        <f>IFERROR(IF(EH$7&gt;$D$3,"",IF(BZ64="Undefined","Undefined",IF(BZ64="Missed","Missed",IF(BZ64="OD","OD",IF(BZ64="Blank","Blank",_xlfn.XLOOKUP(EH$7,'Maybole Manuf'!$M$6:$BM$6,'Maybole Manuf'!$M$9:$BM$9)/_xlfn.XLOOKUP(EH$7,'Maybole Manuf'!$M$6:$BM$6,'Maybole Manuf'!$M$8:$BM$8)))))),"")</f>
        <v>1.0159933433111623</v>
      </c>
      <c r="EI64" s="328">
        <f>IFERROR(IF(EI$7&gt;$D$3,"",IF(CA64="Undefined","Undefined",IF(CA64="Missed","Missed",IF(CA64="OD","OD",IF(CA64="Blank","Blank",_xlfn.XLOOKUP(EI$7,'Maybole Manuf'!$M$6:$BM$6,'Maybole Manuf'!$M$9:$BM$9)/_xlfn.XLOOKUP(EI$7,'Maybole Manuf'!$M$6:$BM$6,'Maybole Manuf'!$M$8:$BM$8)))))),"")</f>
        <v>0.67405385854733169</v>
      </c>
      <c r="EJ64" s="328">
        <f>IFERROR(IF(EJ$7&gt;$D$3,"",IF(CB64="Undefined","Undefined",IF(CB64="Missed","Missed",IF(CB64="OD","OD",IF(CB64="Blank","Blank",_xlfn.XLOOKUP(EJ$7,'Maybole Manuf'!$M$6:$BM$6,'Maybole Manuf'!$M$9:$BM$9)/_xlfn.XLOOKUP(EJ$7,'Maybole Manuf'!$M$6:$BM$6,'Maybole Manuf'!$M$8:$BM$8)))))),"")</f>
        <v>0.80557656265412814</v>
      </c>
      <c r="EK64" s="328" t="str">
        <f>IFERROR(IF(EK$7&gt;$D$3,"",IF(CC64="Undefined","Undefined",IF(CC64="Missed","Missed",IF(CC64="OD","OD",IF(CC64="Blank","Blank",_xlfn.XLOOKUP(EK$7,'Maybole Manuf'!$M$6:$BM$6,'Maybole Manuf'!$M$9:$BM$9)/_xlfn.XLOOKUP(EK$7,'Maybole Manuf'!$M$6:$BM$6,'Maybole Manuf'!$M$8:$BM$8)))))),"")</f>
        <v/>
      </c>
      <c r="EL64" s="328" t="str">
        <f>IFERROR(IF(EL$7&gt;$D$3,"",IF(CD64="Undefined","Undefined",IF(CD64="Missed","Missed",IF(CD64="OD","OD",IF(CD64="Blank","Blank",_xlfn.XLOOKUP(EL$7,'Maybole Manuf'!$M$6:$BM$6,'Maybole Manuf'!$M$9:$BM$9)/_xlfn.XLOOKUP(EL$7,'Maybole Manuf'!$M$6:$BM$6,'Maybole Manuf'!$M$8:$BM$8)))))),"")</f>
        <v/>
      </c>
      <c r="EM64" s="328" t="str">
        <f>IFERROR(IF(EM$7&gt;$D$3,"",IF(CE64="Undefined","Undefined",IF(CE64="Missed","Missed",IF(CE64="OD","OD",IF(CE64="Blank","Blank",_xlfn.XLOOKUP(EM$7,'Maybole Manuf'!$M$6:$BM$6,'Maybole Manuf'!$M$9:$BM$9)/_xlfn.XLOOKUP(EM$7,'Maybole Manuf'!$M$6:$BM$6,'Maybole Manuf'!$M$8:$BM$8)))))),"")</f>
        <v/>
      </c>
      <c r="EN64" s="328" t="str">
        <f>IFERROR(IF(EN$7&gt;$D$3,"",IF(CF64="Undefined","Undefined",IF(CF64="Missed","Missed",IF(CF64="OD","OD",IF(CF64="Blank","Blank",_xlfn.XLOOKUP(EN$7,'Maybole Manuf'!$M$6:$BM$6,'Maybole Manuf'!$M$9:$BM$9)/_xlfn.XLOOKUP(EN$7,'Maybole Manuf'!$M$6:$BM$6,'Maybole Manuf'!$M$8:$BM$8)))))),"")</f>
        <v/>
      </c>
      <c r="EO64" s="328" t="str">
        <f>IFERROR(IF(EO$7&gt;$D$3,"",IF(CG64="Undefined","Undefined",IF(CG64="Missed","Missed",IF(CG64="OD","OD",IF(CG64="Blank","Blank",_xlfn.XLOOKUP(EO$7,'Maybole Manuf'!$M$6:$BM$6,'Maybole Manuf'!$M$9:$BM$9)/_xlfn.XLOOKUP(EO$7,'Maybole Manuf'!$M$6:$BM$6,'Maybole Manuf'!$M$8:$BM$8)))))),"")</f>
        <v/>
      </c>
      <c r="EP64" s="328" t="str">
        <f>IFERROR(IF(EP$7&gt;$D$3,"",IF(CH64="Undefined","Undefined",IF(CH64="Missed","Missed",IF(CH64="OD","OD",IF(CH64="Blank","Blank",_xlfn.XLOOKUP(EP$7,'Maybole Manuf'!$M$6:$BM$6,'Maybole Manuf'!$M$9:$BM$9)/_xlfn.XLOOKUP(EP$7,'Maybole Manuf'!$M$6:$BM$6,'Maybole Manuf'!$M$8:$BM$8)))))),"")</f>
        <v/>
      </c>
      <c r="EQ64" s="328" t="str">
        <f>IFERROR(IF(EQ$7&gt;$D$3,"",IF(CI64="Undefined","Undefined",IF(CI64="Missed","Missed",IF(CI64="OD","OD",IF(CI64="Blank","Blank",_xlfn.XLOOKUP(EQ$7,'Maybole Manuf'!$M$6:$BM$6,'Maybole Manuf'!$M$9:$BM$9)/_xlfn.XLOOKUP(EQ$7,'Maybole Manuf'!$M$6:$BM$6,'Maybole Manuf'!$M$8:$BM$8)))))),"")</f>
        <v/>
      </c>
      <c r="ER64" s="328" t="str">
        <f>IFERROR(IF(ER$7&gt;$D$3,"",IF(CJ64="Undefined","Undefined",IF(CJ64="Missed","Missed",IF(CJ64="OD","OD",IF(CJ64="Blank","Blank",_xlfn.XLOOKUP(ER$7,'Maybole Manuf'!$M$6:$BM$6,'Maybole Manuf'!$M$9:$BM$9)/_xlfn.XLOOKUP(ER$7,'Maybole Manuf'!$M$6:$BM$6,'Maybole Manuf'!$M$8:$BM$8)))))),"")</f>
        <v/>
      </c>
      <c r="ES64" s="328" t="str">
        <f>IFERROR(IF(ES$7&gt;$D$3,"",IF(CK64="Undefined","Undefined",IF(CK64="Missed","Missed",IF(CK64="OD","OD",IF(CK64="Blank","Blank",_xlfn.XLOOKUP(ES$7,'Maybole Manuf'!$M$6:$BM$6,'Maybole Manuf'!$M$9:$BM$9)/_xlfn.XLOOKUP(ES$7,'Maybole Manuf'!$M$6:$BM$6,'Maybole Manuf'!$M$8:$BM$8)))))),"")</f>
        <v/>
      </c>
      <c r="ET64" s="328" t="str">
        <f>IFERROR(IF(ET$7&gt;$D$3,"",IF(CL64="Undefined","Undefined",IF(CL64="Missed","Missed",IF(CL64="OD","OD",IF(CL64="Blank","Blank",_xlfn.XLOOKUP(ET$7,'Maybole Manuf'!$M$6:$BM$6,'Maybole Manuf'!$M$9:$BM$9)/_xlfn.XLOOKUP(ET$7,'Maybole Manuf'!$M$6:$BM$6,'Maybole Manuf'!$M$8:$BM$8)))))),"")</f>
        <v/>
      </c>
      <c r="EU64" s="328" t="str">
        <f>IFERROR(IF(EU$7&gt;$D$3,"",IF(CM64="Undefined","Undefined",IF(CM64="Missed","Missed",IF(CM64="OD","OD",IF(CM64="Blank","Blank",_xlfn.XLOOKUP(EU$7,'Maybole Manuf'!$M$6:$BM$6,'Maybole Manuf'!$M$9:$BM$9)/_xlfn.XLOOKUP(EU$7,'Maybole Manuf'!$M$6:$BM$6,'Maybole Manuf'!$M$8:$BM$8)))))),"")</f>
        <v/>
      </c>
      <c r="EW64" s="465" t="str">
        <f>+$A64</f>
        <v>Maybole Manuf-KPI P1</v>
      </c>
      <c r="EX64" s="133" t="str">
        <f>+$C64</f>
        <v>KPI P1</v>
      </c>
      <c r="EY64" s="142" t="str">
        <f>+$D64</f>
        <v>Productivity</v>
      </c>
      <c r="EZ64" s="142" t="str">
        <f>+$E64</f>
        <v>Production Value</v>
      </c>
      <c r="FA64" s="143" t="str">
        <f>+$F64</f>
        <v>£'s</v>
      </c>
      <c r="FB64" s="143" t="s">
        <v>251</v>
      </c>
      <c r="FC64" s="211" t="str">
        <f>IF(FC$7&gt;$D$3,"",IF($FA63&lt;FC$7,"OD",_xlfn.XLOOKUP(FC$7,'Maybole Manuf'!$M$6:$BM$6,'Maybole Manuf'!$M$9:$BM$9)))</f>
        <v>Blank</v>
      </c>
      <c r="FD64" s="211" t="str">
        <f>IF(FD$7&gt;$D$3,"",IF($FA63&lt;FD$7,"OD",_xlfn.XLOOKUP(FD$7,'Maybole Manuf'!$M$6:$BM$6,'Maybole Manuf'!$M$9:$BM$9)))</f>
        <v>TBC</v>
      </c>
      <c r="FE64" s="211" t="str">
        <f>IF(FE$7&gt;$D$3,"",IF($FA63&lt;FE$7,"OD",_xlfn.XLOOKUP(FE$7,'Maybole Manuf'!$M$6:$BM$6,'Maybole Manuf'!$M$9:$BM$9)))</f>
        <v>TBC</v>
      </c>
      <c r="FF64" s="211" t="str">
        <f>IF(FF$7&gt;$D$3,"",IF($FA63&lt;FF$7,"OD",_xlfn.XLOOKUP(FF$7,'Maybole Manuf'!$M$6:$BM$6,'Maybole Manuf'!$M$9:$BM$9)))</f>
        <v>TBC</v>
      </c>
      <c r="FG64" s="211" t="str">
        <f>IF(FG$7&gt;$D$3,"",IF($FA63&lt;FG$7,"OD",_xlfn.XLOOKUP(FG$7,'Maybole Manuf'!$M$6:$BM$6,'Maybole Manuf'!$M$9:$BM$9)))</f>
        <v>TBC</v>
      </c>
      <c r="FH64" s="211" t="str">
        <f>IF(FH$7&gt;$D$3,"",IF($FA63&lt;FH$7,"OD",_xlfn.XLOOKUP(FH$7,'Maybole Manuf'!$M$6:$BM$6,'Maybole Manuf'!$M$9:$BM$9)))</f>
        <v>TBC</v>
      </c>
      <c r="FI64" s="211" t="str">
        <f>IF(FI$7&gt;$D$3,"",IF($FA63&lt;FI$7,"OD",_xlfn.XLOOKUP(FI$7,'Maybole Manuf'!$M$6:$BM$6,'Maybole Manuf'!$M$9:$BM$9)))</f>
        <v>TBC</v>
      </c>
      <c r="FJ64" s="211" t="str">
        <f>IF(FJ$7&gt;$D$3,"",IF($FA63&lt;FJ$7,"OD",_xlfn.XLOOKUP(FJ$7,'Maybole Manuf'!$M$6:$BM$6,'Maybole Manuf'!$M$9:$BM$9)))</f>
        <v>TBC</v>
      </c>
      <c r="FK64" s="211" t="str">
        <f>IF(FK$7&gt;$D$3,"",IF($FA63&lt;FK$7,"OD",_xlfn.XLOOKUP(FK$7,'Maybole Manuf'!$M$6:$BM$6,'Maybole Manuf'!$M$9:$BM$9)))</f>
        <v>TBC</v>
      </c>
      <c r="FL64" s="211" t="str">
        <f>IF(FL$7&gt;$D$3,"",IF($FA63&lt;FL$7,"OD",_xlfn.XLOOKUP(FL$7,'Maybole Manuf'!$M$6:$BM$6,'Maybole Manuf'!$M$9:$BM$9)))</f>
        <v>TBC</v>
      </c>
      <c r="FM64" s="211" t="str">
        <f>IF(FM$7&gt;$D$3,"",IF($FA63&lt;FM$7,"OD",_xlfn.XLOOKUP(FM$7,'Maybole Manuf'!$M$6:$BM$6,'Maybole Manuf'!$M$9:$BM$9)))</f>
        <v>TBC</v>
      </c>
      <c r="FN64" s="211" t="str">
        <f>IF(FN$7&gt;$D$3,"",IF($FA63&lt;FN$7,"OD",_xlfn.XLOOKUP(FN$7,'Maybole Manuf'!$M$6:$BM$6,'Maybole Manuf'!$M$9:$BM$9)))</f>
        <v>TBC</v>
      </c>
      <c r="FO64" s="211" t="str">
        <f>IF(FO$7&gt;$D$3,"",IF($FA63&lt;FO$7,"OD",_xlfn.XLOOKUP(FO$7,'Maybole Manuf'!$M$6:$BM$6,'Maybole Manuf'!$M$9:$BM$9)))</f>
        <v>TBC</v>
      </c>
      <c r="FP64" s="211">
        <f>IF(FP$7&gt;$D$3,"",IF($FA63&lt;FP$7,"OD",_xlfn.XLOOKUP(FP$7,'Maybole Manuf'!$M$6:$BM$6,'Maybole Manuf'!$M$9:$BM$9)))</f>
        <v>130000</v>
      </c>
      <c r="FQ64" s="211">
        <f>IF(FQ$7&gt;$D$3,"",IF($FA63&lt;FQ$7,"OD",_xlfn.XLOOKUP(FQ$7,'Maybole Manuf'!$M$6:$BM$6,'Maybole Manuf'!$M$9:$BM$9)))</f>
        <v>153000</v>
      </c>
      <c r="FR64" s="211">
        <f>IF(FR$7&gt;$D$3,"",IF($FA63&lt;FR$7,"OD",_xlfn.XLOOKUP(FR$7,'Maybole Manuf'!$M$6:$BM$6,'Maybole Manuf'!$M$9:$BM$9)))</f>
        <v>157984</v>
      </c>
      <c r="FS64" s="211">
        <f>IF(FS$7&gt;$D$3,"",IF($FA63&lt;FS$7,"OD",_xlfn.XLOOKUP(FS$7,'Maybole Manuf'!$M$6:$BM$6,'Maybole Manuf'!$M$9:$BM$9)))</f>
        <v>137461</v>
      </c>
      <c r="FT64" s="211">
        <f>IF(FT$7&gt;$D$3,"",IF($FA63&lt;FT$7,"OD",_xlfn.XLOOKUP(FT$7,'Maybole Manuf'!$M$6:$BM$6,'Maybole Manuf'!$M$9:$BM$9)))</f>
        <v>213336</v>
      </c>
      <c r="FU64" s="211">
        <f>IF(FU$7&gt;$D$3,"",IF($FA63&lt;FU$7,"OD",_xlfn.XLOOKUP(FU$7,'Maybole Manuf'!$M$6:$BM$6,'Maybole Manuf'!$M$9:$BM$9)))</f>
        <v>150712</v>
      </c>
      <c r="FV64" s="211">
        <f>IF(FV$7&gt;$D$3,"",IF($FA63&lt;FV$7,"OD",_xlfn.XLOOKUP(FV$7,'Maybole Manuf'!$M$6:$BM$6,'Maybole Manuf'!$M$9:$BM$9)))</f>
        <v>132432</v>
      </c>
      <c r="FW64" s="211">
        <f>IF(FW$7&gt;$D$3,"",IF($FA63&lt;FW$7,"OD",_xlfn.XLOOKUP(FW$7,'Maybole Manuf'!$M$6:$BM$6,'Maybole Manuf'!$M$9:$BM$9)))</f>
        <v>195793</v>
      </c>
      <c r="FX64" s="211">
        <f>IF(FX$7&gt;$D$3,"",IF($FA63&lt;FX$7,"OD",_xlfn.XLOOKUP(FX$7,'Maybole Manuf'!$M$6:$BM$6,'Maybole Manuf'!$M$9:$BM$9)))</f>
        <v>160187</v>
      </c>
      <c r="FY64" s="211">
        <f>IF(FY$7&gt;$D$3,"",IF($FA63&lt;FY$7,"OD",_xlfn.XLOOKUP(FY$7,'Maybole Manuf'!$M$6:$BM$6,'Maybole Manuf'!$M$9:$BM$9)))</f>
        <v>131825</v>
      </c>
      <c r="FZ64" s="211">
        <f>IF(FZ$7&gt;$D$3,"",IF($FA63&lt;FZ$7,"OD",_xlfn.XLOOKUP(FZ$7,'Maybole Manuf'!$M$6:$BM$6,'Maybole Manuf'!$M$9:$BM$9)))</f>
        <v>172422</v>
      </c>
      <c r="GA64" s="211">
        <f>IF(GA$7&gt;$D$3,"",IF($FA63&lt;GA$7,"OD",_xlfn.XLOOKUP(GA$7,'Maybole Manuf'!$M$6:$BM$6,'Maybole Manuf'!$M$9:$BM$9)))</f>
        <v>150416</v>
      </c>
      <c r="GB64" s="211">
        <f>IF(GB$7&gt;$D$3,"",IF($FA63&lt;GB$7,"OD",_xlfn.XLOOKUP(GB$7,'Maybole Manuf'!$M$6:$BM$6,'Maybole Manuf'!$M$9:$BM$9)))</f>
        <v>208132</v>
      </c>
      <c r="GC64" s="211">
        <f>IF(GC$7&gt;$D$3,"",IF($FA63&lt;GC$7,"OD",_xlfn.XLOOKUP(GC$7,'Maybole Manuf'!$M$6:$BM$6,'Maybole Manuf'!$M$9:$BM$9)))</f>
        <v>150438</v>
      </c>
      <c r="GD64" s="211">
        <f>IF(GD$7&gt;$D$3,"",IF($FA63&lt;GD$7,"OD",_xlfn.XLOOKUP(GD$7,'Maybole Manuf'!$M$6:$BM$6,'Maybole Manuf'!$M$9:$BM$9)))</f>
        <v>203360</v>
      </c>
      <c r="GE64" s="211">
        <f>IF(GE$7&gt;$D$3,"",IF($FA63&lt;GE$7,"OD",_xlfn.XLOOKUP(GE$7,'Maybole Manuf'!$M$6:$BM$6,'Maybole Manuf'!$M$9:$BM$9)))</f>
        <v>137580</v>
      </c>
      <c r="GF64" s="211">
        <f>IF(GF$7&gt;$D$3,"",IF($FA63&lt;GF$7,"OD",_xlfn.XLOOKUP(GF$7,'Maybole Manuf'!$M$6:$BM$6,'Maybole Manuf'!$M$9:$BM$9)))</f>
        <v>200669</v>
      </c>
      <c r="GG64" s="211">
        <f>IF(GG$7&gt;$D$3,"",IF($FA63&lt;GG$7,"OD",_xlfn.XLOOKUP(GG$7,'Maybole Manuf'!$M$6:$BM$6,'Maybole Manuf'!$M$9:$BM$9)))</f>
        <v>140000</v>
      </c>
      <c r="GH64" s="211">
        <f>IF(GH$7&gt;$D$3,"",IF($FA63&lt;GH$7,"OD",_xlfn.XLOOKUP(GH$7,'Maybole Manuf'!$M$6:$BM$6,'Maybole Manuf'!$M$9:$BM$9)))</f>
        <v>118918</v>
      </c>
      <c r="GI64" s="211">
        <f>IF(GI$7&gt;$D$3,"",IF($FA63&lt;GI$7,"OD",_xlfn.XLOOKUP(GI$7,'Maybole Manuf'!$M$6:$BM$6,'Maybole Manuf'!$M$9:$BM$9)))</f>
        <v>148000</v>
      </c>
      <c r="GJ64" s="211">
        <f>IF(GJ$7&gt;$D$3,"",IF($FA63&lt;GJ$7,"OD",_xlfn.XLOOKUP(GJ$7,'Maybole Manuf'!$M$6:$BM$6,'Maybole Manuf'!$M$9:$BM$9)))</f>
        <v>320688</v>
      </c>
      <c r="GK64" s="211">
        <f>IF(GK$7&gt;$D$3,"",IF($FA63&lt;GK$7,"OD",_xlfn.XLOOKUP(GK$7,'Maybole Manuf'!$M$6:$BM$6,'Maybole Manuf'!$M$9:$BM$9)))</f>
        <v>156284</v>
      </c>
      <c r="GL64" s="211">
        <f>IF(GL$7&gt;$D$3,"",IF($FA63&lt;GL$7,"OD",_xlfn.XLOOKUP(GL$7,'Maybole Manuf'!$M$6:$BM$6,'Maybole Manuf'!$M$9:$BM$9)))</f>
        <v>173457</v>
      </c>
      <c r="GM64" s="211">
        <f>IF(GM$7&gt;$D$3,"",IF($FA63&lt;GM$7,"OD",_xlfn.XLOOKUP(GM$7,'Maybole Manuf'!$M$6:$BM$6,'Maybole Manuf'!$M$9:$BM$9)))</f>
        <v>176645</v>
      </c>
      <c r="GN64" s="211">
        <f>IF(GN$7&gt;$D$3,"",IF($FA63&lt;GN$7,"OD",_xlfn.XLOOKUP(GN$7,'Maybole Manuf'!$M$6:$BM$6,'Maybole Manuf'!$M$9:$BM$9)))</f>
        <v>150000</v>
      </c>
      <c r="GO64" s="211">
        <f>IF(GO$7&gt;$D$3,"",IF($FA63&lt;GO$7,"OD",_xlfn.XLOOKUP(GO$7,'Maybole Manuf'!$M$6:$BM$6,'Maybole Manuf'!$M$9:$BM$9)))</f>
        <v>149000</v>
      </c>
      <c r="GP64" s="211">
        <f>IF(GP$7&gt;$D$3,"",IF($FA63&lt;GP$7,"OD",_xlfn.XLOOKUP(GP$7,'Maybole Manuf'!$M$6:$BM$6,'Maybole Manuf'!$M$9:$BM$9)))</f>
        <v>188037</v>
      </c>
      <c r="GQ64" s="211">
        <f>IF(GQ$7&gt;$D$3,"",IF($FA63&lt;GQ$7,"OD",_xlfn.XLOOKUP(GQ$7,'Maybole Manuf'!$M$6:$BM$6,'Maybole Manuf'!$M$9:$BM$9)))</f>
        <v>123000</v>
      </c>
      <c r="GR64" s="211">
        <f>IF(GR$7&gt;$D$3,"",IF($FA63&lt;GR$7,"OD",_xlfn.XLOOKUP(GR$7,'Maybole Manuf'!$M$6:$BM$6,'Maybole Manuf'!$M$9:$BM$9)))</f>
        <v>147000</v>
      </c>
      <c r="GS64" s="211" t="str">
        <f>IF(GS$7&gt;$D$3,"",IF($FA63&lt;GS$7,"OD",_xlfn.XLOOKUP(GS$7,'Maybole Manuf'!$M$6:$BM$6,'Maybole Manuf'!$M$9:$BM$9)))</f>
        <v/>
      </c>
      <c r="GT64" s="211" t="str">
        <f>IF(GT$7&gt;$D$3,"",IF($FA63&lt;GT$7,"OD",_xlfn.XLOOKUP(GT$7,'Maybole Manuf'!$M$6:$BM$6,'Maybole Manuf'!$M$9:$BM$9)))</f>
        <v/>
      </c>
      <c r="GU64" s="211" t="str">
        <f>IF(GU$7&gt;$D$3,"",IF($FA63&lt;GU$7,"OD",_xlfn.XLOOKUP(GU$7,'Maybole Manuf'!$M$6:$BM$6,'Maybole Manuf'!$M$9:$BM$9)))</f>
        <v/>
      </c>
      <c r="GV64" s="211" t="str">
        <f>IF(GV$7&gt;$D$3,"",IF($FA63&lt;GV$7,"OD",_xlfn.XLOOKUP(GV$7,'Maybole Manuf'!$M$6:$BM$6,'Maybole Manuf'!$M$9:$BM$9)))</f>
        <v/>
      </c>
      <c r="GW64" s="211" t="str">
        <f>IF(GW$7&gt;$D$3,"",IF($FA63&lt;GW$7,"OD",_xlfn.XLOOKUP(GW$7,'Maybole Manuf'!$M$6:$BM$6,'Maybole Manuf'!$M$9:$BM$9)))</f>
        <v/>
      </c>
      <c r="GX64" s="211" t="str">
        <f>IF(GX$7&gt;$D$3,"",IF($FA63&lt;GX$7,"OD",_xlfn.XLOOKUP(GX$7,'Maybole Manuf'!$M$6:$BM$6,'Maybole Manuf'!$M$9:$BM$9)))</f>
        <v/>
      </c>
      <c r="GY64" s="211" t="str">
        <f>IF(GY$7&gt;$D$3,"",IF($FA63&lt;GY$7,"OD",_xlfn.XLOOKUP(GY$7,'Maybole Manuf'!$M$6:$BM$6,'Maybole Manuf'!$M$9:$BM$9)))</f>
        <v/>
      </c>
      <c r="GZ64" s="211" t="str">
        <f>IF(GZ$7&gt;$D$3,"",IF($FA63&lt;GZ$7,"OD",_xlfn.XLOOKUP(GZ$7,'Maybole Manuf'!$M$6:$BM$6,'Maybole Manuf'!$M$9:$BM$9)))</f>
        <v/>
      </c>
      <c r="HA64" s="211" t="str">
        <f>IF(HA$7&gt;$D$3,"",IF($FA63&lt;HA$7,"OD",_xlfn.XLOOKUP(HA$7,'Maybole Manuf'!$M$6:$BM$6,'Maybole Manuf'!$M$9:$BM$9)))</f>
        <v/>
      </c>
      <c r="HB64" s="211" t="str">
        <f>IF(HB$7&gt;$D$3,"",IF($FA63&lt;HB$7,"OD",_xlfn.XLOOKUP(HB$7,'Maybole Manuf'!$M$6:$BM$6,'Maybole Manuf'!$M$9:$BM$9)))</f>
        <v/>
      </c>
      <c r="HC64" s="211" t="str">
        <f>IF(HC$7&gt;$D$3,"",IF($FA63&lt;HC$7,"OD",_xlfn.XLOOKUP(HC$7,'Maybole Manuf'!$M$6:$BM$6,'Maybole Manuf'!$M$9:$BM$9)))</f>
        <v/>
      </c>
      <c r="HE64" s="133" t="str">
        <f>+$C64</f>
        <v>KPI P1</v>
      </c>
      <c r="HF64" s="142" t="str">
        <f>+$D64</f>
        <v>Productivity</v>
      </c>
      <c r="HG64" s="142" t="str">
        <f>+$E64</f>
        <v>Production Value</v>
      </c>
      <c r="HH64" s="143" t="str">
        <f>+$F64</f>
        <v>£'s</v>
      </c>
      <c r="HI64" s="143" t="s">
        <v>44</v>
      </c>
      <c r="HJ64" s="211" t="str">
        <f>IF(HJ$7&gt;$D$3,"",IF($FA63&lt;HJ$7,"OD",_xlfn.XLOOKUP(HJ$7,'Maybole Manuf'!$M$6:$BM$6,'Maybole Manuf'!$M$8:$BM$8)))</f>
        <v>Blank</v>
      </c>
      <c r="HK64" s="211" t="str">
        <f>IF(HK$7&gt;$D$3,"",IF($FA63&lt;HK$7,"OD",_xlfn.XLOOKUP(HK$7,'Maybole Manuf'!$M$6:$BM$6,'Maybole Manuf'!$M$8:$BM$8)))</f>
        <v>TBC</v>
      </c>
      <c r="HL64" s="211" t="str">
        <f>IF(HL$7&gt;$D$3,"",IF($FA63&lt;HL$7,"OD",_xlfn.XLOOKUP(HL$7,'Maybole Manuf'!$M$6:$BM$6,'Maybole Manuf'!$M$8:$BM$8)))</f>
        <v>TBC</v>
      </c>
      <c r="HM64" s="211" t="str">
        <f>IF(HM$7&gt;$D$3,"",IF($FA63&lt;HM$7,"OD",_xlfn.XLOOKUP(HM$7,'Maybole Manuf'!$M$6:$BM$6,'Maybole Manuf'!$M$8:$BM$8)))</f>
        <v>TBC</v>
      </c>
      <c r="HN64" s="211" t="str">
        <f>IF(HN$7&gt;$D$3,"",IF($FA63&lt;HN$7,"OD",_xlfn.XLOOKUP(HN$7,'Maybole Manuf'!$M$6:$BM$6,'Maybole Manuf'!$M$8:$BM$8)))</f>
        <v>TBC</v>
      </c>
      <c r="HO64" s="211" t="str">
        <f>IF(HO$7&gt;$D$3,"",IF($FA63&lt;HO$7,"OD",_xlfn.XLOOKUP(HO$7,'Maybole Manuf'!$M$6:$BM$6,'Maybole Manuf'!$M$8:$BM$8)))</f>
        <v>TBC</v>
      </c>
      <c r="HP64" s="211" t="str">
        <f>IF(HP$7&gt;$D$3,"",IF($FA63&lt;HP$7,"OD",_xlfn.XLOOKUP(HP$7,'Maybole Manuf'!$M$6:$BM$6,'Maybole Manuf'!$M$8:$BM$8)))</f>
        <v>TBC</v>
      </c>
      <c r="HQ64" s="211" t="str">
        <f>IF(HQ$7&gt;$D$3,"",IF($FA63&lt;HQ$7,"OD",_xlfn.XLOOKUP(HQ$7,'Maybole Manuf'!$M$6:$BM$6,'Maybole Manuf'!$M$8:$BM$8)))</f>
        <v>TBC</v>
      </c>
      <c r="HR64" s="211" t="str">
        <f>IF(HR$7&gt;$D$3,"",IF($FA63&lt;HR$7,"OD",_xlfn.XLOOKUP(HR$7,'Maybole Manuf'!$M$6:$BM$6,'Maybole Manuf'!$M$8:$BM$8)))</f>
        <v>TBC</v>
      </c>
      <c r="HS64" s="211" t="str">
        <f>IF(HS$7&gt;$D$3,"",IF($FA63&lt;HS$7,"OD",_xlfn.XLOOKUP(HS$7,'Maybole Manuf'!$M$6:$BM$6,'Maybole Manuf'!$M$8:$BM$8)))</f>
        <v>TBC</v>
      </c>
      <c r="HT64" s="211" t="str">
        <f>IF(HT$7&gt;$D$3,"",IF($FA63&lt;HT$7,"OD",_xlfn.XLOOKUP(HT$7,'Maybole Manuf'!$M$6:$BM$6,'Maybole Manuf'!$M$8:$BM$8)))</f>
        <v>TBC</v>
      </c>
      <c r="HU64" s="211" t="str">
        <f>IF(HU$7&gt;$D$3,"",IF($FA63&lt;HU$7,"OD",_xlfn.XLOOKUP(HU$7,'Maybole Manuf'!$M$6:$BM$6,'Maybole Manuf'!$M$8:$BM$8)))</f>
        <v>TBC</v>
      </c>
      <c r="HV64" s="211" t="str">
        <f>IF(HV$7&gt;$D$3,"",IF($FA63&lt;HV$7,"OD",_xlfn.XLOOKUP(HV$7,'Maybole Manuf'!$M$6:$BM$6,'Maybole Manuf'!$M$8:$BM$8)))</f>
        <v>TBC</v>
      </c>
      <c r="HW64" s="211">
        <f>IF(HW$7&gt;$D$3,"",IF($FA63&lt;HW$7,"OD",_xlfn.XLOOKUP(HW$7,'Maybole Manuf'!$M$6:$BM$6,'Maybole Manuf'!$M$8:$BM$8)))</f>
        <v>174500</v>
      </c>
      <c r="HX64" s="211">
        <f>IF(HX$7&gt;$D$3,"",IF($FA63&lt;HX$7,"OD",_xlfn.XLOOKUP(HX$7,'Maybole Manuf'!$M$6:$BM$6,'Maybole Manuf'!$M$8:$BM$8)))</f>
        <v>174500</v>
      </c>
      <c r="HY64" s="211">
        <f>IF(HY$7&gt;$D$3,"",IF($FA63&lt;HY$7,"OD",_xlfn.XLOOKUP(HY$7,'Maybole Manuf'!$M$6:$BM$6,'Maybole Manuf'!$M$8:$BM$8)))</f>
        <v>139660</v>
      </c>
      <c r="HZ64" s="211">
        <f>IF(HZ$7&gt;$D$3,"",IF($FA63&lt;HZ$7,"OD",_xlfn.XLOOKUP(HZ$7,'Maybole Manuf'!$M$6:$BM$6,'Maybole Manuf'!$M$8:$BM$8)))</f>
        <v>139660</v>
      </c>
      <c r="IA64" s="211">
        <f>IF(IA$7&gt;$D$3,"",IF($FA63&lt;IA$7,"OD",_xlfn.XLOOKUP(IA$7,'Maybole Manuf'!$M$6:$BM$6,'Maybole Manuf'!$M$8:$BM$8)))</f>
        <v>183815</v>
      </c>
      <c r="IB64" s="211">
        <f>IF(IB$7&gt;$D$3,"",IF($FA63&lt;IB$7,"OD",_xlfn.XLOOKUP(IB$7,'Maybole Manuf'!$M$6:$BM$6,'Maybole Manuf'!$M$8:$BM$8)))</f>
        <v>158535</v>
      </c>
      <c r="IC64" s="211">
        <f>IF(IC$7&gt;$D$3,"",IF($FA63&lt;IC$7,"OD",_xlfn.XLOOKUP(IC$7,'Maybole Manuf'!$M$6:$BM$6,'Maybole Manuf'!$M$8:$BM$8)))</f>
        <v>197675</v>
      </c>
      <c r="ID64" s="211">
        <f>IF(ID$7&gt;$D$3,"",IF($FA63&lt;ID$7,"OD",_xlfn.XLOOKUP(ID$7,'Maybole Manuf'!$M$6:$BM$6,'Maybole Manuf'!$M$8:$BM$8)))</f>
        <v>197675</v>
      </c>
      <c r="IE64" s="211">
        <f>IF(IE$7&gt;$D$3,"",IF($FA63&lt;IE$7,"OD",_xlfn.XLOOKUP(IE$7,'Maybole Manuf'!$M$6:$BM$6,'Maybole Manuf'!$M$8:$BM$8)))</f>
        <v>158140</v>
      </c>
      <c r="IF64" s="211">
        <f>IF(IF$7&gt;$D$3,"",IF($FA63&lt;IF$7,"OD",_xlfn.XLOOKUP(IF$7,'Maybole Manuf'!$M$6:$BM$6,'Maybole Manuf'!$M$8:$BM$8)))</f>
        <v>195238</v>
      </c>
      <c r="IG64" s="211">
        <f>IF(IG$7&gt;$D$3,"",IF($FA63&lt;IG$7,"OD",_xlfn.XLOOKUP(IG$7,'Maybole Manuf'!$M$6:$BM$6,'Maybole Manuf'!$M$8:$BM$8)))</f>
        <v>195238</v>
      </c>
      <c r="IH64" s="211">
        <f>IF(IH$7&gt;$D$3,"",IF($FA63&lt;IH$7,"OD",_xlfn.XLOOKUP(IH$7,'Maybole Manuf'!$M$6:$BM$6,'Maybole Manuf'!$M$8:$BM$8)))</f>
        <v>195238</v>
      </c>
      <c r="II64" s="211">
        <f>IF(II$7&gt;$D$3,"",IF($FA63&lt;II$7,"OD",_xlfn.XLOOKUP(II$7,'Maybole Manuf'!$M$6:$BM$6,'Maybole Manuf'!$M$8:$BM$8)))</f>
        <v>195238</v>
      </c>
      <c r="IJ64" s="211">
        <f>IF(IJ$7&gt;$D$3,"",IF($FA63&lt;IJ$7,"OD",_xlfn.XLOOKUP(IJ$7,'Maybole Manuf'!$M$6:$BM$6,'Maybole Manuf'!$M$8:$BM$8)))</f>
        <v>193483</v>
      </c>
      <c r="IK64" s="211">
        <f>IF(IK$7&gt;$D$3,"",IF($FA63&lt;IK$7,"OD",_xlfn.XLOOKUP(IK$7,'Maybole Manuf'!$M$6:$BM$6,'Maybole Manuf'!$M$8:$BM$8)))</f>
        <v>193083</v>
      </c>
      <c r="IL64" s="211">
        <f>IF(IL$7&gt;$D$3,"",IF($FA63&lt;IL$7,"OD",_xlfn.XLOOKUP(IL$7,'Maybole Manuf'!$M$6:$BM$6,'Maybole Manuf'!$M$8:$BM$8)))</f>
        <v>193083</v>
      </c>
      <c r="IM64" s="211">
        <f>IF(IM$7&gt;$D$3,"",IF($FA63&lt;IM$7,"OD",_xlfn.XLOOKUP(IM$7,'Maybole Manuf'!$M$6:$BM$6,'Maybole Manuf'!$M$8:$BM$8)))</f>
        <v>193083</v>
      </c>
      <c r="IN64" s="211">
        <f>IF(IN$7&gt;$D$3,"",IF($FA63&lt;IN$7,"OD",_xlfn.XLOOKUP(IN$7,'Maybole Manuf'!$M$6:$BM$6,'Maybole Manuf'!$M$8:$BM$8)))</f>
        <v>193083</v>
      </c>
      <c r="IO64" s="211">
        <f>IF(IO$7&gt;$D$3,"",IF($FA63&lt;IO$7,"OD",_xlfn.XLOOKUP(IO$7,'Maybole Manuf'!$M$6:$BM$6,'Maybole Manuf'!$M$8:$BM$8)))</f>
        <v>162780</v>
      </c>
      <c r="IP64" s="211">
        <f>IF(IP$7&gt;$D$3,"",IF($FA63&lt;IP$7,"OD",_xlfn.XLOOKUP(IP$7,'Maybole Manuf'!$M$6:$BM$6,'Maybole Manuf'!$M$8:$BM$8)))</f>
        <v>203000</v>
      </c>
      <c r="IQ64" s="211">
        <f>IF(IQ$7&gt;$D$3,"",IF($FA63&lt;IQ$7,"OD",_xlfn.XLOOKUP(IQ$7,'Maybole Manuf'!$M$6:$BM$6,'Maybole Manuf'!$M$8:$BM$8)))</f>
        <v>203000</v>
      </c>
      <c r="IR64" s="211">
        <f>IF(IR$7&gt;$D$3,"",IF($FA63&lt;IR$7,"OD",_xlfn.XLOOKUP(IR$7,'Maybole Manuf'!$M$6:$BM$6,'Maybole Manuf'!$M$8:$BM$8)))</f>
        <v>162780</v>
      </c>
      <c r="IS64" s="211">
        <f>IF(IS$7&gt;$D$3,"",IF($FA63&lt;IS$7,"OD",_xlfn.XLOOKUP(IS$7,'Maybole Manuf'!$M$6:$BM$6,'Maybole Manuf'!$M$8:$BM$8)))</f>
        <v>188975</v>
      </c>
      <c r="IT64" s="211">
        <f>IF(IT$7&gt;$D$3,"",IF($FA63&lt;IT$7,"OD",_xlfn.XLOOKUP(IT$7,'Maybole Manuf'!$M$6:$BM$6,'Maybole Manuf'!$M$8:$BM$8)))</f>
        <v>188975</v>
      </c>
      <c r="IU64" s="211">
        <f>IF(IU$7&gt;$D$3,"",IF($FA63&lt;IU$7,"OD",_xlfn.XLOOKUP(IU$7,'Maybole Manuf'!$M$6:$BM$6,'Maybole Manuf'!$M$8:$BM$8)))</f>
        <v>188975</v>
      </c>
      <c r="IV64" s="211">
        <f>IF(IV$7&gt;$D$3,"",IF($FA63&lt;IV$7,"OD",_xlfn.XLOOKUP(IV$7,'Maybole Manuf'!$M$6:$BM$6,'Maybole Manuf'!$M$8:$BM$8)))</f>
        <v>188975</v>
      </c>
      <c r="IW64" s="211">
        <f>IF(IW$7&gt;$D$3,"",IF($FA63&lt;IW$7,"OD",_xlfn.XLOOKUP(IW$7,'Maybole Manuf'!$M$6:$BM$6,'Maybole Manuf'!$M$8:$BM$8)))</f>
        <v>185077</v>
      </c>
      <c r="IX64" s="211">
        <f>IF(IX$7&gt;$D$3,"",IF($FA63&lt;IX$7,"OD",_xlfn.XLOOKUP(IX$7,'Maybole Manuf'!$M$6:$BM$6,'Maybole Manuf'!$M$8:$BM$8)))</f>
        <v>182478</v>
      </c>
      <c r="IY64" s="211">
        <f>IF(IY$7&gt;$D$3,"",IF($FA63&lt;IY$7,"OD",_xlfn.XLOOKUP(IY$7,'Maybole Manuf'!$M$6:$BM$6,'Maybole Manuf'!$M$8:$BM$8)))</f>
        <v>182478</v>
      </c>
      <c r="IZ64" s="211" t="str">
        <f>IF(IZ$7&gt;$D$3,"",IF($FA63&lt;IZ$7,"OD",_xlfn.XLOOKUP(IZ$7,'Maybole Manuf'!$M$6:$BM$6,'Maybole Manuf'!$M$8:$BM$8)))</f>
        <v/>
      </c>
      <c r="JA64" s="211" t="str">
        <f>IF(JA$7&gt;$D$3,"",IF($FA63&lt;JA$7,"OD",_xlfn.XLOOKUP(JA$7,'Maybole Manuf'!$M$6:$BM$6,'Maybole Manuf'!$M$8:$BM$8)))</f>
        <v/>
      </c>
      <c r="JB64" s="211" t="str">
        <f>IF(JB$7&gt;$D$3,"",IF($FA63&lt;JB$7,"OD",_xlfn.XLOOKUP(JB$7,'Maybole Manuf'!$M$6:$BM$6,'Maybole Manuf'!$M$8:$BM$8)))</f>
        <v/>
      </c>
      <c r="JC64" s="211" t="str">
        <f>IF(JC$7&gt;$D$3,"",IF($FA63&lt;JC$7,"OD",_xlfn.XLOOKUP(JC$7,'Maybole Manuf'!$M$6:$BM$6,'Maybole Manuf'!$M$8:$BM$8)))</f>
        <v/>
      </c>
      <c r="JD64" s="211" t="str">
        <f>IF(JD$7&gt;$D$3,"",IF($FA63&lt;JD$7,"OD",_xlfn.XLOOKUP(JD$7,'Maybole Manuf'!$M$6:$BM$6,'Maybole Manuf'!$M$8:$BM$8)))</f>
        <v/>
      </c>
      <c r="JE64" s="211" t="str">
        <f>IF(JE$7&gt;$D$3,"",IF($FA63&lt;JE$7,"OD",_xlfn.XLOOKUP(JE$7,'Maybole Manuf'!$M$6:$BM$6,'Maybole Manuf'!$M$8:$BM$8)))</f>
        <v/>
      </c>
      <c r="JF64" s="211" t="str">
        <f>IF(JF$7&gt;$D$3,"",IF($FA63&lt;JF$7,"OD",_xlfn.XLOOKUP(JF$7,'Maybole Manuf'!$M$6:$BM$6,'Maybole Manuf'!$M$8:$BM$8)))</f>
        <v/>
      </c>
      <c r="JG64" s="211" t="str">
        <f>IF(JG$7&gt;$D$3,"",IF($FA63&lt;JG$7,"OD",_xlfn.XLOOKUP(JG$7,'Maybole Manuf'!$M$6:$BM$6,'Maybole Manuf'!$M$8:$BM$8)))</f>
        <v/>
      </c>
      <c r="JH64" s="211" t="str">
        <f>IF(JH$7&gt;$D$3,"",IF($FA63&lt;JH$7,"OD",_xlfn.XLOOKUP(JH$7,'Maybole Manuf'!$M$6:$BM$6,'Maybole Manuf'!$M$8:$BM$8)))</f>
        <v/>
      </c>
      <c r="JI64" s="211" t="str">
        <f>IF(JI$7&gt;$D$3,"",IF($FA63&lt;JI$7,"OD",_xlfn.XLOOKUP(JI$7,'Maybole Manuf'!$M$6:$BM$6,'Maybole Manuf'!$M$8:$BM$8)))</f>
        <v/>
      </c>
      <c r="JJ64" s="211" t="str">
        <f>IF(JJ$7&gt;$D$3,"",IF($FA63&lt;JJ$7,"OD",_xlfn.XLOOKUP(JJ$7,'Maybole Manuf'!$M$6:$BM$6,'Maybole Manuf'!$M$8:$BM$8)))</f>
        <v/>
      </c>
      <c r="JM64" s="133" t="str">
        <f>+$C64</f>
        <v>KPI P1</v>
      </c>
      <c r="JN64" s="142" t="str">
        <f>+$D64</f>
        <v>Productivity</v>
      </c>
      <c r="JO64" s="142" t="str">
        <f>+$E64</f>
        <v>Production Value</v>
      </c>
      <c r="JP64" s="143" t="str">
        <f>+$F64</f>
        <v>£'s</v>
      </c>
      <c r="JQ64" s="143" t="s">
        <v>284</v>
      </c>
      <c r="JR64" s="225" t="str">
        <f>IFERROR(AVERAGE(FC64:$FC64),"")</f>
        <v/>
      </c>
      <c r="JS64" s="225" t="str">
        <f>IFERROR(AVERAGE($FC64:FD64),"")</f>
        <v/>
      </c>
      <c r="JT64" s="225" t="str">
        <f>IFERROR(AVERAGE($FC64:FE64),"")</f>
        <v/>
      </c>
      <c r="JU64" s="225" t="str">
        <f>IFERROR(AVERAGE($FC64:FF64),"")</f>
        <v/>
      </c>
      <c r="JV64" s="225" t="str">
        <f>IFERROR(AVERAGE($FC64:FG64),"")</f>
        <v/>
      </c>
      <c r="JW64" s="225" t="str">
        <f>IFERROR(AVERAGE($FC64:FH64),"")</f>
        <v/>
      </c>
      <c r="JX64" s="225" t="str">
        <f>IFERROR(AVERAGE($FC64:FI64),"")</f>
        <v/>
      </c>
      <c r="JY64" s="225" t="str">
        <f>IFERROR(AVERAGE($FC64:FJ64),"")</f>
        <v/>
      </c>
      <c r="JZ64" s="225" t="str">
        <f>IFERROR(AVERAGE($FC64:FK64),"")</f>
        <v/>
      </c>
      <c r="KA64" s="225" t="str">
        <f>IFERROR(AVERAGE($FC64:FL64),"")</f>
        <v/>
      </c>
      <c r="KB64" s="225" t="str">
        <f>IFERROR(AVERAGE($FC64:FM64),"")</f>
        <v/>
      </c>
      <c r="KC64" s="225" t="str">
        <f>IFERROR(AVERAGE($FC64:FN64),"")</f>
        <v/>
      </c>
      <c r="KD64" s="225" t="str">
        <f>IFERROR(AVERAGE($FC64:FO64),"")</f>
        <v/>
      </c>
      <c r="KE64" s="225">
        <f>IFERROR(AVERAGE($FC64:FP64),"")</f>
        <v>130000</v>
      </c>
      <c r="KF64" s="225">
        <f>IFERROR(AVERAGE($FC64:FQ64),"")</f>
        <v>141500</v>
      </c>
      <c r="KG64" s="225">
        <f>IFERROR(AVERAGE($FC64:FR64),"")</f>
        <v>146994.66666666666</v>
      </c>
      <c r="KH64" s="225">
        <f>IFERROR(AVERAGE($FC64:FS64),"")</f>
        <v>144611.25</v>
      </c>
      <c r="KI64" s="225">
        <f>IFERROR(AVERAGE($FC64:FT64),"")</f>
        <v>158356.20000000001</v>
      </c>
      <c r="KJ64" s="225">
        <f>IFERROR(AVERAGE($FC64:FU64),"")</f>
        <v>157082.16666666666</v>
      </c>
      <c r="KK64" s="225">
        <f>IFERROR(AVERAGE($FC64:FV64),"")</f>
        <v>153560.71428571429</v>
      </c>
      <c r="KL64" s="225">
        <f>IFERROR(AVERAGE($FC64:FW64),"")</f>
        <v>158839.75</v>
      </c>
      <c r="KM64" s="225">
        <f>IFERROR(AVERAGE($FC64:FX64),"")</f>
        <v>158989.44444444444</v>
      </c>
      <c r="KN64" s="225">
        <f>IFERROR(AVERAGE($FC64:FY64),"")</f>
        <v>156273</v>
      </c>
      <c r="KO64" s="225">
        <f>IFERROR(AVERAGE($FC64:FZ64),"")</f>
        <v>157741.09090909091</v>
      </c>
      <c r="KP64" s="225">
        <f>IFERROR(AVERAGE($FC64:GA64),"")</f>
        <v>157130.66666666666</v>
      </c>
      <c r="KQ64" s="225">
        <f>IFERROR(AVERAGE($FC64:GB64),"")</f>
        <v>161053.84615384616</v>
      </c>
      <c r="KR64" s="225">
        <f>IFERROR(AVERAGE($FC64:GC64),"")</f>
        <v>160295.57142857142</v>
      </c>
      <c r="KS64" s="225">
        <f>IFERROR(AVERAGE($FC64:GD64),"")</f>
        <v>163166.53333333333</v>
      </c>
      <c r="KT64" s="225">
        <f>IFERROR(AVERAGE($FC64:GE64),"")</f>
        <v>161567.375</v>
      </c>
      <c r="KU64" s="225">
        <f>IFERROR(AVERAGE($FC64:GF64),"")</f>
        <v>163867.4705882353</v>
      </c>
      <c r="KV64" s="225">
        <f>IFERROR(AVERAGE($FC64:GG64),"")</f>
        <v>162541.5</v>
      </c>
      <c r="KW64" s="225">
        <f>IFERROR(AVERAGE($FC64:GH64),"")</f>
        <v>160245.52631578947</v>
      </c>
      <c r="KX64" s="225">
        <f>IFERROR(AVERAGE($FC64:GI64),"")</f>
        <v>159633.25</v>
      </c>
      <c r="KY64" s="225">
        <f>IFERROR(AVERAGE($FC64:GJ64),"")</f>
        <v>167302.52380952382</v>
      </c>
      <c r="KZ64" s="225">
        <f>IFERROR(AVERAGE($FC64:GK64),"")</f>
        <v>166801.68181818182</v>
      </c>
      <c r="LA64" s="225">
        <f>IFERROR(AVERAGE($FC64:GL64),"")</f>
        <v>167091.04347826086</v>
      </c>
      <c r="LB64" s="225">
        <f>IFERROR(AVERAGE($FC64:GM64),"")</f>
        <v>167489.125</v>
      </c>
      <c r="LC64" s="225">
        <f>IFERROR(AVERAGE($FC64:GN64),"")</f>
        <v>166789.56</v>
      </c>
      <c r="LD64" s="225">
        <f>IFERROR(AVERAGE($FC64:GO64),"")</f>
        <v>166105.34615384616</v>
      </c>
      <c r="LE64" s="225">
        <f>IFERROR(AVERAGE($FC64:GP64),"")</f>
        <v>166917.62962962964</v>
      </c>
      <c r="LF64" s="225">
        <f>IFERROR(AVERAGE($FC64:GQ64),"")</f>
        <v>165349.14285714287</v>
      </c>
      <c r="LG64" s="225">
        <f>IFERROR(AVERAGE($FC64:GR64),"")</f>
        <v>164716.41379310345</v>
      </c>
      <c r="LH64" s="225">
        <f>IFERROR(AVERAGE($FC64:GS64),"")</f>
        <v>164716.41379310345</v>
      </c>
      <c r="LI64" s="225">
        <f>IFERROR(AVERAGE($FC64:GT64),"")</f>
        <v>164716.41379310345</v>
      </c>
      <c r="LJ64" s="225">
        <f>IFERROR(AVERAGE($FC64:GU64),"")</f>
        <v>164716.41379310345</v>
      </c>
      <c r="LK64" s="225">
        <f>IFERROR(AVERAGE($FC64:GV64),"")</f>
        <v>164716.41379310345</v>
      </c>
      <c r="LL64" s="225">
        <f>IFERROR(AVERAGE($FC64:GW64),"")</f>
        <v>164716.41379310345</v>
      </c>
      <c r="LM64" s="225">
        <f>IFERROR(AVERAGE($FC64:GX64),"")</f>
        <v>164716.41379310345</v>
      </c>
      <c r="LN64" s="225">
        <f>IFERROR(AVERAGE($FC64:GY64),"")</f>
        <v>164716.41379310345</v>
      </c>
      <c r="LO64" s="225">
        <f>IFERROR(AVERAGE($FC64:GZ64),"")</f>
        <v>164716.41379310345</v>
      </c>
      <c r="LP64" s="225">
        <f>IFERROR(AVERAGE($FC64:HA64),"")</f>
        <v>164716.41379310345</v>
      </c>
      <c r="LQ64" s="225">
        <f>IFERROR(AVERAGE($FC64:HB64),"")</f>
        <v>164716.41379310345</v>
      </c>
      <c r="LR64" s="225">
        <f>IFERROR(AVERAGE($FC64:HC64),"")</f>
        <v>164716.41379310345</v>
      </c>
      <c r="LT64" s="133" t="str">
        <f>+$C64</f>
        <v>KPI P1</v>
      </c>
      <c r="LU64" s="142" t="str">
        <f>+$D64</f>
        <v>Productivity</v>
      </c>
      <c r="LV64" s="142" t="str">
        <f>+$E64</f>
        <v>Production Value</v>
      </c>
      <c r="LW64" s="143" t="str">
        <f>+$F64</f>
        <v>£'s</v>
      </c>
      <c r="LX64" s="143" t="s">
        <v>285</v>
      </c>
      <c r="LY64" s="225" t="str">
        <f>IFERROR(AVERAGE($HJ64:HJ64),"")</f>
        <v/>
      </c>
      <c r="LZ64" s="225" t="str">
        <f>IFERROR(IF(LAD$7&gt;$D$3,"",AVERAGE($HJ64:HK64)),"")</f>
        <v/>
      </c>
      <c r="MA64" s="225" t="str">
        <f>IFERROR(IF(MA$7&gt;$D$3,"",AVERAGE($HJ64:HL64)),"")</f>
        <v/>
      </c>
      <c r="MB64" s="225" t="str">
        <f>IFERROR(IF(MB$7&gt;$D$3,"",AVERAGE($HJ64:HM64)),"")</f>
        <v/>
      </c>
      <c r="MC64" s="225" t="str">
        <f>IFERROR(IF(MC$7&gt;$D$3,"",AVERAGE($HJ64:HN64)),"")</f>
        <v/>
      </c>
      <c r="MD64" s="225" t="str">
        <f>IFERROR(IF(MD$7&gt;$D$3,"",AVERAGE($HJ64:HO64)),"")</f>
        <v/>
      </c>
      <c r="ME64" s="225" t="str">
        <f>IFERROR(IF(ME$7&gt;$D$3,"",AVERAGE($HJ64:HP64)),"")</f>
        <v/>
      </c>
      <c r="MF64" s="225" t="str">
        <f>IFERROR(IF(MF$7&gt;$D$3,"",AVERAGE($HJ64:HQ64)),"")</f>
        <v/>
      </c>
      <c r="MG64" s="225" t="str">
        <f>IFERROR(IF(MG$7&gt;$D$3,"",AVERAGE($HJ64:HR64)),"")</f>
        <v/>
      </c>
      <c r="MH64" s="225" t="str">
        <f>IFERROR(IF(MH$7&gt;$D$3,"",AVERAGE($HJ64:HS64)),"")</f>
        <v/>
      </c>
      <c r="MI64" s="225" t="str">
        <f>IFERROR(IF(MI$7&gt;$D$3,"",AVERAGE($HJ64:HT64)),"")</f>
        <v/>
      </c>
      <c r="MJ64" s="225" t="str">
        <f>IFERROR(IF(MJ$7&gt;$D$3,"",AVERAGE($HJ64:HU64)),"")</f>
        <v/>
      </c>
      <c r="MK64" s="225" t="str">
        <f>IFERROR(IF(MK$7&gt;$D$3,"",AVERAGE($HJ64:HV64)),"")</f>
        <v/>
      </c>
      <c r="ML64" s="225">
        <f>IFERROR(IF(ML$7&gt;$D$3,"",AVERAGE($HJ64:HW64)),"")</f>
        <v>174500</v>
      </c>
      <c r="MM64" s="225">
        <f>IFERROR(IF(MM$7&gt;$D$3,"",AVERAGE($HJ64:HX64)),"")</f>
        <v>174500</v>
      </c>
      <c r="MN64" s="225">
        <f>IFERROR(IF(MN$7&gt;$D$3,"",AVERAGE($HJ64:HY64)),"")</f>
        <v>162886.66666666666</v>
      </c>
      <c r="MO64" s="225">
        <f>IFERROR(IF(MO$7&gt;$D$3,"",AVERAGE($HJ64:HZ64)),"")</f>
        <v>157080</v>
      </c>
      <c r="MP64" s="225">
        <f>IFERROR(IF(MP$7&gt;$D$3,"",AVERAGE($HJ64:IA64)),"")</f>
        <v>162427</v>
      </c>
      <c r="MQ64" s="225">
        <f>IFERROR(IF(MQ$7&gt;$D$3,"",AVERAGE($HJ64:IB64)),"")</f>
        <v>161778.33333333334</v>
      </c>
      <c r="MR64" s="225">
        <f>IFERROR(IF(MR$7&gt;$D$3,"",AVERAGE($HJ64:IC64)),"")</f>
        <v>166906.42857142858</v>
      </c>
      <c r="MS64" s="225">
        <f>IFERROR(IF(MS$7&gt;$D$3,"",AVERAGE($HJ64:ID64)),"")</f>
        <v>170752.5</v>
      </c>
      <c r="MT64" s="225">
        <f>IFERROR(IF(MT$7&gt;$D$3,"",AVERAGE($HJ64:IE64)),"")</f>
        <v>169351.11111111112</v>
      </c>
      <c r="MU64" s="225">
        <f>IFERROR(IF(MU$7&gt;$D$3,"",AVERAGE($HJ64:IF64)),"")</f>
        <v>171939.8</v>
      </c>
      <c r="MV64" s="225">
        <f>IFERROR(IF(MV$7&gt;$D$3,"",AVERAGE($HJ64:IG64)),"")</f>
        <v>174057.81818181818</v>
      </c>
      <c r="MW64" s="225">
        <f>IFERROR(IF(MW$7&gt;$D$3,"",AVERAGE($HJ64:IH64)),"")</f>
        <v>175822.83333333334</v>
      </c>
      <c r="MX64" s="225">
        <f>IFERROR(IF(MX$7&gt;$D$3,"",AVERAGE($HJ64:II64)),"")</f>
        <v>177316.30769230769</v>
      </c>
      <c r="MY64" s="225">
        <f>IFERROR(IF(MY$7&gt;$D$3,"",AVERAGE($HJ64:IJ64)),"")</f>
        <v>178471.07142857142</v>
      </c>
      <c r="MZ64" s="225">
        <f>IFERROR(IF(MZ$7&gt;$D$3,"",AVERAGE($HJ64:IK64)),"")</f>
        <v>179445.2</v>
      </c>
      <c r="NA64" s="225">
        <f>IFERROR(IF(NA$7&gt;$D$3,"",AVERAGE($HJ64:IL64)),"")</f>
        <v>180297.5625</v>
      </c>
      <c r="NB64" s="225">
        <f>IFERROR(IF(NB$7&gt;$D$3,"",AVERAGE($HJ64:IM64)),"")</f>
        <v>181049.64705882352</v>
      </c>
      <c r="NC64" s="225">
        <f>IFERROR(IF(NC$7&gt;$D$3,"",AVERAGE($HJ64:IN64)),"")</f>
        <v>181718.16666666666</v>
      </c>
      <c r="ND64" s="225">
        <f>IFERROR(IF(ND$7&gt;$D$3,"",AVERAGE($HJ64:IO64)),"")</f>
        <v>180721.42105263157</v>
      </c>
      <c r="NE64" s="225">
        <f>IFERROR(IF(NE$7&gt;$D$3,"",AVERAGE($HJ64:IP64)),"")</f>
        <v>181835.35</v>
      </c>
      <c r="NF64" s="225">
        <f>IFERROR(IF(NF$7&gt;$D$3,"",AVERAGE($HJ64:IQ64)),"")</f>
        <v>182843.19047619047</v>
      </c>
      <c r="NG64" s="225">
        <f>IFERROR(IF(NG$7&gt;$D$3,"",AVERAGE($HJ64:IR64)),"")</f>
        <v>181931.22727272726</v>
      </c>
      <c r="NH64" s="225">
        <f>IFERROR(IF(NH$7&gt;$D$3,"",AVERAGE($HJ64:IS64)),"")</f>
        <v>182237.47826086957</v>
      </c>
      <c r="NI64" s="225">
        <f>IFERROR(IF(NI$7&gt;$D$3,"",AVERAGE($HJ64:IT64)),"")</f>
        <v>182518.20833333334</v>
      </c>
      <c r="NJ64" s="225">
        <f>IFERROR(IF(NJ$7&gt;$D$3,"",AVERAGE($HJ64:IU64)),"")</f>
        <v>182776.48</v>
      </c>
      <c r="NK64" s="225">
        <f>IFERROR(IF(NK$7&gt;$D$3,"",AVERAGE($HJ64:IV64)),"")</f>
        <v>183014.88461538462</v>
      </c>
      <c r="NL64" s="225">
        <f>IFERROR(IF(NL$7&gt;$D$3,"",AVERAGE($HJ64:IW64)),"")</f>
        <v>183091.25925925927</v>
      </c>
      <c r="NM64" s="225">
        <f>IFERROR(IF(NM$7&gt;$D$3,"",AVERAGE($HJ64:IX64)),"")</f>
        <v>183069.35714285713</v>
      </c>
      <c r="NN64" s="225">
        <f>IFERROR(IF(NN$7&gt;$D$3,"",AVERAGE($HJ64:IY64)),"")</f>
        <v>183048.96551724139</v>
      </c>
      <c r="NO64" s="225" t="str">
        <f>IFERROR(IF(NO$7&gt;$D$3,"",AVERAGE($HJ64:IZ64)),"")</f>
        <v/>
      </c>
      <c r="NP64" s="225" t="str">
        <f>IFERROR(IF(NP$7&gt;$D$3,"",AVERAGE($HJ64:JA64)),"")</f>
        <v/>
      </c>
      <c r="NQ64" s="225" t="str">
        <f>IFERROR(IF(NQ$7&gt;$D$3,"",AVERAGE($HJ64:JB64)),"")</f>
        <v/>
      </c>
      <c r="NR64" s="225" t="str">
        <f>IFERROR(IF(NR$7&gt;$D$3,"",AVERAGE($HJ64:JC64)),"")</f>
        <v/>
      </c>
      <c r="NS64" s="225" t="str">
        <f>IFERROR(IF(NS$7&gt;$D$3,"",AVERAGE($HJ64:JD64)),"")</f>
        <v/>
      </c>
      <c r="NT64" s="225" t="str">
        <f>IFERROR(IF(NT$7&gt;$D$3,"",AVERAGE($HJ64:JE64)),"")</f>
        <v/>
      </c>
      <c r="NU64" s="225" t="str">
        <f>IFERROR(IF(NU$7&gt;$D$3,"",AVERAGE($HJ64:JF64)),"")</f>
        <v/>
      </c>
      <c r="NV64" s="225" t="str">
        <f>IFERROR(IF(NV$7&gt;$D$3,"",AVERAGE($HJ64:JG64)),"")</f>
        <v/>
      </c>
      <c r="NW64" s="225" t="str">
        <f>IFERROR(IF(NW$7&gt;$D$3,"",AVERAGE($HJ64:JH64)),"")</f>
        <v/>
      </c>
      <c r="NX64" s="225" t="str">
        <f>IFERROR(IF(NX$7&gt;$D$3,"",AVERAGE($HJ64:JI64)),"")</f>
        <v/>
      </c>
      <c r="NY64" s="225" t="str">
        <f>IFERROR(IF(NY$7&gt;$D$3,"",AVERAGE($HJ64:JJ64)),"")</f>
        <v/>
      </c>
    </row>
    <row r="65" spans="1:389" x14ac:dyDescent="0.3">
      <c r="A65" t="str">
        <f>$B$63&amp;"-"&amp;C65</f>
        <v>Maybole Manuf-KPI D1</v>
      </c>
      <c r="B65" s="918" t="str">
        <f>+'KPI Stats'!B64</f>
        <v>Scott McMillan</v>
      </c>
      <c r="C65" s="136" t="str">
        <f>+'KPI Stats'!C64</f>
        <v>KPI D1</v>
      </c>
      <c r="D65" s="144" t="str">
        <f>+'KPI Stats'!D64</f>
        <v>Delivery</v>
      </c>
      <c r="E65" s="144" t="str">
        <f>+'KPI Stats'!E64</f>
        <v>Percentage of OTIF that achieved delivery date</v>
      </c>
      <c r="F65" s="145" t="str">
        <f>+'KPI Stats'!F64</f>
        <v>Percentage</v>
      </c>
      <c r="G65" s="169" t="str">
        <f>+'KPI Stats'!G64</f>
        <v>Under</v>
      </c>
      <c r="J65" s="69" t="str">
        <f>_xlfn.XLOOKUP(J$7,$AM$7:$CM$7,$AM65:$CM65,,FALSE)</f>
        <v>A</v>
      </c>
      <c r="K65" s="264">
        <f>_xlfn.XLOOKUP(K$7,$FC$7:$HC$7,$FC65:$HC65,,FALSE)</f>
        <v>0.94</v>
      </c>
      <c r="L65" s="278">
        <f>_xlfn.XLOOKUP(L$7,$HJ$7:$JJ$7,$HJ65:$JJ65,,FALSE)</f>
        <v>0.95</v>
      </c>
      <c r="M65" s="275">
        <f>_xlfn.XLOOKUP(M$7,$CU$7:$EU$7,$CU65:$EU65,,FALSE)</f>
        <v>0.98947368421052628</v>
      </c>
      <c r="P65" s="69" t="str">
        <f>_xlfn.XLOOKUP(P$7,$AM$7:$CM$7,$AM65:$CM65,,FALSE)</f>
        <v>A</v>
      </c>
      <c r="Q65" s="264">
        <f t="shared" si="211"/>
        <v>0.94</v>
      </c>
      <c r="R65" s="278">
        <f t="shared" si="211"/>
        <v>0.95</v>
      </c>
      <c r="S65" s="288">
        <f t="shared" si="212"/>
        <v>0.98947368421052628</v>
      </c>
      <c r="T65" s="265">
        <f t="shared" si="212"/>
        <v>1</v>
      </c>
      <c r="U65" s="295" t="str">
        <f>IF(F63&lt;$R$2,"Not Complete",IF(Q65=R65,"Same −",IF($G65="Over",IF(Q65&lt;R65,"Better ↑","Worse ↓"),IF($G65="Under",IF(Q65&gt;R65,"Better ↑","Worse ↓"),"err"))))</f>
        <v>Worse ↓</v>
      </c>
      <c r="X65" s="69" t="str">
        <f t="shared" si="213"/>
        <v>R</v>
      </c>
      <c r="Y65" s="264">
        <f>_xlfn.XLOOKUP(Y$7,$JR$7:$LR$7,$JR65:$LR65,FALSE)</f>
        <v>0.85655172413793101</v>
      </c>
      <c r="Z65" s="278">
        <f>_xlfn.XLOOKUP(Z$7,$LY$7:$NY$7,$LY65:$NY65,FALSE)</f>
        <v>0.94999999999999951</v>
      </c>
      <c r="AA65" s="275">
        <f>IF(G65="under",Y65/Z65,IF(G65="over",Z65/Y65,"err"))</f>
        <v>0.90163339382940155</v>
      </c>
      <c r="AB65" s="295" t="str">
        <f>IF(F63&lt;$R$2,"TBC",IF(Y65=Z65,"Same −",IF($G65="Over",IF(Z65&lt;Y65,"Better ↑ ","Worse ↓ "),IF($G65="Under",IF(Y65&gt;Z65,"Better ↑ ","Worse ↓ "),"err"))))</f>
        <v xml:space="preserve">Worse ↓ </v>
      </c>
      <c r="AC65" s="69" t="str">
        <f>IF(AND(G65="above adero",AD65&gt;0),"R",IF(AF65&gt;1,"G",IF(AF65&gt;0.95,"A","R")))</f>
        <v>R</v>
      </c>
      <c r="AD65" s="114">
        <f>_xlfn.XLOOKUP(AD$7,$JR$7:$LR$7,$JR65:$LR65,FALSE)</f>
        <v>0.85357142857142854</v>
      </c>
      <c r="AE65" s="114">
        <f>_xlfn.XLOOKUP(AE$7,$LY$7:$NY$7,$LY65:$NY65,FALSE)</f>
        <v>0.94999999999999951</v>
      </c>
      <c r="AF65" s="252">
        <f>IF(G65="under",AD65/AE65,IF(G65="over",AE65/AD65,"err"))</f>
        <v>0.89849624060150424</v>
      </c>
      <c r="AH65" s="465" t="str">
        <f>+$A65</f>
        <v>Maybole Manuf-KPI D1</v>
      </c>
      <c r="AI65" s="136" t="str">
        <f t="shared" si="214"/>
        <v>KPI D1</v>
      </c>
      <c r="AJ65" s="144" t="str">
        <f t="shared" si="214"/>
        <v>Delivery</v>
      </c>
      <c r="AK65" s="144" t="str">
        <f t="shared" si="200"/>
        <v>Percentage of OTIF that achieved delivery date</v>
      </c>
      <c r="AL65" s="145" t="str">
        <f t="shared" si="200"/>
        <v>Percentage</v>
      </c>
      <c r="AM65" s="69" t="str">
        <f>IF(AM$7&gt;$D$3,"",_xlfn.XLOOKUP(AM$7,'Maybole Manuf'!$M$6:$BM$6,'Maybole Manuf'!$M$13:$BM$13))</f>
        <v>Blank</v>
      </c>
      <c r="AN65" s="199" t="str">
        <f>IF(AN$7&gt;$D$3,"",_xlfn.XLOOKUP(AN$7,'Maybole Manuf'!$M$6:$BM$6,'Maybole Manuf'!$M$13:$BM$13))</f>
        <v>TBC</v>
      </c>
      <c r="AO65" s="69" t="str">
        <f>IF(AO$7&gt;$D$3,"",_xlfn.XLOOKUP(AO$7,'Maybole Manuf'!$M$6:$BM$6,'Maybole Manuf'!$M$13:$BM$13))</f>
        <v>TBC</v>
      </c>
      <c r="AP65" s="69" t="str">
        <f>IF(AP$7&gt;$D$3,"",_xlfn.XLOOKUP(AP$7,'Maybole Manuf'!$M$6:$BM$6,'Maybole Manuf'!$M$13:$BM$13))</f>
        <v>TBC</v>
      </c>
      <c r="AQ65" s="69" t="str">
        <f>IF(AQ$7&gt;$D$3,"",_xlfn.XLOOKUP(AQ$7,'Maybole Manuf'!$M$6:$BM$6,'Maybole Manuf'!$M$13:$BM$13))</f>
        <v>TBC</v>
      </c>
      <c r="AR65" s="69" t="str">
        <f>IF(AR$7&gt;$D$3,"",_xlfn.XLOOKUP(AR$7,'Maybole Manuf'!$M$6:$BM$6,'Maybole Manuf'!$M$13:$BM$13))</f>
        <v>TBC</v>
      </c>
      <c r="AS65" s="69" t="str">
        <f>IF(AS$7&gt;$D$3,"",_xlfn.XLOOKUP(AS$7,'Maybole Manuf'!$M$6:$BM$6,'Maybole Manuf'!$M$13:$BM$13))</f>
        <v>TBC</v>
      </c>
      <c r="AT65" s="69" t="str">
        <f>IF(AT$7&gt;$D$3,"",_xlfn.XLOOKUP(AT$7,'Maybole Manuf'!$M$6:$BM$6,'Maybole Manuf'!$M$13:$BM$13))</f>
        <v>TBC</v>
      </c>
      <c r="AU65" s="69" t="str">
        <f>IF(AU$7&gt;$D$3,"",_xlfn.XLOOKUP(AU$7,'Maybole Manuf'!$M$6:$BM$6,'Maybole Manuf'!$M$13:$BM$13))</f>
        <v>TBC</v>
      </c>
      <c r="AV65" s="69" t="str">
        <f>IF(AV$7&gt;$D$3,"",_xlfn.XLOOKUP(AV$7,'Maybole Manuf'!$M$6:$BM$6,'Maybole Manuf'!$M$13:$BM$13))</f>
        <v>TBC</v>
      </c>
      <c r="AW65" s="69" t="str">
        <f>IF(AW$7&gt;$D$3,"",_xlfn.XLOOKUP(AW$7,'Maybole Manuf'!$M$6:$BM$6,'Maybole Manuf'!$M$13:$BM$13))</f>
        <v>TBC</v>
      </c>
      <c r="AX65" s="69" t="str">
        <f>IF(AX$7&gt;$D$3,"",_xlfn.XLOOKUP(AX$7,'Maybole Manuf'!$M$6:$BM$6,'Maybole Manuf'!$M$13:$BM$13))</f>
        <v>TBC</v>
      </c>
      <c r="AY65" s="69" t="str">
        <f>IF(AY$7&gt;$D$3,"",_xlfn.XLOOKUP(AY$7,'Maybole Manuf'!$M$6:$BM$6,'Maybole Manuf'!$M$13:$BM$13))</f>
        <v>TBC</v>
      </c>
      <c r="AZ65" s="69" t="str">
        <f>IF(AZ$7&gt;$D$3,"",_xlfn.XLOOKUP(AZ$7,'Maybole Manuf'!$M$6:$BM$6,'Maybole Manuf'!$M$13:$BM$13))</f>
        <v>R</v>
      </c>
      <c r="BA65" s="69" t="str">
        <f>IF(BA$7&gt;$D$3,"",_xlfn.XLOOKUP(BA$7,'Maybole Manuf'!$M$6:$BM$6,'Maybole Manuf'!$M$13:$BM$13))</f>
        <v>A</v>
      </c>
      <c r="BB65" s="69" t="str">
        <f>IF(BB$7&gt;$D$3,"",_xlfn.XLOOKUP(BB$7,'Maybole Manuf'!$M$6:$BM$6,'Maybole Manuf'!$M$13:$BM$13))</f>
        <v>G</v>
      </c>
      <c r="BC65" s="69" t="str">
        <f>IF(BC$7&gt;$D$3,"",_xlfn.XLOOKUP(BC$7,'Maybole Manuf'!$M$6:$BM$6,'Maybole Manuf'!$M$13:$BM$13))</f>
        <v>A</v>
      </c>
      <c r="BD65" s="69" t="str">
        <f>IF(BD$7&gt;$D$3,"",_xlfn.XLOOKUP(BD$7,'Maybole Manuf'!$M$6:$BM$6,'Maybole Manuf'!$M$13:$BM$13))</f>
        <v>R</v>
      </c>
      <c r="BE65" s="69" t="str">
        <f>IF(BE$7&gt;$D$3,"",_xlfn.XLOOKUP(BE$7,'Maybole Manuf'!$M$6:$BM$6,'Maybole Manuf'!$M$13:$BM$13))</f>
        <v>R</v>
      </c>
      <c r="BF65" s="69" t="str">
        <f>IF(BF$7&gt;$D$3,"",_xlfn.XLOOKUP(BF$7,'Maybole Manuf'!$M$6:$BM$6,'Maybole Manuf'!$M$13:$BM$13))</f>
        <v>R</v>
      </c>
      <c r="BG65" s="69" t="str">
        <f>IF(BG$7&gt;$D$3,"",_xlfn.XLOOKUP(BG$7,'Maybole Manuf'!$M$6:$BM$6,'Maybole Manuf'!$M$13:$BM$13))</f>
        <v>R</v>
      </c>
      <c r="BH65" s="69" t="str">
        <f>IF(BH$7&gt;$D$3,"",_xlfn.XLOOKUP(BH$7,'Maybole Manuf'!$M$6:$BM$6,'Maybole Manuf'!$M$13:$BM$13))</f>
        <v>A</v>
      </c>
      <c r="BI65" s="69" t="str">
        <f>IF(BI$7&gt;$D$3,"",_xlfn.XLOOKUP(BI$7,'Maybole Manuf'!$M$6:$BM$6,'Maybole Manuf'!$M$13:$BM$13))</f>
        <v>G</v>
      </c>
      <c r="BJ65" s="69" t="str">
        <f>IF(BJ$7&gt;$D$3,"",_xlfn.XLOOKUP(BJ$7,'Maybole Manuf'!$M$6:$BM$6,'Maybole Manuf'!$M$13:$BM$13))</f>
        <v>G</v>
      </c>
      <c r="BK65" s="69" t="str">
        <f>IF(BK$7&gt;$D$3,"",_xlfn.XLOOKUP(BK$7,'Maybole Manuf'!$M$6:$BM$6,'Maybole Manuf'!$M$13:$BM$13))</f>
        <v>G</v>
      </c>
      <c r="BL65" s="69" t="str">
        <f>IF(BL$7&gt;$D$3,"",_xlfn.XLOOKUP(BL$7,'Maybole Manuf'!$M$6:$BM$6,'Maybole Manuf'!$M$13:$BM$13))</f>
        <v>A</v>
      </c>
      <c r="BM65" s="69" t="str">
        <f>IF(BM$7&gt;$D$3,"",_xlfn.XLOOKUP(BM$7,'Maybole Manuf'!$M$6:$BM$6,'Maybole Manuf'!$M$13:$BM$13))</f>
        <v>A</v>
      </c>
      <c r="BN65" s="69" t="str">
        <f>IF(BN$7&gt;$D$3,"",_xlfn.XLOOKUP(BN$7,'Maybole Manuf'!$M$6:$BM$6,'Maybole Manuf'!$M$13:$BM$13))</f>
        <v>R</v>
      </c>
      <c r="BO65" s="69" t="str">
        <f>IF(BO$7&gt;$D$3,"",_xlfn.XLOOKUP(BO$7,'Maybole Manuf'!$M$6:$BM$6,'Maybole Manuf'!$M$13:$BM$13))</f>
        <v>R</v>
      </c>
      <c r="BP65" s="69" t="str">
        <f>IF(BP$7&gt;$D$3,"",_xlfn.XLOOKUP(BP$7,'Maybole Manuf'!$M$6:$BM$6,'Maybole Manuf'!$M$13:$BM$13))</f>
        <v>R</v>
      </c>
      <c r="BQ65" s="69" t="str">
        <f>IF(BQ$7&gt;$D$3,"",_xlfn.XLOOKUP(BQ$7,'Maybole Manuf'!$M$6:$BM$6,'Maybole Manuf'!$M$13:$BM$13))</f>
        <v>A</v>
      </c>
      <c r="BR65" s="69" t="str">
        <f>IF(BR$7&gt;$D$3,"",_xlfn.XLOOKUP(BR$7,'Maybole Manuf'!$M$6:$BM$6,'Maybole Manuf'!$M$13:$BM$13))</f>
        <v>R</v>
      </c>
      <c r="BS65" s="69" t="str">
        <f>IF(BS$7&gt;$D$3,"",_xlfn.XLOOKUP(BS$7,'Maybole Manuf'!$M$6:$BM$6,'Maybole Manuf'!$M$13:$BM$13))</f>
        <v>G</v>
      </c>
      <c r="BT65" s="69" t="str">
        <f>IF(BT$7&gt;$D$3,"",_xlfn.XLOOKUP(BT$7,'Maybole Manuf'!$M$6:$BM$6,'Maybole Manuf'!$M$13:$BM$13))</f>
        <v>R</v>
      </c>
      <c r="BU65" s="69" t="str">
        <f>IF(BU$7&gt;$D$3,"",_xlfn.XLOOKUP(BU$7,'Maybole Manuf'!$M$6:$BM$6,'Maybole Manuf'!$M$13:$BM$13))</f>
        <v>R</v>
      </c>
      <c r="BV65" s="69" t="str">
        <f>IF(BV$7&gt;$D$3,"",_xlfn.XLOOKUP(BV$7,'Maybole Manuf'!$M$6:$BM$6,'Maybole Manuf'!$M$13:$BM$13))</f>
        <v>R</v>
      </c>
      <c r="BW65" s="69" t="str">
        <f>IF(BW$7&gt;$D$3,"",_xlfn.XLOOKUP(BW$7,'Maybole Manuf'!$M$6:$BM$6,'Maybole Manuf'!$M$13:$BM$13))</f>
        <v>A</v>
      </c>
      <c r="BX65" s="69" t="str">
        <f>IF(BX$7&gt;$D$3,"",_xlfn.XLOOKUP(BX$7,'Maybole Manuf'!$M$6:$BM$6,'Maybole Manuf'!$M$13:$BM$13))</f>
        <v>A</v>
      </c>
      <c r="BY65" s="69" t="str">
        <f>IF(BY$7&gt;$D$3,"",_xlfn.XLOOKUP(BY$7,'Maybole Manuf'!$M$6:$BM$6,'Maybole Manuf'!$M$13:$BM$13))</f>
        <v>G</v>
      </c>
      <c r="BZ65" s="69" t="str">
        <f>IF(BZ$7&gt;$D$3,"",_xlfn.XLOOKUP(BZ$7,'Maybole Manuf'!$M$6:$BM$6,'Maybole Manuf'!$M$13:$BM$13))</f>
        <v>R</v>
      </c>
      <c r="CA65" s="69" t="str">
        <f>IF(CA$7&gt;$D$3,"",_xlfn.XLOOKUP(CA$7,'Maybole Manuf'!$M$6:$BM$6,'Maybole Manuf'!$M$13:$BM$13))</f>
        <v>G</v>
      </c>
      <c r="CB65" s="69" t="str">
        <f>IF(CB$7&gt;$D$3,"",_xlfn.XLOOKUP(CB$7,'Maybole Manuf'!$M$6:$BM$6,'Maybole Manuf'!$M$13:$BM$13))</f>
        <v>A</v>
      </c>
      <c r="CC65" s="69" t="str">
        <f>IF(CC$7&gt;$D$3,"",_xlfn.XLOOKUP(CC$7,'Maybole Manuf'!$M$6:$BM$6,'Maybole Manuf'!$M$13:$BM$13))</f>
        <v/>
      </c>
      <c r="CD65" s="69" t="str">
        <f>IF(CD$7&gt;$D$3,"",_xlfn.XLOOKUP(CD$7,'Maybole Manuf'!$M$6:$BM$6,'Maybole Manuf'!$M$13:$BM$13))</f>
        <v/>
      </c>
      <c r="CE65" s="69" t="str">
        <f>IF(CE$7&gt;$D$3,"",_xlfn.XLOOKUP(CE$7,'Maybole Manuf'!$M$6:$BM$6,'Maybole Manuf'!$M$13:$BM$13))</f>
        <v/>
      </c>
      <c r="CF65" s="69" t="str">
        <f>IF(CF$7&gt;$D$3,"",_xlfn.XLOOKUP(CF$7,'Maybole Manuf'!$M$6:$BM$6,'Maybole Manuf'!$M$13:$BM$13))</f>
        <v/>
      </c>
      <c r="CG65" s="69" t="str">
        <f>IF(CG$7&gt;$D$3,"",_xlfn.XLOOKUP(CG$7,'Maybole Manuf'!$M$6:$BM$6,'Maybole Manuf'!$M$13:$BM$13))</f>
        <v/>
      </c>
      <c r="CH65" s="69" t="str">
        <f>IF(CH$7&gt;$D$3,"",_xlfn.XLOOKUP(CH$7,'Maybole Manuf'!$M$6:$BM$6,'Maybole Manuf'!$M$13:$BM$13))</f>
        <v/>
      </c>
      <c r="CI65" s="69" t="str">
        <f>IF(CI$7&gt;$D$3,"",_xlfn.XLOOKUP(CI$7,'Maybole Manuf'!$M$6:$BM$6,'Maybole Manuf'!$M$13:$BM$13))</f>
        <v/>
      </c>
      <c r="CJ65" s="69" t="str">
        <f>IF(CJ$7&gt;$D$3,"",_xlfn.XLOOKUP(CJ$7,'Maybole Manuf'!$M$6:$BM$6,'Maybole Manuf'!$M$13:$BM$13))</f>
        <v/>
      </c>
      <c r="CK65" s="69" t="str">
        <f>IF(CK$7&gt;$D$3,"",_xlfn.XLOOKUP(CK$7,'Maybole Manuf'!$M$6:$BM$6,'Maybole Manuf'!$M$13:$BM$13))</f>
        <v/>
      </c>
      <c r="CL65" s="69" t="str">
        <f>IF(CL$7&gt;$D$3,"",_xlfn.XLOOKUP(CL$7,'Maybole Manuf'!$M$6:$BM$6,'Maybole Manuf'!$M$13:$BM$13))</f>
        <v/>
      </c>
      <c r="CM65" s="69" t="str">
        <f>IF(CM$7&gt;$D$3,"",_xlfn.XLOOKUP(CM$7,'Maybole Manuf'!$M$6:$BM$6,'Maybole Manuf'!$M$13:$BM$13))</f>
        <v/>
      </c>
      <c r="CO65" s="465" t="str">
        <f>+$A65</f>
        <v>Maybole Manuf-KPI D1</v>
      </c>
      <c r="CP65" s="136" t="str">
        <f t="shared" si="215"/>
        <v>KPI D1</v>
      </c>
      <c r="CQ65" s="144" t="str">
        <f t="shared" si="215"/>
        <v>Delivery</v>
      </c>
      <c r="CR65" s="144" t="str">
        <f t="shared" si="202"/>
        <v>Percentage of OTIF that achieved delivery date</v>
      </c>
      <c r="CS65" s="145" t="str">
        <f t="shared" si="202"/>
        <v>Percentage</v>
      </c>
      <c r="CT65" s="207" t="s">
        <v>246</v>
      </c>
      <c r="CU65" s="423" t="str">
        <f>IFERROR(IF(CU$7&gt;$D$3,"",IF(AM65="Undefined","Undefined",IF(AM65="Missed","Missed",IF(AM65="OD","OD",IF(AM65="Blank","Blank",_xlfn.XLOOKUP(CU$7,'Maybole Manuf'!$M$6:$BM$6,'Maybole Manuf'!$M$12:$BM$12)/_xlfn.XLOOKUP(CU$7,'Maybole Manuf'!$M$6:$BM$6,'Maybole Manuf'!$M$11:$BM$11)))))),"")</f>
        <v>Blank</v>
      </c>
      <c r="CV65" s="323" t="str">
        <f>IFERROR(IF(CV$7&gt;$D$3,"",IF(AN65="Undefined","Undefined",IF(AN65="Missed","Missed",IF(AN65="OD","OD",IF(AN65="Blank","Blank",_xlfn.XLOOKUP(CV$7,'Maybole Manuf'!$M$6:$BM$6,'Maybole Manuf'!$M$12:$BM$12)/_xlfn.XLOOKUP(CV$7,'Maybole Manuf'!$M$6:$BM$6,'Maybole Manuf'!$M$11:$BM$11)))))),"")</f>
        <v/>
      </c>
      <c r="CW65" s="315" t="str">
        <f>IFERROR(IF(CW$7&gt;$D$3,"",IF(AO65="Undefined","Undefined",IF(AO65="Missed","Missed",IF(AO65="OD","OD",IF(AO65="Blank","Blank",_xlfn.XLOOKUP(CW$7,'Maybole Manuf'!$M$6:$BM$6,'Maybole Manuf'!$M$12:$BM$12)/_xlfn.XLOOKUP(CW$7,'Maybole Manuf'!$M$6:$BM$6,'Maybole Manuf'!$M$11:$BM$11)))))),"")</f>
        <v/>
      </c>
      <c r="CX65" s="315" t="str">
        <f>IFERROR(IF(CX$7&gt;$D$3,"",IF(AP65="Undefined","Undefined",IF(AP65="Missed","Missed",IF(AP65="OD","OD",IF(AP65="Blank","Blank",_xlfn.XLOOKUP(CX$7,'Maybole Manuf'!$M$6:$BM$6,'Maybole Manuf'!$M$12:$BM$12)/_xlfn.XLOOKUP(CX$7,'Maybole Manuf'!$M$6:$BM$6,'Maybole Manuf'!$M$11:$BM$11)))))),"")</f>
        <v/>
      </c>
      <c r="CY65" s="315" t="str">
        <f>IFERROR(IF(CY$7&gt;$D$3,"",IF(AQ65="Undefined","Undefined",IF(AQ65="Missed","Missed",IF(AQ65="OD","OD",IF(AQ65="Blank","Blank",_xlfn.XLOOKUP(CY$7,'Maybole Manuf'!$M$6:$BM$6,'Maybole Manuf'!$M$12:$BM$12)/_xlfn.XLOOKUP(CY$7,'Maybole Manuf'!$M$6:$BM$6,'Maybole Manuf'!$M$11:$BM$11)))))),"")</f>
        <v/>
      </c>
      <c r="CZ65" s="315" t="str">
        <f>IFERROR(IF(CZ$7&gt;$D$3,"",IF(AR65="Undefined","Undefined",IF(AR65="Missed","Missed",IF(AR65="OD","OD",IF(AR65="Blank","Blank",_xlfn.XLOOKUP(CZ$7,'Maybole Manuf'!$M$6:$BM$6,'Maybole Manuf'!$M$12:$BM$12)/_xlfn.XLOOKUP(CZ$7,'Maybole Manuf'!$M$6:$BM$6,'Maybole Manuf'!$M$11:$BM$11)))))),"")</f>
        <v/>
      </c>
      <c r="DA65" s="315" t="str">
        <f>IFERROR(IF(DA$7&gt;$D$3,"",IF(AS65="Undefined","Undefined",IF(AS65="Missed","Missed",IF(AS65="OD","OD",IF(AS65="Blank","Blank",_xlfn.XLOOKUP(DA$7,'Maybole Manuf'!$M$6:$BM$6,'Maybole Manuf'!$M$12:$BM$12)/_xlfn.XLOOKUP(DA$7,'Maybole Manuf'!$M$6:$BM$6,'Maybole Manuf'!$M$11:$BM$11)))))),"")</f>
        <v/>
      </c>
      <c r="DB65" s="315" t="str">
        <f>IFERROR(IF(DB$7&gt;$D$3,"",IF(AT65="Undefined","Undefined",IF(AT65="Missed","Missed",IF(AT65="OD","OD",IF(AT65="Blank","Blank",_xlfn.XLOOKUP(DB$7,'Maybole Manuf'!$M$6:$BM$6,'Maybole Manuf'!$M$12:$BM$12)/_xlfn.XLOOKUP(DB$7,'Maybole Manuf'!$M$6:$BM$6,'Maybole Manuf'!$M$11:$BM$11)))))),"")</f>
        <v/>
      </c>
      <c r="DC65" s="315" t="str">
        <f>IFERROR(IF(DC$7&gt;$D$3,"",IF(AU65="Undefined","Undefined",IF(AU65="Missed","Missed",IF(AU65="OD","OD",IF(AU65="Blank","Blank",_xlfn.XLOOKUP(DC$7,'Maybole Manuf'!$M$6:$BM$6,'Maybole Manuf'!$M$12:$BM$12)/_xlfn.XLOOKUP(DC$7,'Maybole Manuf'!$M$6:$BM$6,'Maybole Manuf'!$M$11:$BM$11)))))),"")</f>
        <v/>
      </c>
      <c r="DD65" s="315" t="str">
        <f>IFERROR(IF(DD$7&gt;$D$3,"",IF(AV65="Undefined","Undefined",IF(AV65="Missed","Missed",IF(AV65="OD","OD",IF(AV65="Blank","Blank",_xlfn.XLOOKUP(DD$7,'Maybole Manuf'!$M$6:$BM$6,'Maybole Manuf'!$M$12:$BM$12)/_xlfn.XLOOKUP(DD$7,'Maybole Manuf'!$M$6:$BM$6,'Maybole Manuf'!$M$11:$BM$11)))))),"")</f>
        <v/>
      </c>
      <c r="DE65" s="315" t="str">
        <f>IFERROR(IF(DE$7&gt;$D$3,"",IF(AW65="Undefined","Undefined",IF(AW65="Missed","Missed",IF(AW65="OD","OD",IF(AW65="Blank","Blank",_xlfn.XLOOKUP(DE$7,'Maybole Manuf'!$M$6:$BM$6,'Maybole Manuf'!$M$12:$BM$12)/_xlfn.XLOOKUP(DE$7,'Maybole Manuf'!$M$6:$BM$6,'Maybole Manuf'!$M$11:$BM$11)))))),"")</f>
        <v/>
      </c>
      <c r="DF65" s="315" t="str">
        <f>IFERROR(IF(DF$7&gt;$D$3,"",IF(AX65="Undefined","Undefined",IF(AX65="Missed","Missed",IF(AX65="OD","OD",IF(AX65="Blank","Blank",_xlfn.XLOOKUP(DF$7,'Maybole Manuf'!$M$6:$BM$6,'Maybole Manuf'!$M$12:$BM$12)/_xlfn.XLOOKUP(DF$7,'Maybole Manuf'!$M$6:$BM$6,'Maybole Manuf'!$M$11:$BM$11)))))),"")</f>
        <v/>
      </c>
      <c r="DG65" s="315" t="str">
        <f>IFERROR(IF(DG$7&gt;$D$3,"",IF(AY65="Undefined","Undefined",IF(AY65="Missed","Missed",IF(AY65="OD","OD",IF(AY65="Blank","Blank",_xlfn.XLOOKUP(DG$7,'Maybole Manuf'!$M$6:$BM$6,'Maybole Manuf'!$M$12:$BM$12)/_xlfn.XLOOKUP(DG$7,'Maybole Manuf'!$M$6:$BM$6,'Maybole Manuf'!$M$11:$BM$11)))))),"")</f>
        <v/>
      </c>
      <c r="DH65" s="315">
        <f>IFERROR(IF(DH$7&gt;$D$3,"",IF(AZ65="Undefined","Undefined",IF(AZ65="Missed","Missed",IF(AZ65="OD","OD",IF(AZ65="Blank","Blank",_xlfn.XLOOKUP(DH$7,'Maybole Manuf'!$M$6:$BM$6,'Maybole Manuf'!$M$12:$BM$12)/_xlfn.XLOOKUP(DH$7,'Maybole Manuf'!$M$6:$BM$6,'Maybole Manuf'!$M$11:$BM$11)))))),"")</f>
        <v>0.68421052631578949</v>
      </c>
      <c r="DI65" s="315">
        <f>IFERROR(IF(DI$7&gt;$D$3,"",IF(BA65="Undefined","Undefined",IF(BA65="Missed","Missed",IF(BA65="OD","OD",IF(BA65="Blank","Blank",_xlfn.XLOOKUP(DI$7,'Maybole Manuf'!$M$6:$BM$6,'Maybole Manuf'!$M$12:$BM$12)/_xlfn.XLOOKUP(DI$7,'Maybole Manuf'!$M$6:$BM$6,'Maybole Manuf'!$M$11:$BM$11)))))),"")</f>
        <v>0.98947368421052628</v>
      </c>
      <c r="DJ65" s="315">
        <f>IFERROR(IF(DJ$7&gt;$D$3,"",IF(BB65="Undefined","Undefined",IF(BB65="Missed","Missed",IF(BB65="OD","OD",IF(BB65="Blank","Blank",_xlfn.XLOOKUP(DJ$7,'Maybole Manuf'!$M$6:$BM$6,'Maybole Manuf'!$M$12:$BM$12)/_xlfn.XLOOKUP(DJ$7,'Maybole Manuf'!$M$6:$BM$6,'Maybole Manuf'!$M$11:$BM$11)))))),"")</f>
        <v>1.0526315789473684</v>
      </c>
      <c r="DK65" s="315">
        <f>IFERROR(IF(DK$7&gt;$D$3,"",IF(BC65="Undefined","Undefined",IF(BC65="Missed","Missed",IF(BC65="OD","OD",IF(BC65="Blank","Blank",_xlfn.XLOOKUP(DK$7,'Maybole Manuf'!$M$6:$BM$6,'Maybole Manuf'!$M$12:$BM$12)/_xlfn.XLOOKUP(DK$7,'Maybole Manuf'!$M$6:$BM$6,'Maybole Manuf'!$M$11:$BM$11)))))),"")</f>
        <v>0.96842105263157907</v>
      </c>
      <c r="DL65" s="315">
        <f>IFERROR(IF(DL$7&gt;$D$3,"",IF(BD65="Undefined","Undefined",IF(BD65="Missed","Missed",IF(BD65="OD","OD",IF(BD65="Blank","Blank",_xlfn.XLOOKUP(DL$7,'Maybole Manuf'!$M$6:$BM$6,'Maybole Manuf'!$M$12:$BM$12)/_xlfn.XLOOKUP(DL$7,'Maybole Manuf'!$M$6:$BM$6,'Maybole Manuf'!$M$11:$BM$11)))))),"")</f>
        <v>0.9263157894736842</v>
      </c>
      <c r="DM65" s="315">
        <f>IFERROR(IF(DM$7&gt;$D$3,"",IF(BE65="Undefined","Undefined",IF(BE65="Missed","Missed",IF(BE65="OD","OD",IF(BE65="Blank","Blank",_xlfn.XLOOKUP(DM$7,'Maybole Manuf'!$M$6:$BM$6,'Maybole Manuf'!$M$12:$BM$12)/_xlfn.XLOOKUP(DM$7,'Maybole Manuf'!$M$6:$BM$6,'Maybole Manuf'!$M$11:$BM$11)))))),"")</f>
        <v>0.44210526315789472</v>
      </c>
      <c r="DN65" s="315">
        <f>IFERROR(IF(DN$7&gt;$D$3,"",IF(BF65="Undefined","Undefined",IF(BF65="Missed","Missed",IF(BF65="OD","OD",IF(BF65="Blank","Blank",_xlfn.XLOOKUP(DN$7,'Maybole Manuf'!$M$6:$BM$6,'Maybole Manuf'!$M$12:$BM$12)/_xlfn.XLOOKUP(DN$7,'Maybole Manuf'!$M$6:$BM$6,'Maybole Manuf'!$M$11:$BM$11)))))),"")</f>
        <v>0.69473684210526321</v>
      </c>
      <c r="DO65" s="315">
        <f>IFERROR(IF(DO$7&gt;$D$3,"",IF(BG65="Undefined","Undefined",IF(BG65="Missed","Missed",IF(BG65="OD","OD",IF(BG65="Blank","Blank",_xlfn.XLOOKUP(DO$7,'Maybole Manuf'!$M$6:$BM$6,'Maybole Manuf'!$M$12:$BM$12)/_xlfn.XLOOKUP(DO$7,'Maybole Manuf'!$M$6:$BM$6,'Maybole Manuf'!$M$11:$BM$11)))))),"")</f>
        <v>0.88421052631578945</v>
      </c>
      <c r="DP65" s="315">
        <f>IFERROR(IF(DP$7&gt;$D$3,"",IF(BH65="Undefined","Undefined",IF(BH65="Missed","Missed",IF(BH65="OD","OD",IF(BH65="Blank","Blank",_xlfn.XLOOKUP(DP$7,'Maybole Manuf'!$M$6:$BM$6,'Maybole Manuf'!$M$12:$BM$12)/_xlfn.XLOOKUP(DP$7,'Maybole Manuf'!$M$6:$BM$6,'Maybole Manuf'!$M$11:$BM$11)))))),"")</f>
        <v>0.98947368421052628</v>
      </c>
      <c r="DQ65" s="315">
        <f>IFERROR(IF(DQ$7&gt;$D$3,"",IF(BI65="Undefined","Undefined",IF(BI65="Missed","Missed",IF(BI65="OD","OD",IF(BI65="Blank","Blank",_xlfn.XLOOKUP(DQ$7,'Maybole Manuf'!$M$6:$BM$6,'Maybole Manuf'!$M$12:$BM$12)/_xlfn.XLOOKUP(DQ$7,'Maybole Manuf'!$M$6:$BM$6,'Maybole Manuf'!$M$11:$BM$11)))))),"")</f>
        <v>1.0315789473684212</v>
      </c>
      <c r="DR65" s="315">
        <f>IFERROR(IF(DR$7&gt;$D$3,"",IF(BJ65="Undefined","Undefined",IF(BJ65="Missed","Missed",IF(BJ65="OD","OD",IF(BJ65="Blank","Blank",_xlfn.XLOOKUP(DR$7,'Maybole Manuf'!$M$6:$BM$6,'Maybole Manuf'!$M$12:$BM$12)/_xlfn.XLOOKUP(DR$7,'Maybole Manuf'!$M$6:$BM$6,'Maybole Manuf'!$M$11:$BM$11)))))),"")</f>
        <v>1.0526315789473684</v>
      </c>
      <c r="DS65" s="315">
        <f>IFERROR(IF(DS$7&gt;$D$3,"",IF(BK65="Undefined","Undefined",IF(BK65="Missed","Missed",IF(BK65="OD","OD",IF(BK65="Blank","Blank",_xlfn.XLOOKUP(DS$7,'Maybole Manuf'!$M$6:$BM$6,'Maybole Manuf'!$M$12:$BM$12)/_xlfn.XLOOKUP(DS$7,'Maybole Manuf'!$M$6:$BM$6,'Maybole Manuf'!$M$11:$BM$11)))))),"")</f>
        <v>1.0526315789473684</v>
      </c>
      <c r="DT65" s="315">
        <f>IFERROR(IF(DT$7&gt;$D$3,"",IF(BL65="Undefined","Undefined",IF(BL65="Missed","Missed",IF(BL65="OD","OD",IF(BL65="Blank","Blank",_xlfn.XLOOKUP(DT$7,'Maybole Manuf'!$M$6:$BM$6,'Maybole Manuf'!$M$12:$BM$12)/_xlfn.XLOOKUP(DT$7,'Maybole Manuf'!$M$6:$BM$6,'Maybole Manuf'!$M$11:$BM$11)))))),"")</f>
        <v>0.97894736842105268</v>
      </c>
      <c r="DU65" s="315">
        <f>IFERROR(IF(DU$7&gt;$D$3,"",IF(BM65="Undefined","Undefined",IF(BM65="Missed","Missed",IF(BM65="OD","OD",IF(BM65="Blank","Blank",_xlfn.XLOOKUP(DU$7,'Maybole Manuf'!$M$6:$BM$6,'Maybole Manuf'!$M$12:$BM$12)/_xlfn.XLOOKUP(DU$7,'Maybole Manuf'!$M$6:$BM$6,'Maybole Manuf'!$M$11:$BM$11)))))),"")</f>
        <v>0.97894736842105268</v>
      </c>
      <c r="DV65" s="315">
        <f>IFERROR(IF(DV$7&gt;$D$3,"",IF(BN65="Undefined","Undefined",IF(BN65="Missed","Missed",IF(BN65="OD","OD",IF(BN65="Blank","Blank",_xlfn.XLOOKUP(DV$7,'Maybole Manuf'!$M$6:$BM$6,'Maybole Manuf'!$M$12:$BM$12)/_xlfn.XLOOKUP(DV$7,'Maybole Manuf'!$M$6:$BM$6,'Maybole Manuf'!$M$11:$BM$11)))))),"")</f>
        <v>0.9157894736842106</v>
      </c>
      <c r="DW65" s="315">
        <f>IFERROR(IF(DW$7&gt;$D$3,"",IF(BO65="Undefined","Undefined",IF(BO65="Missed","Missed",IF(BO65="OD","OD",IF(BO65="Blank","Blank",_xlfn.XLOOKUP(DW$7,'Maybole Manuf'!$M$6:$BM$6,'Maybole Manuf'!$M$12:$BM$12)/_xlfn.XLOOKUP(DW$7,'Maybole Manuf'!$M$6:$BM$6,'Maybole Manuf'!$M$11:$BM$11)))))),"")</f>
        <v>0.63157894736842102</v>
      </c>
      <c r="DX65" s="315">
        <f>IFERROR(IF(DX$7&gt;$D$3,"",IF(BP65="Undefined","Undefined",IF(BP65="Missed","Missed",IF(BP65="OD","OD",IF(BP65="Blank","Blank",_xlfn.XLOOKUP(DX$7,'Maybole Manuf'!$M$6:$BM$6,'Maybole Manuf'!$M$12:$BM$12)/_xlfn.XLOOKUP(DX$7,'Maybole Manuf'!$M$6:$BM$6,'Maybole Manuf'!$M$11:$BM$11)))))),"")</f>
        <v>0.6</v>
      </c>
      <c r="DY65" s="315">
        <f>IFERROR(IF(DY$7&gt;$D$3,"",IF(BQ65="Undefined","Undefined",IF(BQ65="Missed","Missed",IF(BQ65="OD","OD",IF(BQ65="Blank","Blank",_xlfn.XLOOKUP(DY$7,'Maybole Manuf'!$M$6:$BM$6,'Maybole Manuf'!$M$12:$BM$12)/_xlfn.XLOOKUP(DY$7,'Maybole Manuf'!$M$6:$BM$6,'Maybole Manuf'!$M$11:$BM$11)))))),"")</f>
        <v>0.98947368421052628</v>
      </c>
      <c r="DZ65" s="315">
        <f>IFERROR(IF(DZ$7&gt;$D$3,"",IF(BR65="Undefined","Undefined",IF(BR65="Missed","Missed",IF(BR65="OD","OD",IF(BR65="Blank","Blank",_xlfn.XLOOKUP(DZ$7,'Maybole Manuf'!$M$6:$BM$6,'Maybole Manuf'!$M$12:$BM$12)/_xlfn.XLOOKUP(DZ$7,'Maybole Manuf'!$M$6:$BM$6,'Maybole Manuf'!$M$11:$BM$11)))))),"")</f>
        <v>0.9157894736842106</v>
      </c>
      <c r="EA65" s="315">
        <f>IFERROR(IF(EA$7&gt;$D$3,"",IF(BS65="Undefined","Undefined",IF(BS65="Missed","Missed",IF(BS65="OD","OD",IF(BS65="Blank","Blank",_xlfn.XLOOKUP(EA$7,'Maybole Manuf'!$M$6:$BM$6,'Maybole Manuf'!$M$12:$BM$12)/_xlfn.XLOOKUP(EA$7,'Maybole Manuf'!$M$6:$BM$6,'Maybole Manuf'!$M$11:$BM$11)))))),"")</f>
        <v>1.0526315789473684</v>
      </c>
      <c r="EB65" s="315">
        <f>IFERROR(IF(EB$7&gt;$D$3,"",IF(BT65="Undefined","Undefined",IF(BT65="Missed","Missed",IF(BT65="OD","OD",IF(BT65="Blank","Blank",_xlfn.XLOOKUP(EB$7,'Maybole Manuf'!$M$6:$BM$6,'Maybole Manuf'!$M$12:$BM$12)/_xlfn.XLOOKUP(EB$7,'Maybole Manuf'!$M$6:$BM$6,'Maybole Manuf'!$M$11:$BM$11)))))),"")</f>
        <v>0.94736842105263164</v>
      </c>
      <c r="EC65" s="315">
        <f>IFERROR(IF(EC$7&gt;$D$3,"",IF(BU65="Undefined","Undefined",IF(BU65="Missed","Missed",IF(BU65="OD","OD",IF(BU65="Blank","Blank",_xlfn.XLOOKUP(EC$7,'Maybole Manuf'!$M$6:$BM$6,'Maybole Manuf'!$M$12:$BM$12)/_xlfn.XLOOKUP(EC$7,'Maybole Manuf'!$M$6:$BM$6,'Maybole Manuf'!$M$11:$BM$11)))))),"")</f>
        <v>0.63157894736842102</v>
      </c>
      <c r="ED65" s="315">
        <f>IFERROR(IF(ED$7&gt;$D$3,"",IF(BV65="Undefined","Undefined",IF(BV65="Missed","Missed",IF(BV65="OD","OD",IF(BV65="Blank","Blank",_xlfn.XLOOKUP(ED$7,'Maybole Manuf'!$M$6:$BM$6,'Maybole Manuf'!$M$12:$BM$12)/_xlfn.XLOOKUP(ED$7,'Maybole Manuf'!$M$6:$BM$6,'Maybole Manuf'!$M$11:$BM$11)))))),"")</f>
        <v>0.88421052631578945</v>
      </c>
      <c r="EE65" s="315">
        <f>IFERROR(IF(EE$7&gt;$D$3,"",IF(BW65="Undefined","Undefined",IF(BW65="Missed","Missed",IF(BW65="OD","OD",IF(BW65="Blank","Blank",_xlfn.XLOOKUP(EE$7,'Maybole Manuf'!$M$6:$BM$6,'Maybole Manuf'!$M$12:$BM$12)/_xlfn.XLOOKUP(EE$7,'Maybole Manuf'!$M$6:$BM$6,'Maybole Manuf'!$M$11:$BM$11)))))),"")</f>
        <v>0.95789473684210535</v>
      </c>
      <c r="EF65" s="315">
        <f>IFERROR(IF(EF$7&gt;$D$3,"",IF(BX65="Undefined","Undefined",IF(BX65="Missed","Missed",IF(BX65="OD","OD",IF(BX65="Blank","Blank",_xlfn.XLOOKUP(EF$7,'Maybole Manuf'!$M$6:$BM$6,'Maybole Manuf'!$M$12:$BM$12)/_xlfn.XLOOKUP(EF$7,'Maybole Manuf'!$M$6:$BM$6,'Maybole Manuf'!$M$11:$BM$11)))))),"")</f>
        <v>0.96842105263157907</v>
      </c>
      <c r="EG65" s="315">
        <f>IFERROR(IF(EG$7&gt;$D$3,"",IF(BY65="Undefined","Undefined",IF(BY65="Missed","Missed",IF(BY65="OD","OD",IF(BY65="Blank","Blank",_xlfn.XLOOKUP(EG$7,'Maybole Manuf'!$M$6:$BM$6,'Maybole Manuf'!$M$12:$BM$12)/_xlfn.XLOOKUP(EG$7,'Maybole Manuf'!$M$6:$BM$6,'Maybole Manuf'!$M$11:$BM$11)))))),"")</f>
        <v>1</v>
      </c>
      <c r="EH65" s="315">
        <f>IFERROR(IF(EH$7&gt;$D$3,"",IF(BZ65="Undefined","Undefined",IF(BZ65="Missed","Missed",IF(BZ65="OD","OD",IF(BZ65="Blank","Blank",_xlfn.XLOOKUP(EH$7,'Maybole Manuf'!$M$6:$BM$6,'Maybole Manuf'!$M$12:$BM$12)/_xlfn.XLOOKUP(EH$7,'Maybole Manuf'!$M$6:$BM$6,'Maybole Manuf'!$M$11:$BM$11)))))),"")</f>
        <v>0.93684210526315792</v>
      </c>
      <c r="EI65" s="315">
        <f>IFERROR(IF(EI$7&gt;$D$3,"",IF(CA65="Undefined","Undefined",IF(CA65="Missed","Missed",IF(CA65="OD","OD",IF(CA65="Blank","Blank",_xlfn.XLOOKUP(EI$7,'Maybole Manuf'!$M$6:$BM$6,'Maybole Manuf'!$M$12:$BM$12)/_xlfn.XLOOKUP(EI$7,'Maybole Manuf'!$M$6:$BM$6,'Maybole Manuf'!$M$11:$BM$11)))))),"")</f>
        <v>1</v>
      </c>
      <c r="EJ65" s="315">
        <f>IFERROR(IF(EJ$7&gt;$D$3,"",IF(CB65="Undefined","Undefined",IF(CB65="Missed","Missed",IF(CB65="OD","OD",IF(CB65="Blank","Blank",_xlfn.XLOOKUP(EJ$7,'Maybole Manuf'!$M$6:$BM$6,'Maybole Manuf'!$M$12:$BM$12)/_xlfn.XLOOKUP(EJ$7,'Maybole Manuf'!$M$6:$BM$6,'Maybole Manuf'!$M$11:$BM$11)))))),"")</f>
        <v>0.98947368421052628</v>
      </c>
      <c r="EK65" s="315" t="str">
        <f>IFERROR(IF(EK$7&gt;$D$3,"",IF(CC65="Undefined","Undefined",IF(CC65="Missed","Missed",IF(CC65="OD","OD",IF(CC65="Blank","Blank",_xlfn.XLOOKUP(EK$7,'Maybole Manuf'!$M$6:$BM$6,'Maybole Manuf'!$M$12:$BM$12)/_xlfn.XLOOKUP(EK$7,'Maybole Manuf'!$M$6:$BM$6,'Maybole Manuf'!$M$11:$BM$11)))))),"")</f>
        <v/>
      </c>
      <c r="EL65" s="315" t="str">
        <f>IFERROR(IF(EL$7&gt;$D$3,"",IF(CD65="Undefined","Undefined",IF(CD65="Missed","Missed",IF(CD65="OD","OD",IF(CD65="Blank","Blank",_xlfn.XLOOKUP(EL$7,'Maybole Manuf'!$M$6:$BM$6,'Maybole Manuf'!$M$12:$BM$12)/_xlfn.XLOOKUP(EL$7,'Maybole Manuf'!$M$6:$BM$6,'Maybole Manuf'!$M$11:$BM$11)))))),"")</f>
        <v/>
      </c>
      <c r="EM65" s="315" t="str">
        <f>IFERROR(IF(EM$7&gt;$D$3,"",IF(CE65="Undefined","Undefined",IF(CE65="Missed","Missed",IF(CE65="OD","OD",IF(CE65="Blank","Blank",_xlfn.XLOOKUP(EM$7,'Maybole Manuf'!$M$6:$BM$6,'Maybole Manuf'!$M$12:$BM$12)/_xlfn.XLOOKUP(EM$7,'Maybole Manuf'!$M$6:$BM$6,'Maybole Manuf'!$M$11:$BM$11)))))),"")</f>
        <v/>
      </c>
      <c r="EN65" s="315" t="str">
        <f>IFERROR(IF(EN$7&gt;$D$3,"",IF(CF65="Undefined","Undefined",IF(CF65="Missed","Missed",IF(CF65="OD","OD",IF(CF65="Blank","Blank",_xlfn.XLOOKUP(EN$7,'Maybole Manuf'!$M$6:$BM$6,'Maybole Manuf'!$M$12:$BM$12)/_xlfn.XLOOKUP(EN$7,'Maybole Manuf'!$M$6:$BM$6,'Maybole Manuf'!$M$11:$BM$11)))))),"")</f>
        <v/>
      </c>
      <c r="EO65" s="315" t="str">
        <f>IFERROR(IF(EO$7&gt;$D$3,"",IF(CG65="Undefined","Undefined",IF(CG65="Missed","Missed",IF(CG65="OD","OD",IF(CG65="Blank","Blank",_xlfn.XLOOKUP(EO$7,'Maybole Manuf'!$M$6:$BM$6,'Maybole Manuf'!$M$12:$BM$12)/_xlfn.XLOOKUP(EO$7,'Maybole Manuf'!$M$6:$BM$6,'Maybole Manuf'!$M$11:$BM$11)))))),"")</f>
        <v/>
      </c>
      <c r="EP65" s="315" t="str">
        <f>IFERROR(IF(EP$7&gt;$D$3,"",IF(CH65="Undefined","Undefined",IF(CH65="Missed","Missed",IF(CH65="OD","OD",IF(CH65="Blank","Blank",_xlfn.XLOOKUP(EP$7,'Maybole Manuf'!$M$6:$BM$6,'Maybole Manuf'!$M$12:$BM$12)/_xlfn.XLOOKUP(EP$7,'Maybole Manuf'!$M$6:$BM$6,'Maybole Manuf'!$M$11:$BM$11)))))),"")</f>
        <v/>
      </c>
      <c r="EQ65" s="315" t="str">
        <f>IFERROR(IF(EQ$7&gt;$D$3,"",IF(CI65="Undefined","Undefined",IF(CI65="Missed","Missed",IF(CI65="OD","OD",IF(CI65="Blank","Blank",_xlfn.XLOOKUP(EQ$7,'Maybole Manuf'!$M$6:$BM$6,'Maybole Manuf'!$M$12:$BM$12)/_xlfn.XLOOKUP(EQ$7,'Maybole Manuf'!$M$6:$BM$6,'Maybole Manuf'!$M$11:$BM$11)))))),"")</f>
        <v/>
      </c>
      <c r="ER65" s="315" t="str">
        <f>IFERROR(IF(ER$7&gt;$D$3,"",IF(CJ65="Undefined","Undefined",IF(CJ65="Missed","Missed",IF(CJ65="OD","OD",IF(CJ65="Blank","Blank",_xlfn.XLOOKUP(ER$7,'Maybole Manuf'!$M$6:$BM$6,'Maybole Manuf'!$M$12:$BM$12)/_xlfn.XLOOKUP(ER$7,'Maybole Manuf'!$M$6:$BM$6,'Maybole Manuf'!$M$11:$BM$11)))))),"")</f>
        <v/>
      </c>
      <c r="ES65" s="315" t="str">
        <f>IFERROR(IF(ES$7&gt;$D$3,"",IF(CK65="Undefined","Undefined",IF(CK65="Missed","Missed",IF(CK65="OD","OD",IF(CK65="Blank","Blank",_xlfn.XLOOKUP(ES$7,'Maybole Manuf'!$M$6:$BM$6,'Maybole Manuf'!$M$12:$BM$12)/_xlfn.XLOOKUP(ES$7,'Maybole Manuf'!$M$6:$BM$6,'Maybole Manuf'!$M$11:$BM$11)))))),"")</f>
        <v/>
      </c>
      <c r="ET65" s="315" t="str">
        <f>IFERROR(IF(ET$7&gt;$D$3,"",IF(CL65="Undefined","Undefined",IF(CL65="Missed","Missed",IF(CL65="OD","OD",IF(CL65="Blank","Blank",_xlfn.XLOOKUP(ET$7,'Maybole Manuf'!$M$6:$BM$6,'Maybole Manuf'!$M$12:$BM$12)/_xlfn.XLOOKUP(ET$7,'Maybole Manuf'!$M$6:$BM$6,'Maybole Manuf'!$M$11:$BM$11)))))),"")</f>
        <v/>
      </c>
      <c r="EU65" s="315" t="str">
        <f>IFERROR(IF(EU$7&gt;$D$3,"",IF(CM65="Undefined","Undefined",IF(CM65="Missed","Missed",IF(CM65="OD","OD",IF(CM65="Blank","Blank",_xlfn.XLOOKUP(EU$7,'Maybole Manuf'!$M$6:$BM$6,'Maybole Manuf'!$M$12:$BM$12)/_xlfn.XLOOKUP(EU$7,'Maybole Manuf'!$M$6:$BM$6,'Maybole Manuf'!$M$11:$BM$11)))))),"")</f>
        <v/>
      </c>
      <c r="EW65" s="465" t="str">
        <f>+$A65</f>
        <v>Maybole Manuf-KPI D1</v>
      </c>
      <c r="EX65" s="136" t="str">
        <f>+$C65</f>
        <v>KPI D1</v>
      </c>
      <c r="EY65" s="144" t="str">
        <f>+$D65</f>
        <v>Delivery</v>
      </c>
      <c r="EZ65" s="144" t="str">
        <f>+$E65</f>
        <v>Percentage of OTIF that achieved delivery date</v>
      </c>
      <c r="FA65" s="145" t="str">
        <f>+$F65</f>
        <v>Percentage</v>
      </c>
      <c r="FB65" s="196" t="s">
        <v>251</v>
      </c>
      <c r="FC65" s="214" t="str">
        <f>IF(FC$7&gt;$D$3,"",IF($FA63&lt;FC$7,"OD",_xlfn.XLOOKUP(FC$7,'Maybole Manuf'!$M$6:$BM$6,'Maybole Manuf'!$M$12:$BM$12)))</f>
        <v>Blank</v>
      </c>
      <c r="FD65" s="214" t="str">
        <f>IF(FD$7&gt;$D$3,"",IF($FA63&lt;FD$7,"OD",_xlfn.XLOOKUP(FD$7,'Maybole Manuf'!$M$6:$BM$6,'Maybole Manuf'!$M$12:$BM$12)))</f>
        <v>TBC</v>
      </c>
      <c r="FE65" s="214" t="str">
        <f>IF(FE$7&gt;$D$3,"",IF($FA63&lt;FE$7,"OD",_xlfn.XLOOKUP(FE$7,'Maybole Manuf'!$M$6:$BM$6,'Maybole Manuf'!$M$12:$BM$12)))</f>
        <v>TBC</v>
      </c>
      <c r="FF65" s="214" t="str">
        <f>IF(FF$7&gt;$D$3,"",IF($FA63&lt;FF$7,"OD",_xlfn.XLOOKUP(FF$7,'Maybole Manuf'!$M$6:$BM$6,'Maybole Manuf'!$M$12:$BM$12)))</f>
        <v>TBC</v>
      </c>
      <c r="FG65" s="214" t="str">
        <f>IF(FG$7&gt;$D$3,"",IF($FA63&lt;FG$7,"OD",_xlfn.XLOOKUP(FG$7,'Maybole Manuf'!$M$6:$BM$6,'Maybole Manuf'!$M$12:$BM$12)))</f>
        <v>TBC</v>
      </c>
      <c r="FH65" s="214" t="str">
        <f>IF(FH$7&gt;$D$3,"",IF($FA63&lt;FH$7,"OD",_xlfn.XLOOKUP(FH$7,'Maybole Manuf'!$M$6:$BM$6,'Maybole Manuf'!$M$12:$BM$12)))</f>
        <v>TBC</v>
      </c>
      <c r="FI65" s="214" t="str">
        <f>IF(FI$7&gt;$D$3,"",IF($FA63&lt;FI$7,"OD",_xlfn.XLOOKUP(FI$7,'Maybole Manuf'!$M$6:$BM$6,'Maybole Manuf'!$M$12:$BM$12)))</f>
        <v>TBC</v>
      </c>
      <c r="FJ65" s="214" t="str">
        <f>IF(FJ$7&gt;$D$3,"",IF($FA63&lt;FJ$7,"OD",_xlfn.XLOOKUP(FJ$7,'Maybole Manuf'!$M$6:$BM$6,'Maybole Manuf'!$M$12:$BM$12)))</f>
        <v>TBC</v>
      </c>
      <c r="FK65" s="214" t="str">
        <f>IF(FK$7&gt;$D$3,"",IF($FA63&lt;FK$7,"OD",_xlfn.XLOOKUP(FK$7,'Maybole Manuf'!$M$6:$BM$6,'Maybole Manuf'!$M$12:$BM$12)))</f>
        <v>TBC</v>
      </c>
      <c r="FL65" s="214" t="str">
        <f>IF(FL$7&gt;$D$3,"",IF($FA63&lt;FL$7,"OD",_xlfn.XLOOKUP(FL$7,'Maybole Manuf'!$M$6:$BM$6,'Maybole Manuf'!$M$12:$BM$12)))</f>
        <v>TBC</v>
      </c>
      <c r="FM65" s="214" t="str">
        <f>IF(FM$7&gt;$D$3,"",IF($FA63&lt;FM$7,"OD",_xlfn.XLOOKUP(FM$7,'Maybole Manuf'!$M$6:$BM$6,'Maybole Manuf'!$M$12:$BM$12)))</f>
        <v>TBC</v>
      </c>
      <c r="FN65" s="214" t="str">
        <f>IF(FN$7&gt;$D$3,"",IF($FA63&lt;FN$7,"OD",_xlfn.XLOOKUP(FN$7,'Maybole Manuf'!$M$6:$BM$6,'Maybole Manuf'!$M$12:$BM$12)))</f>
        <v>TBC</v>
      </c>
      <c r="FO65" s="214" t="str">
        <f>IF(FO$7&gt;$D$3,"",IF($FA63&lt;FO$7,"OD",_xlfn.XLOOKUP(FO$7,'Maybole Manuf'!$M$6:$BM$6,'Maybole Manuf'!$M$12:$BM$12)))</f>
        <v>TBC</v>
      </c>
      <c r="FP65" s="214">
        <f>IF(FP$7&gt;$D$3,"",IF($FA63&lt;FP$7,"OD",_xlfn.XLOOKUP(FP$7,'Maybole Manuf'!$M$6:$BM$6,'Maybole Manuf'!$M$12:$BM$12)))</f>
        <v>0.65</v>
      </c>
      <c r="FQ65" s="214">
        <f>IF(FQ$7&gt;$D$3,"",IF($FA63&lt;FQ$7,"OD",_xlfn.XLOOKUP(FQ$7,'Maybole Manuf'!$M$6:$BM$6,'Maybole Manuf'!$M$12:$BM$12)))</f>
        <v>0.94</v>
      </c>
      <c r="FR65" s="214">
        <f>IF(FR$7&gt;$D$3,"",IF($FA63&lt;FR$7,"OD",_xlfn.XLOOKUP(FR$7,'Maybole Manuf'!$M$6:$BM$6,'Maybole Manuf'!$M$12:$BM$12)))</f>
        <v>1</v>
      </c>
      <c r="FS65" s="214">
        <f>IF(FS$7&gt;$D$3,"",IF($FA63&lt;FS$7,"OD",_xlfn.XLOOKUP(FS$7,'Maybole Manuf'!$M$6:$BM$6,'Maybole Manuf'!$M$12:$BM$12)))</f>
        <v>0.92</v>
      </c>
      <c r="FT65" s="214">
        <f>IF(FT$7&gt;$D$3,"",IF($FA63&lt;FT$7,"OD",_xlfn.XLOOKUP(FT$7,'Maybole Manuf'!$M$6:$BM$6,'Maybole Manuf'!$M$12:$BM$12)))</f>
        <v>0.88</v>
      </c>
      <c r="FU65" s="214">
        <f>IF(FU$7&gt;$D$3,"",IF($FA63&lt;FU$7,"OD",_xlfn.XLOOKUP(FU$7,'Maybole Manuf'!$M$6:$BM$6,'Maybole Manuf'!$M$12:$BM$12)))</f>
        <v>0.42</v>
      </c>
      <c r="FV65" s="214">
        <f>IF(FV$7&gt;$D$3,"",IF($FA63&lt;FV$7,"OD",_xlfn.XLOOKUP(FV$7,'Maybole Manuf'!$M$6:$BM$6,'Maybole Manuf'!$M$12:$BM$12)))</f>
        <v>0.66</v>
      </c>
      <c r="FW65" s="214">
        <f>IF(FW$7&gt;$D$3,"",IF($FA63&lt;FW$7,"OD",_xlfn.XLOOKUP(FW$7,'Maybole Manuf'!$M$6:$BM$6,'Maybole Manuf'!$M$12:$BM$12)))</f>
        <v>0.84</v>
      </c>
      <c r="FX65" s="214">
        <f>IF(FX$7&gt;$D$3,"",IF($FA63&lt;FX$7,"OD",_xlfn.XLOOKUP(FX$7,'Maybole Manuf'!$M$6:$BM$6,'Maybole Manuf'!$M$12:$BM$12)))</f>
        <v>0.94</v>
      </c>
      <c r="FY65" s="214">
        <f>IF(FY$7&gt;$D$3,"",IF($FA63&lt;FY$7,"OD",_xlfn.XLOOKUP(FY$7,'Maybole Manuf'!$M$6:$BM$6,'Maybole Manuf'!$M$12:$BM$12)))</f>
        <v>0.98</v>
      </c>
      <c r="FZ65" s="214">
        <f>IF(FZ$7&gt;$D$3,"",IF($FA63&lt;FZ$7,"OD",_xlfn.XLOOKUP(FZ$7,'Maybole Manuf'!$M$6:$BM$6,'Maybole Manuf'!$M$12:$BM$12)))</f>
        <v>1</v>
      </c>
      <c r="GA65" s="214">
        <f>IF(GA$7&gt;$D$3,"",IF($FA63&lt;GA$7,"OD",_xlfn.XLOOKUP(GA$7,'Maybole Manuf'!$M$6:$BM$6,'Maybole Manuf'!$M$12:$BM$12)))</f>
        <v>1</v>
      </c>
      <c r="GB65" s="214">
        <f>IF(GB$7&gt;$D$3,"",IF($FA63&lt;GB$7,"OD",_xlfn.XLOOKUP(GB$7,'Maybole Manuf'!$M$6:$BM$6,'Maybole Manuf'!$M$12:$BM$12)))</f>
        <v>0.93</v>
      </c>
      <c r="GC65" s="214">
        <f>IF(GC$7&gt;$D$3,"",IF($FA63&lt;GC$7,"OD",_xlfn.XLOOKUP(GC$7,'Maybole Manuf'!$M$6:$BM$6,'Maybole Manuf'!$M$12:$BM$12)))</f>
        <v>0.93</v>
      </c>
      <c r="GD65" s="214">
        <f>IF(GD$7&gt;$D$3,"",IF($FA63&lt;GD$7,"OD",_xlfn.XLOOKUP(GD$7,'Maybole Manuf'!$M$6:$BM$6,'Maybole Manuf'!$M$12:$BM$12)))</f>
        <v>0.87</v>
      </c>
      <c r="GE65" s="214">
        <f>IF(GE$7&gt;$D$3,"",IF($FA63&lt;GE$7,"OD",_xlfn.XLOOKUP(GE$7,'Maybole Manuf'!$M$6:$BM$6,'Maybole Manuf'!$M$12:$BM$12)))</f>
        <v>0.6</v>
      </c>
      <c r="GF65" s="214">
        <f>IF(GF$7&gt;$D$3,"",IF($FA63&lt;GF$7,"OD",_xlfn.XLOOKUP(GF$7,'Maybole Manuf'!$M$6:$BM$6,'Maybole Manuf'!$M$12:$BM$12)))</f>
        <v>0.56999999999999995</v>
      </c>
      <c r="GG65" s="214">
        <f>IF(GG$7&gt;$D$3,"",IF($FA63&lt;GG$7,"OD",_xlfn.XLOOKUP(GG$7,'Maybole Manuf'!$M$6:$BM$6,'Maybole Manuf'!$M$12:$BM$12)))</f>
        <v>0.94</v>
      </c>
      <c r="GH65" s="214">
        <f>IF(GH$7&gt;$D$3,"",IF($FA63&lt;GH$7,"OD",_xlfn.XLOOKUP(GH$7,'Maybole Manuf'!$M$6:$BM$6,'Maybole Manuf'!$M$12:$BM$12)))</f>
        <v>0.87</v>
      </c>
      <c r="GI65" s="214">
        <f>IF(GI$7&gt;$D$3,"",IF($FA63&lt;GI$7,"OD",_xlfn.XLOOKUP(GI$7,'Maybole Manuf'!$M$6:$BM$6,'Maybole Manuf'!$M$12:$BM$12)))</f>
        <v>1</v>
      </c>
      <c r="GJ65" s="214">
        <f>IF(GJ$7&gt;$D$3,"",IF($FA63&lt;GJ$7,"OD",_xlfn.XLOOKUP(GJ$7,'Maybole Manuf'!$M$6:$BM$6,'Maybole Manuf'!$M$12:$BM$12)))</f>
        <v>0.9</v>
      </c>
      <c r="GK65" s="214">
        <f>IF(GK$7&gt;$D$3,"",IF($FA63&lt;GK$7,"OD",_xlfn.XLOOKUP(GK$7,'Maybole Manuf'!$M$6:$BM$6,'Maybole Manuf'!$M$12:$BM$12)))</f>
        <v>0.6</v>
      </c>
      <c r="GL65" s="214">
        <f>IF(GL$7&gt;$D$3,"",IF($FA63&lt;GL$7,"OD",_xlfn.XLOOKUP(GL$7,'Maybole Manuf'!$M$6:$BM$6,'Maybole Manuf'!$M$12:$BM$12)))</f>
        <v>0.84</v>
      </c>
      <c r="GM65" s="214">
        <f>IF(GM$7&gt;$D$3,"",IF($FA63&lt;GM$7,"OD",_xlfn.XLOOKUP(GM$7,'Maybole Manuf'!$M$6:$BM$6,'Maybole Manuf'!$M$12:$BM$12)))</f>
        <v>0.91</v>
      </c>
      <c r="GN65" s="214">
        <f>IF(GN$7&gt;$D$3,"",IF($FA63&lt;GN$7,"OD",_xlfn.XLOOKUP(GN$7,'Maybole Manuf'!$M$6:$BM$6,'Maybole Manuf'!$M$12:$BM$12)))</f>
        <v>0.92</v>
      </c>
      <c r="GO65" s="214">
        <f>IF(GO$7&gt;$D$3,"",IF($FA63&lt;GO$7,"OD",_xlfn.XLOOKUP(GO$7,'Maybole Manuf'!$M$6:$BM$6,'Maybole Manuf'!$M$12:$BM$12)))</f>
        <v>0.95</v>
      </c>
      <c r="GP65" s="214">
        <f>IF(GP$7&gt;$D$3,"",IF($FA63&lt;GP$7,"OD",_xlfn.XLOOKUP(GP$7,'Maybole Manuf'!$M$6:$BM$6,'Maybole Manuf'!$M$12:$BM$12)))</f>
        <v>0.89</v>
      </c>
      <c r="GQ65" s="214">
        <f>IF(GQ$7&gt;$D$3,"",IF($FA63&lt;GQ$7,"OD",_xlfn.XLOOKUP(GQ$7,'Maybole Manuf'!$M$6:$BM$6,'Maybole Manuf'!$M$12:$BM$12)))</f>
        <v>0.95</v>
      </c>
      <c r="GR65" s="214">
        <f>IF(GR$7&gt;$D$3,"",IF($FA63&lt;GR$7,"OD",_xlfn.XLOOKUP(GR$7,'Maybole Manuf'!$M$6:$BM$6,'Maybole Manuf'!$M$12:$BM$12)))</f>
        <v>0.94</v>
      </c>
      <c r="GS65" s="214" t="str">
        <f>IF(GS$7&gt;$D$3,"",IF($FA63&lt;GS$7,"OD",_xlfn.XLOOKUP(GS$7,'Maybole Manuf'!$M$6:$BM$6,'Maybole Manuf'!$M$12:$BM$12)))</f>
        <v/>
      </c>
      <c r="GT65" s="214" t="str">
        <f>IF(GT$7&gt;$D$3,"",IF($FA63&lt;GT$7,"OD",_xlfn.XLOOKUP(GT$7,'Maybole Manuf'!$M$6:$BM$6,'Maybole Manuf'!$M$12:$BM$12)))</f>
        <v/>
      </c>
      <c r="GU65" s="214" t="str">
        <f>IF(GU$7&gt;$D$3,"",IF($FA63&lt;GU$7,"OD",_xlfn.XLOOKUP(GU$7,'Maybole Manuf'!$M$6:$BM$6,'Maybole Manuf'!$M$12:$BM$12)))</f>
        <v/>
      </c>
      <c r="GV65" s="214" t="str">
        <f>IF(GV$7&gt;$D$3,"",IF($FA63&lt;GV$7,"OD",_xlfn.XLOOKUP(GV$7,'Maybole Manuf'!$M$6:$BM$6,'Maybole Manuf'!$M$12:$BM$12)))</f>
        <v/>
      </c>
      <c r="GW65" s="214" t="str">
        <f>IF(GW$7&gt;$D$3,"",IF($FA63&lt;GW$7,"OD",_xlfn.XLOOKUP(GW$7,'Maybole Manuf'!$M$6:$BM$6,'Maybole Manuf'!$M$12:$BM$12)))</f>
        <v/>
      </c>
      <c r="GX65" s="214" t="str">
        <f>IF(GX$7&gt;$D$3,"",IF($FA63&lt;GX$7,"OD",_xlfn.XLOOKUP(GX$7,'Maybole Manuf'!$M$6:$BM$6,'Maybole Manuf'!$M$12:$BM$12)))</f>
        <v/>
      </c>
      <c r="GY65" s="214" t="str">
        <f>IF(GY$7&gt;$D$3,"",IF($FA63&lt;GY$7,"OD",_xlfn.XLOOKUP(GY$7,'Maybole Manuf'!$M$6:$BM$6,'Maybole Manuf'!$M$12:$BM$12)))</f>
        <v/>
      </c>
      <c r="GZ65" s="214" t="str">
        <f>IF(GZ$7&gt;$D$3,"",IF($FA63&lt;GZ$7,"OD",_xlfn.XLOOKUP(GZ$7,'Maybole Manuf'!$M$6:$BM$6,'Maybole Manuf'!$M$12:$BM$12)))</f>
        <v/>
      </c>
      <c r="HA65" s="214" t="str">
        <f>IF(HA$7&gt;$D$3,"",IF($FA63&lt;HA$7,"OD",_xlfn.XLOOKUP(HA$7,'Maybole Manuf'!$M$6:$BM$6,'Maybole Manuf'!$M$12:$BM$12)))</f>
        <v/>
      </c>
      <c r="HB65" s="214" t="str">
        <f>IF(HB$7&gt;$D$3,"",IF($FA63&lt;HB$7,"OD",_xlfn.XLOOKUP(HB$7,'Maybole Manuf'!$M$6:$BM$6,'Maybole Manuf'!$M$12:$BM$12)))</f>
        <v/>
      </c>
      <c r="HC65" s="214" t="str">
        <f>IF(HC$7&gt;$D$3,"",IF($FA63&lt;HC$7,"OD",_xlfn.XLOOKUP(HC$7,'Maybole Manuf'!$M$6:$BM$6,'Maybole Manuf'!$M$12:$BM$12)))</f>
        <v/>
      </c>
      <c r="HE65" s="136" t="str">
        <f>+$C65</f>
        <v>KPI D1</v>
      </c>
      <c r="HF65" s="144" t="str">
        <f>+$D65</f>
        <v>Delivery</v>
      </c>
      <c r="HG65" s="144" t="str">
        <f>+$E65</f>
        <v>Percentage of OTIF that achieved delivery date</v>
      </c>
      <c r="HH65" s="145" t="str">
        <f>+$F65</f>
        <v>Percentage</v>
      </c>
      <c r="HI65" s="196" t="s">
        <v>44</v>
      </c>
      <c r="HJ65" s="214" t="str">
        <f>IF(HJ$7&gt;$D$3,"",IF($FA63&lt;HJ$7,"OD",_xlfn.XLOOKUP(HJ$7,'Maybole Manuf'!$M$6:$BM$6,'Maybole Manuf'!$M$11:$BM$11)))</f>
        <v>Blank</v>
      </c>
      <c r="HK65" s="214" t="str">
        <f>IF(HK$7&gt;$D$3,"",IF($FA63&lt;HK$7,"OD",_xlfn.XLOOKUP(HK$7,'Maybole Manuf'!$M$6:$BM$6,'Maybole Manuf'!$M$11:$BM$11)))</f>
        <v>TBC</v>
      </c>
      <c r="HL65" s="214" t="str">
        <f>IF(HL$7&gt;$D$3,"",IF($FA63&lt;HL$7,"OD",_xlfn.XLOOKUP(HL$7,'Maybole Manuf'!$M$6:$BM$6,'Maybole Manuf'!$M$11:$BM$11)))</f>
        <v>TBC</v>
      </c>
      <c r="HM65" s="214" t="str">
        <f>IF(HM$7&gt;$D$3,"",IF($FA63&lt;HM$7,"OD",_xlfn.XLOOKUP(HM$7,'Maybole Manuf'!$M$6:$BM$6,'Maybole Manuf'!$M$11:$BM$11)))</f>
        <v>TBC</v>
      </c>
      <c r="HN65" s="214" t="str">
        <f>IF(HN$7&gt;$D$3,"",IF($FA63&lt;HN$7,"OD",_xlfn.XLOOKUP(HN$7,'Maybole Manuf'!$M$6:$BM$6,'Maybole Manuf'!$M$11:$BM$11)))</f>
        <v>TBC</v>
      </c>
      <c r="HO65" s="214" t="str">
        <f>IF(HO$7&gt;$D$3,"",IF($FA63&lt;HO$7,"OD",_xlfn.XLOOKUP(HO$7,'Maybole Manuf'!$M$6:$BM$6,'Maybole Manuf'!$M$11:$BM$11)))</f>
        <v>TBC</v>
      </c>
      <c r="HP65" s="214" t="str">
        <f>IF(HP$7&gt;$D$3,"",IF($FA63&lt;HP$7,"OD",_xlfn.XLOOKUP(HP$7,'Maybole Manuf'!$M$6:$BM$6,'Maybole Manuf'!$M$11:$BM$11)))</f>
        <v>TBC</v>
      </c>
      <c r="HQ65" s="214" t="str">
        <f>IF(HQ$7&gt;$D$3,"",IF($FA63&lt;HQ$7,"OD",_xlfn.XLOOKUP(HQ$7,'Maybole Manuf'!$M$6:$BM$6,'Maybole Manuf'!$M$11:$BM$11)))</f>
        <v>TBC</v>
      </c>
      <c r="HR65" s="214" t="str">
        <f>IF(HR$7&gt;$D$3,"",IF($FA63&lt;HR$7,"OD",_xlfn.XLOOKUP(HR$7,'Maybole Manuf'!$M$6:$BM$6,'Maybole Manuf'!$M$11:$BM$11)))</f>
        <v>TBC</v>
      </c>
      <c r="HS65" s="214" t="str">
        <f>IF(HS$7&gt;$D$3,"",IF($FA63&lt;HS$7,"OD",_xlfn.XLOOKUP(HS$7,'Maybole Manuf'!$M$6:$BM$6,'Maybole Manuf'!$M$11:$BM$11)))</f>
        <v>TBC</v>
      </c>
      <c r="HT65" s="214" t="str">
        <f>IF(HT$7&gt;$D$3,"",IF($FA63&lt;HT$7,"OD",_xlfn.XLOOKUP(HT$7,'Maybole Manuf'!$M$6:$BM$6,'Maybole Manuf'!$M$11:$BM$11)))</f>
        <v>TBC</v>
      </c>
      <c r="HU65" s="214" t="str">
        <f>IF(HU$7&gt;$D$3,"",IF($FA63&lt;HU$7,"OD",_xlfn.XLOOKUP(HU$7,'Maybole Manuf'!$M$6:$BM$6,'Maybole Manuf'!$M$11:$BM$11)))</f>
        <v>TBC</v>
      </c>
      <c r="HV65" s="214" t="str">
        <f>IF(HV$7&gt;$D$3,"",IF($FA63&lt;HV$7,"OD",_xlfn.XLOOKUP(HV$7,'Maybole Manuf'!$M$6:$BM$6,'Maybole Manuf'!$M$11:$BM$11)))</f>
        <v>TBC</v>
      </c>
      <c r="HW65" s="214">
        <f>IF(HW$7&gt;$D$3,"",IF($FA63&lt;HW$7,"OD",_xlfn.XLOOKUP(HW$7,'Maybole Manuf'!$M$6:$BM$6,'Maybole Manuf'!$M$11:$BM$11)))</f>
        <v>0.95</v>
      </c>
      <c r="HX65" s="214">
        <f>IF(HX$7&gt;$D$3,"",IF($FA63&lt;HX$7,"OD",_xlfn.XLOOKUP(HX$7,'Maybole Manuf'!$M$6:$BM$6,'Maybole Manuf'!$M$11:$BM$11)))</f>
        <v>0.95</v>
      </c>
      <c r="HY65" s="214">
        <f>IF(HY$7&gt;$D$3,"",IF($FA63&lt;HY$7,"OD",_xlfn.XLOOKUP(HY$7,'Maybole Manuf'!$M$6:$BM$6,'Maybole Manuf'!$M$11:$BM$11)))</f>
        <v>0.95</v>
      </c>
      <c r="HZ65" s="214">
        <f>IF(HZ$7&gt;$D$3,"",IF($FA63&lt;HZ$7,"OD",_xlfn.XLOOKUP(HZ$7,'Maybole Manuf'!$M$6:$BM$6,'Maybole Manuf'!$M$11:$BM$11)))</f>
        <v>0.95</v>
      </c>
      <c r="IA65" s="214">
        <f>IF(IA$7&gt;$D$3,"",IF($FA63&lt;IA$7,"OD",_xlfn.XLOOKUP(IA$7,'Maybole Manuf'!$M$6:$BM$6,'Maybole Manuf'!$M$11:$BM$11)))</f>
        <v>0.95</v>
      </c>
      <c r="IB65" s="214">
        <f>IF(IB$7&gt;$D$3,"",IF($FA63&lt;IB$7,"OD",_xlfn.XLOOKUP(IB$7,'Maybole Manuf'!$M$6:$BM$6,'Maybole Manuf'!$M$11:$BM$11)))</f>
        <v>0.95</v>
      </c>
      <c r="IC65" s="214">
        <f>IF(IC$7&gt;$D$3,"",IF($FA63&lt;IC$7,"OD",_xlfn.XLOOKUP(IC$7,'Maybole Manuf'!$M$6:$BM$6,'Maybole Manuf'!$M$11:$BM$11)))</f>
        <v>0.95</v>
      </c>
      <c r="ID65" s="214">
        <f>IF(ID$7&gt;$D$3,"",IF($FA63&lt;ID$7,"OD",_xlfn.XLOOKUP(ID$7,'Maybole Manuf'!$M$6:$BM$6,'Maybole Manuf'!$M$11:$BM$11)))</f>
        <v>0.95</v>
      </c>
      <c r="IE65" s="214">
        <f>IF(IE$7&gt;$D$3,"",IF($FA63&lt;IE$7,"OD",_xlfn.XLOOKUP(IE$7,'Maybole Manuf'!$M$6:$BM$6,'Maybole Manuf'!$M$11:$BM$11)))</f>
        <v>0.95</v>
      </c>
      <c r="IF65" s="214">
        <f>IF(IF$7&gt;$D$3,"",IF($FA63&lt;IF$7,"OD",_xlfn.XLOOKUP(IF$7,'Maybole Manuf'!$M$6:$BM$6,'Maybole Manuf'!$M$11:$BM$11)))</f>
        <v>0.95</v>
      </c>
      <c r="IG65" s="214">
        <f>IF(IG$7&gt;$D$3,"",IF($FA63&lt;IG$7,"OD",_xlfn.XLOOKUP(IG$7,'Maybole Manuf'!$M$6:$BM$6,'Maybole Manuf'!$M$11:$BM$11)))</f>
        <v>0.95</v>
      </c>
      <c r="IH65" s="214">
        <f>IF(IH$7&gt;$D$3,"",IF($FA63&lt;IH$7,"OD",_xlfn.XLOOKUP(IH$7,'Maybole Manuf'!$M$6:$BM$6,'Maybole Manuf'!$M$11:$BM$11)))</f>
        <v>0.95</v>
      </c>
      <c r="II65" s="214">
        <f>IF(II$7&gt;$D$3,"",IF($FA63&lt;II$7,"OD",_xlfn.XLOOKUP(II$7,'Maybole Manuf'!$M$6:$BM$6,'Maybole Manuf'!$M$11:$BM$11)))</f>
        <v>0.95</v>
      </c>
      <c r="IJ65" s="214">
        <f>IF(IJ$7&gt;$D$3,"",IF($FA63&lt;IJ$7,"OD",_xlfn.XLOOKUP(IJ$7,'Maybole Manuf'!$M$6:$BM$6,'Maybole Manuf'!$M$11:$BM$11)))</f>
        <v>0.95</v>
      </c>
      <c r="IK65" s="214">
        <f>IF(IK$7&gt;$D$3,"",IF($FA63&lt;IK$7,"OD",_xlfn.XLOOKUP(IK$7,'Maybole Manuf'!$M$6:$BM$6,'Maybole Manuf'!$M$11:$BM$11)))</f>
        <v>0.95</v>
      </c>
      <c r="IL65" s="214">
        <f>IF(IL$7&gt;$D$3,"",IF($FA63&lt;IL$7,"OD",_xlfn.XLOOKUP(IL$7,'Maybole Manuf'!$M$6:$BM$6,'Maybole Manuf'!$M$11:$BM$11)))</f>
        <v>0.95</v>
      </c>
      <c r="IM65" s="214">
        <f>IF(IM$7&gt;$D$3,"",IF($FA63&lt;IM$7,"OD",_xlfn.XLOOKUP(IM$7,'Maybole Manuf'!$M$6:$BM$6,'Maybole Manuf'!$M$11:$BM$11)))</f>
        <v>0.95</v>
      </c>
      <c r="IN65" s="214">
        <f>IF(IN$7&gt;$D$3,"",IF($FA63&lt;IN$7,"OD",_xlfn.XLOOKUP(IN$7,'Maybole Manuf'!$M$6:$BM$6,'Maybole Manuf'!$M$11:$BM$11)))</f>
        <v>0.95</v>
      </c>
      <c r="IO65" s="214">
        <f>IF(IO$7&gt;$D$3,"",IF($FA63&lt;IO$7,"OD",_xlfn.XLOOKUP(IO$7,'Maybole Manuf'!$M$6:$BM$6,'Maybole Manuf'!$M$11:$BM$11)))</f>
        <v>0.95</v>
      </c>
      <c r="IP65" s="214">
        <f>IF(IP$7&gt;$D$3,"",IF($FA63&lt;IP$7,"OD",_xlfn.XLOOKUP(IP$7,'Maybole Manuf'!$M$6:$BM$6,'Maybole Manuf'!$M$11:$BM$11)))</f>
        <v>0.95</v>
      </c>
      <c r="IQ65" s="214">
        <f>IF(IQ$7&gt;$D$3,"",IF($FA63&lt;IQ$7,"OD",_xlfn.XLOOKUP(IQ$7,'Maybole Manuf'!$M$6:$BM$6,'Maybole Manuf'!$M$11:$BM$11)))</f>
        <v>0.95</v>
      </c>
      <c r="IR65" s="214">
        <f>IF(IR$7&gt;$D$3,"",IF($FA63&lt;IR$7,"OD",_xlfn.XLOOKUP(IR$7,'Maybole Manuf'!$M$6:$BM$6,'Maybole Manuf'!$M$11:$BM$11)))</f>
        <v>0.95</v>
      </c>
      <c r="IS65" s="214">
        <f>IF(IS$7&gt;$D$3,"",IF($FA63&lt;IS$7,"OD",_xlfn.XLOOKUP(IS$7,'Maybole Manuf'!$M$6:$BM$6,'Maybole Manuf'!$M$11:$BM$11)))</f>
        <v>0.95</v>
      </c>
      <c r="IT65" s="214">
        <f>IF(IT$7&gt;$D$3,"",IF($FA63&lt;IT$7,"OD",_xlfn.XLOOKUP(IT$7,'Maybole Manuf'!$M$6:$BM$6,'Maybole Manuf'!$M$11:$BM$11)))</f>
        <v>0.95</v>
      </c>
      <c r="IU65" s="214">
        <f>IF(IU$7&gt;$D$3,"",IF($FA63&lt;IU$7,"OD",_xlfn.XLOOKUP(IU$7,'Maybole Manuf'!$M$6:$BM$6,'Maybole Manuf'!$M$11:$BM$11)))</f>
        <v>0.95</v>
      </c>
      <c r="IV65" s="214">
        <f>IF(IV$7&gt;$D$3,"",IF($FA63&lt;IV$7,"OD",_xlfn.XLOOKUP(IV$7,'Maybole Manuf'!$M$6:$BM$6,'Maybole Manuf'!$M$11:$BM$11)))</f>
        <v>0.95</v>
      </c>
      <c r="IW65" s="214">
        <f>IF(IW$7&gt;$D$3,"",IF($FA63&lt;IW$7,"OD",_xlfn.XLOOKUP(IW$7,'Maybole Manuf'!$M$6:$BM$6,'Maybole Manuf'!$M$11:$BM$11)))</f>
        <v>0.95</v>
      </c>
      <c r="IX65" s="214">
        <f>IF(IX$7&gt;$D$3,"",IF($FA63&lt;IX$7,"OD",_xlfn.XLOOKUP(IX$7,'Maybole Manuf'!$M$6:$BM$6,'Maybole Manuf'!$M$11:$BM$11)))</f>
        <v>0.95</v>
      </c>
      <c r="IY65" s="214">
        <f>IF(IY$7&gt;$D$3,"",IF($FA63&lt;IY$7,"OD",_xlfn.XLOOKUP(IY$7,'Maybole Manuf'!$M$6:$BM$6,'Maybole Manuf'!$M$11:$BM$11)))</f>
        <v>0.95</v>
      </c>
      <c r="IZ65" s="214" t="str">
        <f>IF(IZ$7&gt;$D$3,"",IF($FA63&lt;IZ$7,"OD",_xlfn.XLOOKUP(IZ$7,'Maybole Manuf'!$M$6:$BM$6,'Maybole Manuf'!$M$11:$BM$11)))</f>
        <v/>
      </c>
      <c r="JA65" s="214" t="str">
        <f>IF(JA$7&gt;$D$3,"",IF($FA63&lt;JA$7,"OD",_xlfn.XLOOKUP(JA$7,'Maybole Manuf'!$M$6:$BM$6,'Maybole Manuf'!$M$11:$BM$11)))</f>
        <v/>
      </c>
      <c r="JB65" s="214" t="str">
        <f>IF(JB$7&gt;$D$3,"",IF($FA63&lt;JB$7,"OD",_xlfn.XLOOKUP(JB$7,'Maybole Manuf'!$M$6:$BM$6,'Maybole Manuf'!$M$11:$BM$11)))</f>
        <v/>
      </c>
      <c r="JC65" s="214" t="str">
        <f>IF(JC$7&gt;$D$3,"",IF($FA63&lt;JC$7,"OD",_xlfn.XLOOKUP(JC$7,'Maybole Manuf'!$M$6:$BM$6,'Maybole Manuf'!$M$11:$BM$11)))</f>
        <v/>
      </c>
      <c r="JD65" s="214" t="str">
        <f>IF(JD$7&gt;$D$3,"",IF($FA63&lt;JD$7,"OD",_xlfn.XLOOKUP(JD$7,'Maybole Manuf'!$M$6:$BM$6,'Maybole Manuf'!$M$11:$BM$11)))</f>
        <v/>
      </c>
      <c r="JE65" s="214" t="str">
        <f>IF(JE$7&gt;$D$3,"",IF($FA63&lt;JE$7,"OD",_xlfn.XLOOKUP(JE$7,'Maybole Manuf'!$M$6:$BM$6,'Maybole Manuf'!$M$11:$BM$11)))</f>
        <v/>
      </c>
      <c r="JF65" s="214" t="str">
        <f>IF(JF$7&gt;$D$3,"",IF($FA63&lt;JF$7,"OD",_xlfn.XLOOKUP(JF$7,'Maybole Manuf'!$M$6:$BM$6,'Maybole Manuf'!$M$11:$BM$11)))</f>
        <v/>
      </c>
      <c r="JG65" s="214" t="str">
        <f>IF(JG$7&gt;$D$3,"",IF($FA63&lt;JG$7,"OD",_xlfn.XLOOKUP(JG$7,'Maybole Manuf'!$M$6:$BM$6,'Maybole Manuf'!$M$11:$BM$11)))</f>
        <v/>
      </c>
      <c r="JH65" s="214" t="str">
        <f>IF(JH$7&gt;$D$3,"",IF($FA63&lt;JH$7,"OD",_xlfn.XLOOKUP(JH$7,'Maybole Manuf'!$M$6:$BM$6,'Maybole Manuf'!$M$11:$BM$11)))</f>
        <v/>
      </c>
      <c r="JI65" s="214" t="str">
        <f>IF(JI$7&gt;$D$3,"",IF($FA63&lt;JI$7,"OD",_xlfn.XLOOKUP(JI$7,'Maybole Manuf'!$M$6:$BM$6,'Maybole Manuf'!$M$11:$BM$11)))</f>
        <v/>
      </c>
      <c r="JJ65" s="214" t="str">
        <f>IF(JJ$7&gt;$D$3,"",IF($FA63&lt;JJ$7,"OD",_xlfn.XLOOKUP(JJ$7,'Maybole Manuf'!$M$6:$BM$6,'Maybole Manuf'!$M$11:$BM$11)))</f>
        <v/>
      </c>
      <c r="JM65" s="136" t="str">
        <f>+$C65</f>
        <v>KPI D1</v>
      </c>
      <c r="JN65" s="144" t="str">
        <f>+$D65</f>
        <v>Delivery</v>
      </c>
      <c r="JO65" s="144" t="str">
        <f>+$E65</f>
        <v>Percentage of OTIF that achieved delivery date</v>
      </c>
      <c r="JP65" s="145" t="str">
        <f>+$F65</f>
        <v>Percentage</v>
      </c>
      <c r="JQ65" s="196" t="s">
        <v>284</v>
      </c>
      <c r="JR65" s="226" t="str">
        <f>IFERROR(AVERAGE(FC65:$FC65),"")</f>
        <v/>
      </c>
      <c r="JS65" s="226" t="str">
        <f>IFERROR(AVERAGE($FC65:FD65),"")</f>
        <v/>
      </c>
      <c r="JT65" s="226" t="str">
        <f>IFERROR(AVERAGE($FC65:FE65),"")</f>
        <v/>
      </c>
      <c r="JU65" s="226" t="str">
        <f>IFERROR(AVERAGE($FC65:FF65),"")</f>
        <v/>
      </c>
      <c r="JV65" s="226" t="str">
        <f>IFERROR(AVERAGE($FC65:FG65),"")</f>
        <v/>
      </c>
      <c r="JW65" s="226" t="str">
        <f>IFERROR(AVERAGE($FC65:FH65),"")</f>
        <v/>
      </c>
      <c r="JX65" s="226" t="str">
        <f>IFERROR(AVERAGE($FC65:FI65),"")</f>
        <v/>
      </c>
      <c r="JY65" s="226" t="str">
        <f>IFERROR(AVERAGE($FC65:FJ65),"")</f>
        <v/>
      </c>
      <c r="JZ65" s="226" t="str">
        <f>IFERROR(AVERAGE($FC65:FK65),"")</f>
        <v/>
      </c>
      <c r="KA65" s="226" t="str">
        <f>IFERROR(AVERAGE($FC65:FL65),"")</f>
        <v/>
      </c>
      <c r="KB65" s="226" t="str">
        <f>IFERROR(AVERAGE($FC65:FM65),"")</f>
        <v/>
      </c>
      <c r="KC65" s="226" t="str">
        <f>IFERROR(AVERAGE($FC65:FN65),"")</f>
        <v/>
      </c>
      <c r="KD65" s="226" t="str">
        <f>IFERROR(AVERAGE($FC65:FO65),"")</f>
        <v/>
      </c>
      <c r="KE65" s="226">
        <f>IFERROR(AVERAGE($FC65:FP65),"")</f>
        <v>0.65</v>
      </c>
      <c r="KF65" s="226">
        <f>IFERROR(AVERAGE($FC65:FQ65),"")</f>
        <v>0.79499999999999993</v>
      </c>
      <c r="KG65" s="226">
        <f>IFERROR(AVERAGE($FC65:FR65),"")</f>
        <v>0.86333333333333329</v>
      </c>
      <c r="KH65" s="226">
        <f>IFERROR(AVERAGE($FC65:FS65),"")</f>
        <v>0.87749999999999995</v>
      </c>
      <c r="KI65" s="226">
        <f>IFERROR(AVERAGE($FC65:FT65),"")</f>
        <v>0.87799999999999989</v>
      </c>
      <c r="KJ65" s="226">
        <f>IFERROR(AVERAGE($FC65:FU65),"")</f>
        <v>0.80166666666666664</v>
      </c>
      <c r="KK65" s="226">
        <f>IFERROR(AVERAGE($FC65:FV65),"")</f>
        <v>0.78142857142857136</v>
      </c>
      <c r="KL65" s="226">
        <f>IFERROR(AVERAGE($FC65:FW65),"")</f>
        <v>0.78874999999999995</v>
      </c>
      <c r="KM65" s="226">
        <f>IFERROR(AVERAGE($FC65:FX65),"")</f>
        <v>0.80555555555555558</v>
      </c>
      <c r="KN65" s="226">
        <f>IFERROR(AVERAGE($FC65:FY65),"")</f>
        <v>0.82300000000000006</v>
      </c>
      <c r="KO65" s="226">
        <f>IFERROR(AVERAGE($FC65:FZ65),"")</f>
        <v>0.83909090909090911</v>
      </c>
      <c r="KP65" s="226">
        <f>IFERROR(AVERAGE($FC65:GA65),"")</f>
        <v>0.85250000000000004</v>
      </c>
      <c r="KQ65" s="226">
        <f>IFERROR(AVERAGE($FC65:GB65),"")</f>
        <v>0.8584615384615385</v>
      </c>
      <c r="KR65" s="226">
        <f>IFERROR(AVERAGE($FC65:GC65),"")</f>
        <v>0.86357142857142855</v>
      </c>
      <c r="KS65" s="226">
        <f>IFERROR(AVERAGE($FC65:GD65),"")</f>
        <v>0.86399999999999999</v>
      </c>
      <c r="KT65" s="226">
        <f>IFERROR(AVERAGE($FC65:GE65),"")</f>
        <v>0.84749999999999992</v>
      </c>
      <c r="KU65" s="226">
        <f>IFERROR(AVERAGE($FC65:GF65),"")</f>
        <v>0.83117647058823518</v>
      </c>
      <c r="KV65" s="226">
        <f>IFERROR(AVERAGE($FC65:GG65),"")</f>
        <v>0.83722222222222209</v>
      </c>
      <c r="KW65" s="226">
        <f>IFERROR(AVERAGE($FC65:GH65),"")</f>
        <v>0.83894736842105255</v>
      </c>
      <c r="KX65" s="226">
        <f>IFERROR(AVERAGE($FC65:GI65),"")</f>
        <v>0.84699999999999986</v>
      </c>
      <c r="KY65" s="226">
        <f>IFERROR(AVERAGE($FC65:GJ65),"")</f>
        <v>0.84952380952380935</v>
      </c>
      <c r="KZ65" s="226">
        <f>IFERROR(AVERAGE($FC65:GK65),"")</f>
        <v>0.83818181818181803</v>
      </c>
      <c r="LA65" s="226">
        <f>IFERROR(AVERAGE($FC65:GL65),"")</f>
        <v>0.83826086956521728</v>
      </c>
      <c r="LB65" s="226">
        <f>IFERROR(AVERAGE($FC65:GM65),"")</f>
        <v>0.84124999999999994</v>
      </c>
      <c r="LC65" s="226">
        <f>IFERROR(AVERAGE($FC65:GN65),"")</f>
        <v>0.84439999999999993</v>
      </c>
      <c r="LD65" s="226">
        <f>IFERROR(AVERAGE($FC65:GO65),"")</f>
        <v>0.84846153846153838</v>
      </c>
      <c r="LE65" s="226">
        <f>IFERROR(AVERAGE($FC65:GP65),"")</f>
        <v>0.85</v>
      </c>
      <c r="LF65" s="226">
        <f>IFERROR(AVERAGE($FC65:GQ65),"")</f>
        <v>0.85357142857142854</v>
      </c>
      <c r="LG65" s="226">
        <f>IFERROR(AVERAGE($FC65:GR65),"")</f>
        <v>0.85655172413793101</v>
      </c>
      <c r="LH65" s="226">
        <f>IFERROR(AVERAGE($FC65:GS65),"")</f>
        <v>0.85655172413793101</v>
      </c>
      <c r="LI65" s="226">
        <f>IFERROR(AVERAGE($FC65:GT65),"")</f>
        <v>0.85655172413793101</v>
      </c>
      <c r="LJ65" s="226">
        <f>IFERROR(AVERAGE($FC65:GU65),"")</f>
        <v>0.85655172413793101</v>
      </c>
      <c r="LK65" s="226">
        <f>IFERROR(AVERAGE($FC65:GV65),"")</f>
        <v>0.85655172413793101</v>
      </c>
      <c r="LL65" s="226">
        <f>IFERROR(AVERAGE($FC65:GW65),"")</f>
        <v>0.85655172413793101</v>
      </c>
      <c r="LM65" s="226">
        <f>IFERROR(AVERAGE($FC65:GX65),"")</f>
        <v>0.85655172413793101</v>
      </c>
      <c r="LN65" s="226">
        <f>IFERROR(AVERAGE($FC65:GY65),"")</f>
        <v>0.85655172413793101</v>
      </c>
      <c r="LO65" s="226">
        <f>IFERROR(AVERAGE($FC65:GZ65),"")</f>
        <v>0.85655172413793101</v>
      </c>
      <c r="LP65" s="226">
        <f>IFERROR(AVERAGE($FC65:HA65),"")</f>
        <v>0.85655172413793101</v>
      </c>
      <c r="LQ65" s="226">
        <f>IFERROR(AVERAGE($FC65:HB65),"")</f>
        <v>0.85655172413793101</v>
      </c>
      <c r="LR65" s="226">
        <f>IFERROR(AVERAGE($FC65:HC65),"")</f>
        <v>0.85655172413793101</v>
      </c>
      <c r="LT65" s="136" t="str">
        <f>+$C65</f>
        <v>KPI D1</v>
      </c>
      <c r="LU65" s="144" t="str">
        <f>+$D65</f>
        <v>Delivery</v>
      </c>
      <c r="LV65" s="144" t="str">
        <f>+$E65</f>
        <v>Percentage of OTIF that achieved delivery date</v>
      </c>
      <c r="LW65" s="145" t="str">
        <f>+$F65</f>
        <v>Percentage</v>
      </c>
      <c r="LX65" s="196" t="s">
        <v>285</v>
      </c>
      <c r="LY65" s="226" t="str">
        <f>IFERROR(AVERAGE($HJ65:HJ65),"")</f>
        <v/>
      </c>
      <c r="LZ65" s="226" t="str">
        <f>IFERROR(IF(LAD$7&gt;$D$3,"",AVERAGE($HJ65:HK65)),"")</f>
        <v/>
      </c>
      <c r="MA65" s="226" t="str">
        <f>IFERROR(IF(MA$7&gt;$D$3,"",AVERAGE($HJ65:HL65)),"")</f>
        <v/>
      </c>
      <c r="MB65" s="226" t="str">
        <f>IFERROR(IF(MB$7&gt;$D$3,"",AVERAGE($HJ65:HM65)),"")</f>
        <v/>
      </c>
      <c r="MC65" s="226" t="str">
        <f>IFERROR(IF(MC$7&gt;$D$3,"",AVERAGE($HJ65:HN65)),"")</f>
        <v/>
      </c>
      <c r="MD65" s="226" t="str">
        <f>IFERROR(IF(MD$7&gt;$D$3,"",AVERAGE($HJ65:HO65)),"")</f>
        <v/>
      </c>
      <c r="ME65" s="226" t="str">
        <f>IFERROR(IF(ME$7&gt;$D$3,"",AVERAGE($HJ65:HP65)),"")</f>
        <v/>
      </c>
      <c r="MF65" s="226" t="str">
        <f>IFERROR(IF(MF$7&gt;$D$3,"",AVERAGE($HJ65:HQ65)),"")</f>
        <v/>
      </c>
      <c r="MG65" s="226" t="str">
        <f>IFERROR(IF(MG$7&gt;$D$3,"",AVERAGE($HJ65:HR65)),"")</f>
        <v/>
      </c>
      <c r="MH65" s="226" t="str">
        <f>IFERROR(IF(MH$7&gt;$D$3,"",AVERAGE($HJ65:HS65)),"")</f>
        <v/>
      </c>
      <c r="MI65" s="226" t="str">
        <f>IFERROR(IF(MI$7&gt;$D$3,"",AVERAGE($HJ65:HT65)),"")</f>
        <v/>
      </c>
      <c r="MJ65" s="226" t="str">
        <f>IFERROR(IF(MJ$7&gt;$D$3,"",AVERAGE($HJ65:HU65)),"")</f>
        <v/>
      </c>
      <c r="MK65" s="226" t="str">
        <f>IFERROR(IF(MK$7&gt;$D$3,"",AVERAGE($HJ65:HV65)),"")</f>
        <v/>
      </c>
      <c r="ML65" s="226">
        <f>IFERROR(IF(ML$7&gt;$D$3,"",AVERAGE($HJ65:HW65)),"")</f>
        <v>0.95</v>
      </c>
      <c r="MM65" s="226">
        <f>IFERROR(IF(MM$7&gt;$D$3,"",AVERAGE($HJ65:HX65)),"")</f>
        <v>0.95</v>
      </c>
      <c r="MN65" s="226">
        <f>IFERROR(IF(MN$7&gt;$D$3,"",AVERAGE($HJ65:HY65)),"")</f>
        <v>0.94999999999999984</v>
      </c>
      <c r="MO65" s="226">
        <f>IFERROR(IF(MO$7&gt;$D$3,"",AVERAGE($HJ65:HZ65)),"")</f>
        <v>0.95</v>
      </c>
      <c r="MP65" s="226">
        <f>IFERROR(IF(MP$7&gt;$D$3,"",AVERAGE($HJ65:IA65)),"")</f>
        <v>0.95</v>
      </c>
      <c r="MQ65" s="226">
        <f>IFERROR(IF(MQ$7&gt;$D$3,"",AVERAGE($HJ65:IB65)),"")</f>
        <v>0.95000000000000007</v>
      </c>
      <c r="MR65" s="226">
        <f>IFERROR(IF(MR$7&gt;$D$3,"",AVERAGE($HJ65:IC65)),"")</f>
        <v>0.95000000000000007</v>
      </c>
      <c r="MS65" s="226">
        <f>IFERROR(IF(MS$7&gt;$D$3,"",AVERAGE($HJ65:ID65)),"")</f>
        <v>0.95000000000000007</v>
      </c>
      <c r="MT65" s="226">
        <f>IFERROR(IF(MT$7&gt;$D$3,"",AVERAGE($HJ65:IE65)),"")</f>
        <v>0.95000000000000007</v>
      </c>
      <c r="MU65" s="226">
        <f>IFERROR(IF(MU$7&gt;$D$3,"",AVERAGE($HJ65:IF65)),"")</f>
        <v>0.95</v>
      </c>
      <c r="MV65" s="226">
        <f>IFERROR(IF(MV$7&gt;$D$3,"",AVERAGE($HJ65:IG65)),"")</f>
        <v>0.95</v>
      </c>
      <c r="MW65" s="226">
        <f>IFERROR(IF(MW$7&gt;$D$3,"",AVERAGE($HJ65:IH65)),"")</f>
        <v>0.94999999999999984</v>
      </c>
      <c r="MX65" s="226">
        <f>IFERROR(IF(MX$7&gt;$D$3,"",AVERAGE($HJ65:II65)),"")</f>
        <v>0.94999999999999984</v>
      </c>
      <c r="MY65" s="226">
        <f>IFERROR(IF(MY$7&gt;$D$3,"",AVERAGE($HJ65:IJ65)),"")</f>
        <v>0.94999999999999984</v>
      </c>
      <c r="MZ65" s="226">
        <f>IFERROR(IF(MZ$7&gt;$D$3,"",AVERAGE($HJ65:IK65)),"")</f>
        <v>0.94999999999999973</v>
      </c>
      <c r="NA65" s="226">
        <f>IFERROR(IF(NA$7&gt;$D$3,"",AVERAGE($HJ65:IL65)),"")</f>
        <v>0.94999999999999973</v>
      </c>
      <c r="NB65" s="226">
        <f>IFERROR(IF(NB$7&gt;$D$3,"",AVERAGE($HJ65:IM65)),"")</f>
        <v>0.94999999999999973</v>
      </c>
      <c r="NC65" s="226">
        <f>IFERROR(IF(NC$7&gt;$D$3,"",AVERAGE($HJ65:IN65)),"")</f>
        <v>0.94999999999999973</v>
      </c>
      <c r="ND65" s="226">
        <f>IFERROR(IF(ND$7&gt;$D$3,"",AVERAGE($HJ65:IO65)),"")</f>
        <v>0.94999999999999962</v>
      </c>
      <c r="NE65" s="226">
        <f>IFERROR(IF(NE$7&gt;$D$3,"",AVERAGE($HJ65:IP65)),"")</f>
        <v>0.94999999999999962</v>
      </c>
      <c r="NF65" s="226">
        <f>IFERROR(IF(NF$7&gt;$D$3,"",AVERAGE($HJ65:IQ65)),"")</f>
        <v>0.94999999999999962</v>
      </c>
      <c r="NG65" s="226">
        <f>IFERROR(IF(NG$7&gt;$D$3,"",AVERAGE($HJ65:IR65)),"")</f>
        <v>0.94999999999999962</v>
      </c>
      <c r="NH65" s="226">
        <f>IFERROR(IF(NH$7&gt;$D$3,"",AVERAGE($HJ65:IS65)),"")</f>
        <v>0.94999999999999962</v>
      </c>
      <c r="NI65" s="226">
        <f>IFERROR(IF(NI$7&gt;$D$3,"",AVERAGE($HJ65:IT65)),"")</f>
        <v>0.94999999999999962</v>
      </c>
      <c r="NJ65" s="226">
        <f>IFERROR(IF(NJ$7&gt;$D$3,"",AVERAGE($HJ65:IU65)),"")</f>
        <v>0.94999999999999962</v>
      </c>
      <c r="NK65" s="226">
        <f>IFERROR(IF(NK$7&gt;$D$3,"",AVERAGE($HJ65:IV65)),"")</f>
        <v>0.94999999999999951</v>
      </c>
      <c r="NL65" s="226">
        <f>IFERROR(IF(NL$7&gt;$D$3,"",AVERAGE($HJ65:IW65)),"")</f>
        <v>0.94999999999999951</v>
      </c>
      <c r="NM65" s="226">
        <f>IFERROR(IF(NM$7&gt;$D$3,"",AVERAGE($HJ65:IX65)),"")</f>
        <v>0.94999999999999951</v>
      </c>
      <c r="NN65" s="226">
        <f>IFERROR(IF(NN$7&gt;$D$3,"",AVERAGE($HJ65:IY65)),"")</f>
        <v>0.94999999999999951</v>
      </c>
      <c r="NO65" s="226" t="str">
        <f>IFERROR(IF(NO$7&gt;$D$3,"",AVERAGE($HJ65:IZ65)),"")</f>
        <v/>
      </c>
      <c r="NP65" s="226" t="str">
        <f>IFERROR(IF(NP$7&gt;$D$3,"",AVERAGE($HJ65:JA65)),"")</f>
        <v/>
      </c>
      <c r="NQ65" s="226" t="str">
        <f>IFERROR(IF(NQ$7&gt;$D$3,"",AVERAGE($HJ65:JB65)),"")</f>
        <v/>
      </c>
      <c r="NR65" s="226" t="str">
        <f>IFERROR(IF(NR$7&gt;$D$3,"",AVERAGE($HJ65:JC65)),"")</f>
        <v/>
      </c>
      <c r="NS65" s="226" t="str">
        <f>IFERROR(IF(NS$7&gt;$D$3,"",AVERAGE($HJ65:JD65)),"")</f>
        <v/>
      </c>
      <c r="NT65" s="226" t="str">
        <f>IFERROR(IF(NT$7&gt;$D$3,"",AVERAGE($HJ65:JE65)),"")</f>
        <v/>
      </c>
      <c r="NU65" s="226" t="str">
        <f>IFERROR(IF(NU$7&gt;$D$3,"",AVERAGE($HJ65:JF65)),"")</f>
        <v/>
      </c>
      <c r="NV65" s="226" t="str">
        <f>IFERROR(IF(NV$7&gt;$D$3,"",AVERAGE($HJ65:JG65)),"")</f>
        <v/>
      </c>
      <c r="NW65" s="226" t="str">
        <f>IFERROR(IF(NW$7&gt;$D$3,"",AVERAGE($HJ65:JH65)),"")</f>
        <v/>
      </c>
      <c r="NX65" s="226" t="str">
        <f>IFERROR(IF(NX$7&gt;$D$3,"",AVERAGE($HJ65:JI65)),"")</f>
        <v/>
      </c>
      <c r="NY65" s="226" t="str">
        <f>IFERROR(IF(NY$7&gt;$D$3,"",AVERAGE($HJ65:JJ65)),"")</f>
        <v/>
      </c>
    </row>
    <row r="66" spans="1:389" x14ac:dyDescent="0.3">
      <c r="A66" t="str">
        <f>$B$63&amp;"-"&amp;C66</f>
        <v>Maybole Manuf-KPI Q1</v>
      </c>
      <c r="B66" s="918">
        <f>+'KPI Stats'!B65</f>
        <v>0</v>
      </c>
      <c r="C66" s="136" t="str">
        <f>+'KPI Stats'!C65</f>
        <v>KPI Q1</v>
      </c>
      <c r="D66" s="144" t="str">
        <f>+'KPI Stats'!D65</f>
        <v>Quality</v>
      </c>
      <c r="E66" s="144" t="str">
        <f>+'KPI Stats'!E65</f>
        <v>Customer Complaints</v>
      </c>
      <c r="F66" s="145" t="str">
        <f>+'KPI Stats'!F65</f>
        <v>Count</v>
      </c>
      <c r="G66" s="169" t="str">
        <f>+'KPI Stats'!G65</f>
        <v>Over</v>
      </c>
      <c r="J66" s="69" t="str">
        <f>_xlfn.XLOOKUP(J$7,$AM$7:$CM$7,$AM66:$CM66,,FALSE)</f>
        <v>R</v>
      </c>
      <c r="K66" s="264">
        <f>_xlfn.XLOOKUP(K$7,$FC$7:$HC$7,$FC66:$HC66,,FALSE)</f>
        <v>1</v>
      </c>
      <c r="L66" s="278">
        <f>_xlfn.XLOOKUP(L$7,$HJ$7:$JJ$7,$HJ66:$JJ66,,FALSE)</f>
        <v>0.5</v>
      </c>
      <c r="M66" s="372" t="s">
        <v>295</v>
      </c>
      <c r="P66" s="69" t="str">
        <f>_xlfn.XLOOKUP(P$7,$AM$7:$CM$7,$AM66:$CM66,,FALSE)</f>
        <v>R</v>
      </c>
      <c r="Q66" s="264">
        <f t="shared" si="211"/>
        <v>1</v>
      </c>
      <c r="R66" s="278">
        <f t="shared" si="211"/>
        <v>0</v>
      </c>
      <c r="S66" s="373" t="s">
        <v>295</v>
      </c>
      <c r="T66" s="374" t="s">
        <v>295</v>
      </c>
      <c r="U66" s="295" t="str">
        <f>IF(F63&lt;$R$2,"Not Complete",IF(Q66=R66,"Same −",IF($G66="Over",IF(Q66&lt;R66,"Better ↑","Worse ↓"),IF($G66="Under",IF(Q66&gt;R66,"Better ↑","Worse ↓"),"err"))))</f>
        <v>Worse ↓</v>
      </c>
      <c r="X66" s="69" t="str">
        <f t="shared" si="213"/>
        <v>R</v>
      </c>
      <c r="Y66" s="264">
        <f>_xlfn.XLOOKUP(Y$7,$JR$7:$LR$7,$JR66:$LR66,FALSE)</f>
        <v>0.55172413793103448</v>
      </c>
      <c r="Z66" s="278">
        <f>_xlfn.XLOOKUP(Z$7,$LY$7:$NY$7,$LY66:$NY66,FALSE)</f>
        <v>0.5</v>
      </c>
      <c r="AA66" s="275">
        <f>IF(G66="under",Y66/Z66,IF(G66="over",Z66/Y66,"err"))</f>
        <v>0.90625</v>
      </c>
      <c r="AB66" s="295" t="str">
        <f>IF(F63&lt;$R$2,"TBC",IF(Y66=Z66,"Same −",IF($G66="Over",IF(Z66&lt;Y66,"Better ↑ ","Worse ↓ "),IF($G66="Under",IF(Y66&gt;Z66,"Better ↑ ","Worse ↓ "),"err"))))</f>
        <v xml:space="preserve">Better ↑ </v>
      </c>
      <c r="AC66" s="69" t="str">
        <f>IF(AND(G66="above adero",AD66&gt;0),"R",IF(AF66&gt;1,"G",IF(AF66&gt;0.95,"A","R")))</f>
        <v>R</v>
      </c>
      <c r="AD66" s="114">
        <f>_xlfn.XLOOKUP(AD$7,$JR$7:$LR$7,$JR66:$LR66,FALSE)</f>
        <v>0.5357142857142857</v>
      </c>
      <c r="AE66" s="114">
        <f>_xlfn.XLOOKUP(AE$7,$LY$7:$NY$7,$LY66:$NY66,FALSE)</f>
        <v>0.5</v>
      </c>
      <c r="AF66" s="252">
        <f>IF(G66="under",AD66/AE66,IF(G66="over",AE66/AD66,"err"))</f>
        <v>0.93333333333333335</v>
      </c>
      <c r="AH66" s="465" t="str">
        <f>+$A66</f>
        <v>Maybole Manuf-KPI Q1</v>
      </c>
      <c r="AI66" s="136" t="str">
        <f t="shared" si="214"/>
        <v>KPI Q1</v>
      </c>
      <c r="AJ66" s="144" t="str">
        <f t="shared" si="214"/>
        <v>Quality</v>
      </c>
      <c r="AK66" s="144" t="str">
        <f t="shared" si="200"/>
        <v>Customer Complaints</v>
      </c>
      <c r="AL66" s="145" t="str">
        <f t="shared" si="200"/>
        <v>Count</v>
      </c>
      <c r="AM66" s="69" t="str">
        <f>IF(AM$7&gt;$D$3,"",_xlfn.XLOOKUP(AM$7,'Maybole Manuf'!$M$6:$BM$6,'Maybole Manuf'!$M$16:$BM$16))</f>
        <v>Blank</v>
      </c>
      <c r="AN66" s="199" t="str">
        <f>IF(AN$7&gt;$D$3,"",_xlfn.XLOOKUP(AN$7,'Maybole Manuf'!$M$6:$BM$6,'Maybole Manuf'!$M$16:$BM$16))</f>
        <v>TBC</v>
      </c>
      <c r="AO66" s="69" t="str">
        <f>IF(AO$7&gt;$D$3,"",_xlfn.XLOOKUP(AO$7,'Maybole Manuf'!$M$6:$BM$6,'Maybole Manuf'!$M$16:$BM$16))</f>
        <v>TBC</v>
      </c>
      <c r="AP66" s="69" t="str">
        <f>IF(AP$7&gt;$D$3,"",_xlfn.XLOOKUP(AP$7,'Maybole Manuf'!$M$6:$BM$6,'Maybole Manuf'!$M$16:$BM$16))</f>
        <v>TBC</v>
      </c>
      <c r="AQ66" s="69" t="str">
        <f>IF(AQ$7&gt;$D$3,"",_xlfn.XLOOKUP(AQ$7,'Maybole Manuf'!$M$6:$BM$6,'Maybole Manuf'!$M$16:$BM$16))</f>
        <v>TBC</v>
      </c>
      <c r="AR66" s="69" t="str">
        <f>IF(AR$7&gt;$D$3,"",_xlfn.XLOOKUP(AR$7,'Maybole Manuf'!$M$6:$BM$6,'Maybole Manuf'!$M$16:$BM$16))</f>
        <v>TBC</v>
      </c>
      <c r="AS66" s="69" t="str">
        <f>IF(AS$7&gt;$D$3,"",_xlfn.XLOOKUP(AS$7,'Maybole Manuf'!$M$6:$BM$6,'Maybole Manuf'!$M$16:$BM$16))</f>
        <v>TBC</v>
      </c>
      <c r="AT66" s="69" t="str">
        <f>IF(AT$7&gt;$D$3,"",_xlfn.XLOOKUP(AT$7,'Maybole Manuf'!$M$6:$BM$6,'Maybole Manuf'!$M$16:$BM$16))</f>
        <v>TBC</v>
      </c>
      <c r="AU66" s="69" t="str">
        <f>IF(AU$7&gt;$D$3,"",_xlfn.XLOOKUP(AU$7,'Maybole Manuf'!$M$6:$BM$6,'Maybole Manuf'!$M$16:$BM$16))</f>
        <v>TBC</v>
      </c>
      <c r="AV66" s="69" t="str">
        <f>IF(AV$7&gt;$D$3,"",_xlfn.XLOOKUP(AV$7,'Maybole Manuf'!$M$6:$BM$6,'Maybole Manuf'!$M$16:$BM$16))</f>
        <v>TBC</v>
      </c>
      <c r="AW66" s="69" t="str">
        <f>IF(AW$7&gt;$D$3,"",_xlfn.XLOOKUP(AW$7,'Maybole Manuf'!$M$6:$BM$6,'Maybole Manuf'!$M$16:$BM$16))</f>
        <v>TBC</v>
      </c>
      <c r="AX66" s="69" t="str">
        <f>IF(AX$7&gt;$D$3,"",_xlfn.XLOOKUP(AX$7,'Maybole Manuf'!$M$6:$BM$6,'Maybole Manuf'!$M$16:$BM$16))</f>
        <v>TBC</v>
      </c>
      <c r="AY66" s="69" t="str">
        <f>IF(AY$7&gt;$D$3,"",_xlfn.XLOOKUP(AY$7,'Maybole Manuf'!$M$6:$BM$6,'Maybole Manuf'!$M$16:$BM$16))</f>
        <v>TBC</v>
      </c>
      <c r="AZ66" s="69" t="str">
        <f>IF(AZ$7&gt;$D$3,"",_xlfn.XLOOKUP(AZ$7,'Maybole Manuf'!$M$6:$BM$6,'Maybole Manuf'!$M$16:$BM$16))</f>
        <v>R</v>
      </c>
      <c r="BA66" s="69" t="str">
        <f>IF(BA$7&gt;$D$3,"",_xlfn.XLOOKUP(BA$7,'Maybole Manuf'!$M$6:$BM$6,'Maybole Manuf'!$M$16:$BM$16))</f>
        <v>G</v>
      </c>
      <c r="BB66" s="69" t="str">
        <f>IF(BB$7&gt;$D$3,"",_xlfn.XLOOKUP(BB$7,'Maybole Manuf'!$M$6:$BM$6,'Maybole Manuf'!$M$16:$BM$16))</f>
        <v>R</v>
      </c>
      <c r="BC66" s="69" t="str">
        <f>IF(BC$7&gt;$D$3,"",_xlfn.XLOOKUP(BC$7,'Maybole Manuf'!$M$6:$BM$6,'Maybole Manuf'!$M$16:$BM$16))</f>
        <v>G</v>
      </c>
      <c r="BD66" s="69" t="str">
        <f>IF(BD$7&gt;$D$3,"",_xlfn.XLOOKUP(BD$7,'Maybole Manuf'!$M$6:$BM$6,'Maybole Manuf'!$M$16:$BM$16))</f>
        <v>G</v>
      </c>
      <c r="BE66" s="69" t="str">
        <f>IF(BE$7&gt;$D$3,"",_xlfn.XLOOKUP(BE$7,'Maybole Manuf'!$M$6:$BM$6,'Maybole Manuf'!$M$16:$BM$16))</f>
        <v>G</v>
      </c>
      <c r="BF66" s="69" t="str">
        <f>IF(BF$7&gt;$D$3,"",_xlfn.XLOOKUP(BF$7,'Maybole Manuf'!$M$6:$BM$6,'Maybole Manuf'!$M$16:$BM$16))</f>
        <v>R</v>
      </c>
      <c r="BG66" s="69" t="str">
        <f>IF(BG$7&gt;$D$3,"",_xlfn.XLOOKUP(BG$7,'Maybole Manuf'!$M$6:$BM$6,'Maybole Manuf'!$M$16:$BM$16))</f>
        <v>G</v>
      </c>
      <c r="BH66" s="69" t="str">
        <f>IF(BH$7&gt;$D$3,"",_xlfn.XLOOKUP(BH$7,'Maybole Manuf'!$M$6:$BM$6,'Maybole Manuf'!$M$16:$BM$16))</f>
        <v>G</v>
      </c>
      <c r="BI66" s="69" t="str">
        <f>IF(BI$7&gt;$D$3,"",_xlfn.XLOOKUP(BI$7,'Maybole Manuf'!$M$6:$BM$6,'Maybole Manuf'!$M$16:$BM$16))</f>
        <v>G</v>
      </c>
      <c r="BJ66" s="69" t="str">
        <f>IF(BJ$7&gt;$D$3,"",_xlfn.XLOOKUP(BJ$7,'Maybole Manuf'!$M$6:$BM$6,'Maybole Manuf'!$M$16:$BM$16))</f>
        <v>G</v>
      </c>
      <c r="BK66" s="69" t="str">
        <f>IF(BK$7&gt;$D$3,"",_xlfn.XLOOKUP(BK$7,'Maybole Manuf'!$M$6:$BM$6,'Maybole Manuf'!$M$16:$BM$16))</f>
        <v>G</v>
      </c>
      <c r="BL66" s="69" t="str">
        <f>IF(BL$7&gt;$D$3,"",_xlfn.XLOOKUP(BL$7,'Maybole Manuf'!$M$6:$BM$6,'Maybole Manuf'!$M$16:$BM$16))</f>
        <v>R</v>
      </c>
      <c r="BM66" s="69" t="str">
        <f>IF(BM$7&gt;$D$3,"",_xlfn.XLOOKUP(BM$7,'Maybole Manuf'!$M$6:$BM$6,'Maybole Manuf'!$M$16:$BM$16))</f>
        <v>R</v>
      </c>
      <c r="BN66" s="69" t="str">
        <f>IF(BN$7&gt;$D$3,"",_xlfn.XLOOKUP(BN$7,'Maybole Manuf'!$M$6:$BM$6,'Maybole Manuf'!$M$16:$BM$16))</f>
        <v>R</v>
      </c>
      <c r="BO66" s="69" t="str">
        <f>IF(BO$7&gt;$D$3,"",_xlfn.XLOOKUP(BO$7,'Maybole Manuf'!$M$6:$BM$6,'Maybole Manuf'!$M$16:$BM$16))</f>
        <v>R</v>
      </c>
      <c r="BP66" s="69" t="str">
        <f>IF(BP$7&gt;$D$3,"",_xlfn.XLOOKUP(BP$7,'Maybole Manuf'!$M$6:$BM$6,'Maybole Manuf'!$M$16:$BM$16))</f>
        <v>R</v>
      </c>
      <c r="BQ66" s="69" t="str">
        <f>IF(BQ$7&gt;$D$3,"",_xlfn.XLOOKUP(BQ$7,'Maybole Manuf'!$M$6:$BM$6,'Maybole Manuf'!$M$16:$BM$16))</f>
        <v>G</v>
      </c>
      <c r="BR66" s="69" t="str">
        <f>IF(BR$7&gt;$D$3,"",_xlfn.XLOOKUP(BR$7,'Maybole Manuf'!$M$6:$BM$6,'Maybole Manuf'!$M$16:$BM$16))</f>
        <v>G</v>
      </c>
      <c r="BS66" s="69" t="str">
        <f>IF(BS$7&gt;$D$3,"",_xlfn.XLOOKUP(BS$7,'Maybole Manuf'!$M$6:$BM$6,'Maybole Manuf'!$M$16:$BM$16))</f>
        <v>G</v>
      </c>
      <c r="BT66" s="69" t="str">
        <f>IF(BT$7&gt;$D$3,"",_xlfn.XLOOKUP(BT$7,'Maybole Manuf'!$M$6:$BM$6,'Maybole Manuf'!$M$16:$BM$16))</f>
        <v>R</v>
      </c>
      <c r="BU66" s="69" t="str">
        <f>IF(BU$7&gt;$D$3,"",_xlfn.XLOOKUP(BU$7,'Maybole Manuf'!$M$6:$BM$6,'Maybole Manuf'!$M$16:$BM$16))</f>
        <v>G</v>
      </c>
      <c r="BV66" s="69" t="str">
        <f>IF(BV$7&gt;$D$3,"",_xlfn.XLOOKUP(BV$7,'Maybole Manuf'!$M$6:$BM$6,'Maybole Manuf'!$M$16:$BM$16))</f>
        <v>G</v>
      </c>
      <c r="BW66" s="69" t="str">
        <f>IF(BW$7&gt;$D$3,"",_xlfn.XLOOKUP(BW$7,'Maybole Manuf'!$M$6:$BM$6,'Maybole Manuf'!$M$16:$BM$16))</f>
        <v>G</v>
      </c>
      <c r="BX66" s="69" t="str">
        <f>IF(BX$7&gt;$D$3,"",_xlfn.XLOOKUP(BX$7,'Maybole Manuf'!$M$6:$BM$6,'Maybole Manuf'!$M$16:$BM$16))</f>
        <v>R</v>
      </c>
      <c r="BY66" s="69" t="str">
        <f>IF(BY$7&gt;$D$3,"",_xlfn.XLOOKUP(BY$7,'Maybole Manuf'!$M$6:$BM$6,'Maybole Manuf'!$M$16:$BM$16))</f>
        <v>G</v>
      </c>
      <c r="BZ66" s="69" t="str">
        <f>IF(BZ$7&gt;$D$3,"",_xlfn.XLOOKUP(BZ$7,'Maybole Manuf'!$M$6:$BM$6,'Maybole Manuf'!$M$16:$BM$16))</f>
        <v>G</v>
      </c>
      <c r="CA66" s="69" t="str">
        <f>IF(CA$7&gt;$D$3,"",_xlfn.XLOOKUP(CA$7,'Maybole Manuf'!$M$6:$BM$6,'Maybole Manuf'!$M$16:$BM$16))</f>
        <v>G</v>
      </c>
      <c r="CB66" s="69" t="str">
        <f>IF(CB$7&gt;$D$3,"",_xlfn.XLOOKUP(CB$7,'Maybole Manuf'!$M$6:$BM$6,'Maybole Manuf'!$M$16:$BM$16))</f>
        <v>R</v>
      </c>
      <c r="CC66" s="69" t="str">
        <f>IF(CC$7&gt;$D$3,"",_xlfn.XLOOKUP(CC$7,'Maybole Manuf'!$M$6:$BM$6,'Maybole Manuf'!$M$16:$BM$16))</f>
        <v/>
      </c>
      <c r="CD66" s="69" t="str">
        <f>IF(CD$7&gt;$D$3,"",_xlfn.XLOOKUP(CD$7,'Maybole Manuf'!$M$6:$BM$6,'Maybole Manuf'!$M$16:$BM$16))</f>
        <v/>
      </c>
      <c r="CE66" s="69" t="str">
        <f>IF(CE$7&gt;$D$3,"",_xlfn.XLOOKUP(CE$7,'Maybole Manuf'!$M$6:$BM$6,'Maybole Manuf'!$M$16:$BM$16))</f>
        <v/>
      </c>
      <c r="CF66" s="69" t="str">
        <f>IF(CF$7&gt;$D$3,"",_xlfn.XLOOKUP(CF$7,'Maybole Manuf'!$M$6:$BM$6,'Maybole Manuf'!$M$16:$BM$16))</f>
        <v/>
      </c>
      <c r="CG66" s="69" t="str">
        <f>IF(CG$7&gt;$D$3,"",_xlfn.XLOOKUP(CG$7,'Maybole Manuf'!$M$6:$BM$6,'Maybole Manuf'!$M$16:$BM$16))</f>
        <v/>
      </c>
      <c r="CH66" s="69" t="str">
        <f>IF(CH$7&gt;$D$3,"",_xlfn.XLOOKUP(CH$7,'Maybole Manuf'!$M$6:$BM$6,'Maybole Manuf'!$M$16:$BM$16))</f>
        <v/>
      </c>
      <c r="CI66" s="69" t="str">
        <f>IF(CI$7&gt;$D$3,"",_xlfn.XLOOKUP(CI$7,'Maybole Manuf'!$M$6:$BM$6,'Maybole Manuf'!$M$16:$BM$16))</f>
        <v/>
      </c>
      <c r="CJ66" s="69" t="str">
        <f>IF(CJ$7&gt;$D$3,"",_xlfn.XLOOKUP(CJ$7,'Maybole Manuf'!$M$6:$BM$6,'Maybole Manuf'!$M$16:$BM$16))</f>
        <v/>
      </c>
      <c r="CK66" s="69" t="str">
        <f>IF(CK$7&gt;$D$3,"",_xlfn.XLOOKUP(CK$7,'Maybole Manuf'!$M$6:$BM$6,'Maybole Manuf'!$M$16:$BM$16))</f>
        <v/>
      </c>
      <c r="CL66" s="69" t="str">
        <f>IF(CL$7&gt;$D$3,"",_xlfn.XLOOKUP(CL$7,'Maybole Manuf'!$M$6:$BM$6,'Maybole Manuf'!$M$16:$BM$16))</f>
        <v/>
      </c>
      <c r="CM66" s="69" t="str">
        <f>IF(CM$7&gt;$D$3,"",_xlfn.XLOOKUP(CM$7,'Maybole Manuf'!$M$6:$BM$6,'Maybole Manuf'!$M$16:$BM$16))</f>
        <v/>
      </c>
      <c r="CO66" s="465" t="str">
        <f>+$A66</f>
        <v>Maybole Manuf-KPI Q1</v>
      </c>
      <c r="CP66" s="136" t="str">
        <f t="shared" si="215"/>
        <v>KPI Q1</v>
      </c>
      <c r="CQ66" s="144" t="str">
        <f t="shared" si="215"/>
        <v>Quality</v>
      </c>
      <c r="CR66" s="144" t="str">
        <f t="shared" si="202"/>
        <v>Customer Complaints</v>
      </c>
      <c r="CS66" s="145" t="str">
        <f t="shared" si="202"/>
        <v>Count</v>
      </c>
      <c r="CT66" s="207" t="s">
        <v>247</v>
      </c>
      <c r="CU66" s="423" t="str">
        <f>IFERROR(IF(CU$7&gt;$D$3,"",IF(AM66="Undefined","Undefined",IF(AM66="Missed","Missed",IF(AM66="OD","OD",IF(AM66="Blank","Blank",_xlfn.XLOOKUP(CU$7,'Maybole Manuf'!$M$6:$BM$6,'Maybole Manuf'!$M$15:$BM$15)))))),"")</f>
        <v>Blank</v>
      </c>
      <c r="CV66" s="329" t="str">
        <f>IFERROR(IF(CV$7&gt;$D$3,"",IF(AN66="Undefined","Undefined",IF(AN66="Missed","Missed",IF(AN66="OD","OD",IF(AN66="Blank","Blank",_xlfn.XLOOKUP(CV$7,'Maybole Manuf'!$M$6:$BM$6,'Maybole Manuf'!$M$15:$BM$15)))))),"")</f>
        <v>TBC</v>
      </c>
      <c r="CW66" s="314" t="str">
        <f>IFERROR(IF(CW$7&gt;$D$3,"",IF(AO66="Undefined","Undefined",IF(AO66="Missed","Missed",IF(AO66="OD","OD",IF(AO66="Blank","Blank",_xlfn.XLOOKUP(CW$7,'Maybole Manuf'!$M$6:$BM$6,'Maybole Manuf'!$M$15:$BM$15)))))),"")</f>
        <v>TBC</v>
      </c>
      <c r="CX66" s="314" t="str">
        <f>IFERROR(IF(CX$7&gt;$D$3,"",IF(AP66="Undefined","Undefined",IF(AP66="Missed","Missed",IF(AP66="OD","OD",IF(AP66="Blank","Blank",_xlfn.XLOOKUP(CX$7,'Maybole Manuf'!$M$6:$BM$6,'Maybole Manuf'!$M$15:$BM$15)))))),"")</f>
        <v>TBC</v>
      </c>
      <c r="CY66" s="314" t="str">
        <f>IFERROR(IF(CY$7&gt;$D$3,"",IF(AQ66="Undefined","Undefined",IF(AQ66="Missed","Missed",IF(AQ66="OD","OD",IF(AQ66="Blank","Blank",_xlfn.XLOOKUP(CY$7,'Maybole Manuf'!$M$6:$BM$6,'Maybole Manuf'!$M$15:$BM$15)))))),"")</f>
        <v>TBC</v>
      </c>
      <c r="CZ66" s="314" t="str">
        <f>IFERROR(IF(CZ$7&gt;$D$3,"",IF(AR66="Undefined","Undefined",IF(AR66="Missed","Missed",IF(AR66="OD","OD",IF(AR66="Blank","Blank",_xlfn.XLOOKUP(CZ$7,'Maybole Manuf'!$M$6:$BM$6,'Maybole Manuf'!$M$15:$BM$15)))))),"")</f>
        <v>TBC</v>
      </c>
      <c r="DA66" s="314" t="str">
        <f>IFERROR(IF(DA$7&gt;$D$3,"",IF(AS66="Undefined","Undefined",IF(AS66="Missed","Missed",IF(AS66="OD","OD",IF(AS66="Blank","Blank",_xlfn.XLOOKUP(DA$7,'Maybole Manuf'!$M$6:$BM$6,'Maybole Manuf'!$M$15:$BM$15)))))),"")</f>
        <v>TBC</v>
      </c>
      <c r="DB66" s="314" t="str">
        <f>IFERROR(IF(DB$7&gt;$D$3,"",IF(AT66="Undefined","Undefined",IF(AT66="Missed","Missed",IF(AT66="OD","OD",IF(AT66="Blank","Blank",_xlfn.XLOOKUP(DB$7,'Maybole Manuf'!$M$6:$BM$6,'Maybole Manuf'!$M$15:$BM$15)))))),"")</f>
        <v>TBC</v>
      </c>
      <c r="DC66" s="314" t="str">
        <f>IFERROR(IF(DC$7&gt;$D$3,"",IF(AU66="Undefined","Undefined",IF(AU66="Missed","Missed",IF(AU66="OD","OD",IF(AU66="Blank","Blank",_xlfn.XLOOKUP(DC$7,'Maybole Manuf'!$M$6:$BM$6,'Maybole Manuf'!$M$15:$BM$15)))))),"")</f>
        <v>TBC</v>
      </c>
      <c r="DD66" s="314" t="str">
        <f>IFERROR(IF(DD$7&gt;$D$3,"",IF(AV66="Undefined","Undefined",IF(AV66="Missed","Missed",IF(AV66="OD","OD",IF(AV66="Blank","Blank",_xlfn.XLOOKUP(DD$7,'Maybole Manuf'!$M$6:$BM$6,'Maybole Manuf'!$M$15:$BM$15)))))),"")</f>
        <v>TBC</v>
      </c>
      <c r="DE66" s="314" t="str">
        <f>IFERROR(IF(DE$7&gt;$D$3,"",IF(AW66="Undefined","Undefined",IF(AW66="Missed","Missed",IF(AW66="OD","OD",IF(AW66="Blank","Blank",_xlfn.XLOOKUP(DE$7,'Maybole Manuf'!$M$6:$BM$6,'Maybole Manuf'!$M$15:$BM$15)))))),"")</f>
        <v>TBC</v>
      </c>
      <c r="DF66" s="314" t="str">
        <f>IFERROR(IF(DF$7&gt;$D$3,"",IF(AX66="Undefined","Undefined",IF(AX66="Missed","Missed",IF(AX66="OD","OD",IF(AX66="Blank","Blank",_xlfn.XLOOKUP(DF$7,'Maybole Manuf'!$M$6:$BM$6,'Maybole Manuf'!$M$15:$BM$15)))))),"")</f>
        <v>TBC</v>
      </c>
      <c r="DG66" s="314" t="str">
        <f>IFERROR(IF(DG$7&gt;$D$3,"",IF(AY66="Undefined","Undefined",IF(AY66="Missed","Missed",IF(AY66="OD","OD",IF(AY66="Blank","Blank",_xlfn.XLOOKUP(DG$7,'Maybole Manuf'!$M$6:$BM$6,'Maybole Manuf'!$M$15:$BM$15)))))),"")</f>
        <v>TBC</v>
      </c>
      <c r="DH66" s="314">
        <f>IFERROR(IF(DH$7&gt;$D$3,"",IF(AZ66="Undefined","Undefined",IF(AZ66="Missed","Missed",IF(AZ66="OD","OD",IF(AZ66="Blank","Blank",_xlfn.XLOOKUP(DH$7,'Maybole Manuf'!$M$6:$BM$6,'Maybole Manuf'!$M$15:$BM$15)))))),"")</f>
        <v>2</v>
      </c>
      <c r="DI66" s="314">
        <f>IFERROR(IF(DI$7&gt;$D$3,"",IF(BA66="Undefined","Undefined",IF(BA66="Missed","Missed",IF(BA66="OD","OD",IF(BA66="Blank","Blank",_xlfn.XLOOKUP(DI$7,'Maybole Manuf'!$M$6:$BM$6,'Maybole Manuf'!$M$15:$BM$15)))))),"")</f>
        <v>0</v>
      </c>
      <c r="DJ66" s="314">
        <f>IFERROR(IF(DJ$7&gt;$D$3,"",IF(BB66="Undefined","Undefined",IF(BB66="Missed","Missed",IF(BB66="OD","OD",IF(BB66="Blank","Blank",_xlfn.XLOOKUP(DJ$7,'Maybole Manuf'!$M$6:$BM$6,'Maybole Manuf'!$M$15:$BM$15)))))),"")</f>
        <v>1</v>
      </c>
      <c r="DK66" s="314">
        <f>IFERROR(IF(DK$7&gt;$D$3,"",IF(BC66="Undefined","Undefined",IF(BC66="Missed","Missed",IF(BC66="OD","OD",IF(BC66="Blank","Blank",_xlfn.XLOOKUP(DK$7,'Maybole Manuf'!$M$6:$BM$6,'Maybole Manuf'!$M$15:$BM$15)))))),"")</f>
        <v>0</v>
      </c>
      <c r="DL66" s="314">
        <f>IFERROR(IF(DL$7&gt;$D$3,"",IF(BD66="Undefined","Undefined",IF(BD66="Missed","Missed",IF(BD66="OD","OD",IF(BD66="Blank","Blank",_xlfn.XLOOKUP(DL$7,'Maybole Manuf'!$M$6:$BM$6,'Maybole Manuf'!$M$15:$BM$15)))))),"")</f>
        <v>0</v>
      </c>
      <c r="DM66" s="314">
        <f>IFERROR(IF(DM$7&gt;$D$3,"",IF(BE66="Undefined","Undefined",IF(BE66="Missed","Missed",IF(BE66="OD","OD",IF(BE66="Blank","Blank",_xlfn.XLOOKUP(DM$7,'Maybole Manuf'!$M$6:$BM$6,'Maybole Manuf'!$M$15:$BM$15)))))),"")</f>
        <v>0</v>
      </c>
      <c r="DN66" s="314">
        <f>IFERROR(IF(DN$7&gt;$D$3,"",IF(BF66="Undefined","Undefined",IF(BF66="Missed","Missed",IF(BF66="OD","OD",IF(BF66="Blank","Blank",_xlfn.XLOOKUP(DN$7,'Maybole Manuf'!$M$6:$BM$6,'Maybole Manuf'!$M$15:$BM$15)))))),"")</f>
        <v>1</v>
      </c>
      <c r="DO66" s="314">
        <f>IFERROR(IF(DO$7&gt;$D$3,"",IF(BG66="Undefined","Undefined",IF(BG66="Missed","Missed",IF(BG66="OD","OD",IF(BG66="Blank","Blank",_xlfn.XLOOKUP(DO$7,'Maybole Manuf'!$M$6:$BM$6,'Maybole Manuf'!$M$15:$BM$15)))))),"")</f>
        <v>0</v>
      </c>
      <c r="DP66" s="314">
        <f>IFERROR(IF(DP$7&gt;$D$3,"",IF(BH66="Undefined","Undefined",IF(BH66="Missed","Missed",IF(BH66="OD","OD",IF(BH66="Blank","Blank",_xlfn.XLOOKUP(DP$7,'Maybole Manuf'!$M$6:$BM$6,'Maybole Manuf'!$M$15:$BM$15)))))),"")</f>
        <v>0</v>
      </c>
      <c r="DQ66" s="314">
        <f>IFERROR(IF(DQ$7&gt;$D$3,"",IF(BI66="Undefined","Undefined",IF(BI66="Missed","Missed",IF(BI66="OD","OD",IF(BI66="Blank","Blank",_xlfn.XLOOKUP(DQ$7,'Maybole Manuf'!$M$6:$BM$6,'Maybole Manuf'!$M$15:$BM$15)))))),"")</f>
        <v>0</v>
      </c>
      <c r="DR66" s="314">
        <f>IFERROR(IF(DR$7&gt;$D$3,"",IF(BJ66="Undefined","Undefined",IF(BJ66="Missed","Missed",IF(BJ66="OD","OD",IF(BJ66="Blank","Blank",_xlfn.XLOOKUP(DR$7,'Maybole Manuf'!$M$6:$BM$6,'Maybole Manuf'!$M$15:$BM$15)))))),"")</f>
        <v>0</v>
      </c>
      <c r="DS66" s="314">
        <f>IFERROR(IF(DS$7&gt;$D$3,"",IF(BK66="Undefined","Undefined",IF(BK66="Missed","Missed",IF(BK66="OD","OD",IF(BK66="Blank","Blank",_xlfn.XLOOKUP(DS$7,'Maybole Manuf'!$M$6:$BM$6,'Maybole Manuf'!$M$15:$BM$15)))))),"")</f>
        <v>0</v>
      </c>
      <c r="DT66" s="314">
        <f>IFERROR(IF(DT$7&gt;$D$3,"",IF(BL66="Undefined","Undefined",IF(BL66="Missed","Missed",IF(BL66="OD","OD",IF(BL66="Blank","Blank",_xlfn.XLOOKUP(DT$7,'Maybole Manuf'!$M$6:$BM$6,'Maybole Manuf'!$M$15:$BM$15)))))),"")</f>
        <v>2</v>
      </c>
      <c r="DU66" s="314">
        <f>IFERROR(IF(DU$7&gt;$D$3,"",IF(BM66="Undefined","Undefined",IF(BM66="Missed","Missed",IF(BM66="OD","OD",IF(BM66="Blank","Blank",_xlfn.XLOOKUP(DU$7,'Maybole Manuf'!$M$6:$BM$6,'Maybole Manuf'!$M$15:$BM$15)))))),"")</f>
        <v>1</v>
      </c>
      <c r="DV66" s="314">
        <f>IFERROR(IF(DV$7&gt;$D$3,"",IF(BN66="Undefined","Undefined",IF(BN66="Missed","Missed",IF(BN66="OD","OD",IF(BN66="Blank","Blank",_xlfn.XLOOKUP(DV$7,'Maybole Manuf'!$M$6:$BM$6,'Maybole Manuf'!$M$15:$BM$15)))))),"")</f>
        <v>2</v>
      </c>
      <c r="DW66" s="314">
        <f>IFERROR(IF(DW$7&gt;$D$3,"",IF(BO66="Undefined","Undefined",IF(BO66="Missed","Missed",IF(BO66="OD","OD",IF(BO66="Blank","Blank",_xlfn.XLOOKUP(DW$7,'Maybole Manuf'!$M$6:$BM$6,'Maybole Manuf'!$M$15:$BM$15)))))),"")</f>
        <v>2</v>
      </c>
      <c r="DX66" s="314">
        <f>IFERROR(IF(DX$7&gt;$D$3,"",IF(BP66="Undefined","Undefined",IF(BP66="Missed","Missed",IF(BP66="OD","OD",IF(BP66="Blank","Blank",_xlfn.XLOOKUP(DX$7,'Maybole Manuf'!$M$6:$BM$6,'Maybole Manuf'!$M$15:$BM$15)))))),"")</f>
        <v>2</v>
      </c>
      <c r="DY66" s="314">
        <f>IFERROR(IF(DY$7&gt;$D$3,"",IF(BQ66="Undefined","Undefined",IF(BQ66="Missed","Missed",IF(BQ66="OD","OD",IF(BQ66="Blank","Blank",_xlfn.XLOOKUP(DY$7,'Maybole Manuf'!$M$6:$BM$6,'Maybole Manuf'!$M$15:$BM$15)))))),"")</f>
        <v>0</v>
      </c>
      <c r="DZ66" s="314">
        <f>IFERROR(IF(DZ$7&gt;$D$3,"",IF(BR66="Undefined","Undefined",IF(BR66="Missed","Missed",IF(BR66="OD","OD",IF(BR66="Blank","Blank",_xlfn.XLOOKUP(DZ$7,'Maybole Manuf'!$M$6:$BM$6,'Maybole Manuf'!$M$15:$BM$15)))))),"")</f>
        <v>0</v>
      </c>
      <c r="EA66" s="314">
        <f>IFERROR(IF(EA$7&gt;$D$3,"",IF(BS66="Undefined","Undefined",IF(BS66="Missed","Missed",IF(BS66="OD","OD",IF(BS66="Blank","Blank",_xlfn.XLOOKUP(EA$7,'Maybole Manuf'!$M$6:$BM$6,'Maybole Manuf'!$M$15:$BM$15)))))),"")</f>
        <v>0</v>
      </c>
      <c r="EB66" s="314">
        <f>IFERROR(IF(EB$7&gt;$D$3,"",IF(BT66="Undefined","Undefined",IF(BT66="Missed","Missed",IF(BT66="OD","OD",IF(BT66="Blank","Blank",_xlfn.XLOOKUP(EB$7,'Maybole Manuf'!$M$6:$BM$6,'Maybole Manuf'!$M$15:$BM$15)))))),"")</f>
        <v>1</v>
      </c>
      <c r="EC66" s="314">
        <f>IFERROR(IF(EC$7&gt;$D$3,"",IF(BU66="Undefined","Undefined",IF(BU66="Missed","Missed",IF(BU66="OD","OD",IF(BU66="Blank","Blank",_xlfn.XLOOKUP(EC$7,'Maybole Manuf'!$M$6:$BM$6,'Maybole Manuf'!$M$15:$BM$15)))))),"")</f>
        <v>0</v>
      </c>
      <c r="ED66" s="314">
        <f>IFERROR(IF(ED$7&gt;$D$3,"",IF(BV66="Undefined","Undefined",IF(BV66="Missed","Missed",IF(BV66="OD","OD",IF(BV66="Blank","Blank",_xlfn.XLOOKUP(ED$7,'Maybole Manuf'!$M$6:$BM$6,'Maybole Manuf'!$M$15:$BM$15)))))),"")</f>
        <v>0</v>
      </c>
      <c r="EE66" s="314">
        <f>IFERROR(IF(EE$7&gt;$D$3,"",IF(BW66="Undefined","Undefined",IF(BW66="Missed","Missed",IF(BW66="OD","OD",IF(BW66="Blank","Blank",_xlfn.XLOOKUP(EE$7,'Maybole Manuf'!$M$6:$BM$6,'Maybole Manuf'!$M$15:$BM$15)))))),"")</f>
        <v>0</v>
      </c>
      <c r="EF66" s="314">
        <f>IFERROR(IF(EF$7&gt;$D$3,"",IF(BX66="Undefined","Undefined",IF(BX66="Missed","Missed",IF(BX66="OD","OD",IF(BX66="Blank","Blank",_xlfn.XLOOKUP(EF$7,'Maybole Manuf'!$M$6:$BM$6,'Maybole Manuf'!$M$15:$BM$15)))))),"")</f>
        <v>1</v>
      </c>
      <c r="EG66" s="314">
        <f>IFERROR(IF(EG$7&gt;$D$3,"",IF(BY66="Undefined","Undefined",IF(BY66="Missed","Missed",IF(BY66="OD","OD",IF(BY66="Blank","Blank",_xlfn.XLOOKUP(EG$7,'Maybole Manuf'!$M$6:$BM$6,'Maybole Manuf'!$M$15:$BM$15)))))),"")</f>
        <v>0</v>
      </c>
      <c r="EH66" s="314">
        <f>IFERROR(IF(EH$7&gt;$D$3,"",IF(BZ66="Undefined","Undefined",IF(BZ66="Missed","Missed",IF(BZ66="OD","OD",IF(BZ66="Blank","Blank",_xlfn.XLOOKUP(EH$7,'Maybole Manuf'!$M$6:$BM$6,'Maybole Manuf'!$M$15:$BM$15)))))),"")</f>
        <v>0</v>
      </c>
      <c r="EI66" s="314">
        <f>IFERROR(IF(EI$7&gt;$D$3,"",IF(CA66="Undefined","Undefined",IF(CA66="Missed","Missed",IF(CA66="OD","OD",IF(CA66="Blank","Blank",_xlfn.XLOOKUP(EI$7,'Maybole Manuf'!$M$6:$BM$6,'Maybole Manuf'!$M$15:$BM$15)))))),"")</f>
        <v>0</v>
      </c>
      <c r="EJ66" s="314">
        <f>IFERROR(IF(EJ$7&gt;$D$3,"",IF(CB66="Undefined","Undefined",IF(CB66="Missed","Missed",IF(CB66="OD","OD",IF(CB66="Blank","Blank",_xlfn.XLOOKUP(EJ$7,'Maybole Manuf'!$M$6:$BM$6,'Maybole Manuf'!$M$15:$BM$15)))))),"")</f>
        <v>1</v>
      </c>
      <c r="EK66" s="314" t="str">
        <f>IFERROR(IF(EK$7&gt;$D$3,"",IF(CC66="Undefined","Undefined",IF(CC66="Missed","Missed",IF(CC66="OD","OD",IF(CC66="Blank","Blank",_xlfn.XLOOKUP(EK$7,'Maybole Manuf'!$M$6:$BM$6,'Maybole Manuf'!$M$15:$BM$15)))))),"")</f>
        <v/>
      </c>
      <c r="EL66" s="314" t="str">
        <f>IFERROR(IF(EL$7&gt;$D$3,"",IF(CD66="Undefined","Undefined",IF(CD66="Missed","Missed",IF(CD66="OD","OD",IF(CD66="Blank","Blank",_xlfn.XLOOKUP(EL$7,'Maybole Manuf'!$M$6:$BM$6,'Maybole Manuf'!$M$15:$BM$15)))))),"")</f>
        <v/>
      </c>
      <c r="EM66" s="314" t="str">
        <f>IFERROR(IF(EM$7&gt;$D$3,"",IF(CE66="Undefined","Undefined",IF(CE66="Missed","Missed",IF(CE66="OD","OD",IF(CE66="Blank","Blank",_xlfn.XLOOKUP(EM$7,'Maybole Manuf'!$M$6:$BM$6,'Maybole Manuf'!$M$15:$BM$15)))))),"")</f>
        <v/>
      </c>
      <c r="EN66" s="314" t="str">
        <f>IFERROR(IF(EN$7&gt;$D$3,"",IF(CF66="Undefined","Undefined",IF(CF66="Missed","Missed",IF(CF66="OD","OD",IF(CF66="Blank","Blank",_xlfn.XLOOKUP(EN$7,'Maybole Manuf'!$M$6:$BM$6,'Maybole Manuf'!$M$15:$BM$15)))))),"")</f>
        <v/>
      </c>
      <c r="EO66" s="314" t="str">
        <f>IFERROR(IF(EO$7&gt;$D$3,"",IF(CG66="Undefined","Undefined",IF(CG66="Missed","Missed",IF(CG66="OD","OD",IF(CG66="Blank","Blank",_xlfn.XLOOKUP(EO$7,'Maybole Manuf'!$M$6:$BM$6,'Maybole Manuf'!$M$15:$BM$15)))))),"")</f>
        <v/>
      </c>
      <c r="EP66" s="314" t="str">
        <f>IFERROR(IF(EP$7&gt;$D$3,"",IF(CH66="Undefined","Undefined",IF(CH66="Missed","Missed",IF(CH66="OD","OD",IF(CH66="Blank","Blank",_xlfn.XLOOKUP(EP$7,'Maybole Manuf'!$M$6:$BM$6,'Maybole Manuf'!$M$15:$BM$15)))))),"")</f>
        <v/>
      </c>
      <c r="EQ66" s="314" t="str">
        <f>IFERROR(IF(EQ$7&gt;$D$3,"",IF(CI66="Undefined","Undefined",IF(CI66="Missed","Missed",IF(CI66="OD","OD",IF(CI66="Blank","Blank",_xlfn.XLOOKUP(EQ$7,'Maybole Manuf'!$M$6:$BM$6,'Maybole Manuf'!$M$15:$BM$15)))))),"")</f>
        <v/>
      </c>
      <c r="ER66" s="314" t="str">
        <f>IFERROR(IF(ER$7&gt;$D$3,"",IF(CJ66="Undefined","Undefined",IF(CJ66="Missed","Missed",IF(CJ66="OD","OD",IF(CJ66="Blank","Blank",_xlfn.XLOOKUP(ER$7,'Maybole Manuf'!$M$6:$BM$6,'Maybole Manuf'!$M$15:$BM$15)))))),"")</f>
        <v/>
      </c>
      <c r="ES66" s="314" t="str">
        <f>IFERROR(IF(ES$7&gt;$D$3,"",IF(CK66="Undefined","Undefined",IF(CK66="Missed","Missed",IF(CK66="OD","OD",IF(CK66="Blank","Blank",_xlfn.XLOOKUP(ES$7,'Maybole Manuf'!$M$6:$BM$6,'Maybole Manuf'!$M$15:$BM$15)))))),"")</f>
        <v/>
      </c>
      <c r="ET66" s="314" t="str">
        <f>IFERROR(IF(ET$7&gt;$D$3,"",IF(CL66="Undefined","Undefined",IF(CL66="Missed","Missed",IF(CL66="OD","OD",IF(CL66="Blank","Blank",_xlfn.XLOOKUP(ET$7,'Maybole Manuf'!$M$6:$BM$6,'Maybole Manuf'!$M$15:$BM$15)))))),"")</f>
        <v/>
      </c>
      <c r="EU66" s="314" t="str">
        <f>IFERROR(IF(EU$7&gt;$D$3,"",IF(CM66="Undefined","Undefined",IF(CM66="Missed","Missed",IF(CM66="OD","OD",IF(CM66="Blank","Blank",_xlfn.XLOOKUP(EU$7,'Maybole Manuf'!$M$6:$BM$6,'Maybole Manuf'!$M$15:$BM$15)))))),"")</f>
        <v/>
      </c>
      <c r="EW66" s="465" t="str">
        <f>+$A66</f>
        <v>Maybole Manuf-KPI Q1</v>
      </c>
      <c r="EX66" s="136" t="str">
        <f>+$C66</f>
        <v>KPI Q1</v>
      </c>
      <c r="EY66" s="144" t="str">
        <f>+$D66</f>
        <v>Quality</v>
      </c>
      <c r="EZ66" s="144" t="str">
        <f>+$E66</f>
        <v>Customer Complaints</v>
      </c>
      <c r="FA66" s="145" t="str">
        <f>+$F66</f>
        <v>Count</v>
      </c>
      <c r="FB66" s="145" t="s">
        <v>251</v>
      </c>
      <c r="FC66" s="214" t="str">
        <f>IF(FC$7&gt;$D$3,"",IF($FA63&lt;FC$7,"OD",_xlfn.XLOOKUP(FC$7,'Maybole Manuf'!$M$6:$BM$6,'Maybole Manuf'!$M$15:$BM$15)))</f>
        <v>Blank</v>
      </c>
      <c r="FD66" s="214" t="str">
        <f>IF(FD$7&gt;$D$3,"",IF($FA63&lt;FD$7,"OD",_xlfn.XLOOKUP(FD$7,'Maybole Manuf'!$M$6:$BM$6,'Maybole Manuf'!$M$15:$BM$15)))</f>
        <v>TBC</v>
      </c>
      <c r="FE66" s="214" t="str">
        <f>IF(FE$7&gt;$D$3,"",IF($FA63&lt;FE$7,"OD",_xlfn.XLOOKUP(FE$7,'Maybole Manuf'!$M$6:$BM$6,'Maybole Manuf'!$M$15:$BM$15)))</f>
        <v>TBC</v>
      </c>
      <c r="FF66" s="214" t="str">
        <f>IF(FF$7&gt;$D$3,"",IF($FA63&lt;FF$7,"OD",_xlfn.XLOOKUP(FF$7,'Maybole Manuf'!$M$6:$BM$6,'Maybole Manuf'!$M$15:$BM$15)))</f>
        <v>TBC</v>
      </c>
      <c r="FG66" s="214" t="str">
        <f>IF(FG$7&gt;$D$3,"",IF($FA63&lt;FG$7,"OD",_xlfn.XLOOKUP(FG$7,'Maybole Manuf'!$M$6:$BM$6,'Maybole Manuf'!$M$15:$BM$15)))</f>
        <v>TBC</v>
      </c>
      <c r="FH66" s="214" t="str">
        <f>IF(FH$7&gt;$D$3,"",IF($FA63&lt;FH$7,"OD",_xlfn.XLOOKUP(FH$7,'Maybole Manuf'!$M$6:$BM$6,'Maybole Manuf'!$M$15:$BM$15)))</f>
        <v>TBC</v>
      </c>
      <c r="FI66" s="214" t="str">
        <f>IF(FI$7&gt;$D$3,"",IF($FA63&lt;FI$7,"OD",_xlfn.XLOOKUP(FI$7,'Maybole Manuf'!$M$6:$BM$6,'Maybole Manuf'!$M$15:$BM$15)))</f>
        <v>TBC</v>
      </c>
      <c r="FJ66" s="214" t="str">
        <f>IF(FJ$7&gt;$D$3,"",IF($FA63&lt;FJ$7,"OD",_xlfn.XLOOKUP(FJ$7,'Maybole Manuf'!$M$6:$BM$6,'Maybole Manuf'!$M$15:$BM$15)))</f>
        <v>TBC</v>
      </c>
      <c r="FK66" s="214" t="str">
        <f>IF(FK$7&gt;$D$3,"",IF($FA63&lt;FK$7,"OD",_xlfn.XLOOKUP(FK$7,'Maybole Manuf'!$M$6:$BM$6,'Maybole Manuf'!$M$15:$BM$15)))</f>
        <v>TBC</v>
      </c>
      <c r="FL66" s="214" t="str">
        <f>IF(FL$7&gt;$D$3,"",IF($FA63&lt;FL$7,"OD",_xlfn.XLOOKUP(FL$7,'Maybole Manuf'!$M$6:$BM$6,'Maybole Manuf'!$M$15:$BM$15)))</f>
        <v>TBC</v>
      </c>
      <c r="FM66" s="214" t="str">
        <f>IF(FM$7&gt;$D$3,"",IF($FA63&lt;FM$7,"OD",_xlfn.XLOOKUP(FM$7,'Maybole Manuf'!$M$6:$BM$6,'Maybole Manuf'!$M$15:$BM$15)))</f>
        <v>TBC</v>
      </c>
      <c r="FN66" s="214" t="str">
        <f>IF(FN$7&gt;$D$3,"",IF($FA63&lt;FN$7,"OD",_xlfn.XLOOKUP(FN$7,'Maybole Manuf'!$M$6:$BM$6,'Maybole Manuf'!$M$15:$BM$15)))</f>
        <v>TBC</v>
      </c>
      <c r="FO66" s="214" t="str">
        <f>IF(FO$7&gt;$D$3,"",IF($FA63&lt;FO$7,"OD",_xlfn.XLOOKUP(FO$7,'Maybole Manuf'!$M$6:$BM$6,'Maybole Manuf'!$M$15:$BM$15)))</f>
        <v>TBC</v>
      </c>
      <c r="FP66" s="214">
        <f>IF(FP$7&gt;$D$3,"",IF($FA63&lt;FP$7,"OD",_xlfn.XLOOKUP(FP$7,'Maybole Manuf'!$M$6:$BM$6,'Maybole Manuf'!$M$15:$BM$15)))</f>
        <v>2</v>
      </c>
      <c r="FQ66" s="214">
        <f>IF(FQ$7&gt;$D$3,"",IF($FA63&lt;FQ$7,"OD",_xlfn.XLOOKUP(FQ$7,'Maybole Manuf'!$M$6:$BM$6,'Maybole Manuf'!$M$15:$BM$15)))</f>
        <v>0</v>
      </c>
      <c r="FR66" s="214">
        <f>IF(FR$7&gt;$D$3,"",IF($FA63&lt;FR$7,"OD",_xlfn.XLOOKUP(FR$7,'Maybole Manuf'!$M$6:$BM$6,'Maybole Manuf'!$M$15:$BM$15)))</f>
        <v>1</v>
      </c>
      <c r="FS66" s="214">
        <f>IF(FS$7&gt;$D$3,"",IF($FA63&lt;FS$7,"OD",_xlfn.XLOOKUP(FS$7,'Maybole Manuf'!$M$6:$BM$6,'Maybole Manuf'!$M$15:$BM$15)))</f>
        <v>0</v>
      </c>
      <c r="FT66" s="214">
        <f>IF(FT$7&gt;$D$3,"",IF($FA63&lt;FT$7,"OD",_xlfn.XLOOKUP(FT$7,'Maybole Manuf'!$M$6:$BM$6,'Maybole Manuf'!$M$15:$BM$15)))</f>
        <v>0</v>
      </c>
      <c r="FU66" s="214">
        <f>IF(FU$7&gt;$D$3,"",IF($FA63&lt;FU$7,"OD",_xlfn.XLOOKUP(FU$7,'Maybole Manuf'!$M$6:$BM$6,'Maybole Manuf'!$M$15:$BM$15)))</f>
        <v>0</v>
      </c>
      <c r="FV66" s="214">
        <f>IF(FV$7&gt;$D$3,"",IF($FA63&lt;FV$7,"OD",_xlfn.XLOOKUP(FV$7,'Maybole Manuf'!$M$6:$BM$6,'Maybole Manuf'!$M$15:$BM$15)))</f>
        <v>1</v>
      </c>
      <c r="FW66" s="214">
        <f>IF(FW$7&gt;$D$3,"",IF($FA63&lt;FW$7,"OD",_xlfn.XLOOKUP(FW$7,'Maybole Manuf'!$M$6:$BM$6,'Maybole Manuf'!$M$15:$BM$15)))</f>
        <v>0</v>
      </c>
      <c r="FX66" s="214">
        <f>IF(FX$7&gt;$D$3,"",IF($FA63&lt;FX$7,"OD",_xlfn.XLOOKUP(FX$7,'Maybole Manuf'!$M$6:$BM$6,'Maybole Manuf'!$M$15:$BM$15)))</f>
        <v>0</v>
      </c>
      <c r="FY66" s="214">
        <f>IF(FY$7&gt;$D$3,"",IF($FA63&lt;FY$7,"OD",_xlfn.XLOOKUP(FY$7,'Maybole Manuf'!$M$6:$BM$6,'Maybole Manuf'!$M$15:$BM$15)))</f>
        <v>0</v>
      </c>
      <c r="FZ66" s="214">
        <f>IF(FZ$7&gt;$D$3,"",IF($FA63&lt;FZ$7,"OD",_xlfn.XLOOKUP(FZ$7,'Maybole Manuf'!$M$6:$BM$6,'Maybole Manuf'!$M$15:$BM$15)))</f>
        <v>0</v>
      </c>
      <c r="GA66" s="214">
        <f>IF(GA$7&gt;$D$3,"",IF($FA63&lt;GA$7,"OD",_xlfn.XLOOKUP(GA$7,'Maybole Manuf'!$M$6:$BM$6,'Maybole Manuf'!$M$15:$BM$15)))</f>
        <v>0</v>
      </c>
      <c r="GB66" s="214">
        <f>IF(GB$7&gt;$D$3,"",IF($FA63&lt;GB$7,"OD",_xlfn.XLOOKUP(GB$7,'Maybole Manuf'!$M$6:$BM$6,'Maybole Manuf'!$M$15:$BM$15)))</f>
        <v>2</v>
      </c>
      <c r="GC66" s="214">
        <f>IF(GC$7&gt;$D$3,"",IF($FA63&lt;GC$7,"OD",_xlfn.XLOOKUP(GC$7,'Maybole Manuf'!$M$6:$BM$6,'Maybole Manuf'!$M$15:$BM$15)))</f>
        <v>1</v>
      </c>
      <c r="GD66" s="214">
        <f>IF(GD$7&gt;$D$3,"",IF($FA63&lt;GD$7,"OD",_xlfn.XLOOKUP(GD$7,'Maybole Manuf'!$M$6:$BM$6,'Maybole Manuf'!$M$15:$BM$15)))</f>
        <v>2</v>
      </c>
      <c r="GE66" s="214">
        <f>IF(GE$7&gt;$D$3,"",IF($FA63&lt;GE$7,"OD",_xlfn.XLOOKUP(GE$7,'Maybole Manuf'!$M$6:$BM$6,'Maybole Manuf'!$M$15:$BM$15)))</f>
        <v>2</v>
      </c>
      <c r="GF66" s="214">
        <f>IF(GF$7&gt;$D$3,"",IF($FA63&lt;GF$7,"OD",_xlfn.XLOOKUP(GF$7,'Maybole Manuf'!$M$6:$BM$6,'Maybole Manuf'!$M$15:$BM$15)))</f>
        <v>2</v>
      </c>
      <c r="GG66" s="214">
        <f>IF(GG$7&gt;$D$3,"",IF($FA63&lt;GG$7,"OD",_xlfn.XLOOKUP(GG$7,'Maybole Manuf'!$M$6:$BM$6,'Maybole Manuf'!$M$15:$BM$15)))</f>
        <v>0</v>
      </c>
      <c r="GH66" s="214">
        <f>IF(GH$7&gt;$D$3,"",IF($FA63&lt;GH$7,"OD",_xlfn.XLOOKUP(GH$7,'Maybole Manuf'!$M$6:$BM$6,'Maybole Manuf'!$M$15:$BM$15)))</f>
        <v>0</v>
      </c>
      <c r="GI66" s="214">
        <f>IF(GI$7&gt;$D$3,"",IF($FA63&lt;GI$7,"OD",_xlfn.XLOOKUP(GI$7,'Maybole Manuf'!$M$6:$BM$6,'Maybole Manuf'!$M$15:$BM$15)))</f>
        <v>0</v>
      </c>
      <c r="GJ66" s="214">
        <f>IF(GJ$7&gt;$D$3,"",IF($FA63&lt;GJ$7,"OD",_xlfn.XLOOKUP(GJ$7,'Maybole Manuf'!$M$6:$BM$6,'Maybole Manuf'!$M$15:$BM$15)))</f>
        <v>1</v>
      </c>
      <c r="GK66" s="214">
        <f>IF(GK$7&gt;$D$3,"",IF($FA63&lt;GK$7,"OD",_xlfn.XLOOKUP(GK$7,'Maybole Manuf'!$M$6:$BM$6,'Maybole Manuf'!$M$15:$BM$15)))</f>
        <v>0</v>
      </c>
      <c r="GL66" s="214">
        <f>IF(GL$7&gt;$D$3,"",IF($FA63&lt;GL$7,"OD",_xlfn.XLOOKUP(GL$7,'Maybole Manuf'!$M$6:$BM$6,'Maybole Manuf'!$M$15:$BM$15)))</f>
        <v>0</v>
      </c>
      <c r="GM66" s="214">
        <f>IF(GM$7&gt;$D$3,"",IF($FA63&lt;GM$7,"OD",_xlfn.XLOOKUP(GM$7,'Maybole Manuf'!$M$6:$BM$6,'Maybole Manuf'!$M$15:$BM$15)))</f>
        <v>0</v>
      </c>
      <c r="GN66" s="214">
        <f>IF(GN$7&gt;$D$3,"",IF($FA63&lt;GN$7,"OD",_xlfn.XLOOKUP(GN$7,'Maybole Manuf'!$M$6:$BM$6,'Maybole Manuf'!$M$15:$BM$15)))</f>
        <v>1</v>
      </c>
      <c r="GO66" s="214">
        <f>IF(GO$7&gt;$D$3,"",IF($FA63&lt;GO$7,"OD",_xlfn.XLOOKUP(GO$7,'Maybole Manuf'!$M$6:$BM$6,'Maybole Manuf'!$M$15:$BM$15)))</f>
        <v>0</v>
      </c>
      <c r="GP66" s="214">
        <f>IF(GP$7&gt;$D$3,"",IF($FA63&lt;GP$7,"OD",_xlfn.XLOOKUP(GP$7,'Maybole Manuf'!$M$6:$BM$6,'Maybole Manuf'!$M$15:$BM$15)))</f>
        <v>0</v>
      </c>
      <c r="GQ66" s="214">
        <f>IF(GQ$7&gt;$D$3,"",IF($FA63&lt;GQ$7,"OD",_xlfn.XLOOKUP(GQ$7,'Maybole Manuf'!$M$6:$BM$6,'Maybole Manuf'!$M$15:$BM$15)))</f>
        <v>0</v>
      </c>
      <c r="GR66" s="214">
        <f>IF(GR$7&gt;$D$3,"",IF($FA63&lt;GR$7,"OD",_xlfn.XLOOKUP(GR$7,'Maybole Manuf'!$M$6:$BM$6,'Maybole Manuf'!$M$15:$BM$15)))</f>
        <v>1</v>
      </c>
      <c r="GS66" s="214" t="str">
        <f>IF(GS$7&gt;$D$3,"",IF($FA63&lt;GS$7,"OD",_xlfn.XLOOKUP(GS$7,'Maybole Manuf'!$M$6:$BM$6,'Maybole Manuf'!$M$15:$BM$15)))</f>
        <v/>
      </c>
      <c r="GT66" s="214" t="str">
        <f>IF(GT$7&gt;$D$3,"",IF($FA63&lt;GT$7,"OD",_xlfn.XLOOKUP(GT$7,'Maybole Manuf'!$M$6:$BM$6,'Maybole Manuf'!$M$15:$BM$15)))</f>
        <v/>
      </c>
      <c r="GU66" s="214" t="str">
        <f>IF(GU$7&gt;$D$3,"",IF($FA63&lt;GU$7,"OD",_xlfn.XLOOKUP(GU$7,'Maybole Manuf'!$M$6:$BM$6,'Maybole Manuf'!$M$15:$BM$15)))</f>
        <v/>
      </c>
      <c r="GV66" s="214" t="str">
        <f>IF(GV$7&gt;$D$3,"",IF($FA63&lt;GV$7,"OD",_xlfn.XLOOKUP(GV$7,'Maybole Manuf'!$M$6:$BM$6,'Maybole Manuf'!$M$15:$BM$15)))</f>
        <v/>
      </c>
      <c r="GW66" s="214" t="str">
        <f>IF(GW$7&gt;$D$3,"",IF($FA63&lt;GW$7,"OD",_xlfn.XLOOKUP(GW$7,'Maybole Manuf'!$M$6:$BM$6,'Maybole Manuf'!$M$15:$BM$15)))</f>
        <v/>
      </c>
      <c r="GX66" s="214" t="str">
        <f>IF(GX$7&gt;$D$3,"",IF($FA63&lt;GX$7,"OD",_xlfn.XLOOKUP(GX$7,'Maybole Manuf'!$M$6:$BM$6,'Maybole Manuf'!$M$15:$BM$15)))</f>
        <v/>
      </c>
      <c r="GY66" s="214" t="str">
        <f>IF(GY$7&gt;$D$3,"",IF($FA63&lt;GY$7,"OD",_xlfn.XLOOKUP(GY$7,'Maybole Manuf'!$M$6:$BM$6,'Maybole Manuf'!$M$15:$BM$15)))</f>
        <v/>
      </c>
      <c r="GZ66" s="214" t="str">
        <f>IF(GZ$7&gt;$D$3,"",IF($FA63&lt;GZ$7,"OD",_xlfn.XLOOKUP(GZ$7,'Maybole Manuf'!$M$6:$BM$6,'Maybole Manuf'!$M$15:$BM$15)))</f>
        <v/>
      </c>
      <c r="HA66" s="214" t="str">
        <f>IF(HA$7&gt;$D$3,"",IF($FA63&lt;HA$7,"OD",_xlfn.XLOOKUP(HA$7,'Maybole Manuf'!$M$6:$BM$6,'Maybole Manuf'!$M$15:$BM$15)))</f>
        <v/>
      </c>
      <c r="HB66" s="214" t="str">
        <f>IF(HB$7&gt;$D$3,"",IF($FA63&lt;HB$7,"OD",_xlfn.XLOOKUP(HB$7,'Maybole Manuf'!$M$6:$BM$6,'Maybole Manuf'!$M$15:$BM$15)))</f>
        <v/>
      </c>
      <c r="HC66" s="214" t="str">
        <f>IF(HC$7&gt;$D$3,"",IF($FA63&lt;HC$7,"OD",_xlfn.XLOOKUP(HC$7,'Maybole Manuf'!$M$6:$BM$6,'Maybole Manuf'!$M$15:$BM$15)))</f>
        <v/>
      </c>
      <c r="HE66" s="136" t="str">
        <f>+$C66</f>
        <v>KPI Q1</v>
      </c>
      <c r="HF66" s="144" t="str">
        <f>+$D66</f>
        <v>Quality</v>
      </c>
      <c r="HG66" s="144" t="str">
        <f>+$E66</f>
        <v>Customer Complaints</v>
      </c>
      <c r="HH66" s="145" t="str">
        <f>+$F66</f>
        <v>Count</v>
      </c>
      <c r="HI66" s="145" t="s">
        <v>44</v>
      </c>
      <c r="HJ66" s="214" t="str">
        <f>IF(HJ$7&gt;$D$3,"",IF($FA63&lt;HJ$7,"OD",_xlfn.XLOOKUP(HJ$7,'Maybole Manuf'!$M$6:$BM$6,'Maybole Manuf'!$M$14:$BM$14)))</f>
        <v>Blank</v>
      </c>
      <c r="HK66" s="214" t="str">
        <f>IF(HK$7&gt;$D$3,"",IF($FA63&lt;HK$7,"OD",_xlfn.XLOOKUP(HK$7,'Maybole Manuf'!$M$6:$BM$6,'Maybole Manuf'!$M$14:$BM$14)))</f>
        <v>TBC</v>
      </c>
      <c r="HL66" s="214" t="str">
        <f>IF(HL$7&gt;$D$3,"",IF($FA63&lt;HL$7,"OD",_xlfn.XLOOKUP(HL$7,'Maybole Manuf'!$M$6:$BM$6,'Maybole Manuf'!$M$14:$BM$14)))</f>
        <v>TBC</v>
      </c>
      <c r="HM66" s="214" t="str">
        <f>IF(HM$7&gt;$D$3,"",IF($FA63&lt;HM$7,"OD",_xlfn.XLOOKUP(HM$7,'Maybole Manuf'!$M$6:$BM$6,'Maybole Manuf'!$M$14:$BM$14)))</f>
        <v>TBC</v>
      </c>
      <c r="HN66" s="214" t="str">
        <f>IF(HN$7&gt;$D$3,"",IF($FA63&lt;HN$7,"OD",_xlfn.XLOOKUP(HN$7,'Maybole Manuf'!$M$6:$BM$6,'Maybole Manuf'!$M$14:$BM$14)))</f>
        <v>TBC</v>
      </c>
      <c r="HO66" s="214" t="str">
        <f>IF(HO$7&gt;$D$3,"",IF($FA63&lt;HO$7,"OD",_xlfn.XLOOKUP(HO$7,'Maybole Manuf'!$M$6:$BM$6,'Maybole Manuf'!$M$14:$BM$14)))</f>
        <v>TBC</v>
      </c>
      <c r="HP66" s="214" t="str">
        <f>IF(HP$7&gt;$D$3,"",IF($FA63&lt;HP$7,"OD",_xlfn.XLOOKUP(HP$7,'Maybole Manuf'!$M$6:$BM$6,'Maybole Manuf'!$M$14:$BM$14)))</f>
        <v>TBC</v>
      </c>
      <c r="HQ66" s="214" t="str">
        <f>IF(HQ$7&gt;$D$3,"",IF($FA63&lt;HQ$7,"OD",_xlfn.XLOOKUP(HQ$7,'Maybole Manuf'!$M$6:$BM$6,'Maybole Manuf'!$M$14:$BM$14)))</f>
        <v>TBC</v>
      </c>
      <c r="HR66" s="214" t="str">
        <f>IF(HR$7&gt;$D$3,"",IF($FA63&lt;HR$7,"OD",_xlfn.XLOOKUP(HR$7,'Maybole Manuf'!$M$6:$BM$6,'Maybole Manuf'!$M$14:$BM$14)))</f>
        <v>TBC</v>
      </c>
      <c r="HS66" s="214" t="str">
        <f>IF(HS$7&gt;$D$3,"",IF($FA63&lt;HS$7,"OD",_xlfn.XLOOKUP(HS$7,'Maybole Manuf'!$M$6:$BM$6,'Maybole Manuf'!$M$14:$BM$14)))</f>
        <v>TBC</v>
      </c>
      <c r="HT66" s="214" t="str">
        <f>IF(HT$7&gt;$D$3,"",IF($FA63&lt;HT$7,"OD",_xlfn.XLOOKUP(HT$7,'Maybole Manuf'!$M$6:$BM$6,'Maybole Manuf'!$M$14:$BM$14)))</f>
        <v>TBC</v>
      </c>
      <c r="HU66" s="214" t="str">
        <f>IF(HU$7&gt;$D$3,"",IF($FA63&lt;HU$7,"OD",_xlfn.XLOOKUP(HU$7,'Maybole Manuf'!$M$6:$BM$6,'Maybole Manuf'!$M$14:$BM$14)))</f>
        <v>TBC</v>
      </c>
      <c r="HV66" s="214" t="str">
        <f>IF(HV$7&gt;$D$3,"",IF($FA63&lt;HV$7,"OD",_xlfn.XLOOKUP(HV$7,'Maybole Manuf'!$M$6:$BM$6,'Maybole Manuf'!$M$14:$BM$14)))</f>
        <v>TBC</v>
      </c>
      <c r="HW66" s="214">
        <f>IF(HW$7&gt;$D$3,"",IF($FA63&lt;HW$7,"OD",_xlfn.XLOOKUP(HW$7,'Maybole Manuf'!$M$6:$BM$6,'Maybole Manuf'!$M$14:$BM$14)))</f>
        <v>0.5</v>
      </c>
      <c r="HX66" s="214">
        <f>IF(HX$7&gt;$D$3,"",IF($FA63&lt;HX$7,"OD",_xlfn.XLOOKUP(HX$7,'Maybole Manuf'!$M$6:$BM$6,'Maybole Manuf'!$M$14:$BM$14)))</f>
        <v>0.5</v>
      </c>
      <c r="HY66" s="214">
        <f>IF(HY$7&gt;$D$3,"",IF($FA63&lt;HY$7,"OD",_xlfn.XLOOKUP(HY$7,'Maybole Manuf'!$M$6:$BM$6,'Maybole Manuf'!$M$14:$BM$14)))</f>
        <v>0.5</v>
      </c>
      <c r="HZ66" s="214">
        <f>IF(HZ$7&gt;$D$3,"",IF($FA63&lt;HZ$7,"OD",_xlfn.XLOOKUP(HZ$7,'Maybole Manuf'!$M$6:$BM$6,'Maybole Manuf'!$M$14:$BM$14)))</f>
        <v>0.5</v>
      </c>
      <c r="IA66" s="214">
        <f>IF(IA$7&gt;$D$3,"",IF($FA63&lt;IA$7,"OD",_xlfn.XLOOKUP(IA$7,'Maybole Manuf'!$M$6:$BM$6,'Maybole Manuf'!$M$14:$BM$14)))</f>
        <v>0.5</v>
      </c>
      <c r="IB66" s="214">
        <f>IF(IB$7&gt;$D$3,"",IF($FA63&lt;IB$7,"OD",_xlfn.XLOOKUP(IB$7,'Maybole Manuf'!$M$6:$BM$6,'Maybole Manuf'!$M$14:$BM$14)))</f>
        <v>0.5</v>
      </c>
      <c r="IC66" s="214">
        <f>IF(IC$7&gt;$D$3,"",IF($FA63&lt;IC$7,"OD",_xlfn.XLOOKUP(IC$7,'Maybole Manuf'!$M$6:$BM$6,'Maybole Manuf'!$M$14:$BM$14)))</f>
        <v>0.5</v>
      </c>
      <c r="ID66" s="214">
        <f>IF(ID$7&gt;$D$3,"",IF($FA63&lt;ID$7,"OD",_xlfn.XLOOKUP(ID$7,'Maybole Manuf'!$M$6:$BM$6,'Maybole Manuf'!$M$14:$BM$14)))</f>
        <v>0.5</v>
      </c>
      <c r="IE66" s="214">
        <f>IF(IE$7&gt;$D$3,"",IF($FA63&lt;IE$7,"OD",_xlfn.XLOOKUP(IE$7,'Maybole Manuf'!$M$6:$BM$6,'Maybole Manuf'!$M$14:$BM$14)))</f>
        <v>0.5</v>
      </c>
      <c r="IF66" s="214">
        <f>IF(IF$7&gt;$D$3,"",IF($FA63&lt;IF$7,"OD",_xlfn.XLOOKUP(IF$7,'Maybole Manuf'!$M$6:$BM$6,'Maybole Manuf'!$M$14:$BM$14)))</f>
        <v>0.5</v>
      </c>
      <c r="IG66" s="214">
        <f>IF(IG$7&gt;$D$3,"",IF($FA63&lt;IG$7,"OD",_xlfn.XLOOKUP(IG$7,'Maybole Manuf'!$M$6:$BM$6,'Maybole Manuf'!$M$14:$BM$14)))</f>
        <v>0.5</v>
      </c>
      <c r="IH66" s="214">
        <f>IF(IH$7&gt;$D$3,"",IF($FA63&lt;IH$7,"OD",_xlfn.XLOOKUP(IH$7,'Maybole Manuf'!$M$6:$BM$6,'Maybole Manuf'!$M$14:$BM$14)))</f>
        <v>0.5</v>
      </c>
      <c r="II66" s="214">
        <f>IF(II$7&gt;$D$3,"",IF($FA63&lt;II$7,"OD",_xlfn.XLOOKUP(II$7,'Maybole Manuf'!$M$6:$BM$6,'Maybole Manuf'!$M$14:$BM$14)))</f>
        <v>0.5</v>
      </c>
      <c r="IJ66" s="214">
        <f>IF(IJ$7&gt;$D$3,"",IF($FA63&lt;IJ$7,"OD",_xlfn.XLOOKUP(IJ$7,'Maybole Manuf'!$M$6:$BM$6,'Maybole Manuf'!$M$14:$BM$14)))</f>
        <v>0.5</v>
      </c>
      <c r="IK66" s="214">
        <f>IF(IK$7&gt;$D$3,"",IF($FA63&lt;IK$7,"OD",_xlfn.XLOOKUP(IK$7,'Maybole Manuf'!$M$6:$BM$6,'Maybole Manuf'!$M$14:$BM$14)))</f>
        <v>0.5</v>
      </c>
      <c r="IL66" s="214">
        <f>IF(IL$7&gt;$D$3,"",IF($FA63&lt;IL$7,"OD",_xlfn.XLOOKUP(IL$7,'Maybole Manuf'!$M$6:$BM$6,'Maybole Manuf'!$M$14:$BM$14)))</f>
        <v>0.5</v>
      </c>
      <c r="IM66" s="214">
        <f>IF(IM$7&gt;$D$3,"",IF($FA63&lt;IM$7,"OD",_xlfn.XLOOKUP(IM$7,'Maybole Manuf'!$M$6:$BM$6,'Maybole Manuf'!$M$14:$BM$14)))</f>
        <v>0.5</v>
      </c>
      <c r="IN66" s="214">
        <f>IF(IN$7&gt;$D$3,"",IF($FA63&lt;IN$7,"OD",_xlfn.XLOOKUP(IN$7,'Maybole Manuf'!$M$6:$BM$6,'Maybole Manuf'!$M$14:$BM$14)))</f>
        <v>0.5</v>
      </c>
      <c r="IO66" s="214">
        <f>IF(IO$7&gt;$D$3,"",IF($FA63&lt;IO$7,"OD",_xlfn.XLOOKUP(IO$7,'Maybole Manuf'!$M$6:$BM$6,'Maybole Manuf'!$M$14:$BM$14)))</f>
        <v>0.5</v>
      </c>
      <c r="IP66" s="214">
        <f>IF(IP$7&gt;$D$3,"",IF($FA63&lt;IP$7,"OD",_xlfn.XLOOKUP(IP$7,'Maybole Manuf'!$M$6:$BM$6,'Maybole Manuf'!$M$14:$BM$14)))</f>
        <v>0.5</v>
      </c>
      <c r="IQ66" s="214">
        <f>IF(IQ$7&gt;$D$3,"",IF($FA63&lt;IQ$7,"OD",_xlfn.XLOOKUP(IQ$7,'Maybole Manuf'!$M$6:$BM$6,'Maybole Manuf'!$M$14:$BM$14)))</f>
        <v>0.5</v>
      </c>
      <c r="IR66" s="214">
        <f>IF(IR$7&gt;$D$3,"",IF($FA63&lt;IR$7,"OD",_xlfn.XLOOKUP(IR$7,'Maybole Manuf'!$M$6:$BM$6,'Maybole Manuf'!$M$14:$BM$14)))</f>
        <v>0.5</v>
      </c>
      <c r="IS66" s="214">
        <f>IF(IS$7&gt;$D$3,"",IF($FA63&lt;IS$7,"OD",_xlfn.XLOOKUP(IS$7,'Maybole Manuf'!$M$6:$BM$6,'Maybole Manuf'!$M$14:$BM$14)))</f>
        <v>0.5</v>
      </c>
      <c r="IT66" s="214">
        <f>IF(IT$7&gt;$D$3,"",IF($FA63&lt;IT$7,"OD",_xlfn.XLOOKUP(IT$7,'Maybole Manuf'!$M$6:$BM$6,'Maybole Manuf'!$M$14:$BM$14)))</f>
        <v>0.5</v>
      </c>
      <c r="IU66" s="214">
        <f>IF(IU$7&gt;$D$3,"",IF($FA63&lt;IU$7,"OD",_xlfn.XLOOKUP(IU$7,'Maybole Manuf'!$M$6:$BM$6,'Maybole Manuf'!$M$14:$BM$14)))</f>
        <v>0.5</v>
      </c>
      <c r="IV66" s="214">
        <f>IF(IV$7&gt;$D$3,"",IF($FA63&lt;IV$7,"OD",_xlfn.XLOOKUP(IV$7,'Maybole Manuf'!$M$6:$BM$6,'Maybole Manuf'!$M$14:$BM$14)))</f>
        <v>0.5</v>
      </c>
      <c r="IW66" s="214">
        <f>IF(IW$7&gt;$D$3,"",IF($FA63&lt;IW$7,"OD",_xlfn.XLOOKUP(IW$7,'Maybole Manuf'!$M$6:$BM$6,'Maybole Manuf'!$M$14:$BM$14)))</f>
        <v>0.5</v>
      </c>
      <c r="IX66" s="214">
        <f>IF(IX$7&gt;$D$3,"",IF($FA63&lt;IX$7,"OD",_xlfn.XLOOKUP(IX$7,'Maybole Manuf'!$M$6:$BM$6,'Maybole Manuf'!$M$14:$BM$14)))</f>
        <v>0.5</v>
      </c>
      <c r="IY66" s="214">
        <f>IF(IY$7&gt;$D$3,"",IF($FA63&lt;IY$7,"OD",_xlfn.XLOOKUP(IY$7,'Maybole Manuf'!$M$6:$BM$6,'Maybole Manuf'!$M$14:$BM$14)))</f>
        <v>0.5</v>
      </c>
      <c r="IZ66" s="214" t="str">
        <f>IF(IZ$7&gt;$D$3,"",IF($FA63&lt;IZ$7,"OD",_xlfn.XLOOKUP(IZ$7,'Maybole Manuf'!$M$6:$BM$6,'Maybole Manuf'!$M$14:$BM$14)))</f>
        <v/>
      </c>
      <c r="JA66" s="214" t="str">
        <f>IF(JA$7&gt;$D$3,"",IF($FA63&lt;JA$7,"OD",_xlfn.XLOOKUP(JA$7,'Maybole Manuf'!$M$6:$BM$6,'Maybole Manuf'!$M$14:$BM$14)))</f>
        <v/>
      </c>
      <c r="JB66" s="214" t="str">
        <f>IF(JB$7&gt;$D$3,"",IF($FA63&lt;JB$7,"OD",_xlfn.XLOOKUP(JB$7,'Maybole Manuf'!$M$6:$BM$6,'Maybole Manuf'!$M$14:$BM$14)))</f>
        <v/>
      </c>
      <c r="JC66" s="214" t="str">
        <f>IF(JC$7&gt;$D$3,"",IF($FA63&lt;JC$7,"OD",_xlfn.XLOOKUP(JC$7,'Maybole Manuf'!$M$6:$BM$6,'Maybole Manuf'!$M$14:$BM$14)))</f>
        <v/>
      </c>
      <c r="JD66" s="214" t="str">
        <f>IF(JD$7&gt;$D$3,"",IF($FA63&lt;JD$7,"OD",_xlfn.XLOOKUP(JD$7,'Maybole Manuf'!$M$6:$BM$6,'Maybole Manuf'!$M$14:$BM$14)))</f>
        <v/>
      </c>
      <c r="JE66" s="214" t="str">
        <f>IF(JE$7&gt;$D$3,"",IF($FA63&lt;JE$7,"OD",_xlfn.XLOOKUP(JE$7,'Maybole Manuf'!$M$6:$BM$6,'Maybole Manuf'!$M$14:$BM$14)))</f>
        <v/>
      </c>
      <c r="JF66" s="214" t="str">
        <f>IF(JF$7&gt;$D$3,"",IF($FA63&lt;JF$7,"OD",_xlfn.XLOOKUP(JF$7,'Maybole Manuf'!$M$6:$BM$6,'Maybole Manuf'!$M$14:$BM$14)))</f>
        <v/>
      </c>
      <c r="JG66" s="214" t="str">
        <f>IF(JG$7&gt;$D$3,"",IF($FA63&lt;JG$7,"OD",_xlfn.XLOOKUP(JG$7,'Maybole Manuf'!$M$6:$BM$6,'Maybole Manuf'!$M$14:$BM$14)))</f>
        <v/>
      </c>
      <c r="JH66" s="214" t="str">
        <f>IF(JH$7&gt;$D$3,"",IF($FA63&lt;JH$7,"OD",_xlfn.XLOOKUP(JH$7,'Maybole Manuf'!$M$6:$BM$6,'Maybole Manuf'!$M$14:$BM$14)))</f>
        <v/>
      </c>
      <c r="JI66" s="214" t="str">
        <f>IF(JI$7&gt;$D$3,"",IF($FA63&lt;JI$7,"OD",_xlfn.XLOOKUP(JI$7,'Maybole Manuf'!$M$6:$BM$6,'Maybole Manuf'!$M$14:$BM$14)))</f>
        <v/>
      </c>
      <c r="JJ66" s="214" t="str">
        <f>IF(JJ$7&gt;$D$3,"",IF($FA63&lt;JJ$7,"OD",_xlfn.XLOOKUP(JJ$7,'Maybole Manuf'!$M$6:$BM$6,'Maybole Manuf'!$M$14:$BM$14)))</f>
        <v/>
      </c>
      <c r="JM66" s="136" t="str">
        <f>+$C66</f>
        <v>KPI Q1</v>
      </c>
      <c r="JN66" s="144" t="str">
        <f>+$D66</f>
        <v>Quality</v>
      </c>
      <c r="JO66" s="144" t="str">
        <f>+$E66</f>
        <v>Customer Complaints</v>
      </c>
      <c r="JP66" s="145" t="str">
        <f>+$F66</f>
        <v>Count</v>
      </c>
      <c r="JQ66" s="145" t="s">
        <v>284</v>
      </c>
      <c r="JR66" s="226" t="str">
        <f>IFERROR(AVERAGE(FC66:$FC66),"")</f>
        <v/>
      </c>
      <c r="JS66" s="226" t="str">
        <f>IFERROR(AVERAGE($FC66:FD66),"")</f>
        <v/>
      </c>
      <c r="JT66" s="226" t="str">
        <f>IFERROR(AVERAGE($FC66:FE66),"")</f>
        <v/>
      </c>
      <c r="JU66" s="226" t="str">
        <f>IFERROR(AVERAGE($FC66:FF66),"")</f>
        <v/>
      </c>
      <c r="JV66" s="226" t="str">
        <f>IFERROR(AVERAGE($FC66:FG66),"")</f>
        <v/>
      </c>
      <c r="JW66" s="226" t="str">
        <f>IFERROR(AVERAGE($FC66:FH66),"")</f>
        <v/>
      </c>
      <c r="JX66" s="226" t="str">
        <f>IFERROR(AVERAGE($FC66:FI66),"")</f>
        <v/>
      </c>
      <c r="JY66" s="226" t="str">
        <f>IFERROR(AVERAGE($FC66:FJ66),"")</f>
        <v/>
      </c>
      <c r="JZ66" s="226" t="str">
        <f>IFERROR(AVERAGE($FC66:FK66),"")</f>
        <v/>
      </c>
      <c r="KA66" s="226" t="str">
        <f>IFERROR(AVERAGE($FC66:FL66),"")</f>
        <v/>
      </c>
      <c r="KB66" s="226" t="str">
        <f>IFERROR(AVERAGE($FC66:FM66),"")</f>
        <v/>
      </c>
      <c r="KC66" s="226" t="str">
        <f>IFERROR(AVERAGE($FC66:FN66),"")</f>
        <v/>
      </c>
      <c r="KD66" s="226" t="str">
        <f>IFERROR(AVERAGE($FC66:FO66),"")</f>
        <v/>
      </c>
      <c r="KE66" s="226">
        <f>IFERROR(AVERAGE($FC66:FP66),"")</f>
        <v>2</v>
      </c>
      <c r="KF66" s="226">
        <f>IFERROR(AVERAGE($FC66:FQ66),"")</f>
        <v>1</v>
      </c>
      <c r="KG66" s="226">
        <f>IFERROR(AVERAGE($FC66:FR66),"")</f>
        <v>1</v>
      </c>
      <c r="KH66" s="226">
        <f>IFERROR(AVERAGE($FC66:FS66),"")</f>
        <v>0.75</v>
      </c>
      <c r="KI66" s="226">
        <f>IFERROR(AVERAGE($FC66:FT66),"")</f>
        <v>0.6</v>
      </c>
      <c r="KJ66" s="226">
        <f>IFERROR(AVERAGE($FC66:FU66),"")</f>
        <v>0.5</v>
      </c>
      <c r="KK66" s="226">
        <f>IFERROR(AVERAGE($FC66:FV66),"")</f>
        <v>0.5714285714285714</v>
      </c>
      <c r="KL66" s="226">
        <f>IFERROR(AVERAGE($FC66:FW66),"")</f>
        <v>0.5</v>
      </c>
      <c r="KM66" s="226">
        <f>IFERROR(AVERAGE($FC66:FX66),"")</f>
        <v>0.44444444444444442</v>
      </c>
      <c r="KN66" s="226">
        <f>IFERROR(AVERAGE($FC66:FY66),"")</f>
        <v>0.4</v>
      </c>
      <c r="KO66" s="226">
        <f>IFERROR(AVERAGE($FC66:FZ66),"")</f>
        <v>0.36363636363636365</v>
      </c>
      <c r="KP66" s="226">
        <f>IFERROR(AVERAGE($FC66:GA66),"")</f>
        <v>0.33333333333333331</v>
      </c>
      <c r="KQ66" s="226">
        <f>IFERROR(AVERAGE($FC66:GB66),"")</f>
        <v>0.46153846153846156</v>
      </c>
      <c r="KR66" s="226">
        <f>IFERROR(AVERAGE($FC66:GC66),"")</f>
        <v>0.5</v>
      </c>
      <c r="KS66" s="226">
        <f>IFERROR(AVERAGE($FC66:GD66),"")</f>
        <v>0.6</v>
      </c>
      <c r="KT66" s="226">
        <f>IFERROR(AVERAGE($FC66:GE66),"")</f>
        <v>0.6875</v>
      </c>
      <c r="KU66" s="226">
        <f>IFERROR(AVERAGE($FC66:GF66),"")</f>
        <v>0.76470588235294112</v>
      </c>
      <c r="KV66" s="226">
        <f>IFERROR(AVERAGE($FC66:GG66),"")</f>
        <v>0.72222222222222221</v>
      </c>
      <c r="KW66" s="226">
        <f>IFERROR(AVERAGE($FC66:GH66),"")</f>
        <v>0.68421052631578949</v>
      </c>
      <c r="KX66" s="226">
        <f>IFERROR(AVERAGE($FC66:GI66),"")</f>
        <v>0.65</v>
      </c>
      <c r="KY66" s="226">
        <f>IFERROR(AVERAGE($FC66:GJ66),"")</f>
        <v>0.66666666666666663</v>
      </c>
      <c r="KZ66" s="226">
        <f>IFERROR(AVERAGE($FC66:GK66),"")</f>
        <v>0.63636363636363635</v>
      </c>
      <c r="LA66" s="226">
        <f>IFERROR(AVERAGE($FC66:GL66),"")</f>
        <v>0.60869565217391308</v>
      </c>
      <c r="LB66" s="226">
        <f>IFERROR(AVERAGE($FC66:GM66),"")</f>
        <v>0.58333333333333337</v>
      </c>
      <c r="LC66" s="226">
        <f>IFERROR(AVERAGE($FC66:GN66),"")</f>
        <v>0.6</v>
      </c>
      <c r="LD66" s="226">
        <f>IFERROR(AVERAGE($FC66:GO66),"")</f>
        <v>0.57692307692307687</v>
      </c>
      <c r="LE66" s="226">
        <f>IFERROR(AVERAGE($FC66:GP66),"")</f>
        <v>0.55555555555555558</v>
      </c>
      <c r="LF66" s="226">
        <f>IFERROR(AVERAGE($FC66:GQ66),"")</f>
        <v>0.5357142857142857</v>
      </c>
      <c r="LG66" s="226">
        <f>IFERROR(AVERAGE($FC66:GR66),"")</f>
        <v>0.55172413793103448</v>
      </c>
      <c r="LH66" s="226">
        <f>IFERROR(AVERAGE($FC66:GS66),"")</f>
        <v>0.55172413793103448</v>
      </c>
      <c r="LI66" s="226">
        <f>IFERROR(AVERAGE($FC66:GT66),"")</f>
        <v>0.55172413793103448</v>
      </c>
      <c r="LJ66" s="226">
        <f>IFERROR(AVERAGE($FC66:GU66),"")</f>
        <v>0.55172413793103448</v>
      </c>
      <c r="LK66" s="226">
        <f>IFERROR(AVERAGE($FC66:GV66),"")</f>
        <v>0.55172413793103448</v>
      </c>
      <c r="LL66" s="226">
        <f>IFERROR(AVERAGE($FC66:GW66),"")</f>
        <v>0.55172413793103448</v>
      </c>
      <c r="LM66" s="226">
        <f>IFERROR(AVERAGE($FC66:GX66),"")</f>
        <v>0.55172413793103448</v>
      </c>
      <c r="LN66" s="226">
        <f>IFERROR(AVERAGE($FC66:GY66),"")</f>
        <v>0.55172413793103448</v>
      </c>
      <c r="LO66" s="226">
        <f>IFERROR(AVERAGE($FC66:GZ66),"")</f>
        <v>0.55172413793103448</v>
      </c>
      <c r="LP66" s="226">
        <f>IFERROR(AVERAGE($FC66:HA66),"")</f>
        <v>0.55172413793103448</v>
      </c>
      <c r="LQ66" s="226">
        <f>IFERROR(AVERAGE($FC66:HB66),"")</f>
        <v>0.55172413793103448</v>
      </c>
      <c r="LR66" s="226">
        <f>IFERROR(AVERAGE($FC66:HC66),"")</f>
        <v>0.55172413793103448</v>
      </c>
      <c r="LT66" s="136" t="str">
        <f>+$C66</f>
        <v>KPI Q1</v>
      </c>
      <c r="LU66" s="144" t="str">
        <f>+$D66</f>
        <v>Quality</v>
      </c>
      <c r="LV66" s="144" t="str">
        <f>+$E66</f>
        <v>Customer Complaints</v>
      </c>
      <c r="LW66" s="145" t="str">
        <f>+$F66</f>
        <v>Count</v>
      </c>
      <c r="LX66" s="145" t="s">
        <v>285</v>
      </c>
      <c r="LY66" s="226" t="str">
        <f>IFERROR(AVERAGE($HJ66:HJ66),"")</f>
        <v/>
      </c>
      <c r="LZ66" s="226" t="str">
        <f>IFERROR(IF(LAD$7&gt;$D$3,"",AVERAGE($HJ66:HK66)),"")</f>
        <v/>
      </c>
      <c r="MA66" s="226" t="str">
        <f>IFERROR(IF(MA$7&gt;$D$3,"",AVERAGE($HJ66:HL66)),"")</f>
        <v/>
      </c>
      <c r="MB66" s="226" t="str">
        <f>IFERROR(IF(MB$7&gt;$D$3,"",AVERAGE($HJ66:HM66)),"")</f>
        <v/>
      </c>
      <c r="MC66" s="226" t="str">
        <f>IFERROR(IF(MC$7&gt;$D$3,"",AVERAGE($HJ66:HN66)),"")</f>
        <v/>
      </c>
      <c r="MD66" s="226" t="str">
        <f>IFERROR(IF(MD$7&gt;$D$3,"",AVERAGE($HJ66:HO66)),"")</f>
        <v/>
      </c>
      <c r="ME66" s="226" t="str">
        <f>IFERROR(IF(ME$7&gt;$D$3,"",AVERAGE($HJ66:HP66)),"")</f>
        <v/>
      </c>
      <c r="MF66" s="226" t="str">
        <f>IFERROR(IF(MF$7&gt;$D$3,"",AVERAGE($HJ66:HQ66)),"")</f>
        <v/>
      </c>
      <c r="MG66" s="226" t="str">
        <f>IFERROR(IF(MG$7&gt;$D$3,"",AVERAGE($HJ66:HR66)),"")</f>
        <v/>
      </c>
      <c r="MH66" s="226" t="str">
        <f>IFERROR(IF(MH$7&gt;$D$3,"",AVERAGE($HJ66:HS66)),"")</f>
        <v/>
      </c>
      <c r="MI66" s="226" t="str">
        <f>IFERROR(IF(MI$7&gt;$D$3,"",AVERAGE($HJ66:HT66)),"")</f>
        <v/>
      </c>
      <c r="MJ66" s="226" t="str">
        <f>IFERROR(IF(MJ$7&gt;$D$3,"",AVERAGE($HJ66:HU66)),"")</f>
        <v/>
      </c>
      <c r="MK66" s="226" t="str">
        <f>IFERROR(IF(MK$7&gt;$D$3,"",AVERAGE($HJ66:HV66)),"")</f>
        <v/>
      </c>
      <c r="ML66" s="226">
        <f>IFERROR(IF(ML$7&gt;$D$3,"",AVERAGE($HJ66:HW66)),"")</f>
        <v>0.5</v>
      </c>
      <c r="MM66" s="226">
        <f>IFERROR(IF(MM$7&gt;$D$3,"",AVERAGE($HJ66:HX66)),"")</f>
        <v>0.5</v>
      </c>
      <c r="MN66" s="226">
        <f>IFERROR(IF(MN$7&gt;$D$3,"",AVERAGE($HJ66:HY66)),"")</f>
        <v>0.5</v>
      </c>
      <c r="MO66" s="226">
        <f>IFERROR(IF(MO$7&gt;$D$3,"",AVERAGE($HJ66:HZ66)),"")</f>
        <v>0.5</v>
      </c>
      <c r="MP66" s="226">
        <f>IFERROR(IF(MP$7&gt;$D$3,"",AVERAGE($HJ66:IA66)),"")</f>
        <v>0.5</v>
      </c>
      <c r="MQ66" s="226">
        <f>IFERROR(IF(MQ$7&gt;$D$3,"",AVERAGE($HJ66:IB66)),"")</f>
        <v>0.5</v>
      </c>
      <c r="MR66" s="226">
        <f>IFERROR(IF(MR$7&gt;$D$3,"",AVERAGE($HJ66:IC66)),"")</f>
        <v>0.5</v>
      </c>
      <c r="MS66" s="226">
        <f>IFERROR(IF(MS$7&gt;$D$3,"",AVERAGE($HJ66:ID66)),"")</f>
        <v>0.5</v>
      </c>
      <c r="MT66" s="226">
        <f>IFERROR(IF(MT$7&gt;$D$3,"",AVERAGE($HJ66:IE66)),"")</f>
        <v>0.5</v>
      </c>
      <c r="MU66" s="226">
        <f>IFERROR(IF(MU$7&gt;$D$3,"",AVERAGE($HJ66:IF66)),"")</f>
        <v>0.5</v>
      </c>
      <c r="MV66" s="226">
        <f>IFERROR(IF(MV$7&gt;$D$3,"",AVERAGE($HJ66:IG66)),"")</f>
        <v>0.5</v>
      </c>
      <c r="MW66" s="226">
        <f>IFERROR(IF(MW$7&gt;$D$3,"",AVERAGE($HJ66:IH66)),"")</f>
        <v>0.5</v>
      </c>
      <c r="MX66" s="226">
        <f>IFERROR(IF(MX$7&gt;$D$3,"",AVERAGE($HJ66:II66)),"")</f>
        <v>0.5</v>
      </c>
      <c r="MY66" s="226">
        <f>IFERROR(IF(MY$7&gt;$D$3,"",AVERAGE($HJ66:IJ66)),"")</f>
        <v>0.5</v>
      </c>
      <c r="MZ66" s="226">
        <f>IFERROR(IF(MZ$7&gt;$D$3,"",AVERAGE($HJ66:IK66)),"")</f>
        <v>0.5</v>
      </c>
      <c r="NA66" s="226">
        <f>IFERROR(IF(NA$7&gt;$D$3,"",AVERAGE($HJ66:IL66)),"")</f>
        <v>0.5</v>
      </c>
      <c r="NB66" s="226">
        <f>IFERROR(IF(NB$7&gt;$D$3,"",AVERAGE($HJ66:IM66)),"")</f>
        <v>0.5</v>
      </c>
      <c r="NC66" s="226">
        <f>IFERROR(IF(NC$7&gt;$D$3,"",AVERAGE($HJ66:IN66)),"")</f>
        <v>0.5</v>
      </c>
      <c r="ND66" s="226">
        <f>IFERROR(IF(ND$7&gt;$D$3,"",AVERAGE($HJ66:IO66)),"")</f>
        <v>0.5</v>
      </c>
      <c r="NE66" s="226">
        <f>IFERROR(IF(NE$7&gt;$D$3,"",AVERAGE($HJ66:IP66)),"")</f>
        <v>0.5</v>
      </c>
      <c r="NF66" s="226">
        <f>IFERROR(IF(NF$7&gt;$D$3,"",AVERAGE($HJ66:IQ66)),"")</f>
        <v>0.5</v>
      </c>
      <c r="NG66" s="226">
        <f>IFERROR(IF(NG$7&gt;$D$3,"",AVERAGE($HJ66:IR66)),"")</f>
        <v>0.5</v>
      </c>
      <c r="NH66" s="226">
        <f>IFERROR(IF(NH$7&gt;$D$3,"",AVERAGE($HJ66:IS66)),"")</f>
        <v>0.5</v>
      </c>
      <c r="NI66" s="226">
        <f>IFERROR(IF(NI$7&gt;$D$3,"",AVERAGE($HJ66:IT66)),"")</f>
        <v>0.5</v>
      </c>
      <c r="NJ66" s="226">
        <f>IFERROR(IF(NJ$7&gt;$D$3,"",AVERAGE($HJ66:IU66)),"")</f>
        <v>0.5</v>
      </c>
      <c r="NK66" s="226">
        <f>IFERROR(IF(NK$7&gt;$D$3,"",AVERAGE($HJ66:IV66)),"")</f>
        <v>0.5</v>
      </c>
      <c r="NL66" s="226">
        <f>IFERROR(IF(NL$7&gt;$D$3,"",AVERAGE($HJ66:IW66)),"")</f>
        <v>0.5</v>
      </c>
      <c r="NM66" s="226">
        <f>IFERROR(IF(NM$7&gt;$D$3,"",AVERAGE($HJ66:IX66)),"")</f>
        <v>0.5</v>
      </c>
      <c r="NN66" s="226">
        <f>IFERROR(IF(NN$7&gt;$D$3,"",AVERAGE($HJ66:IY66)),"")</f>
        <v>0.5</v>
      </c>
      <c r="NO66" s="226" t="str">
        <f>IFERROR(IF(NO$7&gt;$D$3,"",AVERAGE($HJ66:IZ66)),"")</f>
        <v/>
      </c>
      <c r="NP66" s="226" t="str">
        <f>IFERROR(IF(NP$7&gt;$D$3,"",AVERAGE($HJ66:JA66)),"")</f>
        <v/>
      </c>
      <c r="NQ66" s="226" t="str">
        <f>IFERROR(IF(NQ$7&gt;$D$3,"",AVERAGE($HJ66:JB66)),"")</f>
        <v/>
      </c>
      <c r="NR66" s="226" t="str">
        <f>IFERROR(IF(NR$7&gt;$D$3,"",AVERAGE($HJ66:JC66)),"")</f>
        <v/>
      </c>
      <c r="NS66" s="226" t="str">
        <f>IFERROR(IF(NS$7&gt;$D$3,"",AVERAGE($HJ66:JD66)),"")</f>
        <v/>
      </c>
      <c r="NT66" s="226" t="str">
        <f>IFERROR(IF(NT$7&gt;$D$3,"",AVERAGE($HJ66:JE66)),"")</f>
        <v/>
      </c>
      <c r="NU66" s="226" t="str">
        <f>IFERROR(IF(NU$7&gt;$D$3,"",AVERAGE($HJ66:JF66)),"")</f>
        <v/>
      </c>
      <c r="NV66" s="226" t="str">
        <f>IFERROR(IF(NV$7&gt;$D$3,"",AVERAGE($HJ66:JG66)),"")</f>
        <v/>
      </c>
      <c r="NW66" s="226" t="str">
        <f>IFERROR(IF(NW$7&gt;$D$3,"",AVERAGE($HJ66:JH66)),"")</f>
        <v/>
      </c>
      <c r="NX66" s="226" t="str">
        <f>IFERROR(IF(NX$7&gt;$D$3,"",AVERAGE($HJ66:JI66)),"")</f>
        <v/>
      </c>
      <c r="NY66" s="226" t="str">
        <f>IFERROR(IF(NY$7&gt;$D$3,"",AVERAGE($HJ66:JJ66)),"")</f>
        <v/>
      </c>
    </row>
    <row r="67" spans="1:389" ht="15" thickBot="1" x14ac:dyDescent="0.35">
      <c r="A67" t="str">
        <f>$B$63&amp;"-"&amp;C67</f>
        <v>Maybole Manuf-KPI C1</v>
      </c>
      <c r="B67" s="138"/>
      <c r="C67" s="138" t="str">
        <f>+'KPI Stats'!C66</f>
        <v>KPI C1</v>
      </c>
      <c r="D67" s="146" t="str">
        <f>+'KPI Stats'!D66</f>
        <v>Cost</v>
      </c>
      <c r="E67" s="146" t="str">
        <f>+'KPI Stats'!E66</f>
        <v>Production Value  per Employee</v>
      </c>
      <c r="F67" s="147" t="str">
        <f>+'KPI Stats'!F66</f>
        <v>£'s</v>
      </c>
      <c r="G67" s="170" t="str">
        <f>+'KPI Stats'!G66</f>
        <v>Under</v>
      </c>
      <c r="J67" s="160" t="str">
        <f>_xlfn.XLOOKUP(J$7,$AM$7:$CM$7,$AM67:$CM67,,FALSE)</f>
        <v>R</v>
      </c>
      <c r="K67" s="266">
        <f>_xlfn.XLOOKUP(K$7,$FC$7:$HC$7,$FC67:$HC67,,FALSE)</f>
        <v>2580</v>
      </c>
      <c r="L67" s="279">
        <f>_xlfn.XLOOKUP(L$7,$HJ$7:$JJ$7,$HJ67:$JJ67,,FALSE)</f>
        <v>3200</v>
      </c>
      <c r="M67" s="276">
        <f>_xlfn.XLOOKUP(M$7,$CU$7:$EU$7,$CU67:$EU67,,FALSE)</f>
        <v>0.80625000000000002</v>
      </c>
      <c r="P67" s="160" t="str">
        <f>_xlfn.XLOOKUP(P$7,$AM$7:$CM$7,$AM67:$CM67,,FALSE)</f>
        <v>R</v>
      </c>
      <c r="Q67" s="266">
        <f t="shared" si="211"/>
        <v>2580</v>
      </c>
      <c r="R67" s="279">
        <f t="shared" si="211"/>
        <v>2158</v>
      </c>
      <c r="S67" s="289">
        <f t="shared" si="212"/>
        <v>0.80625000000000002</v>
      </c>
      <c r="T67" s="267">
        <f t="shared" si="212"/>
        <v>0.67437499999999995</v>
      </c>
      <c r="U67" s="296" t="str">
        <f>IF(F63&lt;$R$2,"Not Complete",IF(Q67=R67,"Same −",IF($G67="Over",IF(Q67&lt;R67,"Better ↑","Worse ↓"),IF($G67="Under",IF(Q67&gt;R67,"Better ↑","Worse ↓"),"err"))))</f>
        <v>Better ↑</v>
      </c>
      <c r="X67" s="160" t="str">
        <f t="shared" si="213"/>
        <v>R</v>
      </c>
      <c r="Y67" s="266">
        <f>_xlfn.XLOOKUP(Y$7,$JR$7:$LR$7,$JR67:$LR67,FALSE)</f>
        <v>2314.9655172413795</v>
      </c>
      <c r="Z67" s="279">
        <f>_xlfn.XLOOKUP(Z$7,$LY$7:$NY$7,$LY67:$NY67,FALSE)</f>
        <v>2568.2413793103447</v>
      </c>
      <c r="AA67" s="276">
        <f>IF(G67="under",Y67/Z67,IF(G67="over",Z67/Y67,"err"))</f>
        <v>0.90138159749728131</v>
      </c>
      <c r="AB67" s="296" t="str">
        <f>IF(F63&lt;$R$2,"TBC",IF(Y67=Z67,"Same −",IF($G67="Over",IF(Z67&lt;Y67,"Better ↑ ","Worse ↓ "),IF($G67="Under",IF(Y67&gt;Z67,"Better ↑ ","Worse ↓ "),"err"))))</f>
        <v xml:space="preserve">Worse ↓ </v>
      </c>
      <c r="AC67" s="160" t="str">
        <f>IF(AND(G67="above adero",AD67&gt;0),"R",IF(AF67&gt;1,"G",IF(AF67&gt;0.95,"A","R")))</f>
        <v>R</v>
      </c>
      <c r="AD67" s="164">
        <f>_xlfn.XLOOKUP(AD$7,$JR$7:$LR$7,$JR67:$LR67,FALSE)</f>
        <v>2305.5</v>
      </c>
      <c r="AE67" s="164">
        <f>_xlfn.XLOOKUP(AE$7,$LY$7:$NY$7,$LY67:$NY67,FALSE)</f>
        <v>2545.6785714285716</v>
      </c>
      <c r="AF67" s="255">
        <f>IF(G67="under",AD67/AE67,IF(G67="over",AE67/AD67,"err"))</f>
        <v>0.90565243620140568</v>
      </c>
      <c r="AH67" s="465" t="str">
        <f>+$A67</f>
        <v>Maybole Manuf-KPI C1</v>
      </c>
      <c r="AI67" s="138" t="str">
        <f t="shared" si="214"/>
        <v>KPI C1</v>
      </c>
      <c r="AJ67" s="146" t="str">
        <f t="shared" si="214"/>
        <v>Cost</v>
      </c>
      <c r="AK67" s="146" t="str">
        <f t="shared" si="200"/>
        <v>Production Value  per Employee</v>
      </c>
      <c r="AL67" s="147" t="str">
        <f t="shared" si="200"/>
        <v>£'s</v>
      </c>
      <c r="AM67" s="160" t="str">
        <f>IF(AM$7&gt;$D$3,"",_xlfn.XLOOKUP(AM$7,'Maybole Manuf'!$M$6:$BM$6,'Maybole Manuf'!$M$19:$BM$19))</f>
        <v>Blank</v>
      </c>
      <c r="AN67" s="200" t="str">
        <f>IF(AN$7&gt;$D$3,"",_xlfn.XLOOKUP(AN$7,'Maybole Manuf'!$M$6:$BM$6,'Maybole Manuf'!$M$19:$BM$19))</f>
        <v>TBC</v>
      </c>
      <c r="AO67" s="160" t="str">
        <f>IF(AO$7&gt;$D$3,"",_xlfn.XLOOKUP(AO$7,'Maybole Manuf'!$M$6:$BM$6,'Maybole Manuf'!$M$19:$BM$19))</f>
        <v>TBC</v>
      </c>
      <c r="AP67" s="160" t="str">
        <f>IF(AP$7&gt;$D$3,"",_xlfn.XLOOKUP(AP$7,'Maybole Manuf'!$M$6:$BM$6,'Maybole Manuf'!$M$19:$BM$19))</f>
        <v>TBC</v>
      </c>
      <c r="AQ67" s="160" t="str">
        <f>IF(AQ$7&gt;$D$3,"",_xlfn.XLOOKUP(AQ$7,'Maybole Manuf'!$M$6:$BM$6,'Maybole Manuf'!$M$19:$BM$19))</f>
        <v>TBC</v>
      </c>
      <c r="AR67" s="160" t="str">
        <f>IF(AR$7&gt;$D$3,"",_xlfn.XLOOKUP(AR$7,'Maybole Manuf'!$M$6:$BM$6,'Maybole Manuf'!$M$19:$BM$19))</f>
        <v>TBC</v>
      </c>
      <c r="AS67" s="160" t="str">
        <f>IF(AS$7&gt;$D$3,"",_xlfn.XLOOKUP(AS$7,'Maybole Manuf'!$M$6:$BM$6,'Maybole Manuf'!$M$19:$BM$19))</f>
        <v>TBC</v>
      </c>
      <c r="AT67" s="160" t="str">
        <f>IF(AT$7&gt;$D$3,"",_xlfn.XLOOKUP(AT$7,'Maybole Manuf'!$M$6:$BM$6,'Maybole Manuf'!$M$19:$BM$19))</f>
        <v>TBC</v>
      </c>
      <c r="AU67" s="160" t="str">
        <f>IF(AU$7&gt;$D$3,"",_xlfn.XLOOKUP(AU$7,'Maybole Manuf'!$M$6:$BM$6,'Maybole Manuf'!$M$19:$BM$19))</f>
        <v>TBC</v>
      </c>
      <c r="AV67" s="160" t="str">
        <f>IF(AV$7&gt;$D$3,"",_xlfn.XLOOKUP(AV$7,'Maybole Manuf'!$M$6:$BM$6,'Maybole Manuf'!$M$19:$BM$19))</f>
        <v>TBC</v>
      </c>
      <c r="AW67" s="160" t="str">
        <f>IF(AW$7&gt;$D$3,"",_xlfn.XLOOKUP(AW$7,'Maybole Manuf'!$M$6:$BM$6,'Maybole Manuf'!$M$19:$BM$19))</f>
        <v>TBC</v>
      </c>
      <c r="AX67" s="160" t="str">
        <f>IF(AX$7&gt;$D$3,"",_xlfn.XLOOKUP(AX$7,'Maybole Manuf'!$M$6:$BM$6,'Maybole Manuf'!$M$19:$BM$19))</f>
        <v>TBC</v>
      </c>
      <c r="AY67" s="160" t="str">
        <f>IF(AY$7&gt;$D$3,"",_xlfn.XLOOKUP(AY$7,'Maybole Manuf'!$M$6:$BM$6,'Maybole Manuf'!$M$19:$BM$19))</f>
        <v>TBC</v>
      </c>
      <c r="AZ67" s="160" t="str">
        <f>IF(AZ$7&gt;$D$3,"",_xlfn.XLOOKUP(AZ$7,'Maybole Manuf'!$M$6:$BM$6,'Maybole Manuf'!$M$19:$BM$19))</f>
        <v>R</v>
      </c>
      <c r="BA67" s="160" t="str">
        <f>IF(BA$7&gt;$D$3,"",_xlfn.XLOOKUP(BA$7,'Maybole Manuf'!$M$6:$BM$6,'Maybole Manuf'!$M$19:$BM$19))</f>
        <v>R</v>
      </c>
      <c r="BB67" s="160" t="str">
        <f>IF(BB$7&gt;$D$3,"",_xlfn.XLOOKUP(BB$7,'Maybole Manuf'!$M$6:$BM$6,'Maybole Manuf'!$M$19:$BM$19))</f>
        <v>G</v>
      </c>
      <c r="BC67" s="160" t="str">
        <f>IF(BC$7&gt;$D$3,"",_xlfn.XLOOKUP(BC$7,'Maybole Manuf'!$M$6:$BM$6,'Maybole Manuf'!$M$19:$BM$19))</f>
        <v>A</v>
      </c>
      <c r="BD67" s="160" t="str">
        <f>IF(BD$7&gt;$D$3,"",_xlfn.XLOOKUP(BD$7,'Maybole Manuf'!$M$6:$BM$6,'Maybole Manuf'!$M$19:$BM$19))</f>
        <v>G</v>
      </c>
      <c r="BE67" s="160" t="str">
        <f>IF(BE$7&gt;$D$3,"",_xlfn.XLOOKUP(BE$7,'Maybole Manuf'!$M$6:$BM$6,'Maybole Manuf'!$M$19:$BM$19))</f>
        <v>A</v>
      </c>
      <c r="BF67" s="160" t="str">
        <f>IF(BF$7&gt;$D$3,"",_xlfn.XLOOKUP(BF$7,'Maybole Manuf'!$M$6:$BM$6,'Maybole Manuf'!$M$19:$BM$19))</f>
        <v>R</v>
      </c>
      <c r="BG67" s="160" t="str">
        <f>IF(BG$7&gt;$D$3,"",_xlfn.XLOOKUP(BG$7,'Maybole Manuf'!$M$6:$BM$6,'Maybole Manuf'!$M$19:$BM$19))</f>
        <v>A</v>
      </c>
      <c r="BH67" s="160" t="str">
        <f>IF(BH$7&gt;$D$3,"",_xlfn.XLOOKUP(BH$7,'Maybole Manuf'!$M$6:$BM$6,'Maybole Manuf'!$M$19:$BM$19))</f>
        <v>G</v>
      </c>
      <c r="BI67" s="160" t="str">
        <f>IF(BI$7&gt;$D$3,"",_xlfn.XLOOKUP(BI$7,'Maybole Manuf'!$M$6:$BM$6,'Maybole Manuf'!$M$19:$BM$19))</f>
        <v>R</v>
      </c>
      <c r="BJ67" s="160" t="str">
        <f>IF(BJ$7&gt;$D$3,"",_xlfn.XLOOKUP(BJ$7,'Maybole Manuf'!$M$6:$BM$6,'Maybole Manuf'!$M$19:$BM$19))</f>
        <v>R</v>
      </c>
      <c r="BK67" s="160" t="str">
        <f>IF(BK$7&gt;$D$3,"",_xlfn.XLOOKUP(BK$7,'Maybole Manuf'!$M$6:$BM$6,'Maybole Manuf'!$M$19:$BM$19))</f>
        <v>R</v>
      </c>
      <c r="BL67" s="160" t="str">
        <f>IF(BL$7&gt;$D$3,"",_xlfn.XLOOKUP(BL$7,'Maybole Manuf'!$M$6:$BM$6,'Maybole Manuf'!$M$19:$BM$19))</f>
        <v>G</v>
      </c>
      <c r="BM67" s="160" t="str">
        <f>IF(BM$7&gt;$D$3,"",_xlfn.XLOOKUP(BM$7,'Maybole Manuf'!$M$6:$BM$6,'Maybole Manuf'!$M$19:$BM$19))</f>
        <v>R</v>
      </c>
      <c r="BN67" s="160" t="str">
        <f>IF(BN$7&gt;$D$3,"",_xlfn.XLOOKUP(BN$7,'Maybole Manuf'!$M$6:$BM$6,'Maybole Manuf'!$M$19:$BM$19))</f>
        <v>G</v>
      </c>
      <c r="BO67" s="160" t="str">
        <f>IF(BO$7&gt;$D$3,"",_xlfn.XLOOKUP(BO$7,'Maybole Manuf'!$M$6:$BM$6,'Maybole Manuf'!$M$19:$BM$19))</f>
        <v>R</v>
      </c>
      <c r="BP67" s="160" t="str">
        <f>IF(BP$7&gt;$D$3,"",_xlfn.XLOOKUP(BP$7,'Maybole Manuf'!$M$6:$BM$6,'Maybole Manuf'!$M$19:$BM$19))</f>
        <v>G</v>
      </c>
      <c r="BQ67" s="160" t="str">
        <f>IF(BQ$7&gt;$D$3,"",_xlfn.XLOOKUP(BQ$7,'Maybole Manuf'!$M$6:$BM$6,'Maybole Manuf'!$M$19:$BM$19))</f>
        <v>R</v>
      </c>
      <c r="BR67" s="160" t="str">
        <f>IF(BR$7&gt;$D$3,"",_xlfn.XLOOKUP(BR$7,'Maybole Manuf'!$M$6:$BM$6,'Maybole Manuf'!$M$19:$BM$19))</f>
        <v>R</v>
      </c>
      <c r="BS67" s="160" t="str">
        <f>IF(BS$7&gt;$D$3,"",_xlfn.XLOOKUP(BS$7,'Maybole Manuf'!$M$6:$BM$6,'Maybole Manuf'!$M$19:$BM$19))</f>
        <v>R</v>
      </c>
      <c r="BT67" s="160" t="str">
        <f>IF(BT$7&gt;$D$3,"",_xlfn.XLOOKUP(BT$7,'Maybole Manuf'!$M$6:$BM$6,'Maybole Manuf'!$M$19:$BM$19))</f>
        <v>G</v>
      </c>
      <c r="BU67" s="160" t="str">
        <f>IF(BU$7&gt;$D$3,"",_xlfn.XLOOKUP(BU$7,'Maybole Manuf'!$M$6:$BM$6,'Maybole Manuf'!$M$19:$BM$19))</f>
        <v>A</v>
      </c>
      <c r="BV67" s="160" t="str">
        <f>IF(BV$7&gt;$D$3,"",_xlfn.XLOOKUP(BV$7,'Maybole Manuf'!$M$6:$BM$6,'Maybole Manuf'!$M$19:$BM$19))</f>
        <v>R</v>
      </c>
      <c r="BW67" s="160" t="str">
        <f>IF(BW$7&gt;$D$3,"",_xlfn.XLOOKUP(BW$7,'Maybole Manuf'!$M$6:$BM$6,'Maybole Manuf'!$M$19:$BM$19))</f>
        <v>R</v>
      </c>
      <c r="BX67" s="160" t="str">
        <f>IF(BX$7&gt;$D$3,"",_xlfn.XLOOKUP(BX$7,'Maybole Manuf'!$M$6:$BM$6,'Maybole Manuf'!$M$19:$BM$19))</f>
        <v>R</v>
      </c>
      <c r="BY67" s="160" t="str">
        <f>IF(BY$7&gt;$D$3,"",_xlfn.XLOOKUP(BY$7,'Maybole Manuf'!$M$6:$BM$6,'Maybole Manuf'!$M$19:$BM$19))</f>
        <v>R</v>
      </c>
      <c r="BZ67" s="160" t="str">
        <f>IF(BZ$7&gt;$D$3,"",_xlfn.XLOOKUP(BZ$7,'Maybole Manuf'!$M$6:$BM$6,'Maybole Manuf'!$M$19:$BM$19))</f>
        <v>G</v>
      </c>
      <c r="CA67" s="160" t="str">
        <f>IF(CA$7&gt;$D$3,"",_xlfn.XLOOKUP(CA$7,'Maybole Manuf'!$M$6:$BM$6,'Maybole Manuf'!$M$19:$BM$19))</f>
        <v>R</v>
      </c>
      <c r="CB67" s="160" t="str">
        <f>IF(CB$7&gt;$D$3,"",_xlfn.XLOOKUP(CB$7,'Maybole Manuf'!$M$6:$BM$6,'Maybole Manuf'!$M$19:$BM$19))</f>
        <v>R</v>
      </c>
      <c r="CC67" s="160" t="str">
        <f>IF(CC$7&gt;$D$3,"",_xlfn.XLOOKUP(CC$7,'Maybole Manuf'!$M$6:$BM$6,'Maybole Manuf'!$M$19:$BM$19))</f>
        <v/>
      </c>
      <c r="CD67" s="160" t="str">
        <f>IF(CD$7&gt;$D$3,"",_xlfn.XLOOKUP(CD$7,'Maybole Manuf'!$M$6:$BM$6,'Maybole Manuf'!$M$19:$BM$19))</f>
        <v/>
      </c>
      <c r="CE67" s="160" t="str">
        <f>IF(CE$7&gt;$D$3,"",_xlfn.XLOOKUP(CE$7,'Maybole Manuf'!$M$6:$BM$6,'Maybole Manuf'!$M$19:$BM$19))</f>
        <v/>
      </c>
      <c r="CF67" s="160" t="str">
        <f>IF(CF$7&gt;$D$3,"",_xlfn.XLOOKUP(CF$7,'Maybole Manuf'!$M$6:$BM$6,'Maybole Manuf'!$M$19:$BM$19))</f>
        <v/>
      </c>
      <c r="CG67" s="160" t="str">
        <f>IF(CG$7&gt;$D$3,"",_xlfn.XLOOKUP(CG$7,'Maybole Manuf'!$M$6:$BM$6,'Maybole Manuf'!$M$19:$BM$19))</f>
        <v/>
      </c>
      <c r="CH67" s="160" t="str">
        <f>IF(CH$7&gt;$D$3,"",_xlfn.XLOOKUP(CH$7,'Maybole Manuf'!$M$6:$BM$6,'Maybole Manuf'!$M$19:$BM$19))</f>
        <v/>
      </c>
      <c r="CI67" s="160" t="str">
        <f>IF(CI$7&gt;$D$3,"",_xlfn.XLOOKUP(CI$7,'Maybole Manuf'!$M$6:$BM$6,'Maybole Manuf'!$M$19:$BM$19))</f>
        <v/>
      </c>
      <c r="CJ67" s="160" t="str">
        <f>IF(CJ$7&gt;$D$3,"",_xlfn.XLOOKUP(CJ$7,'Maybole Manuf'!$M$6:$BM$6,'Maybole Manuf'!$M$19:$BM$19))</f>
        <v/>
      </c>
      <c r="CK67" s="160" t="str">
        <f>IF(CK$7&gt;$D$3,"",_xlfn.XLOOKUP(CK$7,'Maybole Manuf'!$M$6:$BM$6,'Maybole Manuf'!$M$19:$BM$19))</f>
        <v/>
      </c>
      <c r="CL67" s="160" t="str">
        <f>IF(CL$7&gt;$D$3,"",_xlfn.XLOOKUP(CL$7,'Maybole Manuf'!$M$6:$BM$6,'Maybole Manuf'!$M$19:$BM$19))</f>
        <v/>
      </c>
      <c r="CM67" s="160" t="str">
        <f>IF(CM$7&gt;$D$3,"",_xlfn.XLOOKUP(CM$7,'Maybole Manuf'!$M$6:$BM$6,'Maybole Manuf'!$M$19:$BM$19))</f>
        <v/>
      </c>
      <c r="CO67" s="465" t="str">
        <f>+$A67</f>
        <v>Maybole Manuf-KPI C1</v>
      </c>
      <c r="CP67" s="138" t="str">
        <f t="shared" si="215"/>
        <v>KPI C1</v>
      </c>
      <c r="CQ67" s="146" t="str">
        <f t="shared" si="215"/>
        <v>Cost</v>
      </c>
      <c r="CR67" s="146" t="str">
        <f t="shared" si="202"/>
        <v>Production Value  per Employee</v>
      </c>
      <c r="CS67" s="147" t="str">
        <f t="shared" si="202"/>
        <v>£'s</v>
      </c>
      <c r="CT67" s="208" t="s">
        <v>246</v>
      </c>
      <c r="CU67" s="424" t="str">
        <f>IFERROR(IF(CU$7&gt;$D$3,"",IF(AM67="Undefined","Undefined",IF(AM67="Missed","Missed",IF(AM67="Blank","Blank",IF(AM67="OD","OD",_xlfn.XLOOKUP(CU$7,'Maybole Manuf'!$M$6:$BM$6,'Maybole Manuf'!$M$18:$BM$18)/_xlfn.XLOOKUP(CU$7,'Maybole Manuf'!$M$6:$BM$6,'Maybole Manuf'!$M$17:$BM$17)))))),"")</f>
        <v>Blank</v>
      </c>
      <c r="CV67" s="324" t="str">
        <f>IFERROR(IF(CV$7&gt;$D$3,"",IF(AN67="Undefined","Undefined",IF(AN67="Missed","Missed",IF(AN67="Blank","Blank",IF(AN67="OD","OD",_xlfn.XLOOKUP(CV$7,'Maybole Manuf'!$M$6:$BM$6,'Maybole Manuf'!$M$18:$BM$18)/_xlfn.XLOOKUP(CV$7,'Maybole Manuf'!$M$6:$BM$6,'Maybole Manuf'!$M$17:$BM$17)))))),"")</f>
        <v/>
      </c>
      <c r="CW67" s="325" t="str">
        <f>IFERROR(IF(CW$7&gt;$D$3,"",IF(AO67="Undefined","Undefined",IF(AO67="Missed","Missed",IF(AO67="Blank","Blank",IF(AO67="OD","OD",_xlfn.XLOOKUP(CW$7,'Maybole Manuf'!$M$6:$BM$6,'Maybole Manuf'!$M$18:$BM$18)/_xlfn.XLOOKUP(CW$7,'Maybole Manuf'!$M$6:$BM$6,'Maybole Manuf'!$M$17:$BM$17)))))),"")</f>
        <v/>
      </c>
      <c r="CX67" s="325" t="str">
        <f>IFERROR(IF(CX$7&gt;$D$3,"",IF(AP67="Undefined","Undefined",IF(AP67="Missed","Missed",IF(AP67="Blank","Blank",IF(AP67="OD","OD",_xlfn.XLOOKUP(CX$7,'Maybole Manuf'!$M$6:$BM$6,'Maybole Manuf'!$M$18:$BM$18)/_xlfn.XLOOKUP(CX$7,'Maybole Manuf'!$M$6:$BM$6,'Maybole Manuf'!$M$17:$BM$17)))))),"")</f>
        <v/>
      </c>
      <c r="CY67" s="325" t="str">
        <f>IFERROR(IF(CY$7&gt;$D$3,"",IF(AQ67="Undefined","Undefined",IF(AQ67="Missed","Missed",IF(AQ67="Blank","Blank",IF(AQ67="OD","OD",_xlfn.XLOOKUP(CY$7,'Maybole Manuf'!$M$6:$BM$6,'Maybole Manuf'!$M$18:$BM$18)/_xlfn.XLOOKUP(CY$7,'Maybole Manuf'!$M$6:$BM$6,'Maybole Manuf'!$M$17:$BM$17)))))),"")</f>
        <v/>
      </c>
      <c r="CZ67" s="325" t="str">
        <f>IFERROR(IF(CZ$7&gt;$D$3,"",IF(AR67="Undefined","Undefined",IF(AR67="Missed","Missed",IF(AR67="Blank","Blank",IF(AR67="OD","OD",_xlfn.XLOOKUP(CZ$7,'Maybole Manuf'!$M$6:$BM$6,'Maybole Manuf'!$M$18:$BM$18)/_xlfn.XLOOKUP(CZ$7,'Maybole Manuf'!$M$6:$BM$6,'Maybole Manuf'!$M$17:$BM$17)))))),"")</f>
        <v/>
      </c>
      <c r="DA67" s="325" t="str">
        <f>IFERROR(IF(DA$7&gt;$D$3,"",IF(AS67="Undefined","Undefined",IF(AS67="Missed","Missed",IF(AS67="Blank","Blank",IF(AS67="OD","OD",_xlfn.XLOOKUP(DA$7,'Maybole Manuf'!$M$6:$BM$6,'Maybole Manuf'!$M$18:$BM$18)/_xlfn.XLOOKUP(DA$7,'Maybole Manuf'!$M$6:$BM$6,'Maybole Manuf'!$M$17:$BM$17)))))),"")</f>
        <v/>
      </c>
      <c r="DB67" s="325" t="str">
        <f>IFERROR(IF(DB$7&gt;$D$3,"",IF(AT67="Undefined","Undefined",IF(AT67="Missed","Missed",IF(AT67="Blank","Blank",IF(AT67="OD","OD",_xlfn.XLOOKUP(DB$7,'Maybole Manuf'!$M$6:$BM$6,'Maybole Manuf'!$M$18:$BM$18)/_xlfn.XLOOKUP(DB$7,'Maybole Manuf'!$M$6:$BM$6,'Maybole Manuf'!$M$17:$BM$17)))))),"")</f>
        <v/>
      </c>
      <c r="DC67" s="325" t="str">
        <f>IFERROR(IF(DC$7&gt;$D$3,"",IF(AU67="Undefined","Undefined",IF(AU67="Missed","Missed",IF(AU67="Blank","Blank",IF(AU67="OD","OD",_xlfn.XLOOKUP(DC$7,'Maybole Manuf'!$M$6:$BM$6,'Maybole Manuf'!$M$18:$BM$18)/_xlfn.XLOOKUP(DC$7,'Maybole Manuf'!$M$6:$BM$6,'Maybole Manuf'!$M$17:$BM$17)))))),"")</f>
        <v/>
      </c>
      <c r="DD67" s="325" t="str">
        <f>IFERROR(IF(DD$7&gt;$D$3,"",IF(AV67="Undefined","Undefined",IF(AV67="Missed","Missed",IF(AV67="Blank","Blank",IF(AV67="OD","OD",_xlfn.XLOOKUP(DD$7,'Maybole Manuf'!$M$6:$BM$6,'Maybole Manuf'!$M$18:$BM$18)/_xlfn.XLOOKUP(DD$7,'Maybole Manuf'!$M$6:$BM$6,'Maybole Manuf'!$M$17:$BM$17)))))),"")</f>
        <v/>
      </c>
      <c r="DE67" s="325" t="str">
        <f>IFERROR(IF(DE$7&gt;$D$3,"",IF(AW67="Undefined","Undefined",IF(AW67="Missed","Missed",IF(AW67="Blank","Blank",IF(AW67="OD","OD",_xlfn.XLOOKUP(DE$7,'Maybole Manuf'!$M$6:$BM$6,'Maybole Manuf'!$M$18:$BM$18)/_xlfn.XLOOKUP(DE$7,'Maybole Manuf'!$M$6:$BM$6,'Maybole Manuf'!$M$17:$BM$17)))))),"")</f>
        <v/>
      </c>
      <c r="DF67" s="325" t="str">
        <f>IFERROR(IF(DF$7&gt;$D$3,"",IF(AX67="Undefined","Undefined",IF(AX67="Missed","Missed",IF(AX67="Blank","Blank",IF(AX67="OD","OD",_xlfn.XLOOKUP(DF$7,'Maybole Manuf'!$M$6:$BM$6,'Maybole Manuf'!$M$18:$BM$18)/_xlfn.XLOOKUP(DF$7,'Maybole Manuf'!$M$6:$BM$6,'Maybole Manuf'!$M$17:$BM$17)))))),"")</f>
        <v/>
      </c>
      <c r="DG67" s="325" t="str">
        <f>IFERROR(IF(DG$7&gt;$D$3,"",IF(AY67="Undefined","Undefined",IF(AY67="Missed","Missed",IF(AY67="Blank","Blank",IF(AY67="OD","OD",_xlfn.XLOOKUP(DG$7,'Maybole Manuf'!$M$6:$BM$6,'Maybole Manuf'!$M$18:$BM$18)/_xlfn.XLOOKUP(DG$7,'Maybole Manuf'!$M$6:$BM$6,'Maybole Manuf'!$M$17:$BM$17)))))),"")</f>
        <v/>
      </c>
      <c r="DH67" s="325">
        <f>IFERROR(IF(DH$7&gt;$D$3,"",IF(AZ67="Undefined","Undefined",IF(AZ67="Missed","Missed",IF(AZ67="Blank","Blank",IF(AZ67="OD","OD",_xlfn.XLOOKUP(DH$7,'Maybole Manuf'!$M$6:$BM$6,'Maybole Manuf'!$M$18:$BM$18)/_xlfn.XLOOKUP(DH$7,'Maybole Manuf'!$M$6:$BM$6,'Maybole Manuf'!$M$17:$BM$17)))))),"")</f>
        <v>0.755264655663062</v>
      </c>
      <c r="DI67" s="325">
        <f>IFERROR(IF(DI$7&gt;$D$3,"",IF(BA67="Undefined","Undefined",IF(BA67="Missed","Missed",IF(BA67="Blank","Blank",IF(BA67="OD","OD",_xlfn.XLOOKUP(DI$7,'Maybole Manuf'!$M$6:$BM$6,'Maybole Manuf'!$M$18:$BM$18)/_xlfn.XLOOKUP(DI$7,'Maybole Manuf'!$M$6:$BM$6,'Maybole Manuf'!$M$17:$BM$17)))))),"")</f>
        <v>0.88844621513944222</v>
      </c>
      <c r="DJ67" s="325">
        <f>IFERROR(IF(DJ$7&gt;$D$3,"",IF(BB67="Undefined","Undefined",IF(BB67="Missed","Missed",IF(BB67="Blank","Blank",IF(BB67="OD","OD",_xlfn.XLOOKUP(DJ$7,'Maybole Manuf'!$M$6:$BM$6,'Maybole Manuf'!$M$18:$BM$18)/_xlfn.XLOOKUP(DJ$7,'Maybole Manuf'!$M$6:$BM$6,'Maybole Manuf'!$M$17:$BM$17)))))),"")</f>
        <v>1.1242105263157895</v>
      </c>
      <c r="DK67" s="325">
        <f>IFERROR(IF(DK$7&gt;$D$3,"",IF(BC67="Undefined","Undefined",IF(BC67="Missed","Missed",IF(BC67="Blank","Blank",IF(BC67="OD","OD",_xlfn.XLOOKUP(DK$7,'Maybole Manuf'!$M$6:$BM$6,'Maybole Manuf'!$M$18:$BM$18)/_xlfn.XLOOKUP(DK$7,'Maybole Manuf'!$M$6:$BM$6,'Maybole Manuf'!$M$17:$BM$17)))))),"")</f>
        <v>0.98385964912280699</v>
      </c>
      <c r="DL67" s="325">
        <f>IFERROR(IF(DL$7&gt;$D$3,"",IF(BD67="Undefined","Undefined",IF(BD67="Missed","Missed",IF(BD67="Blank","Blank",IF(BD67="OD","OD",_xlfn.XLOOKUP(DL$7,'Maybole Manuf'!$M$6:$BM$6,'Maybole Manuf'!$M$18:$BM$18)/_xlfn.XLOOKUP(DL$7,'Maybole Manuf'!$M$6:$BM$6,'Maybole Manuf'!$M$17:$BM$17)))))),"")</f>
        <v>1.1604477611940298</v>
      </c>
      <c r="DM67" s="325">
        <f>IFERROR(IF(DM$7&gt;$D$3,"",IF(BE67="Undefined","Undefined",IF(BE67="Missed","Missed",IF(BE67="Blank","Blank",IF(BE67="OD","OD",_xlfn.XLOOKUP(DM$7,'Maybole Manuf'!$M$6:$BM$6,'Maybole Manuf'!$M$18:$BM$18)/_xlfn.XLOOKUP(DM$7,'Maybole Manuf'!$M$6:$BM$6,'Maybole Manuf'!$M$17:$BM$17)))))),"")</f>
        <v>0.95114409400123689</v>
      </c>
      <c r="DN67" s="325">
        <f>IFERROR(IF(DN$7&gt;$D$3,"",IF(BF67="Undefined","Undefined",IF(BF67="Missed","Missed",IF(BF67="Blank","Blank",IF(BF67="OD","OD",_xlfn.XLOOKUP(DN$7,'Maybole Manuf'!$M$6:$BM$6,'Maybole Manuf'!$M$18:$BM$18)/_xlfn.XLOOKUP(DN$7,'Maybole Manuf'!$M$6:$BM$6,'Maybole Manuf'!$M$17:$BM$17)))))),"")</f>
        <v>0.68552829243865798</v>
      </c>
      <c r="DO67" s="325">
        <f>IFERROR(IF(DO$7&gt;$D$3,"",IF(BG67="Undefined","Undefined",IF(BG67="Missed","Missed",IF(BG67="Blank","Blank",IF(BG67="OD","OD",_xlfn.XLOOKUP(DO$7,'Maybole Manuf'!$M$6:$BM$6,'Maybole Manuf'!$M$18:$BM$18)/_xlfn.XLOOKUP(DO$7,'Maybole Manuf'!$M$6:$BM$6,'Maybole Manuf'!$M$17:$BM$17)))))),"")</f>
        <v>0.9904857285928893</v>
      </c>
      <c r="DP67" s="325">
        <f>IFERROR(IF(DP$7&gt;$D$3,"",IF(BH67="Undefined","Undefined",IF(BH67="Missed","Missed",IF(BH67="Blank","Blank",IF(BH67="OD","OD",_xlfn.XLOOKUP(DP$7,'Maybole Manuf'!$M$6:$BM$6,'Maybole Manuf'!$M$18:$BM$18)/_xlfn.XLOOKUP(DP$7,'Maybole Manuf'!$M$6:$BM$6,'Maybole Manuf'!$M$17:$BM$17)))))),"")</f>
        <v>1.0112711333750783</v>
      </c>
      <c r="DQ67" s="325">
        <f>IFERROR(IF(DQ$7&gt;$D$3,"",IF(BI67="Undefined","Undefined",IF(BI67="Missed","Missed",IF(BI67="Blank","Blank",IF(BI67="OD","OD",_xlfn.XLOOKUP(DQ$7,'Maybole Manuf'!$M$6:$BM$6,'Maybole Manuf'!$M$18:$BM$18)/_xlfn.XLOOKUP(DQ$7,'Maybole Manuf'!$M$6:$BM$6,'Maybole Manuf'!$M$17:$BM$17)))))),"")</f>
        <v>0.67520491803278693</v>
      </c>
      <c r="DR67" s="325">
        <f>IFERROR(IF(DR$7&gt;$D$3,"",IF(BJ67="Undefined","Undefined",IF(BJ67="Missed","Missed",IF(BJ67="Blank","Blank",IF(BJ67="OD","OD",_xlfn.XLOOKUP(DR$7,'Maybole Manuf'!$M$6:$BM$6,'Maybole Manuf'!$M$18:$BM$18)/_xlfn.XLOOKUP(DR$7,'Maybole Manuf'!$M$6:$BM$6,'Maybole Manuf'!$M$17:$BM$17)))))),"")</f>
        <v>0.88319672131147542</v>
      </c>
      <c r="DS67" s="325">
        <f>IFERROR(IF(DS$7&gt;$D$3,"",IF(BK67="Undefined","Undefined",IF(BK67="Missed","Missed",IF(BK67="Blank","Blank",IF(BK67="OD","OD",_xlfn.XLOOKUP(DS$7,'Maybole Manuf'!$M$6:$BM$6,'Maybole Manuf'!$M$18:$BM$18)/_xlfn.XLOOKUP(DS$7,'Maybole Manuf'!$M$6:$BM$6,'Maybole Manuf'!$M$17:$BM$17)))))),"")</f>
        <v>0.77049180327868849</v>
      </c>
      <c r="DT67" s="325">
        <f>IFERROR(IF(DT$7&gt;$D$3,"",IF(BL67="Undefined","Undefined",IF(BL67="Missed","Missed",IF(BL67="Blank","Blank",IF(BL67="OD","OD",_xlfn.XLOOKUP(DT$7,'Maybole Manuf'!$M$6:$BM$6,'Maybole Manuf'!$M$18:$BM$18)/_xlfn.XLOOKUP(DT$7,'Maybole Manuf'!$M$6:$BM$6,'Maybole Manuf'!$M$17:$BM$17)))))),"")</f>
        <v>1.0660860655737705</v>
      </c>
      <c r="DU67" s="325">
        <f>IFERROR(IF(DU$7&gt;$D$3,"",IF(BM67="Undefined","Undefined",IF(BM67="Missed","Missed",IF(BM67="Blank","Blank",IF(BM67="OD","OD",_xlfn.XLOOKUP(DU$7,'Maybole Manuf'!$M$6:$BM$6,'Maybole Manuf'!$M$18:$BM$18)/_xlfn.XLOOKUP(DU$7,'Maybole Manuf'!$M$6:$BM$6,'Maybole Manuf'!$M$17:$BM$17)))))),"")</f>
        <v>0.77766287487073427</v>
      </c>
      <c r="DV67" s="325">
        <f>IFERROR(IF(DV$7&gt;$D$3,"",IF(BN67="Undefined","Undefined",IF(BN67="Missed","Missed",IF(BN67="Blank","Blank",IF(BN67="OD","OD",_xlfn.XLOOKUP(DV$7,'Maybole Manuf'!$M$6:$BM$6,'Maybole Manuf'!$M$18:$BM$18)/_xlfn.XLOOKUP(DV$7,'Maybole Manuf'!$M$6:$BM$6,'Maybole Manuf'!$M$17:$BM$17)))))),"")</f>
        <v>1.0534396220844404</v>
      </c>
      <c r="DW67" s="325">
        <f>IFERROR(IF(DW$7&gt;$D$3,"",IF(BO67="Undefined","Undefined",IF(BO67="Missed","Missed",IF(BO67="Blank","Blank",IF(BO67="OD","OD",_xlfn.XLOOKUP(DW$7,'Maybole Manuf'!$M$6:$BM$6,'Maybole Manuf'!$M$18:$BM$18)/_xlfn.XLOOKUP(DW$7,'Maybole Manuf'!$M$6:$BM$6,'Maybole Manuf'!$M$17:$BM$17)))))),"")</f>
        <v>0.71272512547977562</v>
      </c>
      <c r="DX67" s="325">
        <f>IFERROR(IF(DX$7&gt;$D$3,"",IF(BP67="Undefined","Undefined",IF(BP67="Missed","Missed",IF(BP67="Blank","Blank",IF(BP67="OD","OD",_xlfn.XLOOKUP(DX$7,'Maybole Manuf'!$M$6:$BM$6,'Maybole Manuf'!$M$18:$BM$18)/_xlfn.XLOOKUP(DX$7,'Maybole Manuf'!$M$6:$BM$6,'Maybole Manuf'!$M$17:$BM$17)))))),"")</f>
        <v>1.0395630351343372</v>
      </c>
      <c r="DY67" s="325">
        <f>IFERROR(IF(DY$7&gt;$D$3,"",IF(BQ67="Undefined","Undefined",IF(BQ67="Missed","Missed",IF(BQ67="Blank","Blank",IF(BQ67="OD","OD",_xlfn.XLOOKUP(DY$7,'Maybole Manuf'!$M$6:$BM$6,'Maybole Manuf'!$M$18:$BM$18)/_xlfn.XLOOKUP(DY$7,'Maybole Manuf'!$M$6:$BM$6,'Maybole Manuf'!$M$17:$BM$17)))))),"")</f>
        <v>0.72512547977561259</v>
      </c>
      <c r="DZ67" s="325">
        <f>IFERROR(IF(DZ$7&gt;$D$3,"",IF(BR67="Undefined","Undefined",IF(BR67="Missed","Missed",IF(BR67="Blank","Blank",IF(BR67="OD","OD",_xlfn.XLOOKUP(DZ$7,'Maybole Manuf'!$M$6:$BM$6,'Maybole Manuf'!$M$18:$BM$18)/_xlfn.XLOOKUP(DZ$7,'Maybole Manuf'!$M$6:$BM$6,'Maybole Manuf'!$M$17:$BM$17)))))),"")</f>
        <v>0.73039215686274506</v>
      </c>
      <c r="EA67" s="325">
        <f>IFERROR(IF(EA$7&gt;$D$3,"",IF(BS67="Undefined","Undefined",IF(BS67="Missed","Missed",IF(BS67="Blank","Blank",IF(BS67="OD","OD",_xlfn.XLOOKUP(EA$7,'Maybole Manuf'!$M$6:$BM$6,'Maybole Manuf'!$M$18:$BM$18)/_xlfn.XLOOKUP(EA$7,'Maybole Manuf'!$M$6:$BM$6,'Maybole Manuf'!$M$17:$BM$17)))))),"")</f>
        <v>0.72900870541982588</v>
      </c>
      <c r="EB67" s="325">
        <f>IFERROR(IF(EB$7&gt;$D$3,"",IF(BT67="Undefined","Undefined",IF(BT67="Missed","Missed",IF(BT67="Blank","Blank",IF(BT67="OD","OD",_xlfn.XLOOKUP(EB$7,'Maybole Manuf'!$M$6:$BM$6,'Maybole Manuf'!$M$18:$BM$18)/_xlfn.XLOOKUP(EB$7,'Maybole Manuf'!$M$6:$BM$6,'Maybole Manuf'!$M$17:$BM$17)))))),"")</f>
        <v>1.5798932884021342</v>
      </c>
      <c r="EC67" s="325">
        <f>IFERROR(IF(EC$7&gt;$D$3,"",IF(BU67="Undefined","Undefined",IF(BU67="Missed","Missed",IF(BU67="Blank","Blank",IF(BU67="OD","OD",_xlfn.XLOOKUP(EC$7,'Maybole Manuf'!$M$6:$BM$6,'Maybole Manuf'!$M$18:$BM$18)/_xlfn.XLOOKUP(EC$7,'Maybole Manuf'!$M$6:$BM$6,'Maybole Manuf'!$M$17:$BM$17)))))),"")</f>
        <v>0.96008403361344541</v>
      </c>
      <c r="ED67" s="325">
        <f>IFERROR(IF(ED$7&gt;$D$3,"",IF(BV67="Undefined","Undefined",IF(BV67="Missed","Missed",IF(BV67="Blank","Blank",IF(BV67="OD","OD",_xlfn.XLOOKUP(ED$7,'Maybole Manuf'!$M$6:$BM$6,'Maybole Manuf'!$M$18:$BM$18)/_xlfn.XLOOKUP(ED$7,'Maybole Manuf'!$M$6:$BM$6,'Maybole Manuf'!$M$17:$BM$17)))))),"")</f>
        <v>0.91794871794871791</v>
      </c>
      <c r="EE67" s="325">
        <f>IFERROR(IF(EE$7&gt;$D$3,"",IF(BW67="Undefined","Undefined",IF(BW67="Missed","Missed",IF(BW67="Blank","Blank",IF(BW67="OD","OD",_xlfn.XLOOKUP(EE$7,'Maybole Manuf'!$M$6:$BM$6,'Maybole Manuf'!$M$18:$BM$18)/_xlfn.XLOOKUP(EE$7,'Maybole Manuf'!$M$6:$BM$6,'Maybole Manuf'!$M$17:$BM$17)))))),"")</f>
        <v>0.93484162895927603</v>
      </c>
      <c r="EF67" s="325">
        <f>IFERROR(IF(EF$7&gt;$D$3,"",IF(BX67="Undefined","Undefined",IF(BX67="Missed","Missed",IF(BX67="Blank","Blank",IF(BX67="OD","OD",_xlfn.XLOOKUP(EF$7,'Maybole Manuf'!$M$6:$BM$6,'Maybole Manuf'!$M$18:$BM$18)/_xlfn.XLOOKUP(EF$7,'Maybole Manuf'!$M$6:$BM$6,'Maybole Manuf'!$M$17:$BM$17)))))),"")</f>
        <v>0.79396681749622922</v>
      </c>
      <c r="EG67" s="325">
        <f>IFERROR(IF(EG$7&gt;$D$3,"",IF(BY67="Undefined","Undefined",IF(BY67="Missed","Missed",IF(BY67="Blank","Blank",IF(BY67="OD","OD",_xlfn.XLOOKUP(EG$7,'Maybole Manuf'!$M$6:$BM$6,'Maybole Manuf'!$M$18:$BM$18)/_xlfn.XLOOKUP(EG$7,'Maybole Manuf'!$M$6:$BM$6,'Maybole Manuf'!$M$17:$BM$17)))))),"")</f>
        <v>0.78853695324283557</v>
      </c>
      <c r="EH67" s="325">
        <f>IFERROR(IF(EH$7&gt;$D$3,"",IF(BZ67="Undefined","Undefined",IF(BZ67="Missed","Missed",IF(BZ67="Blank","Blank",IF(BZ67="OD","OD",_xlfn.XLOOKUP(EH$7,'Maybole Manuf'!$M$6:$BM$6,'Maybole Manuf'!$M$18:$BM$18)/_xlfn.XLOOKUP(EH$7,'Maybole Manuf'!$M$6:$BM$6,'Maybole Manuf'!$M$17:$BM$17)))))),"")</f>
        <v>1.0160147828765014</v>
      </c>
      <c r="EI67" s="325">
        <f>IFERROR(IF(EI$7&gt;$D$3,"",IF(CA67="Undefined","Undefined",IF(CA67="Missed","Missed",IF(CA67="Blank","Blank",IF(CA67="OD","OD",_xlfn.XLOOKUP(EI$7,'Maybole Manuf'!$M$6:$BM$6,'Maybole Manuf'!$M$18:$BM$18)/_xlfn.XLOOKUP(EI$7,'Maybole Manuf'!$M$6:$BM$6,'Maybole Manuf'!$M$17:$BM$17)))))),"")</f>
        <v>0.67437499999999995</v>
      </c>
      <c r="EJ67" s="325">
        <f>IFERROR(IF(EJ$7&gt;$D$3,"",IF(CB67="Undefined","Undefined",IF(CB67="Missed","Missed",IF(CB67="Blank","Blank",IF(CB67="OD","OD",_xlfn.XLOOKUP(EJ$7,'Maybole Manuf'!$M$6:$BM$6,'Maybole Manuf'!$M$18:$BM$18)/_xlfn.XLOOKUP(EJ$7,'Maybole Manuf'!$M$6:$BM$6,'Maybole Manuf'!$M$17:$BM$17)))))),"")</f>
        <v>0.80625000000000002</v>
      </c>
      <c r="EK67" s="325" t="str">
        <f>IFERROR(IF(EK$7&gt;$D$3,"",IF(CC67="Undefined","Undefined",IF(CC67="Missed","Missed",IF(CC67="Blank","Blank",IF(CC67="OD","OD",_xlfn.XLOOKUP(EK$7,'Maybole Manuf'!$M$6:$BM$6,'Maybole Manuf'!$M$18:$BM$18)/_xlfn.XLOOKUP(EK$7,'Maybole Manuf'!$M$6:$BM$6,'Maybole Manuf'!$M$17:$BM$17)))))),"")</f>
        <v/>
      </c>
      <c r="EL67" s="325" t="str">
        <f>IFERROR(IF(EL$7&gt;$D$3,"",IF(CD67="Undefined","Undefined",IF(CD67="Missed","Missed",IF(CD67="Blank","Blank",IF(CD67="OD","OD",_xlfn.XLOOKUP(EL$7,'Maybole Manuf'!$M$6:$BM$6,'Maybole Manuf'!$M$18:$BM$18)/_xlfn.XLOOKUP(EL$7,'Maybole Manuf'!$M$6:$BM$6,'Maybole Manuf'!$M$17:$BM$17)))))),"")</f>
        <v/>
      </c>
      <c r="EM67" s="325" t="str">
        <f>IFERROR(IF(EM$7&gt;$D$3,"",IF(CE67="Undefined","Undefined",IF(CE67="Missed","Missed",IF(CE67="Blank","Blank",IF(CE67="OD","OD",_xlfn.XLOOKUP(EM$7,'Maybole Manuf'!$M$6:$BM$6,'Maybole Manuf'!$M$18:$BM$18)/_xlfn.XLOOKUP(EM$7,'Maybole Manuf'!$M$6:$BM$6,'Maybole Manuf'!$M$17:$BM$17)))))),"")</f>
        <v/>
      </c>
      <c r="EN67" s="325" t="str">
        <f>IFERROR(IF(EN$7&gt;$D$3,"",IF(CF67="Undefined","Undefined",IF(CF67="Missed","Missed",IF(CF67="Blank","Blank",IF(CF67="OD","OD",_xlfn.XLOOKUP(EN$7,'Maybole Manuf'!$M$6:$BM$6,'Maybole Manuf'!$M$18:$BM$18)/_xlfn.XLOOKUP(EN$7,'Maybole Manuf'!$M$6:$BM$6,'Maybole Manuf'!$M$17:$BM$17)))))),"")</f>
        <v/>
      </c>
      <c r="EO67" s="325" t="str">
        <f>IFERROR(IF(EO$7&gt;$D$3,"",IF(CG67="Undefined","Undefined",IF(CG67="Missed","Missed",IF(CG67="Blank","Blank",IF(CG67="OD","OD",_xlfn.XLOOKUP(EO$7,'Maybole Manuf'!$M$6:$BM$6,'Maybole Manuf'!$M$18:$BM$18)/_xlfn.XLOOKUP(EO$7,'Maybole Manuf'!$M$6:$BM$6,'Maybole Manuf'!$M$17:$BM$17)))))),"")</f>
        <v/>
      </c>
      <c r="EP67" s="325" t="str">
        <f>IFERROR(IF(EP$7&gt;$D$3,"",IF(CH67="Undefined","Undefined",IF(CH67="Missed","Missed",IF(CH67="Blank","Blank",IF(CH67="OD","OD",_xlfn.XLOOKUP(EP$7,'Maybole Manuf'!$M$6:$BM$6,'Maybole Manuf'!$M$18:$BM$18)/_xlfn.XLOOKUP(EP$7,'Maybole Manuf'!$M$6:$BM$6,'Maybole Manuf'!$M$17:$BM$17)))))),"")</f>
        <v/>
      </c>
      <c r="EQ67" s="325" t="str">
        <f>IFERROR(IF(EQ$7&gt;$D$3,"",IF(CI67="Undefined","Undefined",IF(CI67="Missed","Missed",IF(CI67="Blank","Blank",IF(CI67="OD","OD",_xlfn.XLOOKUP(EQ$7,'Maybole Manuf'!$M$6:$BM$6,'Maybole Manuf'!$M$18:$BM$18)/_xlfn.XLOOKUP(EQ$7,'Maybole Manuf'!$M$6:$BM$6,'Maybole Manuf'!$M$17:$BM$17)))))),"")</f>
        <v/>
      </c>
      <c r="ER67" s="325" t="str">
        <f>IFERROR(IF(ER$7&gt;$D$3,"",IF(CJ67="Undefined","Undefined",IF(CJ67="Missed","Missed",IF(CJ67="Blank","Blank",IF(CJ67="OD","OD",_xlfn.XLOOKUP(ER$7,'Maybole Manuf'!$M$6:$BM$6,'Maybole Manuf'!$M$18:$BM$18)/_xlfn.XLOOKUP(ER$7,'Maybole Manuf'!$M$6:$BM$6,'Maybole Manuf'!$M$17:$BM$17)))))),"")</f>
        <v/>
      </c>
      <c r="ES67" s="325" t="str">
        <f>IFERROR(IF(ES$7&gt;$D$3,"",IF(CK67="Undefined","Undefined",IF(CK67="Missed","Missed",IF(CK67="Blank","Blank",IF(CK67="OD","OD",_xlfn.XLOOKUP(ES$7,'Maybole Manuf'!$M$6:$BM$6,'Maybole Manuf'!$M$18:$BM$18)/_xlfn.XLOOKUP(ES$7,'Maybole Manuf'!$M$6:$BM$6,'Maybole Manuf'!$M$17:$BM$17)))))),"")</f>
        <v/>
      </c>
      <c r="ET67" s="325" t="str">
        <f>IFERROR(IF(ET$7&gt;$D$3,"",IF(CL67="Undefined","Undefined",IF(CL67="Missed","Missed",IF(CL67="Blank","Blank",IF(CL67="OD","OD",_xlfn.XLOOKUP(ET$7,'Maybole Manuf'!$M$6:$BM$6,'Maybole Manuf'!$M$18:$BM$18)/_xlfn.XLOOKUP(ET$7,'Maybole Manuf'!$M$6:$BM$6,'Maybole Manuf'!$M$17:$BM$17)))))),"")</f>
        <v/>
      </c>
      <c r="EU67" s="325" t="str">
        <f>IFERROR(IF(EU$7&gt;$D$3,"",IF(CM67="Undefined","Undefined",IF(CM67="Missed","Missed",IF(CM67="Blank","Blank",IF(CM67="OD","OD",_xlfn.XLOOKUP(EU$7,'Maybole Manuf'!$M$6:$BM$6,'Maybole Manuf'!$M$18:$BM$18)/_xlfn.XLOOKUP(EU$7,'Maybole Manuf'!$M$6:$BM$6,'Maybole Manuf'!$M$17:$BM$17)))))),"")</f>
        <v/>
      </c>
      <c r="EW67" s="465" t="str">
        <f>+$A67</f>
        <v>Maybole Manuf-KPI C1</v>
      </c>
      <c r="EX67" s="138" t="str">
        <f>+$C67</f>
        <v>KPI C1</v>
      </c>
      <c r="EY67" s="146" t="str">
        <f>+$D67</f>
        <v>Cost</v>
      </c>
      <c r="EZ67" s="146" t="str">
        <f>+$E67</f>
        <v>Production Value  per Employee</v>
      </c>
      <c r="FA67" s="147" t="str">
        <f>+$F67</f>
        <v>£'s</v>
      </c>
      <c r="FB67" s="147" t="s">
        <v>251</v>
      </c>
      <c r="FC67" s="213" t="str">
        <f>IF(FC$7&gt;$D$3,"",IF($FA63&lt;FC$7,"OD",_xlfn.XLOOKUP(FC$7,'Maybole Manuf'!$M$6:$BM$6,'Maybole Manuf'!$M$18:$BM$18)))</f>
        <v>Blank</v>
      </c>
      <c r="FD67" s="213" t="str">
        <f>IF(FD$7&gt;$D$3,"",IF($FA63&lt;FD$7,"OD",_xlfn.XLOOKUP(FD$7,'Maybole Manuf'!$M$6:$BM$6,'Maybole Manuf'!$M$18:$BM$18)))</f>
        <v>TBC</v>
      </c>
      <c r="FE67" s="213" t="str">
        <f>IF(FE$7&gt;$D$3,"",IF($FA63&lt;FE$7,"OD",_xlfn.XLOOKUP(FE$7,'Maybole Manuf'!$M$6:$BM$6,'Maybole Manuf'!$M$18:$BM$18)))</f>
        <v>TBC</v>
      </c>
      <c r="FF67" s="213" t="str">
        <f>IF(FF$7&gt;$D$3,"",IF($FA63&lt;FF$7,"OD",_xlfn.XLOOKUP(FF$7,'Maybole Manuf'!$M$6:$BM$6,'Maybole Manuf'!$M$18:$BM$18)))</f>
        <v>TBC</v>
      </c>
      <c r="FG67" s="213" t="str">
        <f>IF(FG$7&gt;$D$3,"",IF($FA63&lt;FG$7,"OD",_xlfn.XLOOKUP(FG$7,'Maybole Manuf'!$M$6:$BM$6,'Maybole Manuf'!$M$18:$BM$18)))</f>
        <v>TBC</v>
      </c>
      <c r="FH67" s="213" t="str">
        <f>IF(FH$7&gt;$D$3,"",IF($FA63&lt;FH$7,"OD",_xlfn.XLOOKUP(FH$7,'Maybole Manuf'!$M$6:$BM$6,'Maybole Manuf'!$M$18:$BM$18)))</f>
        <v>TBC</v>
      </c>
      <c r="FI67" s="213" t="str">
        <f>IF(FI$7&gt;$D$3,"",IF($FA63&lt;FI$7,"OD",_xlfn.XLOOKUP(FI$7,'Maybole Manuf'!$M$6:$BM$6,'Maybole Manuf'!$M$18:$BM$18)))</f>
        <v>TBC</v>
      </c>
      <c r="FJ67" s="213" t="str">
        <f>IF(FJ$7&gt;$D$3,"",IF($FA63&lt;FJ$7,"OD",_xlfn.XLOOKUP(FJ$7,'Maybole Manuf'!$M$6:$BM$6,'Maybole Manuf'!$M$18:$BM$18)))</f>
        <v>TBC</v>
      </c>
      <c r="FK67" s="213" t="str">
        <f>IF(FK$7&gt;$D$3,"",IF($FA63&lt;FK$7,"OD",_xlfn.XLOOKUP(FK$7,'Maybole Manuf'!$M$6:$BM$6,'Maybole Manuf'!$M$18:$BM$18)))</f>
        <v>TBC</v>
      </c>
      <c r="FL67" s="213" t="str">
        <f>IF(FL$7&gt;$D$3,"",IF($FA63&lt;FL$7,"OD",_xlfn.XLOOKUP(FL$7,'Maybole Manuf'!$M$6:$BM$6,'Maybole Manuf'!$M$18:$BM$18)))</f>
        <v>TBC</v>
      </c>
      <c r="FM67" s="213" t="str">
        <f>IF(FM$7&gt;$D$3,"",IF($FA63&lt;FM$7,"OD",_xlfn.XLOOKUP(FM$7,'Maybole Manuf'!$M$6:$BM$6,'Maybole Manuf'!$M$18:$BM$18)))</f>
        <v>TBC</v>
      </c>
      <c r="FN67" s="213" t="str">
        <f>IF(FN$7&gt;$D$3,"",IF($FA63&lt;FN$7,"OD",_xlfn.XLOOKUP(FN$7,'Maybole Manuf'!$M$6:$BM$6,'Maybole Manuf'!$M$18:$BM$18)))</f>
        <v>TBC</v>
      </c>
      <c r="FO67" s="213" t="str">
        <f>IF(FO$7&gt;$D$3,"",IF($FA63&lt;FO$7,"OD",_xlfn.XLOOKUP(FO$7,'Maybole Manuf'!$M$6:$BM$6,'Maybole Manuf'!$M$18:$BM$18)))</f>
        <v>TBC</v>
      </c>
      <c r="FP67" s="213">
        <f>IF(FP$7&gt;$D$3,"",IF($FA63&lt;FP$7,"OD",_xlfn.XLOOKUP(FP$7,'Maybole Manuf'!$M$6:$BM$6,'Maybole Manuf'!$M$18:$BM$18)))</f>
        <v>1327</v>
      </c>
      <c r="FQ67" s="213">
        <f>IF(FQ$7&gt;$D$3,"",IF($FA63&lt;FQ$7,"OD",_xlfn.XLOOKUP(FQ$7,'Maybole Manuf'!$M$6:$BM$6,'Maybole Manuf'!$M$18:$BM$18)))</f>
        <v>1561</v>
      </c>
      <c r="FR67" s="213">
        <f>IF(FR$7&gt;$D$3,"",IF($FA63&lt;FR$7,"OD",_xlfn.XLOOKUP(FR$7,'Maybole Manuf'!$M$6:$BM$6,'Maybole Manuf'!$M$18:$BM$18)))</f>
        <v>1602</v>
      </c>
      <c r="FS67" s="213">
        <f>IF(FS$7&gt;$D$3,"",IF($FA63&lt;FS$7,"OD",_xlfn.XLOOKUP(FS$7,'Maybole Manuf'!$M$6:$BM$6,'Maybole Manuf'!$M$18:$BM$18)))</f>
        <v>1402</v>
      </c>
      <c r="FT67" s="213">
        <f>IF(FT$7&gt;$D$3,"",IF($FA63&lt;FT$7,"OD",_xlfn.XLOOKUP(FT$7,'Maybole Manuf'!$M$6:$BM$6,'Maybole Manuf'!$M$18:$BM$18)))</f>
        <v>2177</v>
      </c>
      <c r="FU67" s="213">
        <f>IF(FU$7&gt;$D$3,"",IF($FA63&lt;FU$7,"OD",_xlfn.XLOOKUP(FU$7,'Maybole Manuf'!$M$6:$BM$6,'Maybole Manuf'!$M$18:$BM$18)))</f>
        <v>1538</v>
      </c>
      <c r="FV67" s="213">
        <f>IF(FV$7&gt;$D$3,"",IF($FA63&lt;FV$7,"OD",_xlfn.XLOOKUP(FV$7,'Maybole Manuf'!$M$6:$BM$6,'Maybole Manuf'!$M$18:$BM$18)))</f>
        <v>1369</v>
      </c>
      <c r="FW67" s="213">
        <f>IF(FW$7&gt;$D$3,"",IF($FA63&lt;FW$7,"OD",_xlfn.XLOOKUP(FW$7,'Maybole Manuf'!$M$6:$BM$6,'Maybole Manuf'!$M$18:$BM$18)))</f>
        <v>1978</v>
      </c>
      <c r="FX67" s="213">
        <f>IF(FX$7&gt;$D$3,"",IF($FA63&lt;FX$7,"OD",_xlfn.XLOOKUP(FX$7,'Maybole Manuf'!$M$6:$BM$6,'Maybole Manuf'!$M$18:$BM$18)))</f>
        <v>1615</v>
      </c>
      <c r="FY67" s="213">
        <f>IF(FY$7&gt;$D$3,"",IF($FA63&lt;FY$7,"OD",_xlfn.XLOOKUP(FY$7,'Maybole Manuf'!$M$6:$BM$6,'Maybole Manuf'!$M$18:$BM$18)))</f>
        <v>1318</v>
      </c>
      <c r="FZ67" s="213">
        <f>IF(FZ$7&gt;$D$3,"",IF($FA63&lt;FZ$7,"OD",_xlfn.XLOOKUP(FZ$7,'Maybole Manuf'!$M$6:$BM$6,'Maybole Manuf'!$M$18:$BM$18)))</f>
        <v>1724</v>
      </c>
      <c r="GA67" s="213">
        <f>IF(GA$7&gt;$D$3,"",IF($FA63&lt;GA$7,"OD",_xlfn.XLOOKUP(GA$7,'Maybole Manuf'!$M$6:$BM$6,'Maybole Manuf'!$M$18:$BM$18)))</f>
        <v>1504</v>
      </c>
      <c r="GB67" s="213">
        <f>IF(GB$7&gt;$D$3,"",IF($FA63&lt;GB$7,"OD",_xlfn.XLOOKUP(GB$7,'Maybole Manuf'!$M$6:$BM$6,'Maybole Manuf'!$M$18:$BM$18)))</f>
        <v>2081</v>
      </c>
      <c r="GC67" s="213">
        <f>IF(GC$7&gt;$D$3,"",IF($FA63&lt;GC$7,"OD",_xlfn.XLOOKUP(GC$7,'Maybole Manuf'!$M$6:$BM$6,'Maybole Manuf'!$M$18:$BM$18)))</f>
        <v>1504</v>
      </c>
      <c r="GD67" s="213">
        <f>IF(GD$7&gt;$D$3,"",IF($FA63&lt;GD$7,"OD",_xlfn.XLOOKUP(GD$7,'Maybole Manuf'!$M$6:$BM$6,'Maybole Manuf'!$M$18:$BM$18)))</f>
        <v>3568</v>
      </c>
      <c r="GE67" s="213">
        <f>IF(GE$7&gt;$D$3,"",IF($FA63&lt;GE$7,"OD",_xlfn.XLOOKUP(GE$7,'Maybole Manuf'!$M$6:$BM$6,'Maybole Manuf'!$M$18:$BM$18)))</f>
        <v>2414</v>
      </c>
      <c r="GF67" s="213">
        <f>IF(GF$7&gt;$D$3,"",IF($FA63&lt;GF$7,"OD",_xlfn.XLOOKUP(GF$7,'Maybole Manuf'!$M$6:$BM$6,'Maybole Manuf'!$M$18:$BM$18)))</f>
        <v>3521</v>
      </c>
      <c r="GG67" s="213">
        <f>IF(GG$7&gt;$D$3,"",IF($FA63&lt;GG$7,"OD",_xlfn.XLOOKUP(GG$7,'Maybole Manuf'!$M$6:$BM$6,'Maybole Manuf'!$M$18:$BM$18)))</f>
        <v>2456</v>
      </c>
      <c r="GH67" s="213">
        <f>IF(GH$7&gt;$D$3,"",IF($FA63&lt;GH$7,"OD",_xlfn.XLOOKUP(GH$7,'Maybole Manuf'!$M$6:$BM$6,'Maybole Manuf'!$M$18:$BM$18)))</f>
        <v>2086</v>
      </c>
      <c r="GI67" s="213">
        <f>IF(GI$7&gt;$D$3,"",IF($FA63&lt;GI$7,"OD",_xlfn.XLOOKUP(GI$7,'Maybole Manuf'!$M$6:$BM$6,'Maybole Manuf'!$M$18:$BM$18)))</f>
        <v>2596</v>
      </c>
      <c r="GJ67" s="213">
        <f>IF(GJ$7&gt;$D$3,"",IF($FA63&lt;GJ$7,"OD",_xlfn.XLOOKUP(GJ$7,'Maybole Manuf'!$M$6:$BM$6,'Maybole Manuf'!$M$18:$BM$18)))</f>
        <v>5626</v>
      </c>
      <c r="GK67" s="213">
        <f>IF(GK$7&gt;$D$3,"",IF($FA63&lt;GK$7,"OD",_xlfn.XLOOKUP(GK$7,'Maybole Manuf'!$M$6:$BM$6,'Maybole Manuf'!$M$18:$BM$18)))</f>
        <v>2742</v>
      </c>
      <c r="GL67" s="213">
        <f>IF(GL$7&gt;$D$3,"",IF($FA63&lt;GL$7,"OD",_xlfn.XLOOKUP(GL$7,'Maybole Manuf'!$M$6:$BM$6,'Maybole Manuf'!$M$18:$BM$18)))</f>
        <v>3043</v>
      </c>
      <c r="GM67" s="213">
        <f>IF(GM$7&gt;$D$3,"",IF($FA63&lt;GM$7,"OD",_xlfn.XLOOKUP(GM$7,'Maybole Manuf'!$M$6:$BM$6,'Maybole Manuf'!$M$18:$BM$18)))</f>
        <v>3099</v>
      </c>
      <c r="GN67" s="213">
        <f>IF(GN$7&gt;$D$3,"",IF($FA63&lt;GN$7,"OD",_xlfn.XLOOKUP(GN$7,'Maybole Manuf'!$M$6:$BM$6,'Maybole Manuf'!$M$18:$BM$18)))</f>
        <v>2632</v>
      </c>
      <c r="GO67" s="213">
        <f>IF(GO$7&gt;$D$3,"",IF($FA63&lt;GO$7,"OD",_xlfn.XLOOKUP(GO$7,'Maybole Manuf'!$M$6:$BM$6,'Maybole Manuf'!$M$18:$BM$18)))</f>
        <v>2614</v>
      </c>
      <c r="GP67" s="213">
        <f>IF(GP$7&gt;$D$3,"",IF($FA63&lt;GP$7,"OD",_xlfn.XLOOKUP(GP$7,'Maybole Manuf'!$M$6:$BM$6,'Maybole Manuf'!$M$18:$BM$18)))</f>
        <v>3299</v>
      </c>
      <c r="GQ67" s="213">
        <f>IF(GQ$7&gt;$D$3,"",IF($FA63&lt;GQ$7,"OD",_xlfn.XLOOKUP(GQ$7,'Maybole Manuf'!$M$6:$BM$6,'Maybole Manuf'!$M$18:$BM$18)))</f>
        <v>2158</v>
      </c>
      <c r="GR67" s="213">
        <f>IF(GR$7&gt;$D$3,"",IF($FA63&lt;GR$7,"OD",_xlfn.XLOOKUP(GR$7,'Maybole Manuf'!$M$6:$BM$6,'Maybole Manuf'!$M$18:$BM$18)))</f>
        <v>2580</v>
      </c>
      <c r="GS67" s="213" t="str">
        <f>IF(GS$7&gt;$D$3,"",IF($FA63&lt;GS$7,"OD",_xlfn.XLOOKUP(GS$7,'Maybole Manuf'!$M$6:$BM$6,'Maybole Manuf'!$M$18:$BM$18)))</f>
        <v/>
      </c>
      <c r="GT67" s="213" t="str">
        <f>IF(GT$7&gt;$D$3,"",IF($FA63&lt;GT$7,"OD",_xlfn.XLOOKUP(GT$7,'Maybole Manuf'!$M$6:$BM$6,'Maybole Manuf'!$M$18:$BM$18)))</f>
        <v/>
      </c>
      <c r="GU67" s="213" t="str">
        <f>IF(GU$7&gt;$D$3,"",IF($FA63&lt;GU$7,"OD",_xlfn.XLOOKUP(GU$7,'Maybole Manuf'!$M$6:$BM$6,'Maybole Manuf'!$M$18:$BM$18)))</f>
        <v/>
      </c>
      <c r="GV67" s="213" t="str">
        <f>IF(GV$7&gt;$D$3,"",IF($FA63&lt;GV$7,"OD",_xlfn.XLOOKUP(GV$7,'Maybole Manuf'!$M$6:$BM$6,'Maybole Manuf'!$M$18:$BM$18)))</f>
        <v/>
      </c>
      <c r="GW67" s="213" t="str">
        <f>IF(GW$7&gt;$D$3,"",IF($FA63&lt;GW$7,"OD",_xlfn.XLOOKUP(GW$7,'Maybole Manuf'!$M$6:$BM$6,'Maybole Manuf'!$M$18:$BM$18)))</f>
        <v/>
      </c>
      <c r="GX67" s="213" t="str">
        <f>IF(GX$7&gt;$D$3,"",IF($FA63&lt;GX$7,"OD",_xlfn.XLOOKUP(GX$7,'Maybole Manuf'!$M$6:$BM$6,'Maybole Manuf'!$M$18:$BM$18)))</f>
        <v/>
      </c>
      <c r="GY67" s="213" t="str">
        <f>IF(GY$7&gt;$D$3,"",IF($FA63&lt;GY$7,"OD",_xlfn.XLOOKUP(GY$7,'Maybole Manuf'!$M$6:$BM$6,'Maybole Manuf'!$M$18:$BM$18)))</f>
        <v/>
      </c>
      <c r="GZ67" s="213" t="str">
        <f>IF(GZ$7&gt;$D$3,"",IF($FA63&lt;GZ$7,"OD",_xlfn.XLOOKUP(GZ$7,'Maybole Manuf'!$M$6:$BM$6,'Maybole Manuf'!$M$18:$BM$18)))</f>
        <v/>
      </c>
      <c r="HA67" s="213" t="str">
        <f>IF(HA$7&gt;$D$3,"",IF($FA63&lt;HA$7,"OD",_xlfn.XLOOKUP(HA$7,'Maybole Manuf'!$M$6:$BM$6,'Maybole Manuf'!$M$18:$BM$18)))</f>
        <v/>
      </c>
      <c r="HB67" s="213" t="str">
        <f>IF(HB$7&gt;$D$3,"",IF($FA63&lt;HB$7,"OD",_xlfn.XLOOKUP(HB$7,'Maybole Manuf'!$M$6:$BM$6,'Maybole Manuf'!$M$18:$BM$18)))</f>
        <v/>
      </c>
      <c r="HC67" s="213" t="str">
        <f>IF(HC$7&gt;$D$3,"",IF($FA63&lt;HC$7,"OD",_xlfn.XLOOKUP(HC$7,'Maybole Manuf'!$M$6:$BM$6,'Maybole Manuf'!$M$18:$BM$18)))</f>
        <v/>
      </c>
      <c r="HE67" s="138" t="str">
        <f>+$C67</f>
        <v>KPI C1</v>
      </c>
      <c r="HF67" s="146" t="str">
        <f>+$D67</f>
        <v>Cost</v>
      </c>
      <c r="HG67" s="146" t="str">
        <f>+$E67</f>
        <v>Production Value  per Employee</v>
      </c>
      <c r="HH67" s="147" t="str">
        <f>+$F67</f>
        <v>£'s</v>
      </c>
      <c r="HI67" s="147" t="s">
        <v>44</v>
      </c>
      <c r="HJ67" s="213" t="str">
        <f>IF(HJ$7&gt;$D$3,"",IF($FA63&lt;HJ$7,"OD",_xlfn.XLOOKUP(HJ$7,'Maybole Manuf'!$M$6:$BM$6,'Maybole Manuf'!$M$17:$BM$17)))</f>
        <v>Blank</v>
      </c>
      <c r="HK67" s="213" t="str">
        <f>IF(HK$7&gt;$D$3,"",IF($FA63&lt;HK$7,"OD",_xlfn.XLOOKUP(HK$7,'Maybole Manuf'!$M$6:$BM$6,'Maybole Manuf'!$M$17:$BM$17)))</f>
        <v>TBC</v>
      </c>
      <c r="HL67" s="213" t="str">
        <f>IF(HL$7&gt;$D$3,"",IF($FA63&lt;HL$7,"OD",_xlfn.XLOOKUP(HL$7,'Maybole Manuf'!$M$6:$BM$6,'Maybole Manuf'!$M$17:$BM$17)))</f>
        <v>TBC</v>
      </c>
      <c r="HM67" s="213" t="str">
        <f>IF(HM$7&gt;$D$3,"",IF($FA63&lt;HM$7,"OD",_xlfn.XLOOKUP(HM$7,'Maybole Manuf'!$M$6:$BM$6,'Maybole Manuf'!$M$17:$BM$17)))</f>
        <v>TBC</v>
      </c>
      <c r="HN67" s="213" t="str">
        <f>IF(HN$7&gt;$D$3,"",IF($FA63&lt;HN$7,"OD",_xlfn.XLOOKUP(HN$7,'Maybole Manuf'!$M$6:$BM$6,'Maybole Manuf'!$M$17:$BM$17)))</f>
        <v>TBC</v>
      </c>
      <c r="HO67" s="213" t="str">
        <f>IF(HO$7&gt;$D$3,"",IF($FA63&lt;HO$7,"OD",_xlfn.XLOOKUP(HO$7,'Maybole Manuf'!$M$6:$BM$6,'Maybole Manuf'!$M$17:$BM$17)))</f>
        <v>TBC</v>
      </c>
      <c r="HP67" s="213" t="str">
        <f>IF(HP$7&gt;$D$3,"",IF($FA63&lt;HP$7,"OD",_xlfn.XLOOKUP(HP$7,'Maybole Manuf'!$M$6:$BM$6,'Maybole Manuf'!$M$17:$BM$17)))</f>
        <v>TBC</v>
      </c>
      <c r="HQ67" s="213" t="str">
        <f>IF(HQ$7&gt;$D$3,"",IF($FA63&lt;HQ$7,"OD",_xlfn.XLOOKUP(HQ$7,'Maybole Manuf'!$M$6:$BM$6,'Maybole Manuf'!$M$17:$BM$17)))</f>
        <v>TBC</v>
      </c>
      <c r="HR67" s="213" t="str">
        <f>IF(HR$7&gt;$D$3,"",IF($FA63&lt;HR$7,"OD",_xlfn.XLOOKUP(HR$7,'Maybole Manuf'!$M$6:$BM$6,'Maybole Manuf'!$M$17:$BM$17)))</f>
        <v>TBC</v>
      </c>
      <c r="HS67" s="213" t="str">
        <f>IF(HS$7&gt;$D$3,"",IF($FA63&lt;HS$7,"OD",_xlfn.XLOOKUP(HS$7,'Maybole Manuf'!$M$6:$BM$6,'Maybole Manuf'!$M$17:$BM$17)))</f>
        <v>TBC</v>
      </c>
      <c r="HT67" s="213" t="str">
        <f>IF(HT$7&gt;$D$3,"",IF($FA63&lt;HT$7,"OD",_xlfn.XLOOKUP(HT$7,'Maybole Manuf'!$M$6:$BM$6,'Maybole Manuf'!$M$17:$BM$17)))</f>
        <v>TBC</v>
      </c>
      <c r="HU67" s="213" t="str">
        <f>IF(HU$7&gt;$D$3,"",IF($FA63&lt;HU$7,"OD",_xlfn.XLOOKUP(HU$7,'Maybole Manuf'!$M$6:$BM$6,'Maybole Manuf'!$M$17:$BM$17)))</f>
        <v>TBC</v>
      </c>
      <c r="HV67" s="213" t="str">
        <f>IF(HV$7&gt;$D$3,"",IF($FA63&lt;HV$7,"OD",_xlfn.XLOOKUP(HV$7,'Maybole Manuf'!$M$6:$BM$6,'Maybole Manuf'!$M$17:$BM$17)))</f>
        <v>TBC</v>
      </c>
      <c r="HW67" s="213">
        <f>IF(HW$7&gt;$D$3,"",IF($FA63&lt;HW$7,"OD",_xlfn.XLOOKUP(HW$7,'Maybole Manuf'!$M$6:$BM$6,'Maybole Manuf'!$M$17:$BM$17)))</f>
        <v>1757</v>
      </c>
      <c r="HX67" s="213">
        <f>IF(HX$7&gt;$D$3,"",IF($FA63&lt;HX$7,"OD",_xlfn.XLOOKUP(HX$7,'Maybole Manuf'!$M$6:$BM$6,'Maybole Manuf'!$M$17:$BM$17)))</f>
        <v>1757</v>
      </c>
      <c r="HY67" s="213">
        <f>IF(HY$7&gt;$D$3,"",IF($FA63&lt;HY$7,"OD",_xlfn.XLOOKUP(HY$7,'Maybole Manuf'!$M$6:$BM$6,'Maybole Manuf'!$M$17:$BM$17)))</f>
        <v>1425</v>
      </c>
      <c r="HZ67" s="213">
        <f>IF(HZ$7&gt;$D$3,"",IF($FA63&lt;HZ$7,"OD",_xlfn.XLOOKUP(HZ$7,'Maybole Manuf'!$M$6:$BM$6,'Maybole Manuf'!$M$17:$BM$17)))</f>
        <v>1425</v>
      </c>
      <c r="IA67" s="213">
        <f>IF(IA$7&gt;$D$3,"",IF($FA63&lt;IA$7,"OD",_xlfn.XLOOKUP(IA$7,'Maybole Manuf'!$M$6:$BM$6,'Maybole Manuf'!$M$17:$BM$17)))</f>
        <v>1876</v>
      </c>
      <c r="IB67" s="213">
        <f>IF(IB$7&gt;$D$3,"",IF($FA63&lt;IB$7,"OD",_xlfn.XLOOKUP(IB$7,'Maybole Manuf'!$M$6:$BM$6,'Maybole Manuf'!$M$17:$BM$17)))</f>
        <v>1617</v>
      </c>
      <c r="IC67" s="213">
        <f>IF(IC$7&gt;$D$3,"",IF($FA63&lt;IC$7,"OD",_xlfn.XLOOKUP(IC$7,'Maybole Manuf'!$M$6:$BM$6,'Maybole Manuf'!$M$17:$BM$17)))</f>
        <v>1997</v>
      </c>
      <c r="ID67" s="213">
        <f>IF(ID$7&gt;$D$3,"",IF($FA63&lt;ID$7,"OD",_xlfn.XLOOKUP(ID$7,'Maybole Manuf'!$M$6:$BM$6,'Maybole Manuf'!$M$17:$BM$17)))</f>
        <v>1997</v>
      </c>
      <c r="IE67" s="213">
        <f>IF(IE$7&gt;$D$3,"",IF($FA63&lt;IE$7,"OD",_xlfn.XLOOKUP(IE$7,'Maybole Manuf'!$M$6:$BM$6,'Maybole Manuf'!$M$17:$BM$17)))</f>
        <v>1597</v>
      </c>
      <c r="IF67" s="213">
        <f>IF(IF$7&gt;$D$3,"",IF($FA63&lt;IF$7,"OD",_xlfn.XLOOKUP(IF$7,'Maybole Manuf'!$M$6:$BM$6,'Maybole Manuf'!$M$17:$BM$17)))</f>
        <v>1952</v>
      </c>
      <c r="IG67" s="213">
        <f>IF(IG$7&gt;$D$3,"",IF($FA63&lt;IG$7,"OD",_xlfn.XLOOKUP(IG$7,'Maybole Manuf'!$M$6:$BM$6,'Maybole Manuf'!$M$17:$BM$17)))</f>
        <v>1952</v>
      </c>
      <c r="IH67" s="213">
        <f>IF(IH$7&gt;$D$3,"",IF($FA63&lt;IH$7,"OD",_xlfn.XLOOKUP(IH$7,'Maybole Manuf'!$M$6:$BM$6,'Maybole Manuf'!$M$17:$BM$17)))</f>
        <v>1952</v>
      </c>
      <c r="II67" s="213">
        <f>IF(II$7&gt;$D$3,"",IF($FA63&lt;II$7,"OD",_xlfn.XLOOKUP(II$7,'Maybole Manuf'!$M$6:$BM$6,'Maybole Manuf'!$M$17:$BM$17)))</f>
        <v>1952</v>
      </c>
      <c r="IJ67" s="213">
        <f>IF(IJ$7&gt;$D$3,"",IF($FA63&lt;IJ$7,"OD",_xlfn.XLOOKUP(IJ$7,'Maybole Manuf'!$M$6:$BM$6,'Maybole Manuf'!$M$17:$BM$17)))</f>
        <v>1934</v>
      </c>
      <c r="IK67" s="213">
        <f>IF(IK$7&gt;$D$3,"",IF($FA63&lt;IK$7,"OD",_xlfn.XLOOKUP(IK$7,'Maybole Manuf'!$M$6:$BM$6,'Maybole Manuf'!$M$17:$BM$17)))</f>
        <v>3387</v>
      </c>
      <c r="IL67" s="213">
        <f>IF(IL$7&gt;$D$3,"",IF($FA63&lt;IL$7,"OD",_xlfn.XLOOKUP(IL$7,'Maybole Manuf'!$M$6:$BM$6,'Maybole Manuf'!$M$17:$BM$17)))</f>
        <v>3387</v>
      </c>
      <c r="IM67" s="213">
        <f>IF(IM$7&gt;$D$3,"",IF($FA63&lt;IM$7,"OD",_xlfn.XLOOKUP(IM$7,'Maybole Manuf'!$M$6:$BM$6,'Maybole Manuf'!$M$17:$BM$17)))</f>
        <v>3387</v>
      </c>
      <c r="IN67" s="213">
        <f>IF(IN$7&gt;$D$3,"",IF($FA63&lt;IN$7,"OD",_xlfn.XLOOKUP(IN$7,'Maybole Manuf'!$M$6:$BM$6,'Maybole Manuf'!$M$17:$BM$17)))</f>
        <v>3387</v>
      </c>
      <c r="IO67" s="213">
        <f>IF(IO$7&gt;$D$3,"",IF($FA63&lt;IO$7,"OD",_xlfn.XLOOKUP(IO$7,'Maybole Manuf'!$M$6:$BM$6,'Maybole Manuf'!$M$17:$BM$17)))</f>
        <v>2856</v>
      </c>
      <c r="IP67" s="213">
        <f>IF(IP$7&gt;$D$3,"",IF($FA63&lt;IP$7,"OD",_xlfn.XLOOKUP(IP$7,'Maybole Manuf'!$M$6:$BM$6,'Maybole Manuf'!$M$17:$BM$17)))</f>
        <v>3561</v>
      </c>
      <c r="IQ67" s="213">
        <f>IF(IQ$7&gt;$D$3,"",IF($FA63&lt;IQ$7,"OD",_xlfn.XLOOKUP(IQ$7,'Maybole Manuf'!$M$6:$BM$6,'Maybole Manuf'!$M$17:$BM$17)))</f>
        <v>3561</v>
      </c>
      <c r="IR67" s="213">
        <f>IF(IR$7&gt;$D$3,"",IF($FA63&lt;IR$7,"OD",_xlfn.XLOOKUP(IR$7,'Maybole Manuf'!$M$6:$BM$6,'Maybole Manuf'!$M$17:$BM$17)))</f>
        <v>2856</v>
      </c>
      <c r="IS67" s="213">
        <f>IF(IS$7&gt;$D$3,"",IF($FA63&lt;IS$7,"OD",_xlfn.XLOOKUP(IS$7,'Maybole Manuf'!$M$6:$BM$6,'Maybole Manuf'!$M$17:$BM$17)))</f>
        <v>3315</v>
      </c>
      <c r="IT67" s="213">
        <f>IF(IT$7&gt;$D$3,"",IF($FA63&lt;IT$7,"OD",_xlfn.XLOOKUP(IT$7,'Maybole Manuf'!$M$6:$BM$6,'Maybole Manuf'!$M$17:$BM$17)))</f>
        <v>3315</v>
      </c>
      <c r="IU67" s="213">
        <f>IF(IU$7&gt;$D$3,"",IF($FA63&lt;IU$7,"OD",_xlfn.XLOOKUP(IU$7,'Maybole Manuf'!$M$6:$BM$6,'Maybole Manuf'!$M$17:$BM$17)))</f>
        <v>3315</v>
      </c>
      <c r="IV67" s="213">
        <f>IF(IV$7&gt;$D$3,"",IF($FA63&lt;IV$7,"OD",_xlfn.XLOOKUP(IV$7,'Maybole Manuf'!$M$6:$BM$6,'Maybole Manuf'!$M$17:$BM$17)))</f>
        <v>3315</v>
      </c>
      <c r="IW67" s="213">
        <f>IF(IW$7&gt;$D$3,"",IF($FA63&lt;IW$7,"OD",_xlfn.XLOOKUP(IW$7,'Maybole Manuf'!$M$6:$BM$6,'Maybole Manuf'!$M$17:$BM$17)))</f>
        <v>3247</v>
      </c>
      <c r="IX67" s="213">
        <f>IF(IX$7&gt;$D$3,"",IF($FA63&lt;IX$7,"OD",_xlfn.XLOOKUP(IX$7,'Maybole Manuf'!$M$6:$BM$6,'Maybole Manuf'!$M$17:$BM$17)))</f>
        <v>3200</v>
      </c>
      <c r="IY67" s="213">
        <f>IF(IY$7&gt;$D$3,"",IF($FA63&lt;IY$7,"OD",_xlfn.XLOOKUP(IY$7,'Maybole Manuf'!$M$6:$BM$6,'Maybole Manuf'!$M$17:$BM$17)))</f>
        <v>3200</v>
      </c>
      <c r="IZ67" s="213" t="str">
        <f>IF(IZ$7&gt;$D$3,"",IF($FA63&lt;IZ$7,"OD",_xlfn.XLOOKUP(IZ$7,'Maybole Manuf'!$M$6:$BM$6,'Maybole Manuf'!$M$17:$BM$17)))</f>
        <v/>
      </c>
      <c r="JA67" s="213" t="str">
        <f>IF(JA$7&gt;$D$3,"",IF($FA63&lt;JA$7,"OD",_xlfn.XLOOKUP(JA$7,'Maybole Manuf'!$M$6:$BM$6,'Maybole Manuf'!$M$17:$BM$17)))</f>
        <v/>
      </c>
      <c r="JB67" s="213" t="str">
        <f>IF(JB$7&gt;$D$3,"",IF($FA63&lt;JB$7,"OD",_xlfn.XLOOKUP(JB$7,'Maybole Manuf'!$M$6:$BM$6,'Maybole Manuf'!$M$17:$BM$17)))</f>
        <v/>
      </c>
      <c r="JC67" s="213" t="str">
        <f>IF(JC$7&gt;$D$3,"",IF($FA63&lt;JC$7,"OD",_xlfn.XLOOKUP(JC$7,'Maybole Manuf'!$M$6:$BM$6,'Maybole Manuf'!$M$17:$BM$17)))</f>
        <v/>
      </c>
      <c r="JD67" s="213" t="str">
        <f>IF(JD$7&gt;$D$3,"",IF($FA63&lt;JD$7,"OD",_xlfn.XLOOKUP(JD$7,'Maybole Manuf'!$M$6:$BM$6,'Maybole Manuf'!$M$17:$BM$17)))</f>
        <v/>
      </c>
      <c r="JE67" s="213" t="str">
        <f>IF(JE$7&gt;$D$3,"",IF($FA63&lt;JE$7,"OD",_xlfn.XLOOKUP(JE$7,'Maybole Manuf'!$M$6:$BM$6,'Maybole Manuf'!$M$17:$BM$17)))</f>
        <v/>
      </c>
      <c r="JF67" s="213" t="str">
        <f>IF(JF$7&gt;$D$3,"",IF($FA63&lt;JF$7,"OD",_xlfn.XLOOKUP(JF$7,'Maybole Manuf'!$M$6:$BM$6,'Maybole Manuf'!$M$17:$BM$17)))</f>
        <v/>
      </c>
      <c r="JG67" s="213" t="str">
        <f>IF(JG$7&gt;$D$3,"",IF($FA63&lt;JG$7,"OD",_xlfn.XLOOKUP(JG$7,'Maybole Manuf'!$M$6:$BM$6,'Maybole Manuf'!$M$17:$BM$17)))</f>
        <v/>
      </c>
      <c r="JH67" s="213" t="str">
        <f>IF(JH$7&gt;$D$3,"",IF($FA63&lt;JH$7,"OD",_xlfn.XLOOKUP(JH$7,'Maybole Manuf'!$M$6:$BM$6,'Maybole Manuf'!$M$17:$BM$17)))</f>
        <v/>
      </c>
      <c r="JI67" s="213" t="str">
        <f>IF(JI$7&gt;$D$3,"",IF($FA63&lt;JI$7,"OD",_xlfn.XLOOKUP(JI$7,'Maybole Manuf'!$M$6:$BM$6,'Maybole Manuf'!$M$17:$BM$17)))</f>
        <v/>
      </c>
      <c r="JJ67" s="213" t="str">
        <f>IF(JJ$7&gt;$D$3,"",IF($FA63&lt;JJ$7,"OD",_xlfn.XLOOKUP(JJ$7,'Maybole Manuf'!$M$6:$BM$6,'Maybole Manuf'!$M$17:$BM$17)))</f>
        <v/>
      </c>
      <c r="JM67" s="138" t="str">
        <f>+$C67</f>
        <v>KPI C1</v>
      </c>
      <c r="JN67" s="146" t="str">
        <f>+$D67</f>
        <v>Cost</v>
      </c>
      <c r="JO67" s="146" t="str">
        <f>+$E67</f>
        <v>Production Value  per Employee</v>
      </c>
      <c r="JP67" s="147" t="str">
        <f>+$F67</f>
        <v>£'s</v>
      </c>
      <c r="JQ67" s="147" t="s">
        <v>284</v>
      </c>
      <c r="JR67" s="227" t="str">
        <f>IFERROR(AVERAGE(FC67:$FC67),"")</f>
        <v/>
      </c>
      <c r="JS67" s="227" t="str">
        <f>IFERROR(AVERAGE($FC67:FD67),"")</f>
        <v/>
      </c>
      <c r="JT67" s="227" t="str">
        <f>IFERROR(AVERAGE($FC67:FE67),"")</f>
        <v/>
      </c>
      <c r="JU67" s="227" t="str">
        <f>IFERROR(AVERAGE($FC67:FF67),"")</f>
        <v/>
      </c>
      <c r="JV67" s="227" t="str">
        <f>IFERROR(AVERAGE($FC67:FG67),"")</f>
        <v/>
      </c>
      <c r="JW67" s="227" t="str">
        <f>IFERROR(AVERAGE($FC67:FH67),"")</f>
        <v/>
      </c>
      <c r="JX67" s="227" t="str">
        <f>IFERROR(AVERAGE($FC67:FI67),"")</f>
        <v/>
      </c>
      <c r="JY67" s="227" t="str">
        <f>IFERROR(AVERAGE($FC67:FJ67),"")</f>
        <v/>
      </c>
      <c r="JZ67" s="227" t="str">
        <f>IFERROR(AVERAGE($FC67:FK67),"")</f>
        <v/>
      </c>
      <c r="KA67" s="227" t="str">
        <f>IFERROR(AVERAGE($FC67:FL67),"")</f>
        <v/>
      </c>
      <c r="KB67" s="227" t="str">
        <f>IFERROR(AVERAGE($FC67:FM67),"")</f>
        <v/>
      </c>
      <c r="KC67" s="227" t="str">
        <f>IFERROR(AVERAGE($FC67:FN67),"")</f>
        <v/>
      </c>
      <c r="KD67" s="227" t="str">
        <f>IFERROR(AVERAGE($FC67:FO67),"")</f>
        <v/>
      </c>
      <c r="KE67" s="227">
        <f>IFERROR(AVERAGE($FC67:FP67),"")</f>
        <v>1327</v>
      </c>
      <c r="KF67" s="227">
        <f>IFERROR(AVERAGE($FC67:FQ67),"")</f>
        <v>1444</v>
      </c>
      <c r="KG67" s="227">
        <f>IFERROR(AVERAGE($FC67:FR67),"")</f>
        <v>1496.6666666666667</v>
      </c>
      <c r="KH67" s="227">
        <f>IFERROR(AVERAGE($FC67:FS67),"")</f>
        <v>1473</v>
      </c>
      <c r="KI67" s="227">
        <f>IFERROR(AVERAGE($FC67:FT67),"")</f>
        <v>1613.8</v>
      </c>
      <c r="KJ67" s="227">
        <f>IFERROR(AVERAGE($FC67:FU67),"")</f>
        <v>1601.1666666666667</v>
      </c>
      <c r="KK67" s="227">
        <f>IFERROR(AVERAGE($FC67:FV67),"")</f>
        <v>1568</v>
      </c>
      <c r="KL67" s="227">
        <f>IFERROR(AVERAGE($FC67:FW67),"")</f>
        <v>1619.25</v>
      </c>
      <c r="KM67" s="227">
        <f>IFERROR(AVERAGE($FC67:FX67),"")</f>
        <v>1618.7777777777778</v>
      </c>
      <c r="KN67" s="227">
        <f>IFERROR(AVERAGE($FC67:FY67),"")</f>
        <v>1588.7</v>
      </c>
      <c r="KO67" s="227">
        <f>IFERROR(AVERAGE($FC67:FZ67),"")</f>
        <v>1601</v>
      </c>
      <c r="KP67" s="227">
        <f>IFERROR(AVERAGE($FC67:GA67),"")</f>
        <v>1592.9166666666667</v>
      </c>
      <c r="KQ67" s="227">
        <f>IFERROR(AVERAGE($FC67:GB67),"")</f>
        <v>1630.4615384615386</v>
      </c>
      <c r="KR67" s="227">
        <f>IFERROR(AVERAGE($FC67:GC67),"")</f>
        <v>1621.4285714285713</v>
      </c>
      <c r="KS67" s="227">
        <f>IFERROR(AVERAGE($FC67:GD67),"")</f>
        <v>1751.2</v>
      </c>
      <c r="KT67" s="227">
        <f>IFERROR(AVERAGE($FC67:GE67),"")</f>
        <v>1792.625</v>
      </c>
      <c r="KU67" s="227">
        <f>IFERROR(AVERAGE($FC67:GF67),"")</f>
        <v>1894.2941176470588</v>
      </c>
      <c r="KV67" s="227">
        <f>IFERROR(AVERAGE($FC67:GG67),"")</f>
        <v>1925.5</v>
      </c>
      <c r="KW67" s="227">
        <f>IFERROR(AVERAGE($FC67:GH67),"")</f>
        <v>1933.9473684210527</v>
      </c>
      <c r="KX67" s="227">
        <f>IFERROR(AVERAGE($FC67:GI67),"")</f>
        <v>1967.05</v>
      </c>
      <c r="KY67" s="227">
        <f>IFERROR(AVERAGE($FC67:GJ67),"")</f>
        <v>2141.2857142857142</v>
      </c>
      <c r="KZ67" s="227">
        <f>IFERROR(AVERAGE($FC67:GK67),"")</f>
        <v>2168.590909090909</v>
      </c>
      <c r="LA67" s="227">
        <f>IFERROR(AVERAGE($FC67:GL67),"")</f>
        <v>2206.608695652174</v>
      </c>
      <c r="LB67" s="227">
        <f>IFERROR(AVERAGE($FC67:GM67),"")</f>
        <v>2243.7916666666665</v>
      </c>
      <c r="LC67" s="227">
        <f>IFERROR(AVERAGE($FC67:GN67),"")</f>
        <v>2259.3200000000002</v>
      </c>
      <c r="LD67" s="227">
        <f>IFERROR(AVERAGE($FC67:GO67),"")</f>
        <v>2272.9615384615386</v>
      </c>
      <c r="LE67" s="227">
        <f>IFERROR(AVERAGE($FC67:GP67),"")</f>
        <v>2310.962962962963</v>
      </c>
      <c r="LF67" s="227">
        <f>IFERROR(AVERAGE($FC67:GQ67),"")</f>
        <v>2305.5</v>
      </c>
      <c r="LG67" s="227">
        <f>IFERROR(AVERAGE($FC67:GR67),"")</f>
        <v>2314.9655172413795</v>
      </c>
      <c r="LH67" s="227">
        <f>IFERROR(AVERAGE($FC67:GS67),"")</f>
        <v>2314.9655172413795</v>
      </c>
      <c r="LI67" s="227">
        <f>IFERROR(AVERAGE($FC67:GT67),"")</f>
        <v>2314.9655172413795</v>
      </c>
      <c r="LJ67" s="227">
        <f>IFERROR(AVERAGE($FC67:GU67),"")</f>
        <v>2314.9655172413795</v>
      </c>
      <c r="LK67" s="227">
        <f>IFERROR(AVERAGE($FC67:GV67),"")</f>
        <v>2314.9655172413795</v>
      </c>
      <c r="LL67" s="227">
        <f>IFERROR(AVERAGE($FC67:GW67),"")</f>
        <v>2314.9655172413795</v>
      </c>
      <c r="LM67" s="227">
        <f>IFERROR(AVERAGE($FC67:GX67),"")</f>
        <v>2314.9655172413795</v>
      </c>
      <c r="LN67" s="227">
        <f>IFERROR(AVERAGE($FC67:GY67),"")</f>
        <v>2314.9655172413795</v>
      </c>
      <c r="LO67" s="227">
        <f>IFERROR(AVERAGE($FC67:GZ67),"")</f>
        <v>2314.9655172413795</v>
      </c>
      <c r="LP67" s="227">
        <f>IFERROR(AVERAGE($FC67:HA67),"")</f>
        <v>2314.9655172413795</v>
      </c>
      <c r="LQ67" s="227">
        <f>IFERROR(AVERAGE($FC67:HB67),"")</f>
        <v>2314.9655172413795</v>
      </c>
      <c r="LR67" s="227">
        <f>IFERROR(AVERAGE($FC67:HC67),"")</f>
        <v>2314.9655172413795</v>
      </c>
      <c r="LT67" s="138" t="str">
        <f>+$C67</f>
        <v>KPI C1</v>
      </c>
      <c r="LU67" s="146" t="str">
        <f>+$D67</f>
        <v>Cost</v>
      </c>
      <c r="LV67" s="146" t="str">
        <f>+$E67</f>
        <v>Production Value  per Employee</v>
      </c>
      <c r="LW67" s="147" t="str">
        <f>+$F67</f>
        <v>£'s</v>
      </c>
      <c r="LX67" s="147" t="s">
        <v>285</v>
      </c>
      <c r="LY67" s="227" t="str">
        <f>IFERROR(AVERAGE($HJ67:HJ67),"")</f>
        <v/>
      </c>
      <c r="LZ67" s="227" t="str">
        <f>IFERROR(IF(LAD$7&gt;$D$3,"",AVERAGE($HJ67:HK67)),"")</f>
        <v/>
      </c>
      <c r="MA67" s="227" t="str">
        <f>IFERROR(IF(MA$7&gt;$D$3,"",AVERAGE($HJ67:HL67)),"")</f>
        <v/>
      </c>
      <c r="MB67" s="227" t="str">
        <f>IFERROR(IF(MB$7&gt;$D$3,"",AVERAGE($HJ67:HM67)),"")</f>
        <v/>
      </c>
      <c r="MC67" s="227" t="str">
        <f>IFERROR(IF(MC$7&gt;$D$3,"",AVERAGE($HJ67:HN67)),"")</f>
        <v/>
      </c>
      <c r="MD67" s="227" t="str">
        <f>IFERROR(IF(MD$7&gt;$D$3,"",AVERAGE($HJ67:HO67)),"")</f>
        <v/>
      </c>
      <c r="ME67" s="227" t="str">
        <f>IFERROR(IF(ME$7&gt;$D$3,"",AVERAGE($HJ67:HP67)),"")</f>
        <v/>
      </c>
      <c r="MF67" s="227" t="str">
        <f>IFERROR(IF(MF$7&gt;$D$3,"",AVERAGE($HJ67:HQ67)),"")</f>
        <v/>
      </c>
      <c r="MG67" s="227" t="str">
        <f>IFERROR(IF(MG$7&gt;$D$3,"",AVERAGE($HJ67:HR67)),"")</f>
        <v/>
      </c>
      <c r="MH67" s="227" t="str">
        <f>IFERROR(IF(MH$7&gt;$D$3,"",AVERAGE($HJ67:HS67)),"")</f>
        <v/>
      </c>
      <c r="MI67" s="227" t="str">
        <f>IFERROR(IF(MI$7&gt;$D$3,"",AVERAGE($HJ67:HT67)),"")</f>
        <v/>
      </c>
      <c r="MJ67" s="227" t="str">
        <f>IFERROR(IF(MJ$7&gt;$D$3,"",AVERAGE($HJ67:HU67)),"")</f>
        <v/>
      </c>
      <c r="MK67" s="227" t="str">
        <f>IFERROR(IF(MK$7&gt;$D$3,"",AVERAGE($HJ67:HV67)),"")</f>
        <v/>
      </c>
      <c r="ML67" s="227">
        <f>IFERROR(IF(ML$7&gt;$D$3,"",AVERAGE($HJ67:HW67)),"")</f>
        <v>1757</v>
      </c>
      <c r="MM67" s="227">
        <f>IFERROR(IF(MM$7&gt;$D$3,"",AVERAGE($HJ67:HX67)),"")</f>
        <v>1757</v>
      </c>
      <c r="MN67" s="227">
        <f>IFERROR(IF(MN$7&gt;$D$3,"",AVERAGE($HJ67:HY67)),"")</f>
        <v>1646.3333333333333</v>
      </c>
      <c r="MO67" s="227">
        <f>IFERROR(IF(MO$7&gt;$D$3,"",AVERAGE($HJ67:HZ67)),"")</f>
        <v>1591</v>
      </c>
      <c r="MP67" s="227">
        <f>IFERROR(IF(MP$7&gt;$D$3,"",AVERAGE($HJ67:IA67)),"")</f>
        <v>1648</v>
      </c>
      <c r="MQ67" s="227">
        <f>IFERROR(IF(MQ$7&gt;$D$3,"",AVERAGE($HJ67:IB67)),"")</f>
        <v>1642.8333333333333</v>
      </c>
      <c r="MR67" s="227">
        <f>IFERROR(IF(MR$7&gt;$D$3,"",AVERAGE($HJ67:IC67)),"")</f>
        <v>1693.4285714285713</v>
      </c>
      <c r="MS67" s="227">
        <f>IFERROR(IF(MS$7&gt;$D$3,"",AVERAGE($HJ67:ID67)),"")</f>
        <v>1731.375</v>
      </c>
      <c r="MT67" s="227">
        <f>IFERROR(IF(MT$7&gt;$D$3,"",AVERAGE($HJ67:IE67)),"")</f>
        <v>1716.4444444444443</v>
      </c>
      <c r="MU67" s="227">
        <f>IFERROR(IF(MU$7&gt;$D$3,"",AVERAGE($HJ67:IF67)),"")</f>
        <v>1740</v>
      </c>
      <c r="MV67" s="227">
        <f>IFERROR(IF(MV$7&gt;$D$3,"",AVERAGE($HJ67:IG67)),"")</f>
        <v>1759.2727272727273</v>
      </c>
      <c r="MW67" s="227">
        <f>IFERROR(IF(MW$7&gt;$D$3,"",AVERAGE($HJ67:IH67)),"")</f>
        <v>1775.3333333333333</v>
      </c>
      <c r="MX67" s="227">
        <f>IFERROR(IF(MX$7&gt;$D$3,"",AVERAGE($HJ67:II67)),"")</f>
        <v>1788.9230769230769</v>
      </c>
      <c r="MY67" s="227">
        <f>IFERROR(IF(MY$7&gt;$D$3,"",AVERAGE($HJ67:IJ67)),"")</f>
        <v>1799.2857142857142</v>
      </c>
      <c r="MZ67" s="227">
        <f>IFERROR(IF(MZ$7&gt;$D$3,"",AVERAGE($HJ67:IK67)),"")</f>
        <v>1905.1333333333334</v>
      </c>
      <c r="NA67" s="227">
        <f>IFERROR(IF(NA$7&gt;$D$3,"",AVERAGE($HJ67:IL67)),"")</f>
        <v>1997.75</v>
      </c>
      <c r="NB67" s="227">
        <f>IFERROR(IF(NB$7&gt;$D$3,"",AVERAGE($HJ67:IM67)),"")</f>
        <v>2079.4705882352941</v>
      </c>
      <c r="NC67" s="227">
        <f>IFERROR(IF(NC$7&gt;$D$3,"",AVERAGE($HJ67:IN67)),"")</f>
        <v>2152.1111111111113</v>
      </c>
      <c r="ND67" s="227">
        <f>IFERROR(IF(ND$7&gt;$D$3,"",AVERAGE($HJ67:IO67)),"")</f>
        <v>2189.1578947368421</v>
      </c>
      <c r="NE67" s="227">
        <f>IFERROR(IF(NE$7&gt;$D$3,"",AVERAGE($HJ67:IP67)),"")</f>
        <v>2257.75</v>
      </c>
      <c r="NF67" s="227">
        <f>IFERROR(IF(NF$7&gt;$D$3,"",AVERAGE($HJ67:IQ67)),"")</f>
        <v>2319.8095238095239</v>
      </c>
      <c r="NG67" s="227">
        <f>IFERROR(IF(NG$7&gt;$D$3,"",AVERAGE($HJ67:IR67)),"")</f>
        <v>2344.181818181818</v>
      </c>
      <c r="NH67" s="227">
        <f>IFERROR(IF(NH$7&gt;$D$3,"",AVERAGE($HJ67:IS67)),"")</f>
        <v>2386.391304347826</v>
      </c>
      <c r="NI67" s="227">
        <f>IFERROR(IF(NI$7&gt;$D$3,"",AVERAGE($HJ67:IT67)),"")</f>
        <v>2425.0833333333335</v>
      </c>
      <c r="NJ67" s="227">
        <f>IFERROR(IF(NJ$7&gt;$D$3,"",AVERAGE($HJ67:IU67)),"")</f>
        <v>2460.6799999999998</v>
      </c>
      <c r="NK67" s="227">
        <f>IFERROR(IF(NK$7&gt;$D$3,"",AVERAGE($HJ67:IV67)),"")</f>
        <v>2493.5384615384614</v>
      </c>
      <c r="NL67" s="227">
        <f>IFERROR(IF(NL$7&gt;$D$3,"",AVERAGE($HJ67:IW67)),"")</f>
        <v>2521.4444444444443</v>
      </c>
      <c r="NM67" s="227">
        <f>IFERROR(IF(NM$7&gt;$D$3,"",AVERAGE($HJ67:IX67)),"")</f>
        <v>2545.6785714285716</v>
      </c>
      <c r="NN67" s="227">
        <f>IFERROR(IF(NN$7&gt;$D$3,"",AVERAGE($HJ67:IY67)),"")</f>
        <v>2568.2413793103447</v>
      </c>
      <c r="NO67" s="227" t="str">
        <f>IFERROR(IF(NO$7&gt;$D$3,"",AVERAGE($HJ67:IZ67)),"")</f>
        <v/>
      </c>
      <c r="NP67" s="227" t="str">
        <f>IFERROR(IF(NP$7&gt;$D$3,"",AVERAGE($HJ67:JA67)),"")</f>
        <v/>
      </c>
      <c r="NQ67" s="227" t="str">
        <f>IFERROR(IF(NQ$7&gt;$D$3,"",AVERAGE($HJ67:JB67)),"")</f>
        <v/>
      </c>
      <c r="NR67" s="227" t="str">
        <f>IFERROR(IF(NR$7&gt;$D$3,"",AVERAGE($HJ67:JC67)),"")</f>
        <v/>
      </c>
      <c r="NS67" s="227" t="str">
        <f>IFERROR(IF(NS$7&gt;$D$3,"",AVERAGE($HJ67:JD67)),"")</f>
        <v/>
      </c>
      <c r="NT67" s="227" t="str">
        <f>IFERROR(IF(NT$7&gt;$D$3,"",AVERAGE($HJ67:JE67)),"")</f>
        <v/>
      </c>
      <c r="NU67" s="227" t="str">
        <f>IFERROR(IF(NU$7&gt;$D$3,"",AVERAGE($HJ67:JF67)),"")</f>
        <v/>
      </c>
      <c r="NV67" s="227" t="str">
        <f>IFERROR(IF(NV$7&gt;$D$3,"",AVERAGE($HJ67:JG67)),"")</f>
        <v/>
      </c>
      <c r="NW67" s="227" t="str">
        <f>IFERROR(IF(NW$7&gt;$D$3,"",AVERAGE($HJ67:JH67)),"")</f>
        <v/>
      </c>
      <c r="NX67" s="227" t="str">
        <f>IFERROR(IF(NX$7&gt;$D$3,"",AVERAGE($HJ67:JI67)),"")</f>
        <v/>
      </c>
      <c r="NY67" s="227" t="str">
        <f>IFERROR(IF(NY$7&gt;$D$3,"",AVERAGE($HJ67:JJ67)),"")</f>
        <v/>
      </c>
    </row>
    <row r="68" spans="1:389" ht="15" thickBot="1" x14ac:dyDescent="0.35">
      <c r="AB68" s="292"/>
      <c r="AH68" s="465"/>
      <c r="AN68" s="201"/>
      <c r="CO68" s="465"/>
      <c r="CV68" s="316"/>
      <c r="CW68" s="316"/>
      <c r="CX68" s="316"/>
      <c r="CY68" s="316"/>
      <c r="CZ68" s="316"/>
      <c r="DA68" s="316"/>
      <c r="DB68" s="316"/>
      <c r="DC68" s="316"/>
      <c r="DD68" s="316"/>
      <c r="DE68" s="316"/>
      <c r="DF68" s="316"/>
      <c r="DG68" s="316"/>
      <c r="DH68" s="316"/>
      <c r="DI68" s="316"/>
      <c r="DJ68" s="316"/>
      <c r="DK68" s="316"/>
      <c r="DL68" s="316"/>
      <c r="DM68" s="316"/>
      <c r="DN68" s="316"/>
      <c r="DO68" s="316"/>
      <c r="DP68" s="316"/>
      <c r="DQ68" s="316"/>
      <c r="DR68" s="316"/>
      <c r="DS68" s="316"/>
      <c r="DT68" s="316"/>
      <c r="DU68" s="316"/>
      <c r="DV68" s="316"/>
      <c r="DW68" s="316"/>
      <c r="DX68" s="316"/>
      <c r="DY68" s="316"/>
      <c r="DZ68" s="316"/>
      <c r="EA68" s="316"/>
      <c r="EB68" s="316"/>
      <c r="EC68" s="316"/>
      <c r="ED68" s="316"/>
      <c r="EE68" s="316"/>
      <c r="EF68" s="316"/>
      <c r="EG68" s="316"/>
      <c r="EH68" s="316"/>
      <c r="EI68" s="316"/>
      <c r="EJ68" s="316"/>
      <c r="EK68" s="316"/>
      <c r="EL68" s="316"/>
      <c r="EM68" s="316"/>
      <c r="EN68" s="316"/>
      <c r="EO68" s="316"/>
      <c r="EP68" s="316"/>
      <c r="EQ68" s="316"/>
      <c r="ER68" s="316"/>
      <c r="ES68" s="316"/>
      <c r="ET68" s="316"/>
      <c r="EU68" s="316"/>
      <c r="EW68" s="465"/>
      <c r="FC68" s="201"/>
      <c r="FD68" s="201"/>
      <c r="FE68" s="201"/>
      <c r="FF68" s="201"/>
      <c r="FG68" s="201"/>
      <c r="FH68" s="201"/>
      <c r="FI68" s="201"/>
      <c r="FJ68" s="201"/>
      <c r="FK68" s="201"/>
      <c r="FL68" s="201"/>
      <c r="FM68" s="201"/>
      <c r="FN68" s="201"/>
      <c r="FO68" s="201"/>
      <c r="FP68" s="201"/>
      <c r="FQ68" s="201"/>
      <c r="FR68" s="201"/>
      <c r="FS68" s="201"/>
      <c r="FT68" s="201"/>
      <c r="FU68" s="201"/>
      <c r="FV68" s="201"/>
      <c r="FW68" s="201"/>
      <c r="FX68" s="201"/>
      <c r="FY68" s="201"/>
      <c r="FZ68" s="201"/>
      <c r="GA68" s="201"/>
      <c r="GB68" s="201"/>
      <c r="GC68" s="201"/>
      <c r="GD68" s="201"/>
      <c r="GE68" s="201"/>
      <c r="GF68" s="201"/>
      <c r="GG68" s="201"/>
      <c r="GH68" s="201"/>
      <c r="GI68" s="201"/>
      <c r="GJ68" s="201"/>
      <c r="GK68" s="201"/>
      <c r="GL68" s="201"/>
      <c r="GM68" s="201"/>
      <c r="GN68" s="201"/>
      <c r="GO68" s="201"/>
      <c r="GP68" s="201"/>
      <c r="GQ68" s="201"/>
      <c r="GR68" s="201"/>
      <c r="GS68" s="201"/>
      <c r="GT68" s="201"/>
      <c r="GU68" s="201"/>
      <c r="GV68" s="201"/>
      <c r="GW68" s="201"/>
      <c r="GX68" s="201"/>
      <c r="GY68" s="201"/>
      <c r="GZ68" s="201"/>
      <c r="HA68" s="201"/>
      <c r="HB68" s="201"/>
      <c r="HC68" s="201"/>
      <c r="HJ68" s="201"/>
      <c r="HK68" s="201"/>
      <c r="HL68" s="249"/>
      <c r="HM68" s="249"/>
      <c r="HN68" s="249"/>
      <c r="HO68" s="249"/>
      <c r="HP68" s="249"/>
      <c r="HQ68" s="249"/>
      <c r="HR68" s="249"/>
      <c r="HS68" s="249"/>
      <c r="HT68" s="249"/>
      <c r="HU68" s="249"/>
      <c r="HV68" s="249"/>
      <c r="HW68" s="249"/>
      <c r="HX68" s="249"/>
      <c r="HY68" s="249"/>
      <c r="HZ68" s="249"/>
      <c r="IA68" s="249"/>
      <c r="IB68" s="249"/>
      <c r="IC68" s="249"/>
      <c r="ID68" s="249"/>
      <c r="IE68" s="249"/>
      <c r="IF68" s="249"/>
      <c r="IG68" s="249"/>
      <c r="IH68" s="249"/>
      <c r="II68" s="249"/>
      <c r="IJ68" s="249"/>
      <c r="IK68" s="249"/>
      <c r="IL68" s="249"/>
      <c r="IM68" s="249"/>
      <c r="IN68" s="249"/>
      <c r="IO68" s="249"/>
      <c r="IP68" s="249"/>
      <c r="IQ68" s="249"/>
      <c r="IR68" s="249"/>
      <c r="IS68" s="249"/>
      <c r="IT68" s="249"/>
      <c r="IU68" s="249"/>
      <c r="IV68" s="249"/>
      <c r="IW68" s="249"/>
      <c r="IX68" s="249"/>
      <c r="IY68" s="249"/>
      <c r="IZ68" s="249"/>
      <c r="JA68" s="249"/>
      <c r="JB68" s="249"/>
      <c r="JC68" s="249"/>
      <c r="JD68" s="249"/>
      <c r="JE68" s="249"/>
      <c r="JF68" s="249"/>
      <c r="JG68" s="249"/>
      <c r="JH68" s="249"/>
      <c r="JI68" s="249"/>
      <c r="JJ68" s="249"/>
      <c r="JR68" s="249"/>
      <c r="JS68" s="249"/>
      <c r="JT68" s="249"/>
      <c r="JU68" s="249"/>
      <c r="JV68" s="249"/>
      <c r="JW68" s="249"/>
      <c r="JX68" s="249"/>
      <c r="JY68" s="249"/>
      <c r="JZ68" s="249"/>
      <c r="KA68" s="249"/>
      <c r="KB68" s="249"/>
      <c r="KC68" s="249"/>
      <c r="KD68" s="249"/>
      <c r="KE68" s="249"/>
      <c r="KF68" s="249"/>
      <c r="KG68" s="249"/>
      <c r="KH68" s="249"/>
      <c r="KI68" s="249"/>
      <c r="KJ68" s="249"/>
      <c r="KK68" s="249"/>
      <c r="KL68" s="249"/>
      <c r="KM68" s="249"/>
      <c r="KN68" s="249"/>
      <c r="KO68" s="249"/>
      <c r="KP68" s="249"/>
      <c r="KQ68" s="249"/>
      <c r="KR68" s="249"/>
      <c r="KS68" s="249"/>
      <c r="KT68" s="249"/>
      <c r="KU68" s="249"/>
      <c r="KV68" s="249"/>
      <c r="KW68" s="249"/>
      <c r="KX68" s="249"/>
      <c r="KY68" s="249"/>
      <c r="KZ68" s="249"/>
      <c r="LA68" s="249"/>
      <c r="LB68" s="249"/>
      <c r="LC68" s="249"/>
      <c r="LD68" s="249"/>
      <c r="LE68" s="249"/>
      <c r="LF68" s="249"/>
      <c r="LG68" s="249"/>
      <c r="LH68" s="249"/>
      <c r="LI68" s="249"/>
      <c r="LJ68" s="249"/>
      <c r="LK68" s="249"/>
      <c r="LL68" s="249"/>
      <c r="LM68" s="249"/>
      <c r="LN68" s="249"/>
      <c r="LO68" s="249"/>
      <c r="LP68" s="249"/>
      <c r="LQ68" s="249"/>
      <c r="LR68" s="249"/>
      <c r="LY68" s="201"/>
      <c r="LZ68" s="201"/>
      <c r="MA68" s="201"/>
      <c r="MB68" s="201"/>
      <c r="MC68" s="201"/>
      <c r="MD68" s="201"/>
      <c r="ME68" s="201"/>
      <c r="MF68" s="201"/>
      <c r="MG68" s="201"/>
      <c r="MH68" s="201"/>
      <c r="MI68" s="201"/>
      <c r="MJ68" s="201"/>
      <c r="MK68" s="201"/>
      <c r="ML68" s="201"/>
      <c r="MM68" s="201"/>
      <c r="MN68" s="201"/>
      <c r="MO68" s="201"/>
      <c r="MP68" s="201"/>
      <c r="MQ68" s="201"/>
      <c r="MR68" s="201"/>
      <c r="MS68" s="201"/>
      <c r="MT68" s="201"/>
      <c r="MU68" s="201"/>
      <c r="MV68" s="201"/>
      <c r="MW68" s="201"/>
      <c r="MX68" s="201"/>
      <c r="MY68" s="201"/>
      <c r="MZ68" s="201"/>
      <c r="NA68" s="201"/>
      <c r="NB68" s="201"/>
      <c r="NC68" s="201"/>
      <c r="ND68" s="201"/>
      <c r="NE68" s="201"/>
      <c r="NF68" s="201"/>
      <c r="NG68" s="201"/>
      <c r="NH68" s="201"/>
      <c r="NI68" s="201"/>
      <c r="NJ68" s="201"/>
      <c r="NK68" s="201"/>
      <c r="NL68" s="201"/>
      <c r="NM68" s="201"/>
      <c r="NN68" s="201"/>
      <c r="NO68" s="201"/>
      <c r="NP68" s="201"/>
      <c r="NQ68" s="201"/>
      <c r="NR68" s="201"/>
      <c r="NS68" s="201"/>
      <c r="NT68" s="201"/>
      <c r="NU68" s="201"/>
      <c r="NV68" s="201"/>
      <c r="NW68" s="201"/>
      <c r="NX68" s="201"/>
      <c r="NY68" s="201"/>
    </row>
    <row r="69" spans="1:389" ht="15" thickBot="1" x14ac:dyDescent="0.35">
      <c r="B69" s="180" t="str">
        <f>+'KPI Stats'!B68</f>
        <v>Logistics</v>
      </c>
      <c r="C69" s="133" t="str">
        <f>+'KPI Stats'!C68</f>
        <v>Garin Bowen</v>
      </c>
      <c r="D69" s="134"/>
      <c r="E69" s="141" t="str">
        <f>+'KPI Stats'!E68</f>
        <v>Completed to Week</v>
      </c>
      <c r="F69" s="141">
        <f>+'KPI Stats'!F68</f>
        <v>42</v>
      </c>
      <c r="G69" s="181" t="s">
        <v>506</v>
      </c>
      <c r="J69" s="181" t="str">
        <f>+$B69</f>
        <v>Logistics</v>
      </c>
      <c r="K69" s="181"/>
      <c r="L69" s="182"/>
      <c r="M69" s="183"/>
      <c r="P69" s="181" t="str">
        <f>+$B69</f>
        <v>Logistics</v>
      </c>
      <c r="Q69" s="181"/>
      <c r="R69" s="181"/>
      <c r="S69" s="183"/>
      <c r="T69" s="183"/>
      <c r="U69" s="291"/>
      <c r="X69" s="181" t="str">
        <f>+$B69</f>
        <v>Logistics</v>
      </c>
      <c r="Y69" s="181"/>
      <c r="Z69" s="181"/>
      <c r="AA69" s="183"/>
      <c r="AB69" s="291"/>
      <c r="AC69" s="181" t="str">
        <f>+$B69</f>
        <v>Logistics</v>
      </c>
      <c r="AD69" s="181"/>
      <c r="AE69" s="181"/>
      <c r="AF69" s="183"/>
      <c r="AH69" s="465"/>
      <c r="AI69" s="191" t="str">
        <f>+B70</f>
        <v>Logistics</v>
      </c>
      <c r="AJ69" s="192"/>
      <c r="AK69" s="141" t="str">
        <f t="shared" ref="AK69:AL73" si="216">+E69</f>
        <v>Completed to Week</v>
      </c>
      <c r="AL69" s="141">
        <f t="shared" si="216"/>
        <v>42</v>
      </c>
      <c r="AM69" s="181" t="str">
        <f>+$B69</f>
        <v>Logistics</v>
      </c>
      <c r="AN69" s="197" t="str">
        <f t="shared" ref="AN69:CM69" si="217">+$B69</f>
        <v>Logistics</v>
      </c>
      <c r="AO69" s="181" t="str">
        <f t="shared" si="217"/>
        <v>Logistics</v>
      </c>
      <c r="AP69" s="181" t="str">
        <f t="shared" si="217"/>
        <v>Logistics</v>
      </c>
      <c r="AQ69" s="181" t="str">
        <f t="shared" si="217"/>
        <v>Logistics</v>
      </c>
      <c r="AR69" s="181" t="str">
        <f t="shared" si="217"/>
        <v>Logistics</v>
      </c>
      <c r="AS69" s="181" t="str">
        <f t="shared" si="217"/>
        <v>Logistics</v>
      </c>
      <c r="AT69" s="181" t="str">
        <f t="shared" si="217"/>
        <v>Logistics</v>
      </c>
      <c r="AU69" s="181" t="str">
        <f t="shared" si="217"/>
        <v>Logistics</v>
      </c>
      <c r="AV69" s="181" t="str">
        <f t="shared" si="217"/>
        <v>Logistics</v>
      </c>
      <c r="AW69" s="181" t="str">
        <f t="shared" si="217"/>
        <v>Logistics</v>
      </c>
      <c r="AX69" s="181" t="str">
        <f t="shared" si="217"/>
        <v>Logistics</v>
      </c>
      <c r="AY69" s="181" t="str">
        <f t="shared" si="217"/>
        <v>Logistics</v>
      </c>
      <c r="AZ69" s="181" t="str">
        <f t="shared" si="217"/>
        <v>Logistics</v>
      </c>
      <c r="BA69" s="181" t="str">
        <f t="shared" si="217"/>
        <v>Logistics</v>
      </c>
      <c r="BB69" s="181" t="str">
        <f t="shared" si="217"/>
        <v>Logistics</v>
      </c>
      <c r="BC69" s="181" t="str">
        <f t="shared" si="217"/>
        <v>Logistics</v>
      </c>
      <c r="BD69" s="181" t="str">
        <f t="shared" si="217"/>
        <v>Logistics</v>
      </c>
      <c r="BE69" s="181" t="str">
        <f t="shared" si="217"/>
        <v>Logistics</v>
      </c>
      <c r="BF69" s="181" t="str">
        <f t="shared" si="217"/>
        <v>Logistics</v>
      </c>
      <c r="BG69" s="181" t="str">
        <f t="shared" si="217"/>
        <v>Logistics</v>
      </c>
      <c r="BH69" s="181" t="str">
        <f t="shared" si="217"/>
        <v>Logistics</v>
      </c>
      <c r="BI69" s="181" t="str">
        <f t="shared" si="217"/>
        <v>Logistics</v>
      </c>
      <c r="BJ69" s="181" t="str">
        <f t="shared" si="217"/>
        <v>Logistics</v>
      </c>
      <c r="BK69" s="181" t="str">
        <f t="shared" si="217"/>
        <v>Logistics</v>
      </c>
      <c r="BL69" s="181" t="str">
        <f t="shared" si="217"/>
        <v>Logistics</v>
      </c>
      <c r="BM69" s="181" t="str">
        <f t="shared" si="217"/>
        <v>Logistics</v>
      </c>
      <c r="BN69" s="181" t="str">
        <f t="shared" si="217"/>
        <v>Logistics</v>
      </c>
      <c r="BO69" s="181" t="str">
        <f t="shared" si="217"/>
        <v>Logistics</v>
      </c>
      <c r="BP69" s="181" t="str">
        <f t="shared" si="217"/>
        <v>Logistics</v>
      </c>
      <c r="BQ69" s="181" t="str">
        <f t="shared" si="217"/>
        <v>Logistics</v>
      </c>
      <c r="BR69" s="181" t="str">
        <f t="shared" si="217"/>
        <v>Logistics</v>
      </c>
      <c r="BS69" s="181" t="str">
        <f t="shared" si="217"/>
        <v>Logistics</v>
      </c>
      <c r="BT69" s="181" t="str">
        <f t="shared" si="217"/>
        <v>Logistics</v>
      </c>
      <c r="BU69" s="181" t="str">
        <f t="shared" si="217"/>
        <v>Logistics</v>
      </c>
      <c r="BV69" s="181" t="str">
        <f t="shared" si="217"/>
        <v>Logistics</v>
      </c>
      <c r="BW69" s="181" t="str">
        <f t="shared" si="217"/>
        <v>Logistics</v>
      </c>
      <c r="BX69" s="181" t="str">
        <f t="shared" si="217"/>
        <v>Logistics</v>
      </c>
      <c r="BY69" s="181" t="str">
        <f t="shared" si="217"/>
        <v>Logistics</v>
      </c>
      <c r="BZ69" s="181" t="str">
        <f t="shared" si="217"/>
        <v>Logistics</v>
      </c>
      <c r="CA69" s="181" t="str">
        <f t="shared" si="217"/>
        <v>Logistics</v>
      </c>
      <c r="CB69" s="181" t="str">
        <f t="shared" si="217"/>
        <v>Logistics</v>
      </c>
      <c r="CC69" s="181" t="str">
        <f t="shared" si="217"/>
        <v>Logistics</v>
      </c>
      <c r="CD69" s="181" t="str">
        <f t="shared" si="217"/>
        <v>Logistics</v>
      </c>
      <c r="CE69" s="181" t="str">
        <f t="shared" si="217"/>
        <v>Logistics</v>
      </c>
      <c r="CF69" s="181" t="str">
        <f t="shared" si="217"/>
        <v>Logistics</v>
      </c>
      <c r="CG69" s="181" t="str">
        <f t="shared" si="217"/>
        <v>Logistics</v>
      </c>
      <c r="CH69" s="181" t="str">
        <f t="shared" si="217"/>
        <v>Logistics</v>
      </c>
      <c r="CI69" s="181" t="str">
        <f t="shared" si="217"/>
        <v>Logistics</v>
      </c>
      <c r="CJ69" s="181" t="str">
        <f t="shared" si="217"/>
        <v>Logistics</v>
      </c>
      <c r="CK69" s="181" t="str">
        <f t="shared" si="217"/>
        <v>Logistics</v>
      </c>
      <c r="CL69" s="181" t="str">
        <f t="shared" si="217"/>
        <v>Logistics</v>
      </c>
      <c r="CM69" s="181" t="str">
        <f t="shared" si="217"/>
        <v>Logistics</v>
      </c>
      <c r="CO69" s="465"/>
      <c r="CP69" s="191" t="str">
        <f>+B70</f>
        <v>Logistics</v>
      </c>
      <c r="CQ69" s="192"/>
      <c r="CR69" s="141" t="str">
        <f t="shared" ref="CR69:CS73" si="218">+E69</f>
        <v>Completed to Week</v>
      </c>
      <c r="CS69" s="141">
        <f t="shared" si="218"/>
        <v>42</v>
      </c>
      <c r="CT69" s="351" t="str">
        <f>+G69</f>
        <v>Weekly KPI</v>
      </c>
      <c r="CU69" s="181" t="str">
        <f>+$B69</f>
        <v>Logistics</v>
      </c>
      <c r="CV69" s="317" t="str">
        <f t="shared" ref="CV69:EU69" si="219">+$B69</f>
        <v>Logistics</v>
      </c>
      <c r="CW69" s="317" t="str">
        <f t="shared" si="219"/>
        <v>Logistics</v>
      </c>
      <c r="CX69" s="317" t="str">
        <f t="shared" si="219"/>
        <v>Logistics</v>
      </c>
      <c r="CY69" s="317" t="str">
        <f t="shared" si="219"/>
        <v>Logistics</v>
      </c>
      <c r="CZ69" s="317" t="str">
        <f t="shared" si="219"/>
        <v>Logistics</v>
      </c>
      <c r="DA69" s="317" t="str">
        <f t="shared" si="219"/>
        <v>Logistics</v>
      </c>
      <c r="DB69" s="317" t="str">
        <f t="shared" si="219"/>
        <v>Logistics</v>
      </c>
      <c r="DC69" s="317" t="str">
        <f t="shared" si="219"/>
        <v>Logistics</v>
      </c>
      <c r="DD69" s="317" t="str">
        <f t="shared" si="219"/>
        <v>Logistics</v>
      </c>
      <c r="DE69" s="317" t="str">
        <f t="shared" si="219"/>
        <v>Logistics</v>
      </c>
      <c r="DF69" s="317" t="str">
        <f t="shared" si="219"/>
        <v>Logistics</v>
      </c>
      <c r="DG69" s="317" t="str">
        <f t="shared" si="219"/>
        <v>Logistics</v>
      </c>
      <c r="DH69" s="317" t="str">
        <f t="shared" si="219"/>
        <v>Logistics</v>
      </c>
      <c r="DI69" s="317" t="str">
        <f t="shared" si="219"/>
        <v>Logistics</v>
      </c>
      <c r="DJ69" s="317" t="str">
        <f t="shared" si="219"/>
        <v>Logistics</v>
      </c>
      <c r="DK69" s="317" t="str">
        <f t="shared" si="219"/>
        <v>Logistics</v>
      </c>
      <c r="DL69" s="317" t="str">
        <f t="shared" si="219"/>
        <v>Logistics</v>
      </c>
      <c r="DM69" s="317" t="str">
        <f t="shared" si="219"/>
        <v>Logistics</v>
      </c>
      <c r="DN69" s="317" t="str">
        <f t="shared" si="219"/>
        <v>Logistics</v>
      </c>
      <c r="DO69" s="317" t="str">
        <f t="shared" si="219"/>
        <v>Logistics</v>
      </c>
      <c r="DP69" s="317" t="str">
        <f t="shared" si="219"/>
        <v>Logistics</v>
      </c>
      <c r="DQ69" s="317" t="str">
        <f t="shared" si="219"/>
        <v>Logistics</v>
      </c>
      <c r="DR69" s="317" t="str">
        <f t="shared" si="219"/>
        <v>Logistics</v>
      </c>
      <c r="DS69" s="317" t="str">
        <f t="shared" si="219"/>
        <v>Logistics</v>
      </c>
      <c r="DT69" s="317" t="str">
        <f t="shared" si="219"/>
        <v>Logistics</v>
      </c>
      <c r="DU69" s="317" t="str">
        <f t="shared" si="219"/>
        <v>Logistics</v>
      </c>
      <c r="DV69" s="317" t="str">
        <f t="shared" si="219"/>
        <v>Logistics</v>
      </c>
      <c r="DW69" s="317" t="str">
        <f t="shared" si="219"/>
        <v>Logistics</v>
      </c>
      <c r="DX69" s="317" t="str">
        <f t="shared" si="219"/>
        <v>Logistics</v>
      </c>
      <c r="DY69" s="317" t="str">
        <f t="shared" si="219"/>
        <v>Logistics</v>
      </c>
      <c r="DZ69" s="317" t="str">
        <f t="shared" si="219"/>
        <v>Logistics</v>
      </c>
      <c r="EA69" s="317" t="str">
        <f t="shared" si="219"/>
        <v>Logistics</v>
      </c>
      <c r="EB69" s="317" t="str">
        <f t="shared" si="219"/>
        <v>Logistics</v>
      </c>
      <c r="EC69" s="317" t="str">
        <f t="shared" si="219"/>
        <v>Logistics</v>
      </c>
      <c r="ED69" s="317" t="str">
        <f t="shared" si="219"/>
        <v>Logistics</v>
      </c>
      <c r="EE69" s="317" t="str">
        <f t="shared" si="219"/>
        <v>Logistics</v>
      </c>
      <c r="EF69" s="317" t="str">
        <f t="shared" si="219"/>
        <v>Logistics</v>
      </c>
      <c r="EG69" s="317" t="str">
        <f t="shared" si="219"/>
        <v>Logistics</v>
      </c>
      <c r="EH69" s="317" t="str">
        <f t="shared" si="219"/>
        <v>Logistics</v>
      </c>
      <c r="EI69" s="317" t="str">
        <f t="shared" si="219"/>
        <v>Logistics</v>
      </c>
      <c r="EJ69" s="317" t="str">
        <f t="shared" si="219"/>
        <v>Logistics</v>
      </c>
      <c r="EK69" s="317" t="str">
        <f t="shared" si="219"/>
        <v>Logistics</v>
      </c>
      <c r="EL69" s="317" t="str">
        <f t="shared" si="219"/>
        <v>Logistics</v>
      </c>
      <c r="EM69" s="317" t="str">
        <f t="shared" si="219"/>
        <v>Logistics</v>
      </c>
      <c r="EN69" s="317" t="str">
        <f t="shared" si="219"/>
        <v>Logistics</v>
      </c>
      <c r="EO69" s="317" t="str">
        <f t="shared" si="219"/>
        <v>Logistics</v>
      </c>
      <c r="EP69" s="317" t="str">
        <f t="shared" si="219"/>
        <v>Logistics</v>
      </c>
      <c r="EQ69" s="317" t="str">
        <f t="shared" si="219"/>
        <v>Logistics</v>
      </c>
      <c r="ER69" s="317" t="str">
        <f t="shared" si="219"/>
        <v>Logistics</v>
      </c>
      <c r="ES69" s="317" t="str">
        <f t="shared" si="219"/>
        <v>Logistics</v>
      </c>
      <c r="ET69" s="317" t="str">
        <f t="shared" si="219"/>
        <v>Logistics</v>
      </c>
      <c r="EU69" s="317" t="str">
        <f t="shared" si="219"/>
        <v>Logistics</v>
      </c>
      <c r="EW69" s="465"/>
      <c r="EX69" s="191" t="str">
        <f t="shared" ref="EX69" si="220">+$B69</f>
        <v>Logistics</v>
      </c>
      <c r="EY69" s="192"/>
      <c r="EZ69" s="141" t="str">
        <f>+$E69</f>
        <v>Completed to Week</v>
      </c>
      <c r="FA69" s="141">
        <f>+$F69</f>
        <v>42</v>
      </c>
      <c r="FB69" s="141"/>
      <c r="FC69" s="197" t="str">
        <f t="shared" ref="FC69:HC69" si="221">+$B69</f>
        <v>Logistics</v>
      </c>
      <c r="FD69" s="197" t="str">
        <f t="shared" si="221"/>
        <v>Logistics</v>
      </c>
      <c r="FE69" s="197" t="str">
        <f t="shared" si="221"/>
        <v>Logistics</v>
      </c>
      <c r="FF69" s="197" t="str">
        <f t="shared" si="221"/>
        <v>Logistics</v>
      </c>
      <c r="FG69" s="197" t="str">
        <f t="shared" si="221"/>
        <v>Logistics</v>
      </c>
      <c r="FH69" s="197" t="str">
        <f t="shared" si="221"/>
        <v>Logistics</v>
      </c>
      <c r="FI69" s="197" t="str">
        <f t="shared" si="221"/>
        <v>Logistics</v>
      </c>
      <c r="FJ69" s="197" t="str">
        <f t="shared" si="221"/>
        <v>Logistics</v>
      </c>
      <c r="FK69" s="197" t="str">
        <f t="shared" si="221"/>
        <v>Logistics</v>
      </c>
      <c r="FL69" s="197" t="str">
        <f t="shared" si="221"/>
        <v>Logistics</v>
      </c>
      <c r="FM69" s="197" t="str">
        <f t="shared" si="221"/>
        <v>Logistics</v>
      </c>
      <c r="FN69" s="197" t="str">
        <f t="shared" si="221"/>
        <v>Logistics</v>
      </c>
      <c r="FO69" s="197" t="str">
        <f t="shared" si="221"/>
        <v>Logistics</v>
      </c>
      <c r="FP69" s="197" t="str">
        <f t="shared" si="221"/>
        <v>Logistics</v>
      </c>
      <c r="FQ69" s="197" t="str">
        <f t="shared" si="221"/>
        <v>Logistics</v>
      </c>
      <c r="FR69" s="197" t="str">
        <f t="shared" si="221"/>
        <v>Logistics</v>
      </c>
      <c r="FS69" s="197" t="str">
        <f t="shared" si="221"/>
        <v>Logistics</v>
      </c>
      <c r="FT69" s="197" t="str">
        <f t="shared" si="221"/>
        <v>Logistics</v>
      </c>
      <c r="FU69" s="197" t="str">
        <f t="shared" si="221"/>
        <v>Logistics</v>
      </c>
      <c r="FV69" s="197" t="str">
        <f t="shared" si="221"/>
        <v>Logistics</v>
      </c>
      <c r="FW69" s="197" t="str">
        <f t="shared" si="221"/>
        <v>Logistics</v>
      </c>
      <c r="FX69" s="197" t="str">
        <f t="shared" si="221"/>
        <v>Logistics</v>
      </c>
      <c r="FY69" s="197" t="str">
        <f t="shared" si="221"/>
        <v>Logistics</v>
      </c>
      <c r="FZ69" s="197" t="str">
        <f t="shared" si="221"/>
        <v>Logistics</v>
      </c>
      <c r="GA69" s="197" t="str">
        <f t="shared" si="221"/>
        <v>Logistics</v>
      </c>
      <c r="GB69" s="197" t="str">
        <f t="shared" si="221"/>
        <v>Logistics</v>
      </c>
      <c r="GC69" s="197" t="str">
        <f t="shared" si="221"/>
        <v>Logistics</v>
      </c>
      <c r="GD69" s="197" t="str">
        <f t="shared" si="221"/>
        <v>Logistics</v>
      </c>
      <c r="GE69" s="197" t="str">
        <f t="shared" si="221"/>
        <v>Logistics</v>
      </c>
      <c r="GF69" s="197" t="str">
        <f t="shared" si="221"/>
        <v>Logistics</v>
      </c>
      <c r="GG69" s="197" t="str">
        <f t="shared" si="221"/>
        <v>Logistics</v>
      </c>
      <c r="GH69" s="197" t="str">
        <f t="shared" si="221"/>
        <v>Logistics</v>
      </c>
      <c r="GI69" s="197" t="str">
        <f t="shared" si="221"/>
        <v>Logistics</v>
      </c>
      <c r="GJ69" s="197" t="str">
        <f t="shared" si="221"/>
        <v>Logistics</v>
      </c>
      <c r="GK69" s="197" t="str">
        <f t="shared" si="221"/>
        <v>Logistics</v>
      </c>
      <c r="GL69" s="197" t="str">
        <f t="shared" si="221"/>
        <v>Logistics</v>
      </c>
      <c r="GM69" s="197" t="str">
        <f t="shared" si="221"/>
        <v>Logistics</v>
      </c>
      <c r="GN69" s="197" t="str">
        <f t="shared" si="221"/>
        <v>Logistics</v>
      </c>
      <c r="GO69" s="197" t="str">
        <f t="shared" si="221"/>
        <v>Logistics</v>
      </c>
      <c r="GP69" s="197" t="str">
        <f t="shared" si="221"/>
        <v>Logistics</v>
      </c>
      <c r="GQ69" s="197" t="str">
        <f t="shared" si="221"/>
        <v>Logistics</v>
      </c>
      <c r="GR69" s="197" t="str">
        <f t="shared" si="221"/>
        <v>Logistics</v>
      </c>
      <c r="GS69" s="197" t="str">
        <f t="shared" si="221"/>
        <v>Logistics</v>
      </c>
      <c r="GT69" s="197" t="str">
        <f t="shared" si="221"/>
        <v>Logistics</v>
      </c>
      <c r="GU69" s="197" t="str">
        <f t="shared" si="221"/>
        <v>Logistics</v>
      </c>
      <c r="GV69" s="197" t="str">
        <f t="shared" si="221"/>
        <v>Logistics</v>
      </c>
      <c r="GW69" s="197" t="str">
        <f t="shared" si="221"/>
        <v>Logistics</v>
      </c>
      <c r="GX69" s="197" t="str">
        <f t="shared" si="221"/>
        <v>Logistics</v>
      </c>
      <c r="GY69" s="197" t="str">
        <f t="shared" si="221"/>
        <v>Logistics</v>
      </c>
      <c r="GZ69" s="197" t="str">
        <f t="shared" si="221"/>
        <v>Logistics</v>
      </c>
      <c r="HA69" s="197" t="str">
        <f t="shared" si="221"/>
        <v>Logistics</v>
      </c>
      <c r="HB69" s="197" t="str">
        <f t="shared" si="221"/>
        <v>Logistics</v>
      </c>
      <c r="HC69" s="197" t="str">
        <f t="shared" si="221"/>
        <v>Logistics</v>
      </c>
      <c r="HE69" s="191" t="str">
        <f>+$B69</f>
        <v>Logistics</v>
      </c>
      <c r="HF69" s="192"/>
      <c r="HG69" s="141" t="str">
        <f>+$E69</f>
        <v>Completed to Week</v>
      </c>
      <c r="HH69" s="141">
        <f>+$F69</f>
        <v>42</v>
      </c>
      <c r="HI69" s="141" t="str">
        <f>+GJ69</f>
        <v>Logistics</v>
      </c>
      <c r="HJ69" s="197" t="str">
        <f t="shared" ref="HJ69:HK69" si="222">+$B69</f>
        <v>Logistics</v>
      </c>
      <c r="HK69" s="197" t="str">
        <f t="shared" si="222"/>
        <v>Logistics</v>
      </c>
      <c r="HL69" s="250" t="str">
        <f t="shared" ref="HL69:JJ69" si="223">+$B69</f>
        <v>Logistics</v>
      </c>
      <c r="HM69" s="250" t="str">
        <f t="shared" si="223"/>
        <v>Logistics</v>
      </c>
      <c r="HN69" s="250" t="str">
        <f t="shared" si="223"/>
        <v>Logistics</v>
      </c>
      <c r="HO69" s="250" t="str">
        <f t="shared" si="223"/>
        <v>Logistics</v>
      </c>
      <c r="HP69" s="250" t="str">
        <f t="shared" si="223"/>
        <v>Logistics</v>
      </c>
      <c r="HQ69" s="250" t="str">
        <f t="shared" si="223"/>
        <v>Logistics</v>
      </c>
      <c r="HR69" s="250" t="str">
        <f t="shared" si="223"/>
        <v>Logistics</v>
      </c>
      <c r="HS69" s="250" t="str">
        <f t="shared" si="223"/>
        <v>Logistics</v>
      </c>
      <c r="HT69" s="250" t="str">
        <f t="shared" si="223"/>
        <v>Logistics</v>
      </c>
      <c r="HU69" s="250" t="str">
        <f t="shared" si="223"/>
        <v>Logistics</v>
      </c>
      <c r="HV69" s="250" t="str">
        <f t="shared" si="223"/>
        <v>Logistics</v>
      </c>
      <c r="HW69" s="250" t="str">
        <f t="shared" si="223"/>
        <v>Logistics</v>
      </c>
      <c r="HX69" s="250" t="str">
        <f t="shared" si="223"/>
        <v>Logistics</v>
      </c>
      <c r="HY69" s="250" t="str">
        <f t="shared" si="223"/>
        <v>Logistics</v>
      </c>
      <c r="HZ69" s="250" t="str">
        <f t="shared" si="223"/>
        <v>Logistics</v>
      </c>
      <c r="IA69" s="250" t="str">
        <f t="shared" si="223"/>
        <v>Logistics</v>
      </c>
      <c r="IB69" s="250" t="str">
        <f t="shared" si="223"/>
        <v>Logistics</v>
      </c>
      <c r="IC69" s="250" t="str">
        <f t="shared" si="223"/>
        <v>Logistics</v>
      </c>
      <c r="ID69" s="250" t="str">
        <f t="shared" si="223"/>
        <v>Logistics</v>
      </c>
      <c r="IE69" s="250" t="str">
        <f t="shared" si="223"/>
        <v>Logistics</v>
      </c>
      <c r="IF69" s="250" t="str">
        <f t="shared" si="223"/>
        <v>Logistics</v>
      </c>
      <c r="IG69" s="250" t="str">
        <f t="shared" si="223"/>
        <v>Logistics</v>
      </c>
      <c r="IH69" s="250" t="str">
        <f t="shared" si="223"/>
        <v>Logistics</v>
      </c>
      <c r="II69" s="250" t="str">
        <f t="shared" si="223"/>
        <v>Logistics</v>
      </c>
      <c r="IJ69" s="250" t="str">
        <f t="shared" si="223"/>
        <v>Logistics</v>
      </c>
      <c r="IK69" s="250" t="str">
        <f t="shared" si="223"/>
        <v>Logistics</v>
      </c>
      <c r="IL69" s="250" t="str">
        <f t="shared" si="223"/>
        <v>Logistics</v>
      </c>
      <c r="IM69" s="250" t="str">
        <f t="shared" si="223"/>
        <v>Logistics</v>
      </c>
      <c r="IN69" s="250" t="str">
        <f t="shared" si="223"/>
        <v>Logistics</v>
      </c>
      <c r="IO69" s="250" t="str">
        <f t="shared" si="223"/>
        <v>Logistics</v>
      </c>
      <c r="IP69" s="250" t="str">
        <f t="shared" si="223"/>
        <v>Logistics</v>
      </c>
      <c r="IQ69" s="250" t="str">
        <f t="shared" si="223"/>
        <v>Logistics</v>
      </c>
      <c r="IR69" s="250" t="str">
        <f t="shared" si="223"/>
        <v>Logistics</v>
      </c>
      <c r="IS69" s="250" t="str">
        <f t="shared" si="223"/>
        <v>Logistics</v>
      </c>
      <c r="IT69" s="250" t="str">
        <f t="shared" si="223"/>
        <v>Logistics</v>
      </c>
      <c r="IU69" s="250" t="str">
        <f t="shared" si="223"/>
        <v>Logistics</v>
      </c>
      <c r="IV69" s="250" t="str">
        <f t="shared" si="223"/>
        <v>Logistics</v>
      </c>
      <c r="IW69" s="250" t="str">
        <f t="shared" si="223"/>
        <v>Logistics</v>
      </c>
      <c r="IX69" s="250" t="str">
        <f t="shared" si="223"/>
        <v>Logistics</v>
      </c>
      <c r="IY69" s="250" t="str">
        <f t="shared" si="223"/>
        <v>Logistics</v>
      </c>
      <c r="IZ69" s="250" t="str">
        <f t="shared" si="223"/>
        <v>Logistics</v>
      </c>
      <c r="JA69" s="250" t="str">
        <f t="shared" si="223"/>
        <v>Logistics</v>
      </c>
      <c r="JB69" s="250" t="str">
        <f t="shared" si="223"/>
        <v>Logistics</v>
      </c>
      <c r="JC69" s="250" t="str">
        <f t="shared" si="223"/>
        <v>Logistics</v>
      </c>
      <c r="JD69" s="250" t="str">
        <f t="shared" si="223"/>
        <v>Logistics</v>
      </c>
      <c r="JE69" s="250" t="str">
        <f t="shared" si="223"/>
        <v>Logistics</v>
      </c>
      <c r="JF69" s="250" t="str">
        <f t="shared" si="223"/>
        <v>Logistics</v>
      </c>
      <c r="JG69" s="250" t="str">
        <f t="shared" si="223"/>
        <v>Logistics</v>
      </c>
      <c r="JH69" s="250" t="str">
        <f t="shared" si="223"/>
        <v>Logistics</v>
      </c>
      <c r="JI69" s="250" t="str">
        <f t="shared" si="223"/>
        <v>Logistics</v>
      </c>
      <c r="JJ69" s="250" t="str">
        <f t="shared" si="223"/>
        <v>Logistics</v>
      </c>
      <c r="JM69" s="191" t="str">
        <f t="shared" ref="JM69" si="224">+$B69</f>
        <v>Logistics</v>
      </c>
      <c r="JN69" s="192"/>
      <c r="JO69" s="141" t="str">
        <f>+$E69</f>
        <v>Completed to Week</v>
      </c>
      <c r="JP69" s="141">
        <f>+$F69</f>
        <v>42</v>
      </c>
      <c r="JQ69" s="141"/>
      <c r="JR69" s="250" t="str">
        <f t="shared" ref="JR69:LR69" si="225">+$B69</f>
        <v>Logistics</v>
      </c>
      <c r="JS69" s="250" t="str">
        <f t="shared" si="225"/>
        <v>Logistics</v>
      </c>
      <c r="JT69" s="250" t="str">
        <f t="shared" si="225"/>
        <v>Logistics</v>
      </c>
      <c r="JU69" s="250" t="str">
        <f t="shared" si="225"/>
        <v>Logistics</v>
      </c>
      <c r="JV69" s="250" t="str">
        <f t="shared" si="225"/>
        <v>Logistics</v>
      </c>
      <c r="JW69" s="250" t="str">
        <f t="shared" si="225"/>
        <v>Logistics</v>
      </c>
      <c r="JX69" s="250" t="str">
        <f t="shared" si="225"/>
        <v>Logistics</v>
      </c>
      <c r="JY69" s="250" t="str">
        <f t="shared" si="225"/>
        <v>Logistics</v>
      </c>
      <c r="JZ69" s="250" t="str">
        <f t="shared" si="225"/>
        <v>Logistics</v>
      </c>
      <c r="KA69" s="250" t="str">
        <f t="shared" si="225"/>
        <v>Logistics</v>
      </c>
      <c r="KB69" s="250" t="str">
        <f t="shared" si="225"/>
        <v>Logistics</v>
      </c>
      <c r="KC69" s="250" t="str">
        <f t="shared" si="225"/>
        <v>Logistics</v>
      </c>
      <c r="KD69" s="250" t="str">
        <f t="shared" si="225"/>
        <v>Logistics</v>
      </c>
      <c r="KE69" s="250" t="str">
        <f t="shared" si="225"/>
        <v>Logistics</v>
      </c>
      <c r="KF69" s="250" t="str">
        <f t="shared" si="225"/>
        <v>Logistics</v>
      </c>
      <c r="KG69" s="250" t="str">
        <f t="shared" si="225"/>
        <v>Logistics</v>
      </c>
      <c r="KH69" s="250" t="str">
        <f t="shared" si="225"/>
        <v>Logistics</v>
      </c>
      <c r="KI69" s="250" t="str">
        <f t="shared" si="225"/>
        <v>Logistics</v>
      </c>
      <c r="KJ69" s="250" t="str">
        <f t="shared" si="225"/>
        <v>Logistics</v>
      </c>
      <c r="KK69" s="250" t="str">
        <f t="shared" si="225"/>
        <v>Logistics</v>
      </c>
      <c r="KL69" s="250" t="str">
        <f t="shared" si="225"/>
        <v>Logistics</v>
      </c>
      <c r="KM69" s="250" t="str">
        <f t="shared" si="225"/>
        <v>Logistics</v>
      </c>
      <c r="KN69" s="250" t="str">
        <f t="shared" si="225"/>
        <v>Logistics</v>
      </c>
      <c r="KO69" s="250" t="str">
        <f t="shared" si="225"/>
        <v>Logistics</v>
      </c>
      <c r="KP69" s="250" t="str">
        <f t="shared" si="225"/>
        <v>Logistics</v>
      </c>
      <c r="KQ69" s="250" t="str">
        <f t="shared" si="225"/>
        <v>Logistics</v>
      </c>
      <c r="KR69" s="250" t="str">
        <f t="shared" si="225"/>
        <v>Logistics</v>
      </c>
      <c r="KS69" s="250" t="str">
        <f t="shared" si="225"/>
        <v>Logistics</v>
      </c>
      <c r="KT69" s="250" t="str">
        <f t="shared" si="225"/>
        <v>Logistics</v>
      </c>
      <c r="KU69" s="250" t="str">
        <f t="shared" si="225"/>
        <v>Logistics</v>
      </c>
      <c r="KV69" s="250" t="str">
        <f t="shared" si="225"/>
        <v>Logistics</v>
      </c>
      <c r="KW69" s="250" t="str">
        <f t="shared" si="225"/>
        <v>Logistics</v>
      </c>
      <c r="KX69" s="250" t="str">
        <f t="shared" si="225"/>
        <v>Logistics</v>
      </c>
      <c r="KY69" s="250" t="str">
        <f t="shared" si="225"/>
        <v>Logistics</v>
      </c>
      <c r="KZ69" s="250" t="str">
        <f t="shared" si="225"/>
        <v>Logistics</v>
      </c>
      <c r="LA69" s="250" t="str">
        <f t="shared" si="225"/>
        <v>Logistics</v>
      </c>
      <c r="LB69" s="250" t="str">
        <f t="shared" si="225"/>
        <v>Logistics</v>
      </c>
      <c r="LC69" s="250" t="str">
        <f t="shared" si="225"/>
        <v>Logistics</v>
      </c>
      <c r="LD69" s="250" t="str">
        <f t="shared" si="225"/>
        <v>Logistics</v>
      </c>
      <c r="LE69" s="250" t="str">
        <f t="shared" si="225"/>
        <v>Logistics</v>
      </c>
      <c r="LF69" s="250" t="str">
        <f t="shared" si="225"/>
        <v>Logistics</v>
      </c>
      <c r="LG69" s="250" t="str">
        <f t="shared" si="225"/>
        <v>Logistics</v>
      </c>
      <c r="LH69" s="250" t="str">
        <f t="shared" si="225"/>
        <v>Logistics</v>
      </c>
      <c r="LI69" s="250" t="str">
        <f t="shared" si="225"/>
        <v>Logistics</v>
      </c>
      <c r="LJ69" s="250" t="str">
        <f t="shared" si="225"/>
        <v>Logistics</v>
      </c>
      <c r="LK69" s="250" t="str">
        <f t="shared" si="225"/>
        <v>Logistics</v>
      </c>
      <c r="LL69" s="250" t="str">
        <f t="shared" si="225"/>
        <v>Logistics</v>
      </c>
      <c r="LM69" s="250" t="str">
        <f t="shared" si="225"/>
        <v>Logistics</v>
      </c>
      <c r="LN69" s="250" t="str">
        <f t="shared" si="225"/>
        <v>Logistics</v>
      </c>
      <c r="LO69" s="250" t="str">
        <f t="shared" si="225"/>
        <v>Logistics</v>
      </c>
      <c r="LP69" s="250" t="str">
        <f t="shared" si="225"/>
        <v>Logistics</v>
      </c>
      <c r="LQ69" s="250" t="str">
        <f t="shared" si="225"/>
        <v>Logistics</v>
      </c>
      <c r="LR69" s="250" t="str">
        <f t="shared" si="225"/>
        <v>Logistics</v>
      </c>
      <c r="LT69" s="191" t="str">
        <f>+$B69</f>
        <v>Logistics</v>
      </c>
      <c r="LU69" s="192"/>
      <c r="LV69" s="141" t="str">
        <f>+$E69</f>
        <v>Completed to Week</v>
      </c>
      <c r="LW69" s="141">
        <f>+$F69</f>
        <v>42</v>
      </c>
      <c r="LX69" s="141"/>
      <c r="LY69" s="197" t="str">
        <f t="shared" ref="LY69:NY69" si="226">+$B69</f>
        <v>Logistics</v>
      </c>
      <c r="LZ69" s="197" t="str">
        <f t="shared" si="226"/>
        <v>Logistics</v>
      </c>
      <c r="MA69" s="197" t="str">
        <f t="shared" si="226"/>
        <v>Logistics</v>
      </c>
      <c r="MB69" s="197" t="str">
        <f t="shared" si="226"/>
        <v>Logistics</v>
      </c>
      <c r="MC69" s="197" t="str">
        <f t="shared" si="226"/>
        <v>Logistics</v>
      </c>
      <c r="MD69" s="197" t="str">
        <f t="shared" si="226"/>
        <v>Logistics</v>
      </c>
      <c r="ME69" s="197" t="str">
        <f t="shared" si="226"/>
        <v>Logistics</v>
      </c>
      <c r="MF69" s="197" t="str">
        <f t="shared" si="226"/>
        <v>Logistics</v>
      </c>
      <c r="MG69" s="197" t="str">
        <f t="shared" si="226"/>
        <v>Logistics</v>
      </c>
      <c r="MH69" s="197" t="str">
        <f t="shared" si="226"/>
        <v>Logistics</v>
      </c>
      <c r="MI69" s="197" t="str">
        <f t="shared" si="226"/>
        <v>Logistics</v>
      </c>
      <c r="MJ69" s="197" t="str">
        <f t="shared" si="226"/>
        <v>Logistics</v>
      </c>
      <c r="MK69" s="197" t="str">
        <f t="shared" si="226"/>
        <v>Logistics</v>
      </c>
      <c r="ML69" s="197" t="str">
        <f t="shared" si="226"/>
        <v>Logistics</v>
      </c>
      <c r="MM69" s="197" t="str">
        <f t="shared" si="226"/>
        <v>Logistics</v>
      </c>
      <c r="MN69" s="197" t="str">
        <f t="shared" si="226"/>
        <v>Logistics</v>
      </c>
      <c r="MO69" s="197" t="str">
        <f t="shared" si="226"/>
        <v>Logistics</v>
      </c>
      <c r="MP69" s="197" t="str">
        <f t="shared" si="226"/>
        <v>Logistics</v>
      </c>
      <c r="MQ69" s="197" t="str">
        <f t="shared" si="226"/>
        <v>Logistics</v>
      </c>
      <c r="MR69" s="197" t="str">
        <f t="shared" si="226"/>
        <v>Logistics</v>
      </c>
      <c r="MS69" s="197" t="str">
        <f t="shared" si="226"/>
        <v>Logistics</v>
      </c>
      <c r="MT69" s="197" t="str">
        <f t="shared" si="226"/>
        <v>Logistics</v>
      </c>
      <c r="MU69" s="197" t="str">
        <f t="shared" si="226"/>
        <v>Logistics</v>
      </c>
      <c r="MV69" s="197" t="str">
        <f t="shared" si="226"/>
        <v>Logistics</v>
      </c>
      <c r="MW69" s="197" t="str">
        <f t="shared" si="226"/>
        <v>Logistics</v>
      </c>
      <c r="MX69" s="197" t="str">
        <f t="shared" si="226"/>
        <v>Logistics</v>
      </c>
      <c r="MY69" s="197" t="str">
        <f t="shared" si="226"/>
        <v>Logistics</v>
      </c>
      <c r="MZ69" s="197" t="str">
        <f t="shared" si="226"/>
        <v>Logistics</v>
      </c>
      <c r="NA69" s="197" t="str">
        <f t="shared" si="226"/>
        <v>Logistics</v>
      </c>
      <c r="NB69" s="197" t="str">
        <f t="shared" si="226"/>
        <v>Logistics</v>
      </c>
      <c r="NC69" s="197" t="str">
        <f t="shared" si="226"/>
        <v>Logistics</v>
      </c>
      <c r="ND69" s="197" t="str">
        <f t="shared" si="226"/>
        <v>Logistics</v>
      </c>
      <c r="NE69" s="197" t="str">
        <f t="shared" si="226"/>
        <v>Logistics</v>
      </c>
      <c r="NF69" s="197" t="str">
        <f t="shared" si="226"/>
        <v>Logistics</v>
      </c>
      <c r="NG69" s="197" t="str">
        <f t="shared" si="226"/>
        <v>Logistics</v>
      </c>
      <c r="NH69" s="197" t="str">
        <f t="shared" si="226"/>
        <v>Logistics</v>
      </c>
      <c r="NI69" s="197" t="str">
        <f t="shared" si="226"/>
        <v>Logistics</v>
      </c>
      <c r="NJ69" s="197" t="str">
        <f t="shared" si="226"/>
        <v>Logistics</v>
      </c>
      <c r="NK69" s="197" t="str">
        <f t="shared" si="226"/>
        <v>Logistics</v>
      </c>
      <c r="NL69" s="197" t="str">
        <f t="shared" si="226"/>
        <v>Logistics</v>
      </c>
      <c r="NM69" s="197" t="str">
        <f t="shared" si="226"/>
        <v>Logistics</v>
      </c>
      <c r="NN69" s="197" t="str">
        <f t="shared" si="226"/>
        <v>Logistics</v>
      </c>
      <c r="NO69" s="197" t="str">
        <f t="shared" si="226"/>
        <v>Logistics</v>
      </c>
      <c r="NP69" s="197" t="str">
        <f t="shared" si="226"/>
        <v>Logistics</v>
      </c>
      <c r="NQ69" s="197" t="str">
        <f t="shared" si="226"/>
        <v>Logistics</v>
      </c>
      <c r="NR69" s="197" t="str">
        <f t="shared" si="226"/>
        <v>Logistics</v>
      </c>
      <c r="NS69" s="197" t="str">
        <f t="shared" si="226"/>
        <v>Logistics</v>
      </c>
      <c r="NT69" s="197" t="str">
        <f t="shared" si="226"/>
        <v>Logistics</v>
      </c>
      <c r="NU69" s="197" t="str">
        <f t="shared" si="226"/>
        <v>Logistics</v>
      </c>
      <c r="NV69" s="197" t="str">
        <f t="shared" si="226"/>
        <v>Logistics</v>
      </c>
      <c r="NW69" s="197" t="str">
        <f t="shared" si="226"/>
        <v>Logistics</v>
      </c>
      <c r="NX69" s="197" t="str">
        <f t="shared" si="226"/>
        <v>Logistics</v>
      </c>
      <c r="NY69" s="197" t="str">
        <f t="shared" si="226"/>
        <v>Logistics</v>
      </c>
    </row>
    <row r="70" spans="1:389" x14ac:dyDescent="0.3">
      <c r="A70" t="str">
        <f>$B$69&amp;"-"&amp;C70</f>
        <v>Logistics-KPI P1</v>
      </c>
      <c r="B70" s="917" t="str">
        <f>+'KPI Stats'!B69</f>
        <v>Logistics</v>
      </c>
      <c r="C70" s="133" t="str">
        <f>+'KPI Stats'!C69</f>
        <v>KPI P1</v>
      </c>
      <c r="D70" s="142" t="str">
        <f>+'KPI Stats'!D69</f>
        <v>Productivity</v>
      </c>
      <c r="E70" s="142" t="str">
        <f>+'KPI Stats'!E69</f>
        <v>Sales Value Despatched - Group</v>
      </c>
      <c r="F70" s="143" t="str">
        <f>+'KPI Stats'!F69</f>
        <v>£'s</v>
      </c>
      <c r="G70" s="168" t="str">
        <f>+'KPI Stats'!G69</f>
        <v>Under</v>
      </c>
      <c r="J70" s="159" t="str">
        <f>_xlfn.XLOOKUP(J$7,$AM$7:$CM$7,$AM70:$CM70,,FALSE)</f>
        <v>OD</v>
      </c>
      <c r="K70" s="262">
        <f>_xlfn.XLOOKUP(K$7,$FC$7:$HC$7,$FC70:$HC70,,FALSE)</f>
        <v>0</v>
      </c>
      <c r="L70" s="277">
        <f>_xlfn.XLOOKUP(L$7,$HJ$7:$JJ$7,$HJ70:$JJ70,,FALSE)</f>
        <v>0</v>
      </c>
      <c r="M70" s="274" t="str">
        <f>_xlfn.XLOOKUP(M$7,$CU$7:$EU$7,$CU70:$EU70,,FALSE)</f>
        <v>OD</v>
      </c>
      <c r="P70" s="159" t="str">
        <f>_xlfn.XLOOKUP(P$7,$AM$7:$CM$7,$AM70:$CM70,,FALSE)</f>
        <v>OD</v>
      </c>
      <c r="Q70" s="262">
        <f t="shared" ref="Q70:R73" si="227">_xlfn.XLOOKUP(Q$7,$FC$7:$HC$7,$FC70:$HC70,FALSE)</f>
        <v>0</v>
      </c>
      <c r="R70" s="277">
        <f t="shared" si="227"/>
        <v>0</v>
      </c>
      <c r="S70" s="262" t="str">
        <f t="shared" ref="S70:T73" si="228">_xlfn.XLOOKUP(S$7,$CU$7:$EU$7,$CU70:$EU70,,FALSE)</f>
        <v>OD</v>
      </c>
      <c r="T70" s="277" t="str">
        <f t="shared" si="228"/>
        <v>OD</v>
      </c>
      <c r="U70" s="294" t="str">
        <f>IF(F69&lt;$R$2,"Not Complete",IF(Q70=R70,"Same −",IF($G70="Over",IF(Q70&lt;R70,"Better ↑","Worse ↓"),IF($G70="Under",IF(Q70&gt;R70,"Better ↑","Worse ↓"),"err"))))</f>
        <v>Same −</v>
      </c>
      <c r="X70" s="159" t="str">
        <f t="shared" ref="X70:X73" si="229">IF(Y70="","",IF(Y70="Blank","",IF(AND(G70="above zero",Y70&gt;0),"R",IF(AA70&gt;1,"G",IF(AA70&gt;0.95,"A","R")))))</f>
        <v>G</v>
      </c>
      <c r="Y70" s="161">
        <f>_xlfn.XLOOKUP(Y$7,$JR$7:$LR$7,$JR70:$LR70,FALSE)</f>
        <v>336454.5</v>
      </c>
      <c r="Z70" s="161">
        <f>_xlfn.XLOOKUP(Z$7,$LY$7:$NY$7,$LY70:$NY70,FALSE)</f>
        <v>255911.36363636365</v>
      </c>
      <c r="AA70" s="162">
        <f>IF(G70="Undefined","",IF(G70="under",Y70/Z70,IF(G70="over",Z70/Y70,"err")))</f>
        <v>1.3147305974192058</v>
      </c>
      <c r="AB70" s="294" t="str">
        <f>IF(F69&lt;$R$2,"TBC",IF(Y70=Z70,"Same −",IF($G70="Over",IF(Z70&lt;Y70,"Better ↑ ","Worse ↓ "),IF($G70="Under",IF(Y70&gt;Z70,"Better ↑ ","Worse ↓ "),"err"))))</f>
        <v xml:space="preserve">Better ↑ </v>
      </c>
      <c r="AC70" s="159" t="str">
        <f>IF(AND(G70="above adero",AD70&gt;0),"R",IF(AF70&gt;1,"G",IF(AF70&gt;0.95,"A","R")))</f>
        <v>G</v>
      </c>
      <c r="AD70" s="161">
        <f>_xlfn.XLOOKUP(AD$7,$JR$7:$LR$7,$JR70:$LR70,FALSE)</f>
        <v>358884.8</v>
      </c>
      <c r="AE70" s="161">
        <f>_xlfn.XLOOKUP(AE$7,$LY$7:$NY$7,$LY70:$NY70,FALSE)</f>
        <v>268097.61904761905</v>
      </c>
      <c r="AF70" s="162">
        <f t="shared" ref="AF70:AF73" si="230">IF(G70="Undefined","",IF(G70="under",AD70/AE70,IF(G70="over",AE70/AD70,"err")))</f>
        <v>1.338634790099555</v>
      </c>
      <c r="AH70" s="465" t="str">
        <f>+$A70</f>
        <v>Logistics-KPI P1</v>
      </c>
      <c r="AI70" s="133" t="str">
        <f t="shared" ref="AI70:AJ73" si="231">+C70</f>
        <v>KPI P1</v>
      </c>
      <c r="AJ70" s="142" t="str">
        <f t="shared" si="231"/>
        <v>Productivity</v>
      </c>
      <c r="AK70" s="142" t="str">
        <f t="shared" si="216"/>
        <v>Sales Value Despatched - Group</v>
      </c>
      <c r="AL70" s="143" t="str">
        <f t="shared" si="216"/>
        <v>£'s</v>
      </c>
      <c r="AM70" s="159" t="str">
        <f>IF(AM$7&gt;$D$3,"",_xlfn.XLOOKUP(AM$7,Logistics!$M$6:$BM$6,Logistics!$M$10:$BM$10))</f>
        <v>Blank</v>
      </c>
      <c r="AN70" s="198" t="str">
        <f>IF(AN$7&gt;$D$3,"",_xlfn.XLOOKUP(AN$7,Logistics!$M$6:$BM$6,Logistics!$M$10:$BM$10))</f>
        <v>TBC</v>
      </c>
      <c r="AO70" s="159" t="str">
        <f>IF(AO$7&gt;$D$3,"",_xlfn.XLOOKUP(AO$7,Logistics!$M$6:$BM$6,Logistics!$M$10:$BM$10))</f>
        <v>TBC</v>
      </c>
      <c r="AP70" s="159" t="str">
        <f>IF(AP$7&gt;$D$3,"",_xlfn.XLOOKUP(AP$7,Logistics!$M$6:$BM$6,Logistics!$M$10:$BM$10))</f>
        <v>TBC</v>
      </c>
      <c r="AQ70" s="159" t="str">
        <f>IF(AQ$7&gt;$D$3,"",_xlfn.XLOOKUP(AQ$7,Logistics!$M$6:$BM$6,Logistics!$M$10:$BM$10))</f>
        <v>TBC</v>
      </c>
      <c r="AR70" s="159" t="str">
        <f>IF(AR$7&gt;$D$3,"",_xlfn.XLOOKUP(AR$7,Logistics!$M$6:$BM$6,Logistics!$M$10:$BM$10))</f>
        <v>TBC</v>
      </c>
      <c r="AS70" s="159" t="str">
        <f>IF(AS$7&gt;$D$3,"",_xlfn.XLOOKUP(AS$7,Logistics!$M$6:$BM$6,Logistics!$M$10:$BM$10))</f>
        <v>TBC</v>
      </c>
      <c r="AT70" s="159" t="str">
        <f>IF(AT$7&gt;$D$3,"",_xlfn.XLOOKUP(AT$7,Logistics!$M$6:$BM$6,Logistics!$M$10:$BM$10))</f>
        <v>TBC</v>
      </c>
      <c r="AU70" s="159" t="str">
        <f>IF(AU$7&gt;$D$3,"",_xlfn.XLOOKUP(AU$7,Logistics!$M$6:$BM$6,Logistics!$M$10:$BM$10))</f>
        <v>TBC</v>
      </c>
      <c r="AV70" s="159" t="str">
        <f>IF(AV$7&gt;$D$3,"",_xlfn.XLOOKUP(AV$7,Logistics!$M$6:$BM$6,Logistics!$M$10:$BM$10))</f>
        <v>TBC</v>
      </c>
      <c r="AW70" s="159" t="str">
        <f>IF(AW$7&gt;$D$3,"",_xlfn.XLOOKUP(AW$7,Logistics!$M$6:$BM$6,Logistics!$M$10:$BM$10))</f>
        <v>TBC</v>
      </c>
      <c r="AX70" s="159" t="str">
        <f>IF(AX$7&gt;$D$3,"",_xlfn.XLOOKUP(AX$7,Logistics!$M$6:$BM$6,Logistics!$M$10:$BM$10))</f>
        <v>TBC</v>
      </c>
      <c r="AY70" s="159" t="str">
        <f>IF(AY$7&gt;$D$3,"",_xlfn.XLOOKUP(AY$7,Logistics!$M$6:$BM$6,Logistics!$M$10:$BM$10))</f>
        <v>TBC</v>
      </c>
      <c r="AZ70" s="159" t="str">
        <f>IF(AZ$7&gt;$D$3,"",_xlfn.XLOOKUP(AZ$7,Logistics!$M$6:$BM$6,Logistics!$M$10:$BM$10))</f>
        <v>G</v>
      </c>
      <c r="BA70" s="159" t="str">
        <f>IF(BA$7&gt;$D$3,"",_xlfn.XLOOKUP(BA$7,Logistics!$M$6:$BM$6,Logistics!$M$10:$BM$10))</f>
        <v>R</v>
      </c>
      <c r="BB70" s="159" t="str">
        <f>IF(BB$7&gt;$D$3,"",_xlfn.XLOOKUP(BB$7,Logistics!$M$6:$BM$6,Logistics!$M$10:$BM$10))</f>
        <v>G</v>
      </c>
      <c r="BC70" s="159" t="str">
        <f>IF(BC$7&gt;$D$3,"",_xlfn.XLOOKUP(BC$7,Logistics!$M$6:$BM$6,Logistics!$M$10:$BM$10))</f>
        <v>R</v>
      </c>
      <c r="BD70" s="159" t="str">
        <f>IF(BD$7&gt;$D$3,"",_xlfn.XLOOKUP(BD$7,Logistics!$M$6:$BM$6,Logistics!$M$10:$BM$10))</f>
        <v>G</v>
      </c>
      <c r="BE70" s="159" t="str">
        <f>IF(BE$7&gt;$D$3,"",_xlfn.XLOOKUP(BE$7,Logistics!$M$6:$BM$6,Logistics!$M$10:$BM$10))</f>
        <v>R</v>
      </c>
      <c r="BF70" s="159" t="str">
        <f>IF(BF$7&gt;$D$3,"",_xlfn.XLOOKUP(BF$7,Logistics!$M$6:$BM$6,Logistics!$M$10:$BM$10))</f>
        <v>R</v>
      </c>
      <c r="BG70" s="159" t="str">
        <f>IF(BG$7&gt;$D$3,"",_xlfn.XLOOKUP(BG$7,Logistics!$M$6:$BM$6,Logistics!$M$10:$BM$10))</f>
        <v>OD</v>
      </c>
      <c r="BH70" s="159" t="str">
        <f>IF(BH$7&gt;$D$3,"",_xlfn.XLOOKUP(BH$7,Logistics!$M$6:$BM$6,Logistics!$M$10:$BM$10))</f>
        <v>OD</v>
      </c>
      <c r="BI70" s="159" t="str">
        <f>IF(BI$7&gt;$D$3,"",_xlfn.XLOOKUP(BI$7,Logistics!$M$6:$BM$6,Logistics!$M$10:$BM$10))</f>
        <v>OD</v>
      </c>
      <c r="BJ70" s="159" t="str">
        <f>IF(BJ$7&gt;$D$3,"",_xlfn.XLOOKUP(BJ$7,Logistics!$M$6:$BM$6,Logistics!$M$10:$BM$10))</f>
        <v>OD</v>
      </c>
      <c r="BK70" s="159" t="str">
        <f>IF(BK$7&gt;$D$3,"",_xlfn.XLOOKUP(BK$7,Logistics!$M$6:$BM$6,Logistics!$M$10:$BM$10))</f>
        <v>OD</v>
      </c>
      <c r="BL70" s="159" t="str">
        <f>IF(BL$7&gt;$D$3,"",_xlfn.XLOOKUP(BL$7,Logistics!$M$6:$BM$6,Logistics!$M$10:$BM$10))</f>
        <v>OD</v>
      </c>
      <c r="BM70" s="159" t="str">
        <f>IF(BM$7&gt;$D$3,"",_xlfn.XLOOKUP(BM$7,Logistics!$M$6:$BM$6,Logistics!$M$10:$BM$10))</f>
        <v>OD</v>
      </c>
      <c r="BN70" s="159" t="str">
        <f>IF(BN$7&gt;$D$3,"",_xlfn.XLOOKUP(BN$7,Logistics!$M$6:$BM$6,Logistics!$M$10:$BM$10))</f>
        <v>OD</v>
      </c>
      <c r="BO70" s="159" t="str">
        <f>IF(BO$7&gt;$D$3,"",_xlfn.XLOOKUP(BO$7,Logistics!$M$6:$BM$6,Logistics!$M$10:$BM$10))</f>
        <v>OD</v>
      </c>
      <c r="BP70" s="159" t="str">
        <f>IF(BP$7&gt;$D$3,"",_xlfn.XLOOKUP(BP$7,Logistics!$M$6:$BM$6,Logistics!$M$10:$BM$10))</f>
        <v>OD</v>
      </c>
      <c r="BQ70" s="159" t="str">
        <f>IF(BQ$7&gt;$D$3,"",_xlfn.XLOOKUP(BQ$7,Logistics!$M$6:$BM$6,Logistics!$M$10:$BM$10))</f>
        <v>OD</v>
      </c>
      <c r="BR70" s="159" t="str">
        <f>IF(BR$7&gt;$D$3,"",_xlfn.XLOOKUP(BR$7,Logistics!$M$6:$BM$6,Logistics!$M$10:$BM$10))</f>
        <v>OD</v>
      </c>
      <c r="BS70" s="159" t="str">
        <f>IF(BS$7&gt;$D$3,"",_xlfn.XLOOKUP(BS$7,Logistics!$M$6:$BM$6,Logistics!$M$10:$BM$10))</f>
        <v>OD</v>
      </c>
      <c r="BT70" s="159" t="str">
        <f>IF(BT$7&gt;$D$3,"",_xlfn.XLOOKUP(BT$7,Logistics!$M$6:$BM$6,Logistics!$M$10:$BM$10))</f>
        <v>OD</v>
      </c>
      <c r="BU70" s="159" t="str">
        <f>IF(BU$7&gt;$D$3,"",_xlfn.XLOOKUP(BU$7,Logistics!$M$6:$BM$6,Logistics!$M$10:$BM$10))</f>
        <v>OD</v>
      </c>
      <c r="BV70" s="159" t="str">
        <f>IF(BV$7&gt;$D$3,"",_xlfn.XLOOKUP(BV$7,Logistics!$M$6:$BM$6,Logistics!$M$10:$BM$10))</f>
        <v>OD</v>
      </c>
      <c r="BW70" s="159" t="str">
        <f>IF(BW$7&gt;$D$3,"",_xlfn.XLOOKUP(BW$7,Logistics!$M$6:$BM$6,Logistics!$M$10:$BM$10))</f>
        <v>OD</v>
      </c>
      <c r="BX70" s="159" t="str">
        <f>IF(BX$7&gt;$D$3,"",_xlfn.XLOOKUP(BX$7,Logistics!$M$6:$BM$6,Logistics!$M$10:$BM$10))</f>
        <v>OD</v>
      </c>
      <c r="BY70" s="159" t="str">
        <f>IF(BY$7&gt;$D$3,"",_xlfn.XLOOKUP(BY$7,Logistics!$M$6:$BM$6,Logistics!$M$10:$BM$10))</f>
        <v>OD</v>
      </c>
      <c r="BZ70" s="159" t="str">
        <f>IF(BZ$7&gt;$D$3,"",_xlfn.XLOOKUP(BZ$7,Logistics!$M$6:$BM$6,Logistics!$M$10:$BM$10))</f>
        <v>OD</v>
      </c>
      <c r="CA70" s="159" t="str">
        <f>IF(CA$7&gt;$D$3,"",_xlfn.XLOOKUP(CA$7,Logistics!$M$6:$BM$6,Logistics!$M$10:$BM$10))</f>
        <v>OD</v>
      </c>
      <c r="CB70" s="159" t="str">
        <f>IF(CB$7&gt;$D$3,"",_xlfn.XLOOKUP(CB$7,Logistics!$M$6:$BM$6,Logistics!$M$10:$BM$10))</f>
        <v>OD</v>
      </c>
      <c r="CC70" s="159" t="str">
        <f>IF(CC$7&gt;$D$3,"",_xlfn.XLOOKUP(CC$7,Logistics!$M$6:$BM$6,Logistics!$M$10:$BM$10))</f>
        <v/>
      </c>
      <c r="CD70" s="159" t="str">
        <f>IF(CD$7&gt;$D$3,"",_xlfn.XLOOKUP(CD$7,Logistics!$M$6:$BM$6,Logistics!$M$10:$BM$10))</f>
        <v/>
      </c>
      <c r="CE70" s="159" t="str">
        <f>IF(CE$7&gt;$D$3,"",_xlfn.XLOOKUP(CE$7,Logistics!$M$6:$BM$6,Logistics!$M$10:$BM$10))</f>
        <v/>
      </c>
      <c r="CF70" s="159" t="str">
        <f>IF(CF$7&gt;$D$3,"",_xlfn.XLOOKUP(CF$7,Logistics!$M$6:$BM$6,Logistics!$M$10:$BM$10))</f>
        <v/>
      </c>
      <c r="CG70" s="159" t="str">
        <f>IF(CG$7&gt;$D$3,"",_xlfn.XLOOKUP(CG$7,Logistics!$M$6:$BM$6,Logistics!$M$10:$BM$10))</f>
        <v/>
      </c>
      <c r="CH70" s="159" t="str">
        <f>IF(CH$7&gt;$D$3,"",_xlfn.XLOOKUP(CH$7,Logistics!$M$6:$BM$6,Logistics!$M$10:$BM$10))</f>
        <v/>
      </c>
      <c r="CI70" s="159" t="str">
        <f>IF(CI$7&gt;$D$3,"",_xlfn.XLOOKUP(CI$7,Logistics!$M$6:$BM$6,Logistics!$M$10:$BM$10))</f>
        <v/>
      </c>
      <c r="CJ70" s="159" t="str">
        <f>IF(CJ$7&gt;$D$3,"",_xlfn.XLOOKUP(CJ$7,Logistics!$M$6:$BM$6,Logistics!$M$10:$BM$10))</f>
        <v/>
      </c>
      <c r="CK70" s="159" t="str">
        <f>IF(CK$7&gt;$D$3,"",_xlfn.XLOOKUP(CK$7,Logistics!$M$6:$BM$6,Logistics!$M$10:$BM$10))</f>
        <v/>
      </c>
      <c r="CL70" s="159" t="str">
        <f>IF(CL$7&gt;$D$3,"",_xlfn.XLOOKUP(CL$7,Logistics!$M$6:$BM$6,Logistics!$M$10:$BM$10))</f>
        <v/>
      </c>
      <c r="CM70" s="159" t="str">
        <f>IF(CM$7&gt;$D$3,"",_xlfn.XLOOKUP(CM$7,Logistics!$M$6:$BM$6,Logistics!$M$10:$BM$10))</f>
        <v/>
      </c>
      <c r="CO70" s="465" t="str">
        <f>+$A70</f>
        <v>Logistics-KPI P1</v>
      </c>
      <c r="CP70" s="133" t="str">
        <f t="shared" ref="CP70:CQ73" si="232">+C70</f>
        <v>KPI P1</v>
      </c>
      <c r="CQ70" s="142" t="str">
        <f t="shared" si="232"/>
        <v>Productivity</v>
      </c>
      <c r="CR70" s="142" t="str">
        <f t="shared" si="218"/>
        <v>Sales Value Despatched - Group</v>
      </c>
      <c r="CS70" s="143" t="str">
        <f t="shared" si="218"/>
        <v>£'s</v>
      </c>
      <c r="CT70" s="206" t="s">
        <v>246</v>
      </c>
      <c r="CU70" s="624" t="str">
        <f>IF(CU$7&gt;$D$3,"",_xlfn.XLOOKUP(CU$7,Logistics!$M$6:$BM$6,Logistics!$M$10:$BM$10))</f>
        <v>Blank</v>
      </c>
      <c r="CV70" s="323" t="str">
        <f>IFERROR(IF(CV$7&gt;$D$3,"",IF(AN70="Missed","Missed",IF(AN70="OD","OD",IF(AN70="TBC","TBC",IF(AN70="Undefined","Undefined",_xlfn.XLOOKUP(CV$7,Logistics!$M$6:$BM$6,Logistics!$M$9:$BM$9)/_xlfn.XLOOKUP(CV$7,Logistics!$M$6:$BM$6,Logistics!$M$8:$BM$8)))))),"")</f>
        <v>TBC</v>
      </c>
      <c r="CW70" s="315" t="str">
        <f>IFERROR(IF(CW$7&gt;$D$3,"",IF(AO70="Missed","Missed",IF(AO70="OD","OD",IF(AO70="TBC","TBC",IF(AO70="Undefined","Undefined",_xlfn.XLOOKUP(CW$7,Logistics!$M$6:$BM$6,Logistics!$M$9:$BM$9)/_xlfn.XLOOKUP(CW$7,Logistics!$M$6:$BM$6,Logistics!$M$8:$BM$8)))))),"")</f>
        <v>TBC</v>
      </c>
      <c r="CX70" s="315" t="str">
        <f>IFERROR(IF(CX$7&gt;$D$3,"",IF(AP70="Missed","Missed",IF(AP70="OD","OD",IF(AP70="TBC","TBC",IF(AP70="Undefined","Undefined",_xlfn.XLOOKUP(CX$7,Logistics!$M$6:$BM$6,Logistics!$M$9:$BM$9)/_xlfn.XLOOKUP(CX$7,Logistics!$M$6:$BM$6,Logistics!$M$8:$BM$8)))))),"")</f>
        <v>TBC</v>
      </c>
      <c r="CY70" s="315" t="str">
        <f>IFERROR(IF(CY$7&gt;$D$3,"",IF(AQ70="Missed","Missed",IF(AQ70="OD","OD",IF(AQ70="TBC","TBC",IF(AQ70="Undefined","Undefined",_xlfn.XLOOKUP(CY$7,Logistics!$M$6:$BM$6,Logistics!$M$9:$BM$9)/_xlfn.XLOOKUP(CY$7,Logistics!$M$6:$BM$6,Logistics!$M$8:$BM$8)))))),"")</f>
        <v>TBC</v>
      </c>
      <c r="CZ70" s="315" t="str">
        <f>IFERROR(IF(CZ$7&gt;$D$3,"",IF(AR70="Missed","Missed",IF(AR70="OD","OD",IF(AR70="TBC","TBC",IF(AR70="Undefined","Undefined",_xlfn.XLOOKUP(CZ$7,Logistics!$M$6:$BM$6,Logistics!$M$9:$BM$9)/_xlfn.XLOOKUP(CZ$7,Logistics!$M$6:$BM$6,Logistics!$M$8:$BM$8)))))),"")</f>
        <v>TBC</v>
      </c>
      <c r="DA70" s="315" t="str">
        <f>IFERROR(IF(DA$7&gt;$D$3,"",IF(AS70="Missed","Missed",IF(AS70="OD","OD",IF(AS70="TBC","TBC",IF(AS70="Undefined","Undefined",_xlfn.XLOOKUP(DA$7,Logistics!$M$6:$BM$6,Logistics!$M$9:$BM$9)/_xlfn.XLOOKUP(DA$7,Logistics!$M$6:$BM$6,Logistics!$M$8:$BM$8)))))),"")</f>
        <v>TBC</v>
      </c>
      <c r="DB70" s="315" t="str">
        <f>IFERROR(IF(DB$7&gt;$D$3,"",IF(AT70="Missed","Missed",IF(AT70="OD","OD",IF(AT70="TBC","TBC",IF(AT70="Undefined","Undefined",_xlfn.XLOOKUP(DB$7,Logistics!$M$6:$BM$6,Logistics!$M$9:$BM$9)/_xlfn.XLOOKUP(DB$7,Logistics!$M$6:$BM$6,Logistics!$M$8:$BM$8)))))),"")</f>
        <v>TBC</v>
      </c>
      <c r="DC70" s="315" t="str">
        <f>IFERROR(IF(DC$7&gt;$D$3,"",IF(AU70="Missed","Missed",IF(AU70="OD","OD",IF(AU70="TBC","TBC",IF(AU70="Undefined","Undefined",_xlfn.XLOOKUP(DC$7,Logistics!$M$6:$BM$6,Logistics!$M$9:$BM$9)/_xlfn.XLOOKUP(DC$7,Logistics!$M$6:$BM$6,Logistics!$M$8:$BM$8)))))),"")</f>
        <v>TBC</v>
      </c>
      <c r="DD70" s="315" t="str">
        <f>IFERROR(IF(DD$7&gt;$D$3,"",IF(AV70="Missed","Missed",IF(AV70="OD","OD",IF(AV70="TBC","TBC",IF(AV70="Undefined","Undefined",_xlfn.XLOOKUP(DD$7,Logistics!$M$6:$BM$6,Logistics!$M$9:$BM$9)/_xlfn.XLOOKUP(DD$7,Logistics!$M$6:$BM$6,Logistics!$M$8:$BM$8)))))),"")</f>
        <v>TBC</v>
      </c>
      <c r="DE70" s="315" t="str">
        <f>IFERROR(IF(DE$7&gt;$D$3,"",IF(AW70="Missed","Missed",IF(AW70="OD","OD",IF(AW70="TBC","TBC",IF(AW70="Undefined","Undefined",_xlfn.XLOOKUP(DE$7,Logistics!$M$6:$BM$6,Logistics!$M$9:$BM$9)/_xlfn.XLOOKUP(DE$7,Logistics!$M$6:$BM$6,Logistics!$M$8:$BM$8)))))),"")</f>
        <v>TBC</v>
      </c>
      <c r="DF70" s="315" t="str">
        <f>IFERROR(IF(DF$7&gt;$D$3,"",IF(AX70="Missed","Missed",IF(AX70="OD","OD",IF(AX70="TBC","TBC",IF(AX70="Undefined","Undefined",_xlfn.XLOOKUP(DF$7,Logistics!$M$6:$BM$6,Logistics!$M$9:$BM$9)/_xlfn.XLOOKUP(DF$7,Logistics!$M$6:$BM$6,Logistics!$M$8:$BM$8)))))),"")</f>
        <v>TBC</v>
      </c>
      <c r="DG70" s="315" t="str">
        <f>IFERROR(IF(DG$7&gt;$D$3,"",IF(AY70="Missed","Missed",IF(AY70="OD","OD",IF(AY70="TBC","TBC",IF(AY70="Undefined","Undefined",_xlfn.XLOOKUP(DG$7,Logistics!$M$6:$BM$6,Logistics!$M$9:$BM$9)/_xlfn.XLOOKUP(DG$7,Logistics!$M$6:$BM$6,Logistics!$M$8:$BM$8)))))),"")</f>
        <v>TBC</v>
      </c>
      <c r="DH70" s="315">
        <f>IFERROR(IF(DH$7&gt;$D$3,"",IF(AZ70="Missed","Missed",IF(AZ70="OD","OD",IF(AZ70="TBC","TBC",IF(AZ70="Undefined","Undefined",_xlfn.XLOOKUP(DH$7,Logistics!$M$6:$BM$6,Logistics!$M$9:$BM$9)/_xlfn.XLOOKUP(DH$7,Logistics!$M$6:$BM$6,Logistics!$M$8:$BM$8)))))),"")</f>
        <v>1.1920980926430518</v>
      </c>
      <c r="DI70" s="315">
        <f>IFERROR(IF(DI$7&gt;$D$3,"",IF(BA70="Missed","Missed",IF(BA70="OD","OD",IF(BA70="TBC","TBC",IF(BA70="Undefined","Undefined",_xlfn.XLOOKUP(DI$7,Logistics!$M$6:$BM$6,Logistics!$M$9:$BM$9)/_xlfn.XLOOKUP(DI$7,Logistics!$M$6:$BM$6,Logistics!$M$8:$BM$8)))))),"")</f>
        <v>0.91029659995177237</v>
      </c>
      <c r="DJ70" s="315">
        <f>IFERROR(IF(DJ$7&gt;$D$3,"",IF(BB70="Missed","Missed",IF(BB70="OD","OD",IF(BB70="TBC","TBC",IF(BB70="Undefined","Undefined",_xlfn.XLOOKUP(DJ$7,Logistics!$M$6:$BM$6,Logistics!$M$9:$BM$9)/_xlfn.XLOOKUP(DJ$7,Logistics!$M$6:$BM$6,Logistics!$M$8:$BM$8)))))),"")</f>
        <v>1.0435474632984656</v>
      </c>
      <c r="DK70" s="315">
        <f>IFERROR(IF(DK$7&gt;$D$3,"",IF(BC70="Missed","Missed",IF(BC70="OD","OD",IF(BC70="TBC","TBC",IF(BC70="Undefined","Undefined",_xlfn.XLOOKUP(DK$7,Logistics!$M$6:$BM$6,Logistics!$M$9:$BM$9)/_xlfn.XLOOKUP(DK$7,Logistics!$M$6:$BM$6,Logistics!$M$8:$BM$8)))))),"")</f>
        <v>0.77343622825792058</v>
      </c>
      <c r="DL70" s="315">
        <f>IFERROR(IF(DL$7&gt;$D$3,"",IF(BD70="Missed","Missed",IF(BD70="OD","OD",IF(BD70="TBC","TBC",IF(BD70="Undefined","Undefined",_xlfn.XLOOKUP(DL$7,Logistics!$M$6:$BM$6,Logistics!$M$9:$BM$9)/_xlfn.XLOOKUP(DL$7,Logistics!$M$6:$BM$6,Logistics!$M$8:$BM$8)))))),"")</f>
        <v>1.0400880982055967</v>
      </c>
      <c r="DM70" s="315">
        <f>IFERROR(IF(DM$7&gt;$D$3,"",IF(BE70="Missed","Missed",IF(BE70="OD","OD",IF(BE70="TBC","TBC",IF(BE70="Undefined","Undefined",_xlfn.XLOOKUP(DM$7,Logistics!$M$6:$BM$6,Logistics!$M$9:$BM$9)/_xlfn.XLOOKUP(DM$7,Logistics!$M$6:$BM$6,Logistics!$M$8:$BM$8)))))),"")</f>
        <v>0.80530619208861587</v>
      </c>
      <c r="DN70" s="315">
        <f>IFERROR(IF(DN$7&gt;$D$3,"",IF(BF70="Missed","Missed",IF(BF70="OD","OD",IF(BF70="TBC","TBC",IF(BF70="Undefined","Undefined",_xlfn.XLOOKUP(DN$7,Logistics!$M$6:$BM$6,Logistics!$M$9:$BM$9)/_xlfn.XLOOKUP(DN$7,Logistics!$M$6:$BM$6,Logistics!$M$8:$BM$8)))))),"")</f>
        <v>0.88762474735543484</v>
      </c>
      <c r="DO70" s="315" t="str">
        <f>IFERROR(IF(DO$7&gt;$D$3,"",IF(BG70="Missed","Missed",IF(BG70="OD","OD",IF(BG70="TBC","TBC",IF(BG70="Undefined","Undefined",_xlfn.XLOOKUP(DO$7,Logistics!$M$6:$BM$6,Logistics!$M$9:$BM$9)/_xlfn.XLOOKUP(DO$7,Logistics!$M$6:$BM$6,Logistics!$M$8:$BM$8)))))),"")</f>
        <v>OD</v>
      </c>
      <c r="DP70" s="315" t="str">
        <f>IFERROR(IF(DP$7&gt;$D$3,"",IF(BH70="Missed","Missed",IF(BH70="OD","OD",IF(BH70="TBC","TBC",IF(BH70="Undefined","Undefined",_xlfn.XLOOKUP(DP$7,Logistics!$M$6:$BM$6,Logistics!$M$9:$BM$9)/_xlfn.XLOOKUP(DP$7,Logistics!$M$6:$BM$6,Logistics!$M$8:$BM$8)))))),"")</f>
        <v>OD</v>
      </c>
      <c r="DQ70" s="315" t="str">
        <f>IFERROR(IF(DQ$7&gt;$D$3,"",IF(BI70="Missed","Missed",IF(BI70="OD","OD",IF(BI70="TBC","TBC",IF(BI70="Undefined","Undefined",_xlfn.XLOOKUP(DQ$7,Logistics!$M$6:$BM$6,Logistics!$M$9:$BM$9)/_xlfn.XLOOKUP(DQ$7,Logistics!$M$6:$BM$6,Logistics!$M$8:$BM$8)))))),"")</f>
        <v>OD</v>
      </c>
      <c r="DR70" s="315" t="str">
        <f>IFERROR(IF(DR$7&gt;$D$3,"",IF(BJ70="Missed","Missed",IF(BJ70="OD","OD",IF(BJ70="TBC","TBC",IF(BJ70="Undefined","Undefined",_xlfn.XLOOKUP(DR$7,Logistics!$M$6:$BM$6,Logistics!$M$9:$BM$9)/_xlfn.XLOOKUP(DR$7,Logistics!$M$6:$BM$6,Logistics!$M$8:$BM$8)))))),"")</f>
        <v>OD</v>
      </c>
      <c r="DS70" s="315" t="str">
        <f>IFERROR(IF(DS$7&gt;$D$3,"",IF(BK70="Missed","Missed",IF(BK70="OD","OD",IF(BK70="TBC","TBC",IF(BK70="Undefined","Undefined",_xlfn.XLOOKUP(DS$7,Logistics!$M$6:$BM$6,Logistics!$M$9:$BM$9)/_xlfn.XLOOKUP(DS$7,Logistics!$M$6:$BM$6,Logistics!$M$8:$BM$8)))))),"")</f>
        <v>OD</v>
      </c>
      <c r="DT70" s="315" t="str">
        <f>IFERROR(IF(DT$7&gt;$D$3,"",IF(BL70="Missed","Missed",IF(BL70="OD","OD",IF(BL70="TBC","TBC",IF(BL70="Undefined","Undefined",_xlfn.XLOOKUP(DT$7,Logistics!$M$6:$BM$6,Logistics!$M$9:$BM$9)/_xlfn.XLOOKUP(DT$7,Logistics!$M$6:$BM$6,Logistics!$M$8:$BM$8)))))),"")</f>
        <v>OD</v>
      </c>
      <c r="DU70" s="315" t="str">
        <f>IFERROR(IF(DU$7&gt;$D$3,"",IF(BM70="Missed","Missed",IF(BM70="OD","OD",IF(BM70="TBC","TBC",IF(BM70="Undefined","Undefined",_xlfn.XLOOKUP(DU$7,Logistics!$M$6:$BM$6,Logistics!$M$9:$BM$9)/_xlfn.XLOOKUP(DU$7,Logistics!$M$6:$BM$6,Logistics!$M$8:$BM$8)))))),"")</f>
        <v>OD</v>
      </c>
      <c r="DV70" s="315" t="str">
        <f>IFERROR(IF(DV$7&gt;$D$3,"",IF(BN70="Missed","Missed",IF(BN70="OD","OD",IF(BN70="TBC","TBC",IF(BN70="Undefined","Undefined",_xlfn.XLOOKUP(DV$7,Logistics!$M$6:$BM$6,Logistics!$M$9:$BM$9)/_xlfn.XLOOKUP(DV$7,Logistics!$M$6:$BM$6,Logistics!$M$8:$BM$8)))))),"")</f>
        <v>OD</v>
      </c>
      <c r="DW70" s="315" t="str">
        <f>IFERROR(IF(DW$7&gt;$D$3,"",IF(BO70="Missed","Missed",IF(BO70="OD","OD",IF(BO70="TBC","TBC",IF(BO70="Undefined","Undefined",_xlfn.XLOOKUP(DW$7,Logistics!$M$6:$BM$6,Logistics!$M$9:$BM$9)/_xlfn.XLOOKUP(DW$7,Logistics!$M$6:$BM$6,Logistics!$M$8:$BM$8)))))),"")</f>
        <v>OD</v>
      </c>
      <c r="DX70" s="315" t="str">
        <f>IFERROR(IF(DX$7&gt;$D$3,"",IF(BP70="Missed","Missed",IF(BP70="OD","OD",IF(BP70="TBC","TBC",IF(BP70="Undefined","Undefined",_xlfn.XLOOKUP(DX$7,Logistics!$M$6:$BM$6,Logistics!$M$9:$BM$9)/_xlfn.XLOOKUP(DX$7,Logistics!$M$6:$BM$6,Logistics!$M$8:$BM$8)))))),"")</f>
        <v>OD</v>
      </c>
      <c r="DY70" s="315" t="str">
        <f>IFERROR(IF(DY$7&gt;$D$3,"",IF(BQ70="Missed","Missed",IF(BQ70="OD","OD",IF(BQ70="TBC","TBC",IF(BQ70="Undefined","Undefined",_xlfn.XLOOKUP(DY$7,Logistics!$M$6:$BM$6,Logistics!$M$9:$BM$9)/_xlfn.XLOOKUP(DY$7,Logistics!$M$6:$BM$6,Logistics!$M$8:$BM$8)))))),"")</f>
        <v>OD</v>
      </c>
      <c r="DZ70" s="315" t="str">
        <f>IFERROR(IF(DZ$7&gt;$D$3,"",IF(BR70="Missed","Missed",IF(BR70="OD","OD",IF(BR70="TBC","TBC",IF(BR70="Undefined","Undefined",_xlfn.XLOOKUP(DZ$7,Logistics!$M$6:$BM$6,Logistics!$M$9:$BM$9)/_xlfn.XLOOKUP(DZ$7,Logistics!$M$6:$BM$6,Logistics!$M$8:$BM$8)))))),"")</f>
        <v>OD</v>
      </c>
      <c r="EA70" s="315" t="str">
        <f>IFERROR(IF(EA$7&gt;$D$3,"",IF(BS70="Missed","Missed",IF(BS70="OD","OD",IF(BS70="TBC","TBC",IF(BS70="Undefined","Undefined",_xlfn.XLOOKUP(EA$7,Logistics!$M$6:$BM$6,Logistics!$M$9:$BM$9)/_xlfn.XLOOKUP(EA$7,Logistics!$M$6:$BM$6,Logistics!$M$8:$BM$8)))))),"")</f>
        <v>OD</v>
      </c>
      <c r="EB70" s="315" t="str">
        <f>IFERROR(IF(EB$7&gt;$D$3,"",IF(BT70="Missed","Missed",IF(BT70="OD","OD",IF(BT70="TBC","TBC",IF(BT70="Undefined","Undefined",_xlfn.XLOOKUP(EB$7,Logistics!$M$6:$BM$6,Logistics!$M$9:$BM$9)/_xlfn.XLOOKUP(EB$7,Logistics!$M$6:$BM$6,Logistics!$M$8:$BM$8)))))),"")</f>
        <v>OD</v>
      </c>
      <c r="EC70" s="315" t="str">
        <f>IFERROR(IF(EC$7&gt;$D$3,"",IF(BU70="Missed","Missed",IF(BU70="OD","OD",IF(BU70="TBC","TBC",IF(BU70="Undefined","Undefined",_xlfn.XLOOKUP(EC$7,Logistics!$M$6:$BM$6,Logistics!$M$9:$BM$9)/_xlfn.XLOOKUP(EC$7,Logistics!$M$6:$BM$6,Logistics!$M$8:$BM$8)))))),"")</f>
        <v>OD</v>
      </c>
      <c r="ED70" s="315" t="str">
        <f>IFERROR(IF(ED$7&gt;$D$3,"",IF(BV70="Missed","Missed",IF(BV70="OD","OD",IF(BV70="TBC","TBC",IF(BV70="Undefined","Undefined",_xlfn.XLOOKUP(ED$7,Logistics!$M$6:$BM$6,Logistics!$M$9:$BM$9)/_xlfn.XLOOKUP(ED$7,Logistics!$M$6:$BM$6,Logistics!$M$8:$BM$8)))))),"")</f>
        <v>OD</v>
      </c>
      <c r="EE70" s="315" t="str">
        <f>IFERROR(IF(EE$7&gt;$D$3,"",IF(BW70="Missed","Missed",IF(BW70="OD","OD",IF(BW70="TBC","TBC",IF(BW70="Undefined","Undefined",_xlfn.XLOOKUP(EE$7,Logistics!$M$6:$BM$6,Logistics!$M$9:$BM$9)/_xlfn.XLOOKUP(EE$7,Logistics!$M$6:$BM$6,Logistics!$M$8:$BM$8)))))),"")</f>
        <v>OD</v>
      </c>
      <c r="EF70" s="315" t="str">
        <f>IFERROR(IF(EF$7&gt;$D$3,"",IF(BX70="Missed","Missed",IF(BX70="OD","OD",IF(BX70="TBC","TBC",IF(BX70="Undefined","Undefined",_xlfn.XLOOKUP(EF$7,Logistics!$M$6:$BM$6,Logistics!$M$9:$BM$9)/_xlfn.XLOOKUP(EF$7,Logistics!$M$6:$BM$6,Logistics!$M$8:$BM$8)))))),"")</f>
        <v>OD</v>
      </c>
      <c r="EG70" s="315" t="str">
        <f>IFERROR(IF(EG$7&gt;$D$3,"",IF(BY70="Missed","Missed",IF(BY70="OD","OD",IF(BY70="TBC","TBC",IF(BY70="Undefined","Undefined",_xlfn.XLOOKUP(EG$7,Logistics!$M$6:$BM$6,Logistics!$M$9:$BM$9)/_xlfn.XLOOKUP(EG$7,Logistics!$M$6:$BM$6,Logistics!$M$8:$BM$8)))))),"")</f>
        <v>OD</v>
      </c>
      <c r="EH70" s="315" t="str">
        <f>IFERROR(IF(EH$7&gt;$D$3,"",IF(BZ70="Missed","Missed",IF(BZ70="OD","OD",IF(BZ70="TBC","TBC",IF(BZ70="Undefined","Undefined",_xlfn.XLOOKUP(EH$7,Logistics!$M$6:$BM$6,Logistics!$M$9:$BM$9)/_xlfn.XLOOKUP(EH$7,Logistics!$M$6:$BM$6,Logistics!$M$8:$BM$8)))))),"")</f>
        <v>OD</v>
      </c>
      <c r="EI70" s="315" t="str">
        <f>IFERROR(IF(EI$7&gt;$D$3,"",IF(CA70="Missed","Missed",IF(CA70="OD","OD",IF(CA70="TBC","TBC",IF(CA70="Undefined","Undefined",_xlfn.XLOOKUP(EI$7,Logistics!$M$6:$BM$6,Logistics!$M$9:$BM$9)/_xlfn.XLOOKUP(EI$7,Logistics!$M$6:$BM$6,Logistics!$M$8:$BM$8)))))),"")</f>
        <v>OD</v>
      </c>
      <c r="EJ70" s="315" t="str">
        <f>IFERROR(IF(EJ$7&gt;$D$3,"",IF(CB70="Missed","Missed",IF(CB70="OD","OD",IF(CB70="TBC","TBC",IF(CB70="Undefined","Undefined",_xlfn.XLOOKUP(EJ$7,Logistics!$M$6:$BM$6,Logistics!$M$9:$BM$9)/_xlfn.XLOOKUP(EJ$7,Logistics!$M$6:$BM$6,Logistics!$M$8:$BM$8)))))),"")</f>
        <v>OD</v>
      </c>
      <c r="EK70" s="315" t="str">
        <f>IFERROR(IF(EK$7&gt;$D$3,"",IF(CC70="Missed","Missed",IF(CC70="OD","OD",IF(CC70="TBC","TBC",IF(CC70="Undefined","Undefined",_xlfn.XLOOKUP(EK$7,Logistics!$M$6:$BM$6,Logistics!$M$9:$BM$9)/_xlfn.XLOOKUP(EK$7,Logistics!$M$6:$BM$6,Logistics!$M$8:$BM$8)))))),"")</f>
        <v/>
      </c>
      <c r="EL70" s="315" t="str">
        <f>IFERROR(IF(EL$7&gt;$D$3,"",IF(CD70="Missed","Missed",IF(CD70="OD","OD",IF(CD70="TBC","TBC",IF(CD70="Undefined","Undefined",_xlfn.XLOOKUP(EL$7,Logistics!$M$6:$BM$6,Logistics!$M$9:$BM$9)/_xlfn.XLOOKUP(EL$7,Logistics!$M$6:$BM$6,Logistics!$M$8:$BM$8)))))),"")</f>
        <v/>
      </c>
      <c r="EM70" s="315" t="str">
        <f>IFERROR(IF(EM$7&gt;$D$3,"",IF(CE70="Missed","Missed",IF(CE70="OD","OD",IF(CE70="TBC","TBC",IF(CE70="Undefined","Undefined",_xlfn.XLOOKUP(EM$7,Logistics!$M$6:$BM$6,Logistics!$M$9:$BM$9)/_xlfn.XLOOKUP(EM$7,Logistics!$M$6:$BM$6,Logistics!$M$8:$BM$8)))))),"")</f>
        <v/>
      </c>
      <c r="EN70" s="315" t="str">
        <f>IFERROR(IF(EN$7&gt;$D$3,"",IF(CF70="Missed","Missed",IF(CF70="OD","OD",IF(CF70="TBC","TBC",IF(CF70="Undefined","Undefined",_xlfn.XLOOKUP(EN$7,Logistics!$M$6:$BM$6,Logistics!$M$9:$BM$9)/_xlfn.XLOOKUP(EN$7,Logistics!$M$6:$BM$6,Logistics!$M$8:$BM$8)))))),"")</f>
        <v/>
      </c>
      <c r="EO70" s="315" t="str">
        <f>IFERROR(IF(EO$7&gt;$D$3,"",IF(CG70="Missed","Missed",IF(CG70="OD","OD",IF(CG70="TBC","TBC",IF(CG70="Undefined","Undefined",_xlfn.XLOOKUP(EO$7,Logistics!$M$6:$BM$6,Logistics!$M$9:$BM$9)/_xlfn.XLOOKUP(EO$7,Logistics!$M$6:$BM$6,Logistics!$M$8:$BM$8)))))),"")</f>
        <v/>
      </c>
      <c r="EP70" s="315" t="str">
        <f>IFERROR(IF(EP$7&gt;$D$3,"",IF(CH70="Missed","Missed",IF(CH70="OD","OD",IF(CH70="TBC","TBC",IF(CH70="Undefined","Undefined",_xlfn.XLOOKUP(EP$7,Logistics!$M$6:$BM$6,Logistics!$M$9:$BM$9)/_xlfn.XLOOKUP(EP$7,Logistics!$M$6:$BM$6,Logistics!$M$8:$BM$8)))))),"")</f>
        <v/>
      </c>
      <c r="EQ70" s="315" t="str">
        <f>IFERROR(IF(EQ$7&gt;$D$3,"",IF(CI70="Missed","Missed",IF(CI70="OD","OD",IF(CI70="TBC","TBC",IF(CI70="Undefined","Undefined",_xlfn.XLOOKUP(EQ$7,Logistics!$M$6:$BM$6,Logistics!$M$9:$BM$9)/_xlfn.XLOOKUP(EQ$7,Logistics!$M$6:$BM$6,Logistics!$M$8:$BM$8)))))),"")</f>
        <v/>
      </c>
      <c r="ER70" s="315" t="str">
        <f>IFERROR(IF(ER$7&gt;$D$3,"",IF(CJ70="Missed","Missed",IF(CJ70="OD","OD",IF(CJ70="TBC","TBC",IF(CJ70="Undefined","Undefined",_xlfn.XLOOKUP(ER$7,Logistics!$M$6:$BM$6,Logistics!$M$9:$BM$9)/_xlfn.XLOOKUP(ER$7,Logistics!$M$6:$BM$6,Logistics!$M$8:$BM$8)))))),"")</f>
        <v/>
      </c>
      <c r="ES70" s="315" t="str">
        <f>IFERROR(IF(ES$7&gt;$D$3,"",IF(CK70="Missed","Missed",IF(CK70="OD","OD",IF(CK70="TBC","TBC",IF(CK70="Undefined","Undefined",_xlfn.XLOOKUP(ES$7,Logistics!$M$6:$BM$6,Logistics!$M$9:$BM$9)/_xlfn.XLOOKUP(ES$7,Logistics!$M$6:$BM$6,Logistics!$M$8:$BM$8)))))),"")</f>
        <v/>
      </c>
      <c r="ET70" s="315" t="str">
        <f>IFERROR(IF(ET$7&gt;$D$3,"",IF(CL70="Missed","Missed",IF(CL70="OD","OD",IF(CL70="TBC","TBC",IF(CL70="Undefined","Undefined",_xlfn.XLOOKUP(ET$7,Logistics!$M$6:$BM$6,Logistics!$M$9:$BM$9)/_xlfn.XLOOKUP(ET$7,Logistics!$M$6:$BM$6,Logistics!$M$8:$BM$8)))))),"")</f>
        <v/>
      </c>
      <c r="EU70" s="315" t="str">
        <f>IFERROR(IF(EU$7&gt;$D$3,"",IF(CM70="Missed","Missed",IF(CM70="OD","OD",IF(CM70="TBC","TBC",IF(CM70="Undefined","Undefined",_xlfn.XLOOKUP(EU$7,Logistics!$M$6:$BM$6,Logistics!$M$9:$BM$9)/_xlfn.XLOOKUP(EU$7,Logistics!$M$6:$BM$6,Logistics!$M$8:$BM$8)))))),"")</f>
        <v/>
      </c>
      <c r="EW70" s="465" t="str">
        <f>+$A70</f>
        <v>Logistics-KPI P1</v>
      </c>
      <c r="EX70" s="133" t="str">
        <f>+$C70</f>
        <v>KPI P1</v>
      </c>
      <c r="EY70" s="142" t="str">
        <f>+$D70</f>
        <v>Productivity</v>
      </c>
      <c r="EZ70" s="142" t="str">
        <f>+$E70</f>
        <v>Sales Value Despatched - Group</v>
      </c>
      <c r="FA70" s="143" t="str">
        <f>+$F70</f>
        <v>£'s</v>
      </c>
      <c r="FB70" s="143" t="s">
        <v>251</v>
      </c>
      <c r="FC70" s="198" t="str">
        <f>IF(FC$7&gt;$D$3,"",IF($FA69&lt;FC$7,"OD",_xlfn.XLOOKUP(FC$7,Logistics!$M$6:$BM$6,Logistics!$M$9:$BM$9)))</f>
        <v>Blank</v>
      </c>
      <c r="FD70" s="198" t="str">
        <f>IF(FD$7&gt;$D$3,"",IF($FA69&lt;FD$7,"OD",_xlfn.XLOOKUP(FD$7,Logistics!$M$6:$BM$6,Logistics!$M$9:$BM$9)))</f>
        <v>TBC</v>
      </c>
      <c r="FE70" s="198" t="str">
        <f>IF(FE$7&gt;$D$3,"",IF($FA69&lt;FE$7,"OD",_xlfn.XLOOKUP(FE$7,Logistics!$M$6:$BM$6,Logistics!$M$9:$BM$9)))</f>
        <v>TBC</v>
      </c>
      <c r="FF70" s="198" t="str">
        <f>IF(FF$7&gt;$D$3,"",IF($FA69&lt;FF$7,"OD",_xlfn.XLOOKUP(FF$7,Logistics!$M$6:$BM$6,Logistics!$M$9:$BM$9)))</f>
        <v>TBC</v>
      </c>
      <c r="FG70" s="198" t="str">
        <f>IF(FG$7&gt;$D$3,"",IF($FA69&lt;FG$7,"OD",_xlfn.XLOOKUP(FG$7,Logistics!$M$6:$BM$6,Logistics!$M$9:$BM$9)))</f>
        <v>TBC</v>
      </c>
      <c r="FH70" s="198" t="str">
        <f>IF(FH$7&gt;$D$3,"",IF($FA69&lt;FH$7,"OD",_xlfn.XLOOKUP(FH$7,Logistics!$M$6:$BM$6,Logistics!$M$9:$BM$9)))</f>
        <v>TBC</v>
      </c>
      <c r="FI70" s="198" t="str">
        <f>IF(FI$7&gt;$D$3,"",IF($FA69&lt;FI$7,"OD",_xlfn.XLOOKUP(FI$7,Logistics!$M$6:$BM$6,Logistics!$M$9:$BM$9)))</f>
        <v>TBC</v>
      </c>
      <c r="FJ70" s="198" t="str">
        <f>IF(FJ$7&gt;$D$3,"",IF($FA69&lt;FJ$7,"OD",_xlfn.XLOOKUP(FJ$7,Logistics!$M$6:$BM$6,Logistics!$M$9:$BM$9)))</f>
        <v>TBC</v>
      </c>
      <c r="FK70" s="198" t="str">
        <f>IF(FK$7&gt;$D$3,"",IF($FA69&lt;FK$7,"OD",_xlfn.XLOOKUP(FK$7,Logistics!$M$6:$BM$6,Logistics!$M$9:$BM$9)))</f>
        <v>TBC</v>
      </c>
      <c r="FL70" s="198" t="str">
        <f>IF(FL$7&gt;$D$3,"",IF($FA69&lt;FL$7,"OD",_xlfn.XLOOKUP(FL$7,Logistics!$M$6:$BM$6,Logistics!$M$9:$BM$9)))</f>
        <v>TBC</v>
      </c>
      <c r="FM70" s="198" t="str">
        <f>IF(FM$7&gt;$D$3,"",IF($FA69&lt;FM$7,"OD",_xlfn.XLOOKUP(FM$7,Logistics!$M$6:$BM$6,Logistics!$M$9:$BM$9)))</f>
        <v>TBC</v>
      </c>
      <c r="FN70" s="198" t="str">
        <f>IF(FN$7&gt;$D$3,"",IF($FA69&lt;FN$7,"OD",_xlfn.XLOOKUP(FN$7,Logistics!$M$6:$BM$6,Logistics!$M$9:$BM$9)))</f>
        <v>TBC</v>
      </c>
      <c r="FO70" s="198" t="str">
        <f>IF(FO$7&gt;$D$3,"",IF($FA69&lt;FO$7,"OD",_xlfn.XLOOKUP(FO$7,Logistics!$M$6:$BM$6,Logistics!$M$9:$BM$9)))</f>
        <v>TBC</v>
      </c>
      <c r="FP70" s="198">
        <f>IF(FP$7&gt;$D$3,"",IF($FA69&lt;FP$7,"OD",_xlfn.XLOOKUP(FP$7,Logistics!$M$6:$BM$6,Logistics!$M$9:$BM$9)))</f>
        <v>1050000</v>
      </c>
      <c r="FQ70" s="198">
        <f>IF(FQ$7&gt;$D$3,"",IF($FA69&lt;FQ$7,"OD",_xlfn.XLOOKUP(FQ$7,Logistics!$M$6:$BM$6,Logistics!$M$9:$BM$9)))</f>
        <v>755000</v>
      </c>
      <c r="FR70" s="198">
        <f>IF(FR$7&gt;$D$3,"",IF($FA69&lt;FR$7,"OD",_xlfn.XLOOKUP(FR$7,Logistics!$M$6:$BM$6,Logistics!$M$9:$BM$9)))</f>
        <v>692352</v>
      </c>
      <c r="FS70" s="198">
        <f>IF(FS$7&gt;$D$3,"",IF($FA69&lt;FS$7,"OD",_xlfn.XLOOKUP(FS$7,Logistics!$M$6:$BM$6,Logistics!$M$9:$BM$9)))</f>
        <v>513144</v>
      </c>
      <c r="FT70" s="198">
        <f>IF(FT$7&gt;$D$3,"",IF($FA69&lt;FT$7,"OD",_xlfn.XLOOKUP(FT$7,Logistics!$M$6:$BM$6,Logistics!$M$9:$BM$9)))</f>
        <v>913785</v>
      </c>
      <c r="FU70" s="198">
        <f>IF(FU$7&gt;$D$3,"",IF($FA69&lt;FU$7,"OD",_xlfn.XLOOKUP(FU$7,Logistics!$M$6:$BM$6,Logistics!$M$9:$BM$9)))</f>
        <v>613595</v>
      </c>
      <c r="FV70" s="198">
        <f>IF(FV$7&gt;$D$3,"",IF($FA69&lt;FV$7,"OD",_xlfn.XLOOKUP(FV$7,Logistics!$M$6:$BM$6,Logistics!$M$9:$BM$9)))</f>
        <v>845396</v>
      </c>
      <c r="FW70" s="198" t="str">
        <f>IF(FW$7&gt;$D$3,"",IF($FA69&lt;FW$7,"OD",_xlfn.XLOOKUP(FW$7,Logistics!$M$6:$BM$6,Logistics!$M$9:$BM$9)))</f>
        <v>OD</v>
      </c>
      <c r="FX70" s="198" t="str">
        <f>IF(FX$7&gt;$D$3,"",IF($FA69&lt;FX$7,"OD",_xlfn.XLOOKUP(FX$7,Logistics!$M$6:$BM$6,Logistics!$M$9:$BM$9)))</f>
        <v>OD</v>
      </c>
      <c r="FY70" s="198" t="str">
        <f>IF(FY$7&gt;$D$3,"",IF($FA69&lt;FY$7,"OD",_xlfn.XLOOKUP(FY$7,Logistics!$M$6:$BM$6,Logistics!$M$9:$BM$9)))</f>
        <v>OD</v>
      </c>
      <c r="FZ70" s="198" t="str">
        <f>IF(FZ$7&gt;$D$3,"",IF($FA69&lt;FZ$7,"OD",_xlfn.XLOOKUP(FZ$7,Logistics!$M$6:$BM$6,Logistics!$M$9:$BM$9)))</f>
        <v>OD</v>
      </c>
      <c r="GA70" s="198" t="str">
        <f>IF(GA$7&gt;$D$3,"",IF($FA69&lt;GA$7,"OD",_xlfn.XLOOKUP(GA$7,Logistics!$M$6:$BM$6,Logistics!$M$9:$BM$9)))</f>
        <v>OD</v>
      </c>
      <c r="GB70" s="198" t="str">
        <f>IF(GB$7&gt;$D$3,"",IF($FA69&lt;GB$7,"OD",_xlfn.XLOOKUP(GB$7,Logistics!$M$6:$BM$6,Logistics!$M$9:$BM$9)))</f>
        <v>OD</v>
      </c>
      <c r="GC70" s="198" t="str">
        <f>IF(GC$7&gt;$D$3,"",IF($FA69&lt;GC$7,"OD",_xlfn.XLOOKUP(GC$7,Logistics!$M$6:$BM$6,Logistics!$M$9:$BM$9)))</f>
        <v>OD</v>
      </c>
      <c r="GD70" s="198" t="str">
        <f>IF(GD$7&gt;$D$3,"",IF($FA69&lt;GD$7,"OD",_xlfn.XLOOKUP(GD$7,Logistics!$M$6:$BM$6,Logistics!$M$9:$BM$9)))</f>
        <v>OD</v>
      </c>
      <c r="GE70" s="198" t="str">
        <f>IF(GE$7&gt;$D$3,"",IF($FA69&lt;GE$7,"OD",_xlfn.XLOOKUP(GE$7,Logistics!$M$6:$BM$6,Logistics!$M$9:$BM$9)))</f>
        <v>OD</v>
      </c>
      <c r="GF70" s="198" t="str">
        <f>IF(GF$7&gt;$D$3,"",IF($FA69&lt;GF$7,"OD",_xlfn.XLOOKUP(GF$7,Logistics!$M$6:$BM$6,Logistics!$M$9:$BM$9)))</f>
        <v>OD</v>
      </c>
      <c r="GG70" s="198" t="str">
        <f>IF(GG$7&gt;$D$3,"",IF($FA69&lt;GG$7,"OD",_xlfn.XLOOKUP(GG$7,Logistics!$M$6:$BM$6,Logistics!$M$9:$BM$9)))</f>
        <v>OD</v>
      </c>
      <c r="GH70" s="198" t="str">
        <f>IF(GH$7&gt;$D$3,"",IF($FA69&lt;GH$7,"OD",_xlfn.XLOOKUP(GH$7,Logistics!$M$6:$BM$6,Logistics!$M$9:$BM$9)))</f>
        <v>OD</v>
      </c>
      <c r="GI70" s="198" t="str">
        <f>IF(GI$7&gt;$D$3,"",IF($FA69&lt;GI$7,"OD",_xlfn.XLOOKUP(GI$7,Logistics!$M$6:$BM$6,Logistics!$M$9:$BM$9)))</f>
        <v>OD</v>
      </c>
      <c r="GJ70" s="198">
        <f>IF(GJ$7&gt;$D$3,"",IF($FA69&lt;GJ$7,"OD",_xlfn.XLOOKUP(GJ$7,Logistics!$M$6:$BM$6,Logistics!$M$9:$BM$9)))</f>
        <v>0</v>
      </c>
      <c r="GK70" s="198">
        <f>IF(GK$7&gt;$D$3,"",IF($FA69&lt;GK$7,"OD",_xlfn.XLOOKUP(GK$7,Logistics!$M$6:$BM$6,Logistics!$M$9:$BM$9)))</f>
        <v>0</v>
      </c>
      <c r="GL70" s="198">
        <f>IF(GL$7&gt;$D$3,"",IF($FA69&lt;GL$7,"OD",_xlfn.XLOOKUP(GL$7,Logistics!$M$6:$BM$6,Logistics!$M$9:$BM$9)))</f>
        <v>0</v>
      </c>
      <c r="GM70" s="198">
        <f>IF(GM$7&gt;$D$3,"",IF($FA69&lt;GM$7,"OD",_xlfn.XLOOKUP(GM$7,Logistics!$M$6:$BM$6,Logistics!$M$9:$BM$9)))</f>
        <v>0</v>
      </c>
      <c r="GN70" s="198">
        <f>IF(GN$7&gt;$D$3,"",IF($FA69&lt;GN$7,"OD",_xlfn.XLOOKUP(GN$7,Logistics!$M$6:$BM$6,Logistics!$M$9:$BM$9)))</f>
        <v>0</v>
      </c>
      <c r="GO70" s="198">
        <f>IF(GO$7&gt;$D$3,"",IF($FA69&lt;GO$7,"OD",_xlfn.XLOOKUP(GO$7,Logistics!$M$6:$BM$6,Logistics!$M$9:$BM$9)))</f>
        <v>0</v>
      </c>
      <c r="GP70" s="198">
        <f>IF(GP$7&gt;$D$3,"",IF($FA69&lt;GP$7,"OD",_xlfn.XLOOKUP(GP$7,Logistics!$M$6:$BM$6,Logistics!$M$9:$BM$9)))</f>
        <v>0</v>
      </c>
      <c r="GQ70" s="198">
        <f>IF(GQ$7&gt;$D$3,"",IF($FA69&lt;GQ$7,"OD",_xlfn.XLOOKUP(GQ$7,Logistics!$M$6:$BM$6,Logistics!$M$9:$BM$9)))</f>
        <v>0</v>
      </c>
      <c r="GR70" s="198">
        <f>IF(GR$7&gt;$D$3,"",IF($FA69&lt;GR$7,"OD",_xlfn.XLOOKUP(GR$7,Logistics!$M$6:$BM$6,Logistics!$M$9:$BM$9)))</f>
        <v>0</v>
      </c>
      <c r="GS70" s="198" t="str">
        <f>IF(GS$7&gt;$D$3,"",IF($FA69&lt;GS$7,"OD",_xlfn.XLOOKUP(GS$7,Logistics!$M$6:$BM$6,Logistics!$M$9:$BM$9)))</f>
        <v/>
      </c>
      <c r="GT70" s="198" t="str">
        <f>IF(GT$7&gt;$D$3,"",IF($FA69&lt;GT$7,"OD",_xlfn.XLOOKUP(GT$7,Logistics!$M$6:$BM$6,Logistics!$M$9:$BM$9)))</f>
        <v/>
      </c>
      <c r="GU70" s="198" t="str">
        <f>IF(GU$7&gt;$D$3,"",IF($FA69&lt;GU$7,"OD",_xlfn.XLOOKUP(GU$7,Logistics!$M$6:$BM$6,Logistics!$M$9:$BM$9)))</f>
        <v/>
      </c>
      <c r="GV70" s="198" t="str">
        <f>IF(GV$7&gt;$D$3,"",IF($FA69&lt;GV$7,"OD",_xlfn.XLOOKUP(GV$7,Logistics!$M$6:$BM$6,Logistics!$M$9:$BM$9)))</f>
        <v/>
      </c>
      <c r="GW70" s="198" t="str">
        <f>IF(GW$7&gt;$D$3,"",IF($FA69&lt;GW$7,"OD",_xlfn.XLOOKUP(GW$7,Logistics!$M$6:$BM$6,Logistics!$M$9:$BM$9)))</f>
        <v/>
      </c>
      <c r="GX70" s="198" t="str">
        <f>IF(GX$7&gt;$D$3,"",IF($FA69&lt;GX$7,"OD",_xlfn.XLOOKUP(GX$7,Logistics!$M$6:$BM$6,Logistics!$M$9:$BM$9)))</f>
        <v/>
      </c>
      <c r="GY70" s="198" t="str">
        <f>IF(GY$7&gt;$D$3,"",IF($FA69&lt;GY$7,"OD",_xlfn.XLOOKUP(GY$7,Logistics!$M$6:$BM$6,Logistics!$M$9:$BM$9)))</f>
        <v/>
      </c>
      <c r="GZ70" s="198" t="str">
        <f>IF(GZ$7&gt;$D$3,"",IF($FA69&lt;GZ$7,"OD",_xlfn.XLOOKUP(GZ$7,Logistics!$M$6:$BM$6,Logistics!$M$9:$BM$9)))</f>
        <v/>
      </c>
      <c r="HA70" s="198" t="str">
        <f>IF(HA$7&gt;$D$3,"",IF($FA69&lt;HA$7,"OD",_xlfn.XLOOKUP(HA$7,Logistics!$M$6:$BM$6,Logistics!$M$9:$BM$9)))</f>
        <v/>
      </c>
      <c r="HB70" s="198" t="str">
        <f>IF(HB$7&gt;$D$3,"",IF($FA69&lt;HB$7,"OD",_xlfn.XLOOKUP(HB$7,Logistics!$M$6:$BM$6,Logistics!$M$9:$BM$9)))</f>
        <v/>
      </c>
      <c r="HC70" s="198" t="str">
        <f>IF(HC$7&gt;$D$3,"",IF($FA69&lt;HC$7,"OD",_xlfn.XLOOKUP(HC$7,Logistics!$M$6:$BM$6,Logistics!$M$9:$BM$9)))</f>
        <v/>
      </c>
      <c r="HE70" s="133" t="str">
        <f>+$C70</f>
        <v>KPI P1</v>
      </c>
      <c r="HF70" s="142" t="str">
        <f>+$D70</f>
        <v>Productivity</v>
      </c>
      <c r="HG70" s="142" t="str">
        <f>+$E70</f>
        <v>Sales Value Despatched - Group</v>
      </c>
      <c r="HH70" s="143" t="str">
        <f>+$F70</f>
        <v>£'s</v>
      </c>
      <c r="HI70" s="143" t="s">
        <v>44</v>
      </c>
      <c r="HJ70" s="198" t="str">
        <f>IF(HJ$7&gt;$D$3,"",IF($FA69&lt;HJ$7,"OD",_xlfn.XLOOKUP(HJ$7,Logistics!$M$6:$BM$6,Logistics!$M$8:$BM$8)))</f>
        <v>Blank</v>
      </c>
      <c r="HK70" s="198" t="str">
        <f>IF(HK$7&gt;$D$3,"",IF($FA69&lt;HK$7,"OD",_xlfn.XLOOKUP(HK$7,Logistics!$M$6:$BM$6,Logistics!$M$8:$BM$8)))</f>
        <v>TBC</v>
      </c>
      <c r="HL70" s="198" t="str">
        <f>IF(HL$7&gt;$D$3,"",IF($FA69&lt;HL$7,"OD",_xlfn.XLOOKUP(HL$7,Logistics!$M$6:$BM$6,Logistics!$M$8:$BM$8)))</f>
        <v>TBC</v>
      </c>
      <c r="HM70" s="198" t="str">
        <f>IF(HM$7&gt;$D$3,"",IF($FA69&lt;HM$7,"OD",_xlfn.XLOOKUP(HM$7,Logistics!$M$6:$BM$6,Logistics!$M$8:$BM$8)))</f>
        <v>TBC</v>
      </c>
      <c r="HN70" s="198" t="str">
        <f>IF(HN$7&gt;$D$3,"",IF($FA69&lt;HN$7,"OD",_xlfn.XLOOKUP(HN$7,Logistics!$M$6:$BM$6,Logistics!$M$8:$BM$8)))</f>
        <v>TBC</v>
      </c>
      <c r="HO70" s="198" t="str">
        <f>IF(HO$7&gt;$D$3,"",IF($FA69&lt;HO$7,"OD",_xlfn.XLOOKUP(HO$7,Logistics!$M$6:$BM$6,Logistics!$M$8:$BM$8)))</f>
        <v>TBC</v>
      </c>
      <c r="HP70" s="198" t="str">
        <f>IF(HP$7&gt;$D$3,"",IF($FA69&lt;HP$7,"OD",_xlfn.XLOOKUP(HP$7,Logistics!$M$6:$BM$6,Logistics!$M$8:$BM$8)))</f>
        <v>TBC</v>
      </c>
      <c r="HQ70" s="198" t="str">
        <f>IF(HQ$7&gt;$D$3,"",IF($FA69&lt;HQ$7,"OD",_xlfn.XLOOKUP(HQ$7,Logistics!$M$6:$BM$6,Logistics!$M$8:$BM$8)))</f>
        <v>TBC</v>
      </c>
      <c r="HR70" s="198" t="str">
        <f>IF(HR$7&gt;$D$3,"",IF($FA69&lt;HR$7,"OD",_xlfn.XLOOKUP(HR$7,Logistics!$M$6:$BM$6,Logistics!$M$8:$BM$8)))</f>
        <v>TBC</v>
      </c>
      <c r="HS70" s="198" t="str">
        <f>IF(HS$7&gt;$D$3,"",IF($FA69&lt;HS$7,"OD",_xlfn.XLOOKUP(HS$7,Logistics!$M$6:$BM$6,Logistics!$M$8:$BM$8)))</f>
        <v>TBC</v>
      </c>
      <c r="HT70" s="198" t="str">
        <f>IF(HT$7&gt;$D$3,"",IF($FA69&lt;HT$7,"OD",_xlfn.XLOOKUP(HT$7,Logistics!$M$6:$BM$6,Logistics!$M$8:$BM$8)))</f>
        <v>TBC</v>
      </c>
      <c r="HU70" s="198" t="str">
        <f>IF(HU$7&gt;$D$3,"",IF($FA69&lt;HU$7,"OD",_xlfn.XLOOKUP(HU$7,Logistics!$M$6:$BM$6,Logistics!$M$8:$BM$8)))</f>
        <v>TBC</v>
      </c>
      <c r="HV70" s="198" t="str">
        <f>IF(HV$7&gt;$D$3,"",IF($FA69&lt;HV$7,"OD",_xlfn.XLOOKUP(HV$7,Logistics!$M$6:$BM$6,Logistics!$M$8:$BM$8)))</f>
        <v>TBC</v>
      </c>
      <c r="HW70" s="198">
        <f>IF(HW$7&gt;$D$3,"",IF($FA69&lt;HW$7,"OD",_xlfn.XLOOKUP(HW$7,Logistics!$M$6:$BM$6,Logistics!$M$8:$BM$8)))</f>
        <v>880800</v>
      </c>
      <c r="HX70" s="198">
        <f>IF(HX$7&gt;$D$3,"",IF($FA69&lt;HX$7,"OD",_xlfn.XLOOKUP(HX$7,Logistics!$M$6:$BM$6,Logistics!$M$8:$BM$8)))</f>
        <v>829400</v>
      </c>
      <c r="HY70" s="198">
        <f>IF(HY$7&gt;$D$3,"",IF($FA69&lt;HY$7,"OD",_xlfn.XLOOKUP(HY$7,Logistics!$M$6:$BM$6,Logistics!$M$8:$BM$8)))</f>
        <v>663460</v>
      </c>
      <c r="HZ70" s="198">
        <f>IF(HZ$7&gt;$D$3,"",IF($FA69&lt;HZ$7,"OD",_xlfn.XLOOKUP(HZ$7,Logistics!$M$6:$BM$6,Logistics!$M$8:$BM$8)))</f>
        <v>663460</v>
      </c>
      <c r="IA70" s="198">
        <f>IF(IA$7&gt;$D$3,"",IF($FA69&lt;IA$7,"OD",_xlfn.XLOOKUP(IA$7,Logistics!$M$6:$BM$6,Logistics!$M$8:$BM$8)))</f>
        <v>878565</v>
      </c>
      <c r="IB70" s="198">
        <f>IF(IB$7&gt;$D$3,"",IF($FA69&lt;IB$7,"OD",_xlfn.XLOOKUP(IB$7,Logistics!$M$6:$BM$6,Logistics!$M$8:$BM$8)))</f>
        <v>761940</v>
      </c>
      <c r="IC70" s="198">
        <f>IF(IC$7&gt;$D$3,"",IF($FA69&lt;IC$7,"OD",_xlfn.XLOOKUP(IC$7,Logistics!$M$6:$BM$6,Logistics!$M$8:$BM$8)))</f>
        <v>952425</v>
      </c>
      <c r="ID70" s="198" t="str">
        <f>IF(ID$7&gt;$D$3,"",IF($FA69&lt;ID$7,"OD",_xlfn.XLOOKUP(ID$7,Logistics!$M$6:$BM$6,Logistics!$M$8:$BM$8)))</f>
        <v>OD</v>
      </c>
      <c r="IE70" s="198" t="str">
        <f>IF(IE$7&gt;$D$3,"",IF($FA69&lt;IE$7,"OD",_xlfn.XLOOKUP(IE$7,Logistics!$M$6:$BM$6,Logistics!$M$8:$BM$8)))</f>
        <v>OD</v>
      </c>
      <c r="IF70" s="198" t="str">
        <f>IF(IF$7&gt;$D$3,"",IF($FA69&lt;IF$7,"OD",_xlfn.XLOOKUP(IF$7,Logistics!$M$6:$BM$6,Logistics!$M$8:$BM$8)))</f>
        <v>OD</v>
      </c>
      <c r="IG70" s="198" t="str">
        <f>IF(IG$7&gt;$D$3,"",IF($FA69&lt;IG$7,"OD",_xlfn.XLOOKUP(IG$7,Logistics!$M$6:$BM$6,Logistics!$M$8:$BM$8)))</f>
        <v>OD</v>
      </c>
      <c r="IH70" s="198" t="str">
        <f>IF(IH$7&gt;$D$3,"",IF($FA69&lt;IH$7,"OD",_xlfn.XLOOKUP(IH$7,Logistics!$M$6:$BM$6,Logistics!$M$8:$BM$8)))</f>
        <v>OD</v>
      </c>
      <c r="II70" s="198" t="str">
        <f>IF(II$7&gt;$D$3,"",IF($FA69&lt;II$7,"OD",_xlfn.XLOOKUP(II$7,Logistics!$M$6:$BM$6,Logistics!$M$8:$BM$8)))</f>
        <v>OD</v>
      </c>
      <c r="IJ70" s="198" t="str">
        <f>IF(IJ$7&gt;$D$3,"",IF($FA69&lt;IJ$7,"OD",_xlfn.XLOOKUP(IJ$7,Logistics!$M$6:$BM$6,Logistics!$M$8:$BM$8)))</f>
        <v>OD</v>
      </c>
      <c r="IK70" s="198">
        <f>IF(IK$7&gt;$D$3,"",IF($FA69&lt;IK$7,"OD",_xlfn.XLOOKUP(IK$7,Logistics!$M$6:$BM$6,Logistics!$M$8:$BM$8)))</f>
        <v>0</v>
      </c>
      <c r="IL70" s="198">
        <f>IF(IL$7&gt;$D$3,"",IF($FA69&lt;IL$7,"OD",_xlfn.XLOOKUP(IL$7,Logistics!$M$6:$BM$6,Logistics!$M$8:$BM$8)))</f>
        <v>0</v>
      </c>
      <c r="IM70" s="198">
        <f>IF(IM$7&gt;$D$3,"",IF($FA69&lt;IM$7,"OD",_xlfn.XLOOKUP(IM$7,Logistics!$M$6:$BM$6,Logistics!$M$8:$BM$8)))</f>
        <v>0</v>
      </c>
      <c r="IN70" s="198">
        <f>IF(IN$7&gt;$D$3,"",IF($FA69&lt;IN$7,"OD",_xlfn.XLOOKUP(IN$7,Logistics!$M$6:$BM$6,Logistics!$M$8:$BM$8)))</f>
        <v>0</v>
      </c>
      <c r="IO70" s="198">
        <f>IF(IO$7&gt;$D$3,"",IF($FA69&lt;IO$7,"OD",_xlfn.XLOOKUP(IO$7,Logistics!$M$6:$BM$6,Logistics!$M$8:$BM$8)))</f>
        <v>0</v>
      </c>
      <c r="IP70" s="198">
        <f>IF(IP$7&gt;$D$3,"",IF($FA69&lt;IP$7,"OD",_xlfn.XLOOKUP(IP$7,Logistics!$M$6:$BM$6,Logistics!$M$8:$BM$8)))</f>
        <v>0</v>
      </c>
      <c r="IQ70" s="198">
        <f>IF(IQ$7&gt;$D$3,"",IF($FA69&lt;IQ$7,"OD",_xlfn.XLOOKUP(IQ$7,Logistics!$M$6:$BM$6,Logistics!$M$8:$BM$8)))</f>
        <v>0</v>
      </c>
      <c r="IR70" s="198">
        <f>IF(IR$7&gt;$D$3,"",IF($FA69&lt;IR$7,"OD",_xlfn.XLOOKUP(IR$7,Logistics!$M$6:$BM$6,Logistics!$M$8:$BM$8)))</f>
        <v>0</v>
      </c>
      <c r="IS70" s="198">
        <f>IF(IS$7&gt;$D$3,"",IF($FA69&lt;IS$7,"OD",_xlfn.XLOOKUP(IS$7,Logistics!$M$6:$BM$6,Logistics!$M$8:$BM$8)))</f>
        <v>0</v>
      </c>
      <c r="IT70" s="198">
        <f>IF(IT$7&gt;$D$3,"",IF($FA69&lt;IT$7,"OD",_xlfn.XLOOKUP(IT$7,Logistics!$M$6:$BM$6,Logistics!$M$8:$BM$8)))</f>
        <v>0</v>
      </c>
      <c r="IU70" s="198">
        <f>IF(IU$7&gt;$D$3,"",IF($FA69&lt;IU$7,"OD",_xlfn.XLOOKUP(IU$7,Logistics!$M$6:$BM$6,Logistics!$M$8:$BM$8)))</f>
        <v>0</v>
      </c>
      <c r="IV70" s="198">
        <f>IF(IV$7&gt;$D$3,"",IF($FA69&lt;IV$7,"OD",_xlfn.XLOOKUP(IV$7,Logistics!$M$6:$BM$6,Logistics!$M$8:$BM$8)))</f>
        <v>0</v>
      </c>
      <c r="IW70" s="198">
        <f>IF(IW$7&gt;$D$3,"",IF($FA69&lt;IW$7,"OD",_xlfn.XLOOKUP(IW$7,Logistics!$M$6:$BM$6,Logistics!$M$8:$BM$8)))</f>
        <v>0</v>
      </c>
      <c r="IX70" s="198">
        <f>IF(IX$7&gt;$D$3,"",IF($FA69&lt;IX$7,"OD",_xlfn.XLOOKUP(IX$7,Logistics!$M$6:$BM$6,Logistics!$M$8:$BM$8)))</f>
        <v>0</v>
      </c>
      <c r="IY70" s="198">
        <f>IF(IY$7&gt;$D$3,"",IF($FA69&lt;IY$7,"OD",_xlfn.XLOOKUP(IY$7,Logistics!$M$6:$BM$6,Logistics!$M$8:$BM$8)))</f>
        <v>0</v>
      </c>
      <c r="IZ70" s="198" t="str">
        <f>IF(IZ$7&gt;$D$3,"",IF($FA69&lt;IZ$7,"OD",_xlfn.XLOOKUP(IZ$7,Logistics!$M$6:$BM$6,Logistics!$M$8:$BM$8)))</f>
        <v/>
      </c>
      <c r="JA70" s="198" t="str">
        <f>IF(JA$7&gt;$D$3,"",IF($FA69&lt;JA$7,"OD",_xlfn.XLOOKUP(JA$7,Logistics!$M$6:$BM$6,Logistics!$M$8:$BM$8)))</f>
        <v/>
      </c>
      <c r="JB70" s="198" t="str">
        <f>IF(JB$7&gt;$D$3,"",IF($FA69&lt;JB$7,"OD",_xlfn.XLOOKUP(JB$7,Logistics!$M$6:$BM$6,Logistics!$M$8:$BM$8)))</f>
        <v/>
      </c>
      <c r="JC70" s="198" t="str">
        <f>IF(JC$7&gt;$D$3,"",IF($FA69&lt;JC$7,"OD",_xlfn.XLOOKUP(JC$7,Logistics!$M$6:$BM$6,Logistics!$M$8:$BM$8)))</f>
        <v/>
      </c>
      <c r="JD70" s="198" t="str">
        <f>IF(JD$7&gt;$D$3,"",IF($FA69&lt;JD$7,"OD",_xlfn.XLOOKUP(JD$7,Logistics!$M$6:$BM$6,Logistics!$M$8:$BM$8)))</f>
        <v/>
      </c>
      <c r="JE70" s="198" t="str">
        <f>IF(JE$7&gt;$D$3,"",IF($FA69&lt;JE$7,"OD",_xlfn.XLOOKUP(JE$7,Logistics!$M$6:$BM$6,Logistics!$M$8:$BM$8)))</f>
        <v/>
      </c>
      <c r="JF70" s="198" t="str">
        <f>IF(JF$7&gt;$D$3,"",IF($FA69&lt;JF$7,"OD",_xlfn.XLOOKUP(JF$7,Logistics!$M$6:$BM$6,Logistics!$M$8:$BM$8)))</f>
        <v/>
      </c>
      <c r="JG70" s="198" t="str">
        <f>IF(JG$7&gt;$D$3,"",IF($FA69&lt;JG$7,"OD",_xlfn.XLOOKUP(JG$7,Logistics!$M$6:$BM$6,Logistics!$M$8:$BM$8)))</f>
        <v/>
      </c>
      <c r="JH70" s="198" t="str">
        <f>IF(JH$7&gt;$D$3,"",IF($FA69&lt;JH$7,"OD",_xlfn.XLOOKUP(JH$7,Logistics!$M$6:$BM$6,Logistics!$M$8:$BM$8)))</f>
        <v/>
      </c>
      <c r="JI70" s="198" t="str">
        <f>IF(JI$7&gt;$D$3,"",IF($FA69&lt;JI$7,"OD",_xlfn.XLOOKUP(JI$7,Logistics!$M$6:$BM$6,Logistics!$M$8:$BM$8)))</f>
        <v/>
      </c>
      <c r="JJ70" s="198" t="str">
        <f>IF(JJ$7&gt;$D$3,"",IF($FA69&lt;JJ$7,"OD",_xlfn.XLOOKUP(JJ$7,Logistics!$M$6:$BM$6,Logistics!$M$8:$BM$8)))</f>
        <v/>
      </c>
      <c r="JM70" s="133" t="str">
        <f>+$C70</f>
        <v>KPI P1</v>
      </c>
      <c r="JN70" s="142" t="str">
        <f>+$D70</f>
        <v>Productivity</v>
      </c>
      <c r="JO70" s="142" t="str">
        <f>+$E70</f>
        <v>Sales Value Despatched - Group</v>
      </c>
      <c r="JP70" s="143" t="str">
        <f>+$F70</f>
        <v>£'s</v>
      </c>
      <c r="JQ70" s="143" t="s">
        <v>284</v>
      </c>
      <c r="JR70" s="246" t="str">
        <f>IFERROR(AVERAGE(FC70:$FC70),"")</f>
        <v/>
      </c>
      <c r="JS70" s="246" t="str">
        <f>IFERROR(AVERAGE($FC70:FD70),"")</f>
        <v/>
      </c>
      <c r="JT70" s="246" t="str">
        <f>IFERROR(AVERAGE($FC70:FE70),"")</f>
        <v/>
      </c>
      <c r="JU70" s="246" t="str">
        <f>IFERROR(AVERAGE($FC70:FF70),"")</f>
        <v/>
      </c>
      <c r="JV70" s="246" t="str">
        <f>IFERROR(AVERAGE($FC70:FG70),"")</f>
        <v/>
      </c>
      <c r="JW70" s="246" t="str">
        <f>IFERROR(AVERAGE($FC70:FH70),"")</f>
        <v/>
      </c>
      <c r="JX70" s="246" t="str">
        <f>IFERROR(AVERAGE($FC70:FI70),"")</f>
        <v/>
      </c>
      <c r="JY70" s="246" t="str">
        <f>IFERROR(AVERAGE($FC70:FJ70),"")</f>
        <v/>
      </c>
      <c r="JZ70" s="246" t="str">
        <f>IFERROR(AVERAGE($FC70:FK70),"")</f>
        <v/>
      </c>
      <c r="KA70" s="246" t="str">
        <f>IFERROR(AVERAGE($FC70:FL70),"")</f>
        <v/>
      </c>
      <c r="KB70" s="246" t="str">
        <f>IFERROR(AVERAGE($FC70:FM70),"")</f>
        <v/>
      </c>
      <c r="KC70" s="246" t="str">
        <f>IFERROR(AVERAGE($FC70:FN70),"")</f>
        <v/>
      </c>
      <c r="KD70" s="246" t="str">
        <f>IFERROR(AVERAGE($FC70:FO70),"")</f>
        <v/>
      </c>
      <c r="KE70" s="246">
        <f>IFERROR(AVERAGE($FC70:FP70),"")</f>
        <v>1050000</v>
      </c>
      <c r="KF70" s="246">
        <f>IFERROR(AVERAGE($FC70:FQ70),"")</f>
        <v>902500</v>
      </c>
      <c r="KG70" s="246">
        <f>IFERROR(AVERAGE($FC70:FR70),"")</f>
        <v>832450.66666666663</v>
      </c>
      <c r="KH70" s="246">
        <f>IFERROR(AVERAGE($FC70:FS70),"")</f>
        <v>752624</v>
      </c>
      <c r="KI70" s="246">
        <f>IFERROR(AVERAGE($FC70:FT70),"")</f>
        <v>784856.2</v>
      </c>
      <c r="KJ70" s="246">
        <f>IFERROR(AVERAGE($FC70:FU70),"")</f>
        <v>756312.66666666663</v>
      </c>
      <c r="KK70" s="246">
        <f>IFERROR(AVERAGE($FC70:FV70),"")</f>
        <v>769038.85714285716</v>
      </c>
      <c r="KL70" s="246">
        <f>IFERROR(AVERAGE($FC70:FW70),"")</f>
        <v>769038.85714285716</v>
      </c>
      <c r="KM70" s="246">
        <f>IFERROR(AVERAGE($FC70:FX70),"")</f>
        <v>769038.85714285716</v>
      </c>
      <c r="KN70" s="246">
        <f>IFERROR(AVERAGE($FC70:FY70),"")</f>
        <v>769038.85714285716</v>
      </c>
      <c r="KO70" s="246">
        <f>IFERROR(AVERAGE($FC70:FZ70),"")</f>
        <v>769038.85714285716</v>
      </c>
      <c r="KP70" s="246">
        <f>IFERROR(AVERAGE($FC70:GA70),"")</f>
        <v>769038.85714285716</v>
      </c>
      <c r="KQ70" s="246">
        <f>IFERROR(AVERAGE($FC70:GB70),"")</f>
        <v>769038.85714285716</v>
      </c>
      <c r="KR70" s="246">
        <f>IFERROR(AVERAGE($FC70:GC70),"")</f>
        <v>769038.85714285716</v>
      </c>
      <c r="KS70" s="246">
        <f>IFERROR(AVERAGE($FC70:GD70),"")</f>
        <v>769038.85714285716</v>
      </c>
      <c r="KT70" s="246">
        <f>IFERROR(AVERAGE($FC70:GE70),"")</f>
        <v>769038.85714285716</v>
      </c>
      <c r="KU70" s="246">
        <f>IFERROR(AVERAGE($FC70:GF70),"")</f>
        <v>769038.85714285716</v>
      </c>
      <c r="KV70" s="246">
        <f>IFERROR(AVERAGE($FC70:GG70),"")</f>
        <v>769038.85714285716</v>
      </c>
      <c r="KW70" s="246">
        <f>IFERROR(AVERAGE($FC70:GH70),"")</f>
        <v>769038.85714285716</v>
      </c>
      <c r="KX70" s="246">
        <f>IFERROR(AVERAGE($FC70:GI70),"")</f>
        <v>769038.85714285716</v>
      </c>
      <c r="KY70" s="246">
        <f>IFERROR(AVERAGE($FC70:GJ70),"")</f>
        <v>672909</v>
      </c>
      <c r="KZ70" s="246">
        <f>IFERROR(AVERAGE($FC70:GK70),"")</f>
        <v>598141.33333333337</v>
      </c>
      <c r="LA70" s="246">
        <f>IFERROR(AVERAGE($FC70:GL70),"")</f>
        <v>538327.19999999995</v>
      </c>
      <c r="LB70" s="246">
        <f>IFERROR(AVERAGE($FC70:GM70),"")</f>
        <v>489388.36363636365</v>
      </c>
      <c r="LC70" s="246">
        <f>IFERROR(AVERAGE($FC70:GN70),"")</f>
        <v>448606</v>
      </c>
      <c r="LD70" s="246">
        <f>IFERROR(AVERAGE($FC70:GO70),"")</f>
        <v>414097.84615384613</v>
      </c>
      <c r="LE70" s="246">
        <f>IFERROR(AVERAGE($FC70:GP70),"")</f>
        <v>384519.42857142858</v>
      </c>
      <c r="LF70" s="246">
        <f>IFERROR(AVERAGE($FC70:GQ70),"")</f>
        <v>358884.8</v>
      </c>
      <c r="LG70" s="246">
        <f>IFERROR(AVERAGE($FC70:GR70),"")</f>
        <v>336454.5</v>
      </c>
      <c r="LH70" s="246">
        <f>IFERROR(AVERAGE($FC70:GS70),"")</f>
        <v>336454.5</v>
      </c>
      <c r="LI70" s="246">
        <f>IFERROR(AVERAGE($FC70:GT70),"")</f>
        <v>336454.5</v>
      </c>
      <c r="LJ70" s="246">
        <f>IFERROR(AVERAGE($FC70:GU70),"")</f>
        <v>336454.5</v>
      </c>
      <c r="LK70" s="246">
        <f>IFERROR(AVERAGE($FC70:GV70),"")</f>
        <v>336454.5</v>
      </c>
      <c r="LL70" s="246">
        <f>IFERROR(AVERAGE($FC70:GW70),"")</f>
        <v>336454.5</v>
      </c>
      <c r="LM70" s="246">
        <f>IFERROR(AVERAGE($FC70:GX70),"")</f>
        <v>336454.5</v>
      </c>
      <c r="LN70" s="246">
        <f>IFERROR(AVERAGE($FC70:GY70),"")</f>
        <v>336454.5</v>
      </c>
      <c r="LO70" s="246">
        <f>IFERROR(AVERAGE($FC70:GZ70),"")</f>
        <v>336454.5</v>
      </c>
      <c r="LP70" s="246">
        <f>IFERROR(AVERAGE($FC70:HA70),"")</f>
        <v>336454.5</v>
      </c>
      <c r="LQ70" s="246">
        <f>IFERROR(AVERAGE($FC70:HB70),"")</f>
        <v>336454.5</v>
      </c>
      <c r="LR70" s="246">
        <f>IFERROR(AVERAGE($FC70:HC70),"")</f>
        <v>336454.5</v>
      </c>
      <c r="LT70" s="133" t="str">
        <f>+$C70</f>
        <v>KPI P1</v>
      </c>
      <c r="LU70" s="142" t="str">
        <f>+$D70</f>
        <v>Productivity</v>
      </c>
      <c r="LV70" s="142" t="str">
        <f>+$E70</f>
        <v>Sales Value Despatched - Group</v>
      </c>
      <c r="LW70" s="143" t="str">
        <f>+$F70</f>
        <v>£'s</v>
      </c>
      <c r="LX70" s="143" t="s">
        <v>285</v>
      </c>
      <c r="LY70" s="198" t="str">
        <f>IFERROR(AVERAGE($HJ70:HJ70),"")</f>
        <v/>
      </c>
      <c r="LZ70" s="198" t="str">
        <f>IFERROR(IF(LAD$7&gt;$D$3,"",AVERAGE($HJ70:HK70)),"")</f>
        <v/>
      </c>
      <c r="MA70" s="198" t="str">
        <f>IFERROR(IF(MA$7&gt;$D$3,"",AVERAGE($HJ70:HL70)),"")</f>
        <v/>
      </c>
      <c r="MB70" s="198" t="str">
        <f>IFERROR(IF(MB$7&gt;$D$3,"",AVERAGE($HJ70:HM70)),"")</f>
        <v/>
      </c>
      <c r="MC70" s="198" t="str">
        <f>IFERROR(IF(MC$7&gt;$D$3,"",AVERAGE($HJ70:HN70)),"")</f>
        <v/>
      </c>
      <c r="MD70" s="198" t="str">
        <f>IFERROR(IF(MD$7&gt;$D$3,"",AVERAGE($HJ70:HO70)),"")</f>
        <v/>
      </c>
      <c r="ME70" s="198" t="str">
        <f>IFERROR(IF(ME$7&gt;$D$3,"",AVERAGE($HJ70:HP70)),"")</f>
        <v/>
      </c>
      <c r="MF70" s="198" t="str">
        <f>IFERROR(IF(MF$7&gt;$D$3,"",AVERAGE($HJ70:HQ70)),"")</f>
        <v/>
      </c>
      <c r="MG70" s="198" t="str">
        <f>IFERROR(IF(MG$7&gt;$D$3,"",AVERAGE($HJ70:HR70)),"")</f>
        <v/>
      </c>
      <c r="MH70" s="198" t="str">
        <f>IFERROR(IF(MH$7&gt;$D$3,"",AVERAGE($HJ70:HS70)),"")</f>
        <v/>
      </c>
      <c r="MI70" s="198" t="str">
        <f>IFERROR(IF(MI$7&gt;$D$3,"",AVERAGE($HJ70:HT70)),"")</f>
        <v/>
      </c>
      <c r="MJ70" s="198" t="str">
        <f>IFERROR(IF(MJ$7&gt;$D$3,"",AVERAGE($HJ70:HU70)),"")</f>
        <v/>
      </c>
      <c r="MK70" s="198" t="str">
        <f>IFERROR(IF(MK$7&gt;$D$3,"",AVERAGE($HJ70:HV70)),"")</f>
        <v/>
      </c>
      <c r="ML70" s="198">
        <f>IFERROR(IF(ML$7&gt;$D$3,"",AVERAGE($HJ70:HW70)),"")</f>
        <v>880800</v>
      </c>
      <c r="MM70" s="198">
        <f>IFERROR(IF(MM$7&gt;$D$3,"",AVERAGE($HJ70:HX70)),"")</f>
        <v>855100</v>
      </c>
      <c r="MN70" s="198">
        <f>IFERROR(IF(MN$7&gt;$D$3,"",AVERAGE($HJ70:HY70)),"")</f>
        <v>791220</v>
      </c>
      <c r="MO70" s="198">
        <f>IFERROR(IF(MO$7&gt;$D$3,"",AVERAGE($HJ70:HZ70)),"")</f>
        <v>759280</v>
      </c>
      <c r="MP70" s="198">
        <f>IFERROR(IF(MP$7&gt;$D$3,"",AVERAGE($HJ70:IA70)),"")</f>
        <v>783137</v>
      </c>
      <c r="MQ70" s="198">
        <f>IFERROR(IF(MQ$7&gt;$D$3,"",AVERAGE($HJ70:IB70)),"")</f>
        <v>779604.16666666663</v>
      </c>
      <c r="MR70" s="198">
        <f>IFERROR(IF(MR$7&gt;$D$3,"",AVERAGE($HJ70:IC70)),"")</f>
        <v>804292.85714285716</v>
      </c>
      <c r="MS70" s="198">
        <f>IFERROR(IF(MS$7&gt;$D$3,"",AVERAGE($HJ70:ID70)),"")</f>
        <v>804292.85714285716</v>
      </c>
      <c r="MT70" s="198">
        <f>IFERROR(IF(MT$7&gt;$D$3,"",AVERAGE($HJ70:IE70)),"")</f>
        <v>804292.85714285716</v>
      </c>
      <c r="MU70" s="198">
        <f>IFERROR(IF(MU$7&gt;$D$3,"",AVERAGE($HJ70:IF70)),"")</f>
        <v>804292.85714285716</v>
      </c>
      <c r="MV70" s="198">
        <f>IFERROR(IF(MV$7&gt;$D$3,"",AVERAGE($HJ70:IG70)),"")</f>
        <v>804292.85714285716</v>
      </c>
      <c r="MW70" s="198">
        <f>IFERROR(IF(MW$7&gt;$D$3,"",AVERAGE($HJ70:IH70)),"")</f>
        <v>804292.85714285716</v>
      </c>
      <c r="MX70" s="198">
        <f>IFERROR(IF(MX$7&gt;$D$3,"",AVERAGE($HJ70:II70)),"")</f>
        <v>804292.85714285716</v>
      </c>
      <c r="MY70" s="198">
        <f>IFERROR(IF(MY$7&gt;$D$3,"",AVERAGE($HJ70:IJ70)),"")</f>
        <v>804292.85714285716</v>
      </c>
      <c r="MZ70" s="198">
        <f>IFERROR(IF(MZ$7&gt;$D$3,"",AVERAGE($HJ70:IK70)),"")</f>
        <v>703756.25</v>
      </c>
      <c r="NA70" s="198">
        <f>IFERROR(IF(NA$7&gt;$D$3,"",AVERAGE($HJ70:IL70)),"")</f>
        <v>625561.11111111112</v>
      </c>
      <c r="NB70" s="198">
        <f>IFERROR(IF(NB$7&gt;$D$3,"",AVERAGE($HJ70:IM70)),"")</f>
        <v>563005</v>
      </c>
      <c r="NC70" s="198">
        <f>IFERROR(IF(NC$7&gt;$D$3,"",AVERAGE($HJ70:IN70)),"")</f>
        <v>511822.72727272729</v>
      </c>
      <c r="ND70" s="198">
        <f>IFERROR(IF(ND$7&gt;$D$3,"",AVERAGE($HJ70:IO70)),"")</f>
        <v>469170.83333333331</v>
      </c>
      <c r="NE70" s="198">
        <f>IFERROR(IF(NE$7&gt;$D$3,"",AVERAGE($HJ70:IP70)),"")</f>
        <v>433080.76923076925</v>
      </c>
      <c r="NF70" s="198">
        <f>IFERROR(IF(NF$7&gt;$D$3,"",AVERAGE($HJ70:IQ70)),"")</f>
        <v>402146.42857142858</v>
      </c>
      <c r="NG70" s="198">
        <f>IFERROR(IF(NG$7&gt;$D$3,"",AVERAGE($HJ70:IR70)),"")</f>
        <v>375336.66666666669</v>
      </c>
      <c r="NH70" s="198">
        <f>IFERROR(IF(NH$7&gt;$D$3,"",AVERAGE($HJ70:IS70)),"")</f>
        <v>351878.125</v>
      </c>
      <c r="NI70" s="198">
        <f>IFERROR(IF(NI$7&gt;$D$3,"",AVERAGE($HJ70:IT70)),"")</f>
        <v>331179.4117647059</v>
      </c>
      <c r="NJ70" s="198">
        <f>IFERROR(IF(NJ$7&gt;$D$3,"",AVERAGE($HJ70:IU70)),"")</f>
        <v>312780.55555555556</v>
      </c>
      <c r="NK70" s="198">
        <f>IFERROR(IF(NK$7&gt;$D$3,"",AVERAGE($HJ70:IV70)),"")</f>
        <v>296318.42105263157</v>
      </c>
      <c r="NL70" s="198">
        <f>IFERROR(IF(NL$7&gt;$D$3,"",AVERAGE($HJ70:IW70)),"")</f>
        <v>281502.5</v>
      </c>
      <c r="NM70" s="198">
        <f>IFERROR(IF(NM$7&gt;$D$3,"",AVERAGE($HJ70:IX70)),"")</f>
        <v>268097.61904761905</v>
      </c>
      <c r="NN70" s="198">
        <f>IFERROR(IF(NN$7&gt;$D$3,"",AVERAGE($HJ70:IY70)),"")</f>
        <v>255911.36363636365</v>
      </c>
      <c r="NO70" s="198" t="str">
        <f>IFERROR(IF(NO$7&gt;$D$3,"",AVERAGE($HJ70:IZ70)),"")</f>
        <v/>
      </c>
      <c r="NP70" s="198" t="str">
        <f>IFERROR(IF(NP$7&gt;$D$3,"",AVERAGE($HJ70:JA70)),"")</f>
        <v/>
      </c>
      <c r="NQ70" s="198" t="str">
        <f>IFERROR(IF(NQ$7&gt;$D$3,"",AVERAGE($HJ70:JB70)),"")</f>
        <v/>
      </c>
      <c r="NR70" s="198" t="str">
        <f>IFERROR(IF(NR$7&gt;$D$3,"",AVERAGE($HJ70:JC70)),"")</f>
        <v/>
      </c>
      <c r="NS70" s="198" t="str">
        <f>IFERROR(IF(NS$7&gt;$D$3,"",AVERAGE($HJ70:JD70)),"")</f>
        <v/>
      </c>
      <c r="NT70" s="198" t="str">
        <f>IFERROR(IF(NT$7&gt;$D$3,"",AVERAGE($HJ70:JE70)),"")</f>
        <v/>
      </c>
      <c r="NU70" s="198" t="str">
        <f>IFERROR(IF(NU$7&gt;$D$3,"",AVERAGE($HJ70:JF70)),"")</f>
        <v/>
      </c>
      <c r="NV70" s="198" t="str">
        <f>IFERROR(IF(NV$7&gt;$D$3,"",AVERAGE($HJ70:JG70)),"")</f>
        <v/>
      </c>
      <c r="NW70" s="198" t="str">
        <f>IFERROR(IF(NW$7&gt;$D$3,"",AVERAGE($HJ70:JH70)),"")</f>
        <v/>
      </c>
      <c r="NX70" s="198" t="str">
        <f>IFERROR(IF(NX$7&gt;$D$3,"",AVERAGE($HJ70:JI70)),"")</f>
        <v/>
      </c>
      <c r="NY70" s="198" t="str">
        <f>IFERROR(IF(NY$7&gt;$D$3,"",AVERAGE($HJ70:JJ70)),"")</f>
        <v/>
      </c>
    </row>
    <row r="71" spans="1:389" x14ac:dyDescent="0.3">
      <c r="A71" t="str">
        <f>$B$69&amp;"-"&amp;C71</f>
        <v>Logistics-KPI D1</v>
      </c>
      <c r="B71" s="918" t="str">
        <f>+'KPI Stats'!B70</f>
        <v>Rees Nanney</v>
      </c>
      <c r="C71" s="136" t="str">
        <f>+'KPI Stats'!C70</f>
        <v>KPI D1</v>
      </c>
      <c r="D71" s="144" t="str">
        <f>+'KPI Stats'!D70</f>
        <v>Delivery</v>
      </c>
      <c r="E71" s="144" t="str">
        <f>+'KPI Stats'!E70</f>
        <v>Logistics - Delivery - OTIF Group</v>
      </c>
      <c r="F71" s="145" t="str">
        <f>+'KPI Stats'!F70</f>
        <v>Percentage</v>
      </c>
      <c r="G71" s="169" t="str">
        <f>+'KPI Stats'!G70</f>
        <v>Under</v>
      </c>
      <c r="J71" s="69" t="str">
        <f>_xlfn.XLOOKUP(J$7,$AM$7:$CM$7,$AM71:$CM71,,FALSE)</f>
        <v>OD</v>
      </c>
      <c r="K71" s="264">
        <f>_xlfn.XLOOKUP(K$7,$FC$7:$HC$7,$FC71:$HC71,,FALSE)</f>
        <v>0</v>
      </c>
      <c r="L71" s="278">
        <f>_xlfn.XLOOKUP(L$7,$HJ$7:$JJ$7,$HJ71:$JJ71,,FALSE)</f>
        <v>0</v>
      </c>
      <c r="M71" s="275" t="str">
        <f>_xlfn.XLOOKUP(M$7,$CU$7:$EU$7,$CU71:$EU71,,FALSE)</f>
        <v>OD</v>
      </c>
      <c r="P71" s="69" t="str">
        <f>_xlfn.XLOOKUP(P$7,$AM$7:$CM$7,$AM71:$CM71,,FALSE)</f>
        <v>OD</v>
      </c>
      <c r="Q71" s="264">
        <f t="shared" si="227"/>
        <v>0</v>
      </c>
      <c r="R71" s="278">
        <f t="shared" si="227"/>
        <v>0</v>
      </c>
      <c r="S71" s="288" t="str">
        <f t="shared" si="228"/>
        <v>OD</v>
      </c>
      <c r="T71" s="265" t="str">
        <f t="shared" si="228"/>
        <v>OD</v>
      </c>
      <c r="U71" s="295" t="str">
        <f>IF(F69&lt;$R$2,"Not Complete",IF(Q71=R71,"Same −",IF($G71="Over",IF(Q71&lt;R71,"Better ↑","Worse ↓"),IF($G71="Under",IF(Q71&gt;R71,"Better ↑","Worse ↓"),"err"))))</f>
        <v>Same −</v>
      </c>
      <c r="X71" s="69" t="str">
        <f t="shared" si="229"/>
        <v>G</v>
      </c>
      <c r="Y71" s="114">
        <f>_xlfn.XLOOKUP(Y$7,$JR$7:$LR$7,$JR71:$LR71,FALSE)</f>
        <v>0.37712499999999999</v>
      </c>
      <c r="Z71" s="114">
        <f>_xlfn.XLOOKUP(Z$7,$LY$7:$NY$7,$LY71:$NY71,FALSE)</f>
        <v>0.3022727272727273</v>
      </c>
      <c r="AA71" s="252">
        <f>IF(G71="Undefined","",IF(G71="under",Y71/Z71,IF(G71="over",Z71/Y71,"err")))</f>
        <v>1.2476315789473682</v>
      </c>
      <c r="AB71" s="295" t="str">
        <f>IF(F69&lt;$R$2,"TBC",IF(Y71=Z71,"Same −",IF($G71="Over",IF(Z71&lt;Y71,"Better ↑ ","Worse ↓ "),IF($G71="Under",IF(Y71&gt;Z71,"Better ↑ ","Worse ↓ "),"err"))))</f>
        <v xml:space="preserve">Better ↑ </v>
      </c>
      <c r="AC71" s="69" t="str">
        <f>IF(AND(G71="above adero",AD71&gt;0),"R",IF(AF71&gt;1,"G",IF(AF71&gt;0.95,"A","R")))</f>
        <v>G</v>
      </c>
      <c r="AD71" s="114">
        <f>_xlfn.XLOOKUP(AD$7,$JR$7:$LR$7,$JR71:$LR71,FALSE)</f>
        <v>0.40226666666666666</v>
      </c>
      <c r="AE71" s="114">
        <f>_xlfn.XLOOKUP(AE$7,$LY$7:$NY$7,$LY71:$NY71,FALSE)</f>
        <v>0.31666666666666671</v>
      </c>
      <c r="AF71" s="252">
        <f t="shared" si="230"/>
        <v>1.2703157894736841</v>
      </c>
      <c r="AH71" s="465" t="str">
        <f>+$A71</f>
        <v>Logistics-KPI D1</v>
      </c>
      <c r="AI71" s="136" t="str">
        <f t="shared" si="231"/>
        <v>KPI D1</v>
      </c>
      <c r="AJ71" s="144" t="str">
        <f t="shared" si="231"/>
        <v>Delivery</v>
      </c>
      <c r="AK71" s="144" t="str">
        <f t="shared" si="216"/>
        <v>Logistics - Delivery - OTIF Group</v>
      </c>
      <c r="AL71" s="145" t="str">
        <f t="shared" si="216"/>
        <v>Percentage</v>
      </c>
      <c r="AM71" s="69" t="str">
        <f>IF(AM$7&gt;$D$3,"",_xlfn.XLOOKUP(AM$7,Logistics!$M$6:$BM$6,Logistics!$M$13:$BM$13))</f>
        <v>Blank</v>
      </c>
      <c r="AN71" s="199" t="str">
        <f>IF(AN$7&gt;$D$3,"",_xlfn.XLOOKUP(AN$7,Logistics!$M$6:$BM$6,Logistics!$M$13:$BM$13))</f>
        <v>TBC</v>
      </c>
      <c r="AO71" s="69" t="str">
        <f>IF(AO$7&gt;$D$3,"",_xlfn.XLOOKUP(AO$7,Logistics!$M$6:$BM$6,Logistics!$M$13:$BM$13))</f>
        <v>TBC</v>
      </c>
      <c r="AP71" s="69" t="str">
        <f>IF(AP$7&gt;$D$3,"",_xlfn.XLOOKUP(AP$7,Logistics!$M$6:$BM$6,Logistics!$M$13:$BM$13))</f>
        <v>TBC</v>
      </c>
      <c r="AQ71" s="69" t="str">
        <f>IF(AQ$7&gt;$D$3,"",_xlfn.XLOOKUP(AQ$7,Logistics!$M$6:$BM$6,Logistics!$M$13:$BM$13))</f>
        <v>TBC</v>
      </c>
      <c r="AR71" s="69" t="str">
        <f>IF(AR$7&gt;$D$3,"",_xlfn.XLOOKUP(AR$7,Logistics!$M$6:$BM$6,Logistics!$M$13:$BM$13))</f>
        <v>TBC</v>
      </c>
      <c r="AS71" s="69" t="str">
        <f>IF(AS$7&gt;$D$3,"",_xlfn.XLOOKUP(AS$7,Logistics!$M$6:$BM$6,Logistics!$M$13:$BM$13))</f>
        <v>TBC</v>
      </c>
      <c r="AT71" s="69" t="str">
        <f>IF(AT$7&gt;$D$3,"",_xlfn.XLOOKUP(AT$7,Logistics!$M$6:$BM$6,Logistics!$M$13:$BM$13))</f>
        <v>TBC</v>
      </c>
      <c r="AU71" s="69" t="str">
        <f>IF(AU$7&gt;$D$3,"",_xlfn.XLOOKUP(AU$7,Logistics!$M$6:$BM$6,Logistics!$M$13:$BM$13))</f>
        <v>TBC</v>
      </c>
      <c r="AV71" s="69" t="str">
        <f>IF(AV$7&gt;$D$3,"",_xlfn.XLOOKUP(AV$7,Logistics!$M$6:$BM$6,Logistics!$M$13:$BM$13))</f>
        <v>TBC</v>
      </c>
      <c r="AW71" s="69" t="str">
        <f>IF(AW$7&gt;$D$3,"",_xlfn.XLOOKUP(AW$7,Logistics!$M$6:$BM$6,Logistics!$M$13:$BM$13))</f>
        <v>TBC</v>
      </c>
      <c r="AX71" s="69" t="str">
        <f>IF(AX$7&gt;$D$3,"",_xlfn.XLOOKUP(AX$7,Logistics!$M$6:$BM$6,Logistics!$M$13:$BM$13))</f>
        <v>TBC</v>
      </c>
      <c r="AY71" s="69" t="str">
        <f>IF(AY$7&gt;$D$3,"",_xlfn.XLOOKUP(AY$7,Logistics!$M$6:$BM$6,Logistics!$M$13:$BM$13))</f>
        <v>TBC</v>
      </c>
      <c r="AZ71" s="69" t="str">
        <f>IF(AZ$7&gt;$D$3,"",_xlfn.XLOOKUP(AZ$7,Logistics!$M$6:$BM$6,Logistics!$M$13:$BM$13))</f>
        <v>R</v>
      </c>
      <c r="BA71" s="69" t="str">
        <f>IF(BA$7&gt;$D$3,"",_xlfn.XLOOKUP(BA$7,Logistics!$M$6:$BM$6,Logistics!$M$13:$BM$13))</f>
        <v>A</v>
      </c>
      <c r="BB71" s="69" t="str">
        <f>IF(BB$7&gt;$D$3,"",_xlfn.XLOOKUP(BB$7,Logistics!$M$6:$BM$6,Logistics!$M$13:$BM$13))</f>
        <v>A</v>
      </c>
      <c r="BC71" s="69" t="str">
        <f>IF(BC$7&gt;$D$3,"",_xlfn.XLOOKUP(BC$7,Logistics!$M$6:$BM$6,Logistics!$M$13:$BM$13))</f>
        <v>A</v>
      </c>
      <c r="BD71" s="69" t="str">
        <f>IF(BD$7&gt;$D$3,"",_xlfn.XLOOKUP(BD$7,Logistics!$M$6:$BM$6,Logistics!$M$13:$BM$13))</f>
        <v>R</v>
      </c>
      <c r="BE71" s="69" t="str">
        <f>IF(BE$7&gt;$D$3,"",_xlfn.XLOOKUP(BE$7,Logistics!$M$6:$BM$6,Logistics!$M$13:$BM$13))</f>
        <v>R</v>
      </c>
      <c r="BF71" s="69" t="str">
        <f>IF(BF$7&gt;$D$3,"",_xlfn.XLOOKUP(BF$7,Logistics!$M$6:$BM$6,Logistics!$M$13:$BM$13))</f>
        <v>R</v>
      </c>
      <c r="BG71" s="69" t="str">
        <f>IF(BG$7&gt;$D$3,"",_xlfn.XLOOKUP(BG$7,Logistics!$M$6:$BM$6,Logistics!$M$13:$BM$13))</f>
        <v>OD</v>
      </c>
      <c r="BH71" s="69" t="str">
        <f>IF(BH$7&gt;$D$3,"",_xlfn.XLOOKUP(BH$7,Logistics!$M$6:$BM$6,Logistics!$M$13:$BM$13))</f>
        <v>OD</v>
      </c>
      <c r="BI71" s="69" t="str">
        <f>IF(BI$7&gt;$D$3,"",_xlfn.XLOOKUP(BI$7,Logistics!$M$6:$BM$6,Logistics!$M$13:$BM$13))</f>
        <v>OD</v>
      </c>
      <c r="BJ71" s="69" t="str">
        <f>IF(BJ$7&gt;$D$3,"",_xlfn.XLOOKUP(BJ$7,Logistics!$M$6:$BM$6,Logistics!$M$13:$BM$13))</f>
        <v>OD</v>
      </c>
      <c r="BK71" s="69" t="str">
        <f>IF(BK$7&gt;$D$3,"",_xlfn.XLOOKUP(BK$7,Logistics!$M$6:$BM$6,Logistics!$M$13:$BM$13))</f>
        <v>OD</v>
      </c>
      <c r="BL71" s="69" t="str">
        <f>IF(BL$7&gt;$D$3,"",_xlfn.XLOOKUP(BL$7,Logistics!$M$6:$BM$6,Logistics!$M$13:$BM$13))</f>
        <v>OD</v>
      </c>
      <c r="BM71" s="69" t="str">
        <f>IF(BM$7&gt;$D$3,"",_xlfn.XLOOKUP(BM$7,Logistics!$M$6:$BM$6,Logistics!$M$13:$BM$13))</f>
        <v>OD</v>
      </c>
      <c r="BN71" s="69" t="str">
        <f>IF(BN$7&gt;$D$3,"",_xlfn.XLOOKUP(BN$7,Logistics!$M$6:$BM$6,Logistics!$M$13:$BM$13))</f>
        <v>OD</v>
      </c>
      <c r="BO71" s="69" t="str">
        <f>IF(BO$7&gt;$D$3,"",_xlfn.XLOOKUP(BO$7,Logistics!$M$6:$BM$6,Logistics!$M$13:$BM$13))</f>
        <v>OD</v>
      </c>
      <c r="BP71" s="69" t="str">
        <f>IF(BP$7&gt;$D$3,"",_xlfn.XLOOKUP(BP$7,Logistics!$M$6:$BM$6,Logistics!$M$13:$BM$13))</f>
        <v>OD</v>
      </c>
      <c r="BQ71" s="69" t="str">
        <f>IF(BQ$7&gt;$D$3,"",_xlfn.XLOOKUP(BQ$7,Logistics!$M$6:$BM$6,Logistics!$M$13:$BM$13))</f>
        <v>OD</v>
      </c>
      <c r="BR71" s="69" t="str">
        <f>IF(BR$7&gt;$D$3,"",_xlfn.XLOOKUP(BR$7,Logistics!$M$6:$BM$6,Logistics!$M$13:$BM$13))</f>
        <v>OD</v>
      </c>
      <c r="BS71" s="69" t="str">
        <f>IF(BS$7&gt;$D$3,"",_xlfn.XLOOKUP(BS$7,Logistics!$M$6:$BM$6,Logistics!$M$13:$BM$13))</f>
        <v>OD</v>
      </c>
      <c r="BT71" s="69" t="str">
        <f>IF(BT$7&gt;$D$3,"",_xlfn.XLOOKUP(BT$7,Logistics!$M$6:$BM$6,Logistics!$M$13:$BM$13))</f>
        <v>OD</v>
      </c>
      <c r="BU71" s="69" t="str">
        <f>IF(BU$7&gt;$D$3,"",_xlfn.XLOOKUP(BU$7,Logistics!$M$6:$BM$6,Logistics!$M$13:$BM$13))</f>
        <v>OD</v>
      </c>
      <c r="BV71" s="69" t="str">
        <f>IF(BV$7&gt;$D$3,"",_xlfn.XLOOKUP(BV$7,Logistics!$M$6:$BM$6,Logistics!$M$13:$BM$13))</f>
        <v>OD</v>
      </c>
      <c r="BW71" s="69" t="str">
        <f>IF(BW$7&gt;$D$3,"",_xlfn.XLOOKUP(BW$7,Logistics!$M$6:$BM$6,Logistics!$M$13:$BM$13))</f>
        <v>OD</v>
      </c>
      <c r="BX71" s="69" t="str">
        <f>IF(BX$7&gt;$D$3,"",_xlfn.XLOOKUP(BX$7,Logistics!$M$6:$BM$6,Logistics!$M$13:$BM$13))</f>
        <v>OD</v>
      </c>
      <c r="BY71" s="69" t="str">
        <f>IF(BY$7&gt;$D$3,"",_xlfn.XLOOKUP(BY$7,Logistics!$M$6:$BM$6,Logistics!$M$13:$BM$13))</f>
        <v>OD</v>
      </c>
      <c r="BZ71" s="69" t="str">
        <f>IF(BZ$7&gt;$D$3,"",_xlfn.XLOOKUP(BZ$7,Logistics!$M$6:$BM$6,Logistics!$M$13:$BM$13))</f>
        <v>OD</v>
      </c>
      <c r="CA71" s="69" t="str">
        <f>IF(CA$7&gt;$D$3,"",_xlfn.XLOOKUP(CA$7,Logistics!$M$6:$BM$6,Logistics!$M$13:$BM$13))</f>
        <v>OD</v>
      </c>
      <c r="CB71" s="69" t="str">
        <f>IF(CB$7&gt;$D$3,"",_xlfn.XLOOKUP(CB$7,Logistics!$M$6:$BM$6,Logistics!$M$13:$BM$13))</f>
        <v>OD</v>
      </c>
      <c r="CC71" s="69" t="str">
        <f>IF(CC$7&gt;$D$3,"",_xlfn.XLOOKUP(CC$7,Logistics!$M$6:$BM$6,Logistics!$M$13:$BM$13))</f>
        <v/>
      </c>
      <c r="CD71" s="69" t="str">
        <f>IF(CD$7&gt;$D$3,"",_xlfn.XLOOKUP(CD$7,Logistics!$M$6:$BM$6,Logistics!$M$13:$BM$13))</f>
        <v/>
      </c>
      <c r="CE71" s="69" t="str">
        <f>IF(CE$7&gt;$D$3,"",_xlfn.XLOOKUP(CE$7,Logistics!$M$6:$BM$6,Logistics!$M$13:$BM$13))</f>
        <v/>
      </c>
      <c r="CF71" s="69" t="str">
        <f>IF(CF$7&gt;$D$3,"",_xlfn.XLOOKUP(CF$7,Logistics!$M$6:$BM$6,Logistics!$M$13:$BM$13))</f>
        <v/>
      </c>
      <c r="CG71" s="69" t="str">
        <f>IF(CG$7&gt;$D$3,"",_xlfn.XLOOKUP(CG$7,Logistics!$M$6:$BM$6,Logistics!$M$13:$BM$13))</f>
        <v/>
      </c>
      <c r="CH71" s="69" t="str">
        <f>IF(CH$7&gt;$D$3,"",_xlfn.XLOOKUP(CH$7,Logistics!$M$6:$BM$6,Logistics!$M$13:$BM$13))</f>
        <v/>
      </c>
      <c r="CI71" s="69" t="str">
        <f>IF(CI$7&gt;$D$3,"",_xlfn.XLOOKUP(CI$7,Logistics!$M$6:$BM$6,Logistics!$M$13:$BM$13))</f>
        <v/>
      </c>
      <c r="CJ71" s="69" t="str">
        <f>IF(CJ$7&gt;$D$3,"",_xlfn.XLOOKUP(CJ$7,Logistics!$M$6:$BM$6,Logistics!$M$13:$BM$13))</f>
        <v/>
      </c>
      <c r="CK71" s="69" t="str">
        <f>IF(CK$7&gt;$D$3,"",_xlfn.XLOOKUP(CK$7,Logistics!$M$6:$BM$6,Logistics!$M$13:$BM$13))</f>
        <v/>
      </c>
      <c r="CL71" s="69" t="str">
        <f>IF(CL$7&gt;$D$3,"",_xlfn.XLOOKUP(CL$7,Logistics!$M$6:$BM$6,Logistics!$M$13:$BM$13))</f>
        <v/>
      </c>
      <c r="CM71" s="69" t="str">
        <f>IF(CM$7&gt;$D$3,"",_xlfn.XLOOKUP(CM$7,Logistics!$M$6:$BM$6,Logistics!$M$13:$BM$13))</f>
        <v/>
      </c>
      <c r="CO71" s="465" t="str">
        <f>+$A71</f>
        <v>Logistics-KPI D1</v>
      </c>
      <c r="CP71" s="136" t="str">
        <f t="shared" si="232"/>
        <v>KPI D1</v>
      </c>
      <c r="CQ71" s="144" t="str">
        <f t="shared" si="232"/>
        <v>Delivery</v>
      </c>
      <c r="CR71" s="144" t="str">
        <f t="shared" si="218"/>
        <v>Logistics - Delivery - OTIF Group</v>
      </c>
      <c r="CS71" s="145" t="str">
        <f t="shared" si="218"/>
        <v>Percentage</v>
      </c>
      <c r="CT71" s="207" t="s">
        <v>246</v>
      </c>
      <c r="CU71" s="423" t="str">
        <f>IF(CU$7&gt;$D$3,"",_xlfn.XLOOKUP(CU$7,Logistics!$M$6:$BM$6,Logistics!$M$13:$BM$13))</f>
        <v>Blank</v>
      </c>
      <c r="CV71" s="323" t="str">
        <f>IFERROR(IF(CV$7&gt;$D$3,"",IF(AN71="Undefined","Undefined",IF(AN71="Missed","Missed",IF(AN71="OD","OD",IF(AN71="TBC","TBC",_xlfn.XLOOKUP(CV$7,Logistics!$M$6:$BM$6,Logistics!$M$12:$BM$12)/_xlfn.XLOOKUP(CV$7,Logistics!$M$6:$BM$6,Logistics!$M$11:$BM$11)))))),"")</f>
        <v>TBC</v>
      </c>
      <c r="CW71" s="315" t="str">
        <f>IFERROR(IF(CW$7&gt;$D$3,"",IF(AO71="Undefined","Undefined",IF(AO71="Missed","Missed",IF(AO71="OD","OD",IF(AO71="TBC","TBC",_xlfn.XLOOKUP(CW$7,Logistics!$M$6:$BM$6,Logistics!$M$12:$BM$12)/_xlfn.XLOOKUP(CW$7,Logistics!$M$6:$BM$6,Logistics!$M$11:$BM$11)))))),"")</f>
        <v>TBC</v>
      </c>
      <c r="CX71" s="315" t="str">
        <f>IFERROR(IF(CX$7&gt;$D$3,"",IF(AP71="Undefined","Undefined",IF(AP71="Missed","Missed",IF(AP71="OD","OD",IF(AP71="TBC","TBC",_xlfn.XLOOKUP(CX$7,Logistics!$M$6:$BM$6,Logistics!$M$12:$BM$12)/_xlfn.XLOOKUP(CX$7,Logistics!$M$6:$BM$6,Logistics!$M$11:$BM$11)))))),"")</f>
        <v>TBC</v>
      </c>
      <c r="CY71" s="315" t="str">
        <f>IFERROR(IF(CY$7&gt;$D$3,"",IF(AQ71="Undefined","Undefined",IF(AQ71="Missed","Missed",IF(AQ71="OD","OD",IF(AQ71="TBC","TBC",_xlfn.XLOOKUP(CY$7,Logistics!$M$6:$BM$6,Logistics!$M$12:$BM$12)/_xlfn.XLOOKUP(CY$7,Logistics!$M$6:$BM$6,Logistics!$M$11:$BM$11)))))),"")</f>
        <v>TBC</v>
      </c>
      <c r="CZ71" s="315" t="str">
        <f>IFERROR(IF(CZ$7&gt;$D$3,"",IF(AR71="Undefined","Undefined",IF(AR71="Missed","Missed",IF(AR71="OD","OD",IF(AR71="TBC","TBC",_xlfn.XLOOKUP(CZ$7,Logistics!$M$6:$BM$6,Logistics!$M$12:$BM$12)/_xlfn.XLOOKUP(CZ$7,Logistics!$M$6:$BM$6,Logistics!$M$11:$BM$11)))))),"")</f>
        <v>TBC</v>
      </c>
      <c r="DA71" s="315" t="str">
        <f>IFERROR(IF(DA$7&gt;$D$3,"",IF(AS71="Undefined","Undefined",IF(AS71="Missed","Missed",IF(AS71="OD","OD",IF(AS71="TBC","TBC",_xlfn.XLOOKUP(DA$7,Logistics!$M$6:$BM$6,Logistics!$M$12:$BM$12)/_xlfn.XLOOKUP(DA$7,Logistics!$M$6:$BM$6,Logistics!$M$11:$BM$11)))))),"")</f>
        <v>TBC</v>
      </c>
      <c r="DB71" s="315" t="str">
        <f>IFERROR(IF(DB$7&gt;$D$3,"",IF(AT71="Undefined","Undefined",IF(AT71="Missed","Missed",IF(AT71="OD","OD",IF(AT71="TBC","TBC",_xlfn.XLOOKUP(DB$7,Logistics!$M$6:$BM$6,Logistics!$M$12:$BM$12)/_xlfn.XLOOKUP(DB$7,Logistics!$M$6:$BM$6,Logistics!$M$11:$BM$11)))))),"")</f>
        <v>TBC</v>
      </c>
      <c r="DC71" s="315" t="str">
        <f>IFERROR(IF(DC$7&gt;$D$3,"",IF(AU71="Undefined","Undefined",IF(AU71="Missed","Missed",IF(AU71="OD","OD",IF(AU71="TBC","TBC",_xlfn.XLOOKUP(DC$7,Logistics!$M$6:$BM$6,Logistics!$M$12:$BM$12)/_xlfn.XLOOKUP(DC$7,Logistics!$M$6:$BM$6,Logistics!$M$11:$BM$11)))))),"")</f>
        <v>TBC</v>
      </c>
      <c r="DD71" s="315" t="str">
        <f>IFERROR(IF(DD$7&gt;$D$3,"",IF(AV71="Undefined","Undefined",IF(AV71="Missed","Missed",IF(AV71="OD","OD",IF(AV71="TBC","TBC",_xlfn.XLOOKUP(DD$7,Logistics!$M$6:$BM$6,Logistics!$M$12:$BM$12)/_xlfn.XLOOKUP(DD$7,Logistics!$M$6:$BM$6,Logistics!$M$11:$BM$11)))))),"")</f>
        <v>TBC</v>
      </c>
      <c r="DE71" s="315" t="str">
        <f>IFERROR(IF(DE$7&gt;$D$3,"",IF(AW71="Undefined","Undefined",IF(AW71="Missed","Missed",IF(AW71="OD","OD",IF(AW71="TBC","TBC",_xlfn.XLOOKUP(DE$7,Logistics!$M$6:$BM$6,Logistics!$M$12:$BM$12)/_xlfn.XLOOKUP(DE$7,Logistics!$M$6:$BM$6,Logistics!$M$11:$BM$11)))))),"")</f>
        <v>TBC</v>
      </c>
      <c r="DF71" s="315" t="str">
        <f>IFERROR(IF(DF$7&gt;$D$3,"",IF(AX71="Undefined","Undefined",IF(AX71="Missed","Missed",IF(AX71="OD","OD",IF(AX71="TBC","TBC",_xlfn.XLOOKUP(DF$7,Logistics!$M$6:$BM$6,Logistics!$M$12:$BM$12)/_xlfn.XLOOKUP(DF$7,Logistics!$M$6:$BM$6,Logistics!$M$11:$BM$11)))))),"")</f>
        <v>TBC</v>
      </c>
      <c r="DG71" s="315" t="str">
        <f>IFERROR(IF(DG$7&gt;$D$3,"",IF(AY71="Undefined","Undefined",IF(AY71="Missed","Missed",IF(AY71="OD","OD",IF(AY71="TBC","TBC",_xlfn.XLOOKUP(DG$7,Logistics!$M$6:$BM$6,Logistics!$M$12:$BM$12)/_xlfn.XLOOKUP(DG$7,Logistics!$M$6:$BM$6,Logistics!$M$11:$BM$11)))))),"")</f>
        <v>TBC</v>
      </c>
      <c r="DH71" s="315">
        <f>IFERROR(IF(DH$7&gt;$D$3,"",IF(AZ71="Undefined","Undefined",IF(AZ71="Missed","Missed",IF(AZ71="OD","OD",IF(AZ71="TBC","TBC",_xlfn.XLOOKUP(DH$7,Logistics!$M$6:$BM$6,Logistics!$M$12:$BM$12)/_xlfn.XLOOKUP(DH$7,Logistics!$M$6:$BM$6,Logistics!$M$11:$BM$11)))))),"")</f>
        <v>0.9263157894736842</v>
      </c>
      <c r="DI71" s="315">
        <f>IFERROR(IF(DI$7&gt;$D$3,"",IF(BA71="Undefined","Undefined",IF(BA71="Missed","Missed",IF(BA71="OD","OD",IF(BA71="TBC","TBC",_xlfn.XLOOKUP(DI$7,Logistics!$M$6:$BM$6,Logistics!$M$12:$BM$12)/_xlfn.XLOOKUP(DI$7,Logistics!$M$6:$BM$6,Logistics!$M$11:$BM$11)))))),"")</f>
        <v>0.95157894736842108</v>
      </c>
      <c r="DJ71" s="315">
        <f>IFERROR(IF(DJ$7&gt;$D$3,"",IF(BB71="Undefined","Undefined",IF(BB71="Missed","Missed",IF(BB71="OD","OD",IF(BB71="TBC","TBC",_xlfn.XLOOKUP(DJ$7,Logistics!$M$6:$BM$6,Logistics!$M$12:$BM$12)/_xlfn.XLOOKUP(DJ$7,Logistics!$M$6:$BM$6,Logistics!$M$11:$BM$11)))))),"")</f>
        <v>0.97894736842105268</v>
      </c>
      <c r="DK71" s="315">
        <f>IFERROR(IF(DK$7&gt;$D$3,"",IF(BC71="Undefined","Undefined",IF(BC71="Missed","Missed",IF(BC71="OD","OD",IF(BC71="TBC","TBC",_xlfn.XLOOKUP(DK$7,Logistics!$M$6:$BM$6,Logistics!$M$12:$BM$12)/_xlfn.XLOOKUP(DK$7,Logistics!$M$6:$BM$6,Logistics!$M$11:$BM$11)))))),"")</f>
        <v>0.97894736842105268</v>
      </c>
      <c r="DL71" s="315">
        <f>IFERROR(IF(DL$7&gt;$D$3,"",IF(BD71="Undefined","Undefined",IF(BD71="Missed","Missed",IF(BD71="OD","OD",IF(BD71="TBC","TBC",_xlfn.XLOOKUP(DL$7,Logistics!$M$6:$BM$6,Logistics!$M$12:$BM$12)/_xlfn.XLOOKUP(DL$7,Logistics!$M$6:$BM$6,Logistics!$M$11:$BM$11)))))),"")</f>
        <v>0.88421052631578945</v>
      </c>
      <c r="DM71" s="315">
        <f>IFERROR(IF(DM$7&gt;$D$3,"",IF(BE71="Undefined","Undefined",IF(BE71="Missed","Missed",IF(BE71="OD","OD",IF(BE71="TBC","TBC",_xlfn.XLOOKUP(DM$7,Logistics!$M$6:$BM$6,Logistics!$M$12:$BM$12)/_xlfn.XLOOKUP(DM$7,Logistics!$M$6:$BM$6,Logistics!$M$11:$BM$11)))))),"")</f>
        <v>0.74736842105263157</v>
      </c>
      <c r="DN71" s="315">
        <f>IFERROR(IF(DN$7&gt;$D$3,"",IF(BF71="Undefined","Undefined",IF(BF71="Missed","Missed",IF(BF71="OD","OD",IF(BF71="TBC","TBC",_xlfn.XLOOKUP(DN$7,Logistics!$M$6:$BM$6,Logistics!$M$12:$BM$12)/_xlfn.XLOOKUP(DN$7,Logistics!$M$6:$BM$6,Logistics!$M$11:$BM$11)))))),"")</f>
        <v>0.88421052631578945</v>
      </c>
      <c r="DO71" s="315" t="str">
        <f>IFERROR(IF(DO$7&gt;$D$3,"",IF(BG71="Undefined","Undefined",IF(BG71="Missed","Missed",IF(BG71="OD","OD",IF(BG71="TBC","TBC",_xlfn.XLOOKUP(DO$7,Logistics!$M$6:$BM$6,Logistics!$M$12:$BM$12)/_xlfn.XLOOKUP(DO$7,Logistics!$M$6:$BM$6,Logistics!$M$11:$BM$11)))))),"")</f>
        <v>OD</v>
      </c>
      <c r="DP71" s="315" t="str">
        <f>IFERROR(IF(DP$7&gt;$D$3,"",IF(BH71="Undefined","Undefined",IF(BH71="Missed","Missed",IF(BH71="OD","OD",IF(BH71="TBC","TBC",_xlfn.XLOOKUP(DP$7,Logistics!$M$6:$BM$6,Logistics!$M$12:$BM$12)/_xlfn.XLOOKUP(DP$7,Logistics!$M$6:$BM$6,Logistics!$M$11:$BM$11)))))),"")</f>
        <v>OD</v>
      </c>
      <c r="DQ71" s="315" t="str">
        <f>IFERROR(IF(DQ$7&gt;$D$3,"",IF(BI71="Undefined","Undefined",IF(BI71="Missed","Missed",IF(BI71="OD","OD",IF(BI71="TBC","TBC",_xlfn.XLOOKUP(DQ$7,Logistics!$M$6:$BM$6,Logistics!$M$12:$BM$12)/_xlfn.XLOOKUP(DQ$7,Logistics!$M$6:$BM$6,Logistics!$M$11:$BM$11)))))),"")</f>
        <v>OD</v>
      </c>
      <c r="DR71" s="315" t="str">
        <f>IFERROR(IF(DR$7&gt;$D$3,"",IF(BJ71="Undefined","Undefined",IF(BJ71="Missed","Missed",IF(BJ71="OD","OD",IF(BJ71="TBC","TBC",_xlfn.XLOOKUP(DR$7,Logistics!$M$6:$BM$6,Logistics!$M$12:$BM$12)/_xlfn.XLOOKUP(DR$7,Logistics!$M$6:$BM$6,Logistics!$M$11:$BM$11)))))),"")</f>
        <v>OD</v>
      </c>
      <c r="DS71" s="315" t="str">
        <f>IFERROR(IF(DS$7&gt;$D$3,"",IF(BK71="Undefined","Undefined",IF(BK71="Missed","Missed",IF(BK71="OD","OD",IF(BK71="TBC","TBC",_xlfn.XLOOKUP(DS$7,Logistics!$M$6:$BM$6,Logistics!$M$12:$BM$12)/_xlfn.XLOOKUP(DS$7,Logistics!$M$6:$BM$6,Logistics!$M$11:$BM$11)))))),"")</f>
        <v>OD</v>
      </c>
      <c r="DT71" s="315" t="str">
        <f>IFERROR(IF(DT$7&gt;$D$3,"",IF(BL71="Undefined","Undefined",IF(BL71="Missed","Missed",IF(BL71="OD","OD",IF(BL71="TBC","TBC",_xlfn.XLOOKUP(DT$7,Logistics!$M$6:$BM$6,Logistics!$M$12:$BM$12)/_xlfn.XLOOKUP(DT$7,Logistics!$M$6:$BM$6,Logistics!$M$11:$BM$11)))))),"")</f>
        <v>OD</v>
      </c>
      <c r="DU71" s="315" t="str">
        <f>IFERROR(IF(DU$7&gt;$D$3,"",IF(BM71="Undefined","Undefined",IF(BM71="Missed","Missed",IF(BM71="OD","OD",IF(BM71="TBC","TBC",_xlfn.XLOOKUP(DU$7,Logistics!$M$6:$BM$6,Logistics!$M$12:$BM$12)/_xlfn.XLOOKUP(DU$7,Logistics!$M$6:$BM$6,Logistics!$M$11:$BM$11)))))),"")</f>
        <v>OD</v>
      </c>
      <c r="DV71" s="315" t="str">
        <f>IFERROR(IF(DV$7&gt;$D$3,"",IF(BN71="Undefined","Undefined",IF(BN71="Missed","Missed",IF(BN71="OD","OD",IF(BN71="TBC","TBC",_xlfn.XLOOKUP(DV$7,Logistics!$M$6:$BM$6,Logistics!$M$12:$BM$12)/_xlfn.XLOOKUP(DV$7,Logistics!$M$6:$BM$6,Logistics!$M$11:$BM$11)))))),"")</f>
        <v>OD</v>
      </c>
      <c r="DW71" s="315" t="str">
        <f>IFERROR(IF(DW$7&gt;$D$3,"",IF(BO71="Undefined","Undefined",IF(BO71="Missed","Missed",IF(BO71="OD","OD",IF(BO71="TBC","TBC",_xlfn.XLOOKUP(DW$7,Logistics!$M$6:$BM$6,Logistics!$M$12:$BM$12)/_xlfn.XLOOKUP(DW$7,Logistics!$M$6:$BM$6,Logistics!$M$11:$BM$11)))))),"")</f>
        <v>OD</v>
      </c>
      <c r="DX71" s="315" t="str">
        <f>IFERROR(IF(DX$7&gt;$D$3,"",IF(BP71="Undefined","Undefined",IF(BP71="Missed","Missed",IF(BP71="OD","OD",IF(BP71="TBC","TBC",_xlfn.XLOOKUP(DX$7,Logistics!$M$6:$BM$6,Logistics!$M$12:$BM$12)/_xlfn.XLOOKUP(DX$7,Logistics!$M$6:$BM$6,Logistics!$M$11:$BM$11)))))),"")</f>
        <v>OD</v>
      </c>
      <c r="DY71" s="315" t="str">
        <f>IFERROR(IF(DY$7&gt;$D$3,"",IF(BQ71="Undefined","Undefined",IF(BQ71="Missed","Missed",IF(BQ71="OD","OD",IF(BQ71="TBC","TBC",_xlfn.XLOOKUP(DY$7,Logistics!$M$6:$BM$6,Logistics!$M$12:$BM$12)/_xlfn.XLOOKUP(DY$7,Logistics!$M$6:$BM$6,Logistics!$M$11:$BM$11)))))),"")</f>
        <v>OD</v>
      </c>
      <c r="DZ71" s="315" t="str">
        <f>IFERROR(IF(DZ$7&gt;$D$3,"",IF(BR71="Undefined","Undefined",IF(BR71="Missed","Missed",IF(BR71="OD","OD",IF(BR71="TBC","TBC",_xlfn.XLOOKUP(DZ$7,Logistics!$M$6:$BM$6,Logistics!$M$12:$BM$12)/_xlfn.XLOOKUP(DZ$7,Logistics!$M$6:$BM$6,Logistics!$M$11:$BM$11)))))),"")</f>
        <v>OD</v>
      </c>
      <c r="EA71" s="315" t="str">
        <f>IFERROR(IF(EA$7&gt;$D$3,"",IF(BS71="Undefined","Undefined",IF(BS71="Missed","Missed",IF(BS71="OD","OD",IF(BS71="TBC","TBC",_xlfn.XLOOKUP(EA$7,Logistics!$M$6:$BM$6,Logistics!$M$12:$BM$12)/_xlfn.XLOOKUP(EA$7,Logistics!$M$6:$BM$6,Logistics!$M$11:$BM$11)))))),"")</f>
        <v>OD</v>
      </c>
      <c r="EB71" s="315" t="str">
        <f>IFERROR(IF(EB$7&gt;$D$3,"",IF(BT71="Undefined","Undefined",IF(BT71="Missed","Missed",IF(BT71="OD","OD",IF(BT71="TBC","TBC",_xlfn.XLOOKUP(EB$7,Logistics!$M$6:$BM$6,Logistics!$M$12:$BM$12)/_xlfn.XLOOKUP(EB$7,Logistics!$M$6:$BM$6,Logistics!$M$11:$BM$11)))))),"")</f>
        <v>OD</v>
      </c>
      <c r="EC71" s="315" t="str">
        <f>IFERROR(IF(EC$7&gt;$D$3,"",IF(BU71="Undefined","Undefined",IF(BU71="Missed","Missed",IF(BU71="OD","OD",IF(BU71="TBC","TBC",_xlfn.XLOOKUP(EC$7,Logistics!$M$6:$BM$6,Logistics!$M$12:$BM$12)/_xlfn.XLOOKUP(EC$7,Logistics!$M$6:$BM$6,Logistics!$M$11:$BM$11)))))),"")</f>
        <v>OD</v>
      </c>
      <c r="ED71" s="315" t="str">
        <f>IFERROR(IF(ED$7&gt;$D$3,"",IF(BV71="Undefined","Undefined",IF(BV71="Missed","Missed",IF(BV71="OD","OD",IF(BV71="TBC","TBC",_xlfn.XLOOKUP(ED$7,Logistics!$M$6:$BM$6,Logistics!$M$12:$BM$12)/_xlfn.XLOOKUP(ED$7,Logistics!$M$6:$BM$6,Logistics!$M$11:$BM$11)))))),"")</f>
        <v>OD</v>
      </c>
      <c r="EE71" s="315" t="str">
        <f>IFERROR(IF(EE$7&gt;$D$3,"",IF(BW71="Undefined","Undefined",IF(BW71="Missed","Missed",IF(BW71="OD","OD",IF(BW71="TBC","TBC",_xlfn.XLOOKUP(EE$7,Logistics!$M$6:$BM$6,Logistics!$M$12:$BM$12)/_xlfn.XLOOKUP(EE$7,Logistics!$M$6:$BM$6,Logistics!$M$11:$BM$11)))))),"")</f>
        <v>OD</v>
      </c>
      <c r="EF71" s="315" t="str">
        <f>IFERROR(IF(EF$7&gt;$D$3,"",IF(BX71="Undefined","Undefined",IF(BX71="Missed","Missed",IF(BX71="OD","OD",IF(BX71="TBC","TBC",_xlfn.XLOOKUP(EF$7,Logistics!$M$6:$BM$6,Logistics!$M$12:$BM$12)/_xlfn.XLOOKUP(EF$7,Logistics!$M$6:$BM$6,Logistics!$M$11:$BM$11)))))),"")</f>
        <v>OD</v>
      </c>
      <c r="EG71" s="315" t="str">
        <f>IFERROR(IF(EG$7&gt;$D$3,"",IF(BY71="Undefined","Undefined",IF(BY71="Missed","Missed",IF(BY71="OD","OD",IF(BY71="TBC","TBC",_xlfn.XLOOKUP(EG$7,Logistics!$M$6:$BM$6,Logistics!$M$12:$BM$12)/_xlfn.XLOOKUP(EG$7,Logistics!$M$6:$BM$6,Logistics!$M$11:$BM$11)))))),"")</f>
        <v>OD</v>
      </c>
      <c r="EH71" s="315" t="str">
        <f>IFERROR(IF(EH$7&gt;$D$3,"",IF(BZ71="Undefined","Undefined",IF(BZ71="Missed","Missed",IF(BZ71="OD","OD",IF(BZ71="TBC","TBC",_xlfn.XLOOKUP(EH$7,Logistics!$M$6:$BM$6,Logistics!$M$12:$BM$12)/_xlfn.XLOOKUP(EH$7,Logistics!$M$6:$BM$6,Logistics!$M$11:$BM$11)))))),"")</f>
        <v>OD</v>
      </c>
      <c r="EI71" s="315" t="str">
        <f>IFERROR(IF(EI$7&gt;$D$3,"",IF(CA71="Undefined","Undefined",IF(CA71="Missed","Missed",IF(CA71="OD","OD",IF(CA71="TBC","TBC",_xlfn.XLOOKUP(EI$7,Logistics!$M$6:$BM$6,Logistics!$M$12:$BM$12)/_xlfn.XLOOKUP(EI$7,Logistics!$M$6:$BM$6,Logistics!$M$11:$BM$11)))))),"")</f>
        <v>OD</v>
      </c>
      <c r="EJ71" s="315" t="str">
        <f>IFERROR(IF(EJ$7&gt;$D$3,"",IF(CB71="Undefined","Undefined",IF(CB71="Missed","Missed",IF(CB71="OD","OD",IF(CB71="TBC","TBC",_xlfn.XLOOKUP(EJ$7,Logistics!$M$6:$BM$6,Logistics!$M$12:$BM$12)/_xlfn.XLOOKUP(EJ$7,Logistics!$M$6:$BM$6,Logistics!$M$11:$BM$11)))))),"")</f>
        <v>OD</v>
      </c>
      <c r="EK71" s="315" t="str">
        <f>IFERROR(IF(EK$7&gt;$D$3,"",IF(CC71="Undefined","Undefined",IF(CC71="Missed","Missed",IF(CC71="OD","OD",IF(CC71="TBC","TBC",_xlfn.XLOOKUP(EK$7,Logistics!$M$6:$BM$6,Logistics!$M$12:$BM$12)/_xlfn.XLOOKUP(EK$7,Logistics!$M$6:$BM$6,Logistics!$M$11:$BM$11)))))),"")</f>
        <v/>
      </c>
      <c r="EL71" s="315" t="str">
        <f>IFERROR(IF(EL$7&gt;$D$3,"",IF(CD71="Undefined","Undefined",IF(CD71="Missed","Missed",IF(CD71="OD","OD",IF(CD71="TBC","TBC",_xlfn.XLOOKUP(EL$7,Logistics!$M$6:$BM$6,Logistics!$M$12:$BM$12)/_xlfn.XLOOKUP(EL$7,Logistics!$M$6:$BM$6,Logistics!$M$11:$BM$11)))))),"")</f>
        <v/>
      </c>
      <c r="EM71" s="315" t="str">
        <f>IFERROR(IF(EM$7&gt;$D$3,"",IF(CE71="Undefined","Undefined",IF(CE71="Missed","Missed",IF(CE71="OD","OD",IF(CE71="TBC","TBC",_xlfn.XLOOKUP(EM$7,Logistics!$M$6:$BM$6,Logistics!$M$12:$BM$12)/_xlfn.XLOOKUP(EM$7,Logistics!$M$6:$BM$6,Logistics!$M$11:$BM$11)))))),"")</f>
        <v/>
      </c>
      <c r="EN71" s="315" t="str">
        <f>IFERROR(IF(EN$7&gt;$D$3,"",IF(CF71="Undefined","Undefined",IF(CF71="Missed","Missed",IF(CF71="OD","OD",IF(CF71="TBC","TBC",_xlfn.XLOOKUP(EN$7,Logistics!$M$6:$BM$6,Logistics!$M$12:$BM$12)/_xlfn.XLOOKUP(EN$7,Logistics!$M$6:$BM$6,Logistics!$M$11:$BM$11)))))),"")</f>
        <v/>
      </c>
      <c r="EO71" s="315" t="str">
        <f>IFERROR(IF(EO$7&gt;$D$3,"",IF(CG71="Undefined","Undefined",IF(CG71="Missed","Missed",IF(CG71="OD","OD",IF(CG71="TBC","TBC",_xlfn.XLOOKUP(EO$7,Logistics!$M$6:$BM$6,Logistics!$M$12:$BM$12)/_xlfn.XLOOKUP(EO$7,Logistics!$M$6:$BM$6,Logistics!$M$11:$BM$11)))))),"")</f>
        <v/>
      </c>
      <c r="EP71" s="315" t="str">
        <f>IFERROR(IF(EP$7&gt;$D$3,"",IF(CH71="Undefined","Undefined",IF(CH71="Missed","Missed",IF(CH71="OD","OD",IF(CH71="TBC","TBC",_xlfn.XLOOKUP(EP$7,Logistics!$M$6:$BM$6,Logistics!$M$12:$BM$12)/_xlfn.XLOOKUP(EP$7,Logistics!$M$6:$BM$6,Logistics!$M$11:$BM$11)))))),"")</f>
        <v/>
      </c>
      <c r="EQ71" s="315" t="str">
        <f>IFERROR(IF(EQ$7&gt;$D$3,"",IF(CI71="Undefined","Undefined",IF(CI71="Missed","Missed",IF(CI71="OD","OD",IF(CI71="TBC","TBC",_xlfn.XLOOKUP(EQ$7,Logistics!$M$6:$BM$6,Logistics!$M$12:$BM$12)/_xlfn.XLOOKUP(EQ$7,Logistics!$M$6:$BM$6,Logistics!$M$11:$BM$11)))))),"")</f>
        <v/>
      </c>
      <c r="ER71" s="315" t="str">
        <f>IFERROR(IF(ER$7&gt;$D$3,"",IF(CJ71="Undefined","Undefined",IF(CJ71="Missed","Missed",IF(CJ71="OD","OD",IF(CJ71="TBC","TBC",_xlfn.XLOOKUP(ER$7,Logistics!$M$6:$BM$6,Logistics!$M$12:$BM$12)/_xlfn.XLOOKUP(ER$7,Logistics!$M$6:$BM$6,Logistics!$M$11:$BM$11)))))),"")</f>
        <v/>
      </c>
      <c r="ES71" s="315" t="str">
        <f>IFERROR(IF(ES$7&gt;$D$3,"",IF(CK71="Undefined","Undefined",IF(CK71="Missed","Missed",IF(CK71="OD","OD",IF(CK71="TBC","TBC",_xlfn.XLOOKUP(ES$7,Logistics!$M$6:$BM$6,Logistics!$M$12:$BM$12)/_xlfn.XLOOKUP(ES$7,Logistics!$M$6:$BM$6,Logistics!$M$11:$BM$11)))))),"")</f>
        <v/>
      </c>
      <c r="ET71" s="315" t="str">
        <f>IFERROR(IF(ET$7&gt;$D$3,"",IF(CL71="Undefined","Undefined",IF(CL71="Missed","Missed",IF(CL71="OD","OD",IF(CL71="TBC","TBC",_xlfn.XLOOKUP(ET$7,Logistics!$M$6:$BM$6,Logistics!$M$12:$BM$12)/_xlfn.XLOOKUP(ET$7,Logistics!$M$6:$BM$6,Logistics!$M$11:$BM$11)))))),"")</f>
        <v/>
      </c>
      <c r="EU71" s="315" t="str">
        <f>IFERROR(IF(EU$7&gt;$D$3,"",IF(CM71="Undefined","Undefined",IF(CM71="Missed","Missed",IF(CM71="OD","OD",IF(CM71="TBC","TBC",_xlfn.XLOOKUP(EU$7,Logistics!$M$6:$BM$6,Logistics!$M$12:$BM$12)/_xlfn.XLOOKUP(EU$7,Logistics!$M$6:$BM$6,Logistics!$M$11:$BM$11)))))),"")</f>
        <v/>
      </c>
      <c r="EW71" s="465" t="str">
        <f>+$A71</f>
        <v>Logistics-KPI D1</v>
      </c>
      <c r="EX71" s="136" t="str">
        <f>+$C71</f>
        <v>KPI D1</v>
      </c>
      <c r="EY71" s="144" t="str">
        <f>+$D71</f>
        <v>Delivery</v>
      </c>
      <c r="EZ71" s="144" t="str">
        <f>+$E71</f>
        <v>Logistics - Delivery - OTIF Group</v>
      </c>
      <c r="FA71" s="145" t="str">
        <f>+$F71</f>
        <v>Percentage</v>
      </c>
      <c r="FB71" s="145" t="s">
        <v>251</v>
      </c>
      <c r="FC71" s="199" t="str">
        <f>IF(FC$7&gt;$D$3,"",IF($FA69&lt;FC$7,"OD",_xlfn.XLOOKUP(FC$7,Logistics!$M$6:$BM$6,Logistics!$M$12:$BM$12)))</f>
        <v>Blank</v>
      </c>
      <c r="FD71" s="199" t="str">
        <f>IF(FD$7&gt;$D$3,"",IF($FA69&lt;FD$7,"OD",_xlfn.XLOOKUP(FD$7,Logistics!$M$6:$BM$6,Logistics!$M$12:$BM$12)))</f>
        <v>TBC</v>
      </c>
      <c r="FE71" s="199" t="str">
        <f>IF(FE$7&gt;$D$3,"",IF($FA69&lt;FE$7,"OD",_xlfn.XLOOKUP(FE$7,Logistics!$M$6:$BM$6,Logistics!$M$12:$BM$12)))</f>
        <v>TBC</v>
      </c>
      <c r="FF71" s="199" t="str">
        <f>IF(FF$7&gt;$D$3,"",IF($FA69&lt;FF$7,"OD",_xlfn.XLOOKUP(FF$7,Logistics!$M$6:$BM$6,Logistics!$M$12:$BM$12)))</f>
        <v>TBC</v>
      </c>
      <c r="FG71" s="199" t="str">
        <f>IF(FG$7&gt;$D$3,"",IF($FA69&lt;FG$7,"OD",_xlfn.XLOOKUP(FG$7,Logistics!$M$6:$BM$6,Logistics!$M$12:$BM$12)))</f>
        <v>TBC</v>
      </c>
      <c r="FH71" s="199" t="str">
        <f>IF(FH$7&gt;$D$3,"",IF($FA69&lt;FH$7,"OD",_xlfn.XLOOKUP(FH$7,Logistics!$M$6:$BM$6,Logistics!$M$12:$BM$12)))</f>
        <v>TBC</v>
      </c>
      <c r="FI71" s="199" t="str">
        <f>IF(FI$7&gt;$D$3,"",IF($FA69&lt;FI$7,"OD",_xlfn.XLOOKUP(FI$7,Logistics!$M$6:$BM$6,Logistics!$M$12:$BM$12)))</f>
        <v>TBC</v>
      </c>
      <c r="FJ71" s="199" t="str">
        <f>IF(FJ$7&gt;$D$3,"",IF($FA69&lt;FJ$7,"OD",_xlfn.XLOOKUP(FJ$7,Logistics!$M$6:$BM$6,Logistics!$M$12:$BM$12)))</f>
        <v>TBC</v>
      </c>
      <c r="FK71" s="199" t="str">
        <f>IF(FK$7&gt;$D$3,"",IF($FA69&lt;FK$7,"OD",_xlfn.XLOOKUP(FK$7,Logistics!$M$6:$BM$6,Logistics!$M$12:$BM$12)))</f>
        <v>TBC</v>
      </c>
      <c r="FL71" s="199" t="str">
        <f>IF(FL$7&gt;$D$3,"",IF($FA69&lt;FL$7,"OD",_xlfn.XLOOKUP(FL$7,Logistics!$M$6:$BM$6,Logistics!$M$12:$BM$12)))</f>
        <v>TBC</v>
      </c>
      <c r="FM71" s="199" t="str">
        <f>IF(FM$7&gt;$D$3,"",IF($FA69&lt;FM$7,"OD",_xlfn.XLOOKUP(FM$7,Logistics!$M$6:$BM$6,Logistics!$M$12:$BM$12)))</f>
        <v>TBC</v>
      </c>
      <c r="FN71" s="199" t="str">
        <f>IF(FN$7&gt;$D$3,"",IF($FA69&lt;FN$7,"OD",_xlfn.XLOOKUP(FN$7,Logistics!$M$6:$BM$6,Logistics!$M$12:$BM$12)))</f>
        <v>TBC</v>
      </c>
      <c r="FO71" s="199" t="str">
        <f>IF(FO$7&gt;$D$3,"",IF($FA69&lt;FO$7,"OD",_xlfn.XLOOKUP(FO$7,Logistics!$M$6:$BM$6,Logistics!$M$12:$BM$12)))</f>
        <v>TBC</v>
      </c>
      <c r="FP71" s="199">
        <f>IF(FP$7&gt;$D$3,"",IF($FA69&lt;FP$7,"OD",_xlfn.XLOOKUP(FP$7,Logistics!$M$6:$BM$6,Logistics!$M$12:$BM$12)))</f>
        <v>0.88</v>
      </c>
      <c r="FQ71" s="199">
        <f>IF(FQ$7&gt;$D$3,"",IF($FA69&lt;FQ$7,"OD",_xlfn.XLOOKUP(FQ$7,Logistics!$M$6:$BM$6,Logistics!$M$12:$BM$12)))</f>
        <v>0.90400000000000003</v>
      </c>
      <c r="FR71" s="199">
        <f>IF(FR$7&gt;$D$3,"",IF($FA69&lt;FR$7,"OD",_xlfn.XLOOKUP(FR$7,Logistics!$M$6:$BM$6,Logistics!$M$12:$BM$12)))</f>
        <v>0.93</v>
      </c>
      <c r="FS71" s="199">
        <f>IF(FS$7&gt;$D$3,"",IF($FA69&lt;FS$7,"OD",_xlfn.XLOOKUP(FS$7,Logistics!$M$6:$BM$6,Logistics!$M$12:$BM$12)))</f>
        <v>0.93</v>
      </c>
      <c r="FT71" s="199">
        <f>IF(FT$7&gt;$D$3,"",IF($FA69&lt;FT$7,"OD",_xlfn.XLOOKUP(FT$7,Logistics!$M$6:$BM$6,Logistics!$M$12:$BM$12)))</f>
        <v>0.84</v>
      </c>
      <c r="FU71" s="199">
        <f>IF(FU$7&gt;$D$3,"",IF($FA69&lt;FU$7,"OD",_xlfn.XLOOKUP(FU$7,Logistics!$M$6:$BM$6,Logistics!$M$12:$BM$12)))</f>
        <v>0.71</v>
      </c>
      <c r="FV71" s="199">
        <f>IF(FV$7&gt;$D$3,"",IF($FA69&lt;FV$7,"OD",_xlfn.XLOOKUP(FV$7,Logistics!$M$6:$BM$6,Logistics!$M$12:$BM$12)))</f>
        <v>0.84</v>
      </c>
      <c r="FW71" s="199" t="str">
        <f>IF(FW$7&gt;$D$3,"",IF($FA69&lt;FW$7,"OD",_xlfn.XLOOKUP(FW$7,Logistics!$M$6:$BM$6,Logistics!$M$12:$BM$12)))</f>
        <v>OD</v>
      </c>
      <c r="FX71" s="199" t="str">
        <f>IF(FX$7&gt;$D$3,"",IF($FA69&lt;FX$7,"OD",_xlfn.XLOOKUP(FX$7,Logistics!$M$6:$BM$6,Logistics!$M$12:$BM$12)))</f>
        <v>OD</v>
      </c>
      <c r="FY71" s="199" t="str">
        <f>IF(FY$7&gt;$D$3,"",IF($FA69&lt;FY$7,"OD",_xlfn.XLOOKUP(FY$7,Logistics!$M$6:$BM$6,Logistics!$M$12:$BM$12)))</f>
        <v>OD</v>
      </c>
      <c r="FZ71" s="199" t="str">
        <f>IF(FZ$7&gt;$D$3,"",IF($FA69&lt;FZ$7,"OD",_xlfn.XLOOKUP(FZ$7,Logistics!$M$6:$BM$6,Logistics!$M$12:$BM$12)))</f>
        <v>OD</v>
      </c>
      <c r="GA71" s="199" t="str">
        <f>IF(GA$7&gt;$D$3,"",IF($FA69&lt;GA$7,"OD",_xlfn.XLOOKUP(GA$7,Logistics!$M$6:$BM$6,Logistics!$M$12:$BM$12)))</f>
        <v>OD</v>
      </c>
      <c r="GB71" s="199" t="str">
        <f>IF(GB$7&gt;$D$3,"",IF($FA69&lt;GB$7,"OD",_xlfn.XLOOKUP(GB$7,Logistics!$M$6:$BM$6,Logistics!$M$12:$BM$12)))</f>
        <v>OD</v>
      </c>
      <c r="GC71" s="199" t="str">
        <f>IF(GC$7&gt;$D$3,"",IF($FA69&lt;GC$7,"OD",_xlfn.XLOOKUP(GC$7,Logistics!$M$6:$BM$6,Logistics!$M$12:$BM$12)))</f>
        <v>OD</v>
      </c>
      <c r="GD71" s="199" t="str">
        <f>IF(GD$7&gt;$D$3,"",IF($FA69&lt;GD$7,"OD",_xlfn.XLOOKUP(GD$7,Logistics!$M$6:$BM$6,Logistics!$M$12:$BM$12)))</f>
        <v>OD</v>
      </c>
      <c r="GE71" s="199" t="str">
        <f>IF(GE$7&gt;$D$3,"",IF($FA69&lt;GE$7,"OD",_xlfn.XLOOKUP(GE$7,Logistics!$M$6:$BM$6,Logistics!$M$12:$BM$12)))</f>
        <v>OD</v>
      </c>
      <c r="GF71" s="199" t="str">
        <f>IF(GF$7&gt;$D$3,"",IF($FA69&lt;GF$7,"OD",_xlfn.XLOOKUP(GF$7,Logistics!$M$6:$BM$6,Logistics!$M$12:$BM$12)))</f>
        <v>OD</v>
      </c>
      <c r="GG71" s="199" t="str">
        <f>IF(GG$7&gt;$D$3,"",IF($FA69&lt;GG$7,"OD",_xlfn.XLOOKUP(GG$7,Logistics!$M$6:$BM$6,Logistics!$M$12:$BM$12)))</f>
        <v>OD</v>
      </c>
      <c r="GH71" s="199" t="str">
        <f>IF(GH$7&gt;$D$3,"",IF($FA69&lt;GH$7,"OD",_xlfn.XLOOKUP(GH$7,Logistics!$M$6:$BM$6,Logistics!$M$12:$BM$12)))</f>
        <v>OD</v>
      </c>
      <c r="GI71" s="199" t="str">
        <f>IF(GI$7&gt;$D$3,"",IF($FA69&lt;GI$7,"OD",_xlfn.XLOOKUP(GI$7,Logistics!$M$6:$BM$6,Logistics!$M$12:$BM$12)))</f>
        <v>OD</v>
      </c>
      <c r="GJ71" s="199">
        <f>IF(GJ$7&gt;$D$3,"",IF($FA69&lt;GJ$7,"OD",_xlfn.XLOOKUP(GJ$7,Logistics!$M$6:$BM$6,Logistics!$M$12:$BM$12)))</f>
        <v>0</v>
      </c>
      <c r="GK71" s="199">
        <f>IF(GK$7&gt;$D$3,"",IF($FA69&lt;GK$7,"OD",_xlfn.XLOOKUP(GK$7,Logistics!$M$6:$BM$6,Logistics!$M$12:$BM$12)))</f>
        <v>0</v>
      </c>
      <c r="GL71" s="199">
        <f>IF(GL$7&gt;$D$3,"",IF($FA69&lt;GL$7,"OD",_xlfn.XLOOKUP(GL$7,Logistics!$M$6:$BM$6,Logistics!$M$12:$BM$12)))</f>
        <v>0</v>
      </c>
      <c r="GM71" s="199">
        <f>IF(GM$7&gt;$D$3,"",IF($FA69&lt;GM$7,"OD",_xlfn.XLOOKUP(GM$7,Logistics!$M$6:$BM$6,Logistics!$M$12:$BM$12)))</f>
        <v>0</v>
      </c>
      <c r="GN71" s="199">
        <f>IF(GN$7&gt;$D$3,"",IF($FA69&lt;GN$7,"OD",_xlfn.XLOOKUP(GN$7,Logistics!$M$6:$BM$6,Logistics!$M$12:$BM$12)))</f>
        <v>0</v>
      </c>
      <c r="GO71" s="199">
        <f>IF(GO$7&gt;$D$3,"",IF($FA69&lt;GO$7,"OD",_xlfn.XLOOKUP(GO$7,Logistics!$M$6:$BM$6,Logistics!$M$12:$BM$12)))</f>
        <v>0</v>
      </c>
      <c r="GP71" s="199">
        <f>IF(GP$7&gt;$D$3,"",IF($FA69&lt;GP$7,"OD",_xlfn.XLOOKUP(GP$7,Logistics!$M$6:$BM$6,Logistics!$M$12:$BM$12)))</f>
        <v>0</v>
      </c>
      <c r="GQ71" s="199">
        <f>IF(GQ$7&gt;$D$3,"",IF($FA69&lt;GQ$7,"OD",_xlfn.XLOOKUP(GQ$7,Logistics!$M$6:$BM$6,Logistics!$M$12:$BM$12)))</f>
        <v>0</v>
      </c>
      <c r="GR71" s="199">
        <f>IF(GR$7&gt;$D$3,"",IF($FA69&lt;GR$7,"OD",_xlfn.XLOOKUP(GR$7,Logistics!$M$6:$BM$6,Logistics!$M$12:$BM$12)))</f>
        <v>0</v>
      </c>
      <c r="GS71" s="199" t="str">
        <f>IF(GS$7&gt;$D$3,"",IF($FA69&lt;GS$7,"OD",_xlfn.XLOOKUP(GS$7,Logistics!$M$6:$BM$6,Logistics!$M$12:$BM$12)))</f>
        <v/>
      </c>
      <c r="GT71" s="199" t="str">
        <f>IF(GT$7&gt;$D$3,"",IF($FA69&lt;GT$7,"OD",_xlfn.XLOOKUP(GT$7,Logistics!$M$6:$BM$6,Logistics!$M$12:$BM$12)))</f>
        <v/>
      </c>
      <c r="GU71" s="199" t="str">
        <f>IF(GU$7&gt;$D$3,"",IF($FA69&lt;GU$7,"OD",_xlfn.XLOOKUP(GU$7,Logistics!$M$6:$BM$6,Logistics!$M$12:$BM$12)))</f>
        <v/>
      </c>
      <c r="GV71" s="199" t="str">
        <f>IF(GV$7&gt;$D$3,"",IF($FA69&lt;GV$7,"OD",_xlfn.XLOOKUP(GV$7,Logistics!$M$6:$BM$6,Logistics!$M$12:$BM$12)))</f>
        <v/>
      </c>
      <c r="GW71" s="199" t="str">
        <f>IF(GW$7&gt;$D$3,"",IF($FA69&lt;GW$7,"OD",_xlfn.XLOOKUP(GW$7,Logistics!$M$6:$BM$6,Logistics!$M$12:$BM$12)))</f>
        <v/>
      </c>
      <c r="GX71" s="199" t="str">
        <f>IF(GX$7&gt;$D$3,"",IF($FA69&lt;GX$7,"OD",_xlfn.XLOOKUP(GX$7,Logistics!$M$6:$BM$6,Logistics!$M$12:$BM$12)))</f>
        <v/>
      </c>
      <c r="GY71" s="199" t="str">
        <f>IF(GY$7&gt;$D$3,"",IF($FA69&lt;GY$7,"OD",_xlfn.XLOOKUP(GY$7,Logistics!$M$6:$BM$6,Logistics!$M$12:$BM$12)))</f>
        <v/>
      </c>
      <c r="GZ71" s="199" t="str">
        <f>IF(GZ$7&gt;$D$3,"",IF($FA69&lt;GZ$7,"OD",_xlfn.XLOOKUP(GZ$7,Logistics!$M$6:$BM$6,Logistics!$M$12:$BM$12)))</f>
        <v/>
      </c>
      <c r="HA71" s="199" t="str">
        <f>IF(HA$7&gt;$D$3,"",IF($FA69&lt;HA$7,"OD",_xlfn.XLOOKUP(HA$7,Logistics!$M$6:$BM$6,Logistics!$M$12:$BM$12)))</f>
        <v/>
      </c>
      <c r="HB71" s="199" t="str">
        <f>IF(HB$7&gt;$D$3,"",IF($FA69&lt;HB$7,"OD",_xlfn.XLOOKUP(HB$7,Logistics!$M$6:$BM$6,Logistics!$M$12:$BM$12)))</f>
        <v/>
      </c>
      <c r="HC71" s="199" t="str">
        <f>IF(HC$7&gt;$D$3,"",IF($FA69&lt;HC$7,"OD",_xlfn.XLOOKUP(HC$7,Logistics!$M$6:$BM$6,Logistics!$M$12:$BM$12)))</f>
        <v/>
      </c>
      <c r="HE71" s="136" t="str">
        <f>+$C71</f>
        <v>KPI D1</v>
      </c>
      <c r="HF71" s="144" t="str">
        <f>+$D71</f>
        <v>Delivery</v>
      </c>
      <c r="HG71" s="144" t="str">
        <f>+$E71</f>
        <v>Logistics - Delivery - OTIF Group</v>
      </c>
      <c r="HH71" s="145" t="str">
        <f>+$F71</f>
        <v>Percentage</v>
      </c>
      <c r="HI71" s="145" t="s">
        <v>44</v>
      </c>
      <c r="HJ71" s="199" t="str">
        <f>IF(HJ$7&gt;$D$3,"",IF($FA69&lt;HJ$7,"OD",_xlfn.XLOOKUP(HJ$7,Logistics!$M$6:$BM$6,Logistics!$M$11:$BM$11)))</f>
        <v>Blank</v>
      </c>
      <c r="HK71" s="199" t="str">
        <f>IF(HK$7&gt;$D$3,"",IF($FA69&lt;HK$7,"OD",_xlfn.XLOOKUP(HK$7,Logistics!$M$6:$BM$6,Logistics!$M$11:$BM$11)))</f>
        <v>TBC</v>
      </c>
      <c r="HL71" s="199" t="str">
        <f>IF(HL$7&gt;$D$3,"",IF($FA69&lt;HL$7,"OD",_xlfn.XLOOKUP(HL$7,Logistics!$M$6:$BM$6,Logistics!$M$11:$BM$11)))</f>
        <v>TBC</v>
      </c>
      <c r="HM71" s="199" t="str">
        <f>IF(HM$7&gt;$D$3,"",IF($FA69&lt;HM$7,"OD",_xlfn.XLOOKUP(HM$7,Logistics!$M$6:$BM$6,Logistics!$M$11:$BM$11)))</f>
        <v>TBC</v>
      </c>
      <c r="HN71" s="199" t="str">
        <f>IF(HN$7&gt;$D$3,"",IF($FA69&lt;HN$7,"OD",_xlfn.XLOOKUP(HN$7,Logistics!$M$6:$BM$6,Logistics!$M$11:$BM$11)))</f>
        <v>TBC</v>
      </c>
      <c r="HO71" s="199" t="str">
        <f>IF(HO$7&gt;$D$3,"",IF($FA69&lt;HO$7,"OD",_xlfn.XLOOKUP(HO$7,Logistics!$M$6:$BM$6,Logistics!$M$11:$BM$11)))</f>
        <v>TBC</v>
      </c>
      <c r="HP71" s="199" t="str">
        <f>IF(HP$7&gt;$D$3,"",IF($FA69&lt;HP$7,"OD",_xlfn.XLOOKUP(HP$7,Logistics!$M$6:$BM$6,Logistics!$M$11:$BM$11)))</f>
        <v>TBC</v>
      </c>
      <c r="HQ71" s="199" t="str">
        <f>IF(HQ$7&gt;$D$3,"",IF($FA69&lt;HQ$7,"OD",_xlfn.XLOOKUP(HQ$7,Logistics!$M$6:$BM$6,Logistics!$M$11:$BM$11)))</f>
        <v>TBC</v>
      </c>
      <c r="HR71" s="199" t="str">
        <f>IF(HR$7&gt;$D$3,"",IF($FA69&lt;HR$7,"OD",_xlfn.XLOOKUP(HR$7,Logistics!$M$6:$BM$6,Logistics!$M$11:$BM$11)))</f>
        <v>TBC</v>
      </c>
      <c r="HS71" s="199" t="str">
        <f>IF(HS$7&gt;$D$3,"",IF($FA69&lt;HS$7,"OD",_xlfn.XLOOKUP(HS$7,Logistics!$M$6:$BM$6,Logistics!$M$11:$BM$11)))</f>
        <v>TBC</v>
      </c>
      <c r="HT71" s="199" t="str">
        <f>IF(HT$7&gt;$D$3,"",IF($FA69&lt;HT$7,"OD",_xlfn.XLOOKUP(HT$7,Logistics!$M$6:$BM$6,Logistics!$M$11:$BM$11)))</f>
        <v>TBC</v>
      </c>
      <c r="HU71" s="199" t="str">
        <f>IF(HU$7&gt;$D$3,"",IF($FA69&lt;HU$7,"OD",_xlfn.XLOOKUP(HU$7,Logistics!$M$6:$BM$6,Logistics!$M$11:$BM$11)))</f>
        <v>TBC</v>
      </c>
      <c r="HV71" s="199" t="str">
        <f>IF(HV$7&gt;$D$3,"",IF($FA69&lt;HV$7,"OD",_xlfn.XLOOKUP(HV$7,Logistics!$M$6:$BM$6,Logistics!$M$11:$BM$11)))</f>
        <v>TBC</v>
      </c>
      <c r="HW71" s="199">
        <f>IF(HW$7&gt;$D$3,"",IF($FA69&lt;HW$7,"OD",_xlfn.XLOOKUP(HW$7,Logistics!$M$6:$BM$6,Logistics!$M$11:$BM$11)))</f>
        <v>0.95</v>
      </c>
      <c r="HX71" s="199">
        <f>IF(HX$7&gt;$D$3,"",IF($FA69&lt;HX$7,"OD",_xlfn.XLOOKUP(HX$7,Logistics!$M$6:$BM$6,Logistics!$M$11:$BM$11)))</f>
        <v>0.95</v>
      </c>
      <c r="HY71" s="199">
        <f>IF(HY$7&gt;$D$3,"",IF($FA69&lt;HY$7,"OD",_xlfn.XLOOKUP(HY$7,Logistics!$M$6:$BM$6,Logistics!$M$11:$BM$11)))</f>
        <v>0.95</v>
      </c>
      <c r="HZ71" s="199">
        <f>IF(HZ$7&gt;$D$3,"",IF($FA69&lt;HZ$7,"OD",_xlfn.XLOOKUP(HZ$7,Logistics!$M$6:$BM$6,Logistics!$M$11:$BM$11)))</f>
        <v>0.95</v>
      </c>
      <c r="IA71" s="199">
        <f>IF(IA$7&gt;$D$3,"",IF($FA69&lt;IA$7,"OD",_xlfn.XLOOKUP(IA$7,Logistics!$M$6:$BM$6,Logistics!$M$11:$BM$11)))</f>
        <v>0.95</v>
      </c>
      <c r="IB71" s="199">
        <f>IF(IB$7&gt;$D$3,"",IF($FA69&lt;IB$7,"OD",_xlfn.XLOOKUP(IB$7,Logistics!$M$6:$BM$6,Logistics!$M$11:$BM$11)))</f>
        <v>0.95</v>
      </c>
      <c r="IC71" s="199">
        <f>IF(IC$7&gt;$D$3,"",IF($FA69&lt;IC$7,"OD",_xlfn.XLOOKUP(IC$7,Logistics!$M$6:$BM$6,Logistics!$M$11:$BM$11)))</f>
        <v>0.95</v>
      </c>
      <c r="ID71" s="199" t="str">
        <f>IF(ID$7&gt;$D$3,"",IF($FA69&lt;ID$7,"OD",_xlfn.XLOOKUP(ID$7,Logistics!$M$6:$BM$6,Logistics!$M$11:$BM$11)))</f>
        <v>OD</v>
      </c>
      <c r="IE71" s="199" t="str">
        <f>IF(IE$7&gt;$D$3,"",IF($FA69&lt;IE$7,"OD",_xlfn.XLOOKUP(IE$7,Logistics!$M$6:$BM$6,Logistics!$M$11:$BM$11)))</f>
        <v>OD</v>
      </c>
      <c r="IF71" s="199" t="str">
        <f>IF(IF$7&gt;$D$3,"",IF($FA69&lt;IF$7,"OD",_xlfn.XLOOKUP(IF$7,Logistics!$M$6:$BM$6,Logistics!$M$11:$BM$11)))</f>
        <v>OD</v>
      </c>
      <c r="IG71" s="199" t="str">
        <f>IF(IG$7&gt;$D$3,"",IF($FA69&lt;IG$7,"OD",_xlfn.XLOOKUP(IG$7,Logistics!$M$6:$BM$6,Logistics!$M$11:$BM$11)))</f>
        <v>OD</v>
      </c>
      <c r="IH71" s="199" t="str">
        <f>IF(IH$7&gt;$D$3,"",IF($FA69&lt;IH$7,"OD",_xlfn.XLOOKUP(IH$7,Logistics!$M$6:$BM$6,Logistics!$M$11:$BM$11)))</f>
        <v>OD</v>
      </c>
      <c r="II71" s="199" t="str">
        <f>IF(II$7&gt;$D$3,"",IF($FA69&lt;II$7,"OD",_xlfn.XLOOKUP(II$7,Logistics!$M$6:$BM$6,Logistics!$M$11:$BM$11)))</f>
        <v>OD</v>
      </c>
      <c r="IJ71" s="199" t="str">
        <f>IF(IJ$7&gt;$D$3,"",IF($FA69&lt;IJ$7,"OD",_xlfn.XLOOKUP(IJ$7,Logistics!$M$6:$BM$6,Logistics!$M$11:$BM$11)))</f>
        <v>OD</v>
      </c>
      <c r="IK71" s="199">
        <f>IF(IK$7&gt;$D$3,"",IF($FA69&lt;IK$7,"OD",_xlfn.XLOOKUP(IK$7,Logistics!$M$6:$BM$6,Logistics!$M$11:$BM$11)))</f>
        <v>0</v>
      </c>
      <c r="IL71" s="199">
        <f>IF(IL$7&gt;$D$3,"",IF($FA69&lt;IL$7,"OD",_xlfn.XLOOKUP(IL$7,Logistics!$M$6:$BM$6,Logistics!$M$11:$BM$11)))</f>
        <v>0</v>
      </c>
      <c r="IM71" s="199">
        <f>IF(IM$7&gt;$D$3,"",IF($FA69&lt;IM$7,"OD",_xlfn.XLOOKUP(IM$7,Logistics!$M$6:$BM$6,Logistics!$M$11:$BM$11)))</f>
        <v>0</v>
      </c>
      <c r="IN71" s="199">
        <f>IF(IN$7&gt;$D$3,"",IF($FA69&lt;IN$7,"OD",_xlfn.XLOOKUP(IN$7,Logistics!$M$6:$BM$6,Logistics!$M$11:$BM$11)))</f>
        <v>0</v>
      </c>
      <c r="IO71" s="199">
        <f>IF(IO$7&gt;$D$3,"",IF($FA69&lt;IO$7,"OD",_xlfn.XLOOKUP(IO$7,Logistics!$M$6:$BM$6,Logistics!$M$11:$BM$11)))</f>
        <v>0</v>
      </c>
      <c r="IP71" s="199">
        <f>IF(IP$7&gt;$D$3,"",IF($FA69&lt;IP$7,"OD",_xlfn.XLOOKUP(IP$7,Logistics!$M$6:$BM$6,Logistics!$M$11:$BM$11)))</f>
        <v>0</v>
      </c>
      <c r="IQ71" s="199">
        <f>IF(IQ$7&gt;$D$3,"",IF($FA69&lt;IQ$7,"OD",_xlfn.XLOOKUP(IQ$7,Logistics!$M$6:$BM$6,Logistics!$M$11:$BM$11)))</f>
        <v>0</v>
      </c>
      <c r="IR71" s="199">
        <f>IF(IR$7&gt;$D$3,"",IF($FA69&lt;IR$7,"OD",_xlfn.XLOOKUP(IR$7,Logistics!$M$6:$BM$6,Logistics!$M$11:$BM$11)))</f>
        <v>0</v>
      </c>
      <c r="IS71" s="199">
        <f>IF(IS$7&gt;$D$3,"",IF($FA69&lt;IS$7,"OD",_xlfn.XLOOKUP(IS$7,Logistics!$M$6:$BM$6,Logistics!$M$11:$BM$11)))</f>
        <v>0</v>
      </c>
      <c r="IT71" s="199">
        <f>IF(IT$7&gt;$D$3,"",IF($FA69&lt;IT$7,"OD",_xlfn.XLOOKUP(IT$7,Logistics!$M$6:$BM$6,Logistics!$M$11:$BM$11)))</f>
        <v>0</v>
      </c>
      <c r="IU71" s="199">
        <f>IF(IU$7&gt;$D$3,"",IF($FA69&lt;IU$7,"OD",_xlfn.XLOOKUP(IU$7,Logistics!$M$6:$BM$6,Logistics!$M$11:$BM$11)))</f>
        <v>0</v>
      </c>
      <c r="IV71" s="199">
        <f>IF(IV$7&gt;$D$3,"",IF($FA69&lt;IV$7,"OD",_xlfn.XLOOKUP(IV$7,Logistics!$M$6:$BM$6,Logistics!$M$11:$BM$11)))</f>
        <v>0</v>
      </c>
      <c r="IW71" s="199">
        <f>IF(IW$7&gt;$D$3,"",IF($FA69&lt;IW$7,"OD",_xlfn.XLOOKUP(IW$7,Logistics!$M$6:$BM$6,Logistics!$M$11:$BM$11)))</f>
        <v>0</v>
      </c>
      <c r="IX71" s="199">
        <f>IF(IX$7&gt;$D$3,"",IF($FA69&lt;IX$7,"OD",_xlfn.XLOOKUP(IX$7,Logistics!$M$6:$BM$6,Logistics!$M$11:$BM$11)))</f>
        <v>0</v>
      </c>
      <c r="IY71" s="199">
        <f>IF(IY$7&gt;$D$3,"",IF($FA69&lt;IY$7,"OD",_xlfn.XLOOKUP(IY$7,Logistics!$M$6:$BM$6,Logistics!$M$11:$BM$11)))</f>
        <v>0</v>
      </c>
      <c r="IZ71" s="199" t="str">
        <f>IF(IZ$7&gt;$D$3,"",IF($FA69&lt;IZ$7,"OD",_xlfn.XLOOKUP(IZ$7,Logistics!$M$6:$BM$6,Logistics!$M$11:$BM$11)))</f>
        <v/>
      </c>
      <c r="JA71" s="199" t="str">
        <f>IF(JA$7&gt;$D$3,"",IF($FA69&lt;JA$7,"OD",_xlfn.XLOOKUP(JA$7,Logistics!$M$6:$BM$6,Logistics!$M$11:$BM$11)))</f>
        <v/>
      </c>
      <c r="JB71" s="199" t="str">
        <f>IF(JB$7&gt;$D$3,"",IF($FA69&lt;JB$7,"OD",_xlfn.XLOOKUP(JB$7,Logistics!$M$6:$BM$6,Logistics!$M$11:$BM$11)))</f>
        <v/>
      </c>
      <c r="JC71" s="199" t="str">
        <f>IF(JC$7&gt;$D$3,"",IF($FA69&lt;JC$7,"OD",_xlfn.XLOOKUP(JC$7,Logistics!$M$6:$BM$6,Logistics!$M$11:$BM$11)))</f>
        <v/>
      </c>
      <c r="JD71" s="199" t="str">
        <f>IF(JD$7&gt;$D$3,"",IF($FA69&lt;JD$7,"OD",_xlfn.XLOOKUP(JD$7,Logistics!$M$6:$BM$6,Logistics!$M$11:$BM$11)))</f>
        <v/>
      </c>
      <c r="JE71" s="199" t="str">
        <f>IF(JE$7&gt;$D$3,"",IF($FA69&lt;JE$7,"OD",_xlfn.XLOOKUP(JE$7,Logistics!$M$6:$BM$6,Logistics!$M$11:$BM$11)))</f>
        <v/>
      </c>
      <c r="JF71" s="199" t="str">
        <f>IF(JF$7&gt;$D$3,"",IF($FA69&lt;JF$7,"OD",_xlfn.XLOOKUP(JF$7,Logistics!$M$6:$BM$6,Logistics!$M$11:$BM$11)))</f>
        <v/>
      </c>
      <c r="JG71" s="199" t="str">
        <f>IF(JG$7&gt;$D$3,"",IF($FA69&lt;JG$7,"OD",_xlfn.XLOOKUP(JG$7,Logistics!$M$6:$BM$6,Logistics!$M$11:$BM$11)))</f>
        <v/>
      </c>
      <c r="JH71" s="199" t="str">
        <f>IF(JH$7&gt;$D$3,"",IF($FA69&lt;JH$7,"OD",_xlfn.XLOOKUP(JH$7,Logistics!$M$6:$BM$6,Logistics!$M$11:$BM$11)))</f>
        <v/>
      </c>
      <c r="JI71" s="199" t="str">
        <f>IF(JI$7&gt;$D$3,"",IF($FA69&lt;JI$7,"OD",_xlfn.XLOOKUP(JI$7,Logistics!$M$6:$BM$6,Logistics!$M$11:$BM$11)))</f>
        <v/>
      </c>
      <c r="JJ71" s="199" t="str">
        <f>IF(JJ$7&gt;$D$3,"",IF($FA69&lt;JJ$7,"OD",_xlfn.XLOOKUP(JJ$7,Logistics!$M$6:$BM$6,Logistics!$M$11:$BM$11)))</f>
        <v/>
      </c>
      <c r="JM71" s="136" t="str">
        <f>+$C71</f>
        <v>KPI D1</v>
      </c>
      <c r="JN71" s="144" t="str">
        <f>+$D71</f>
        <v>Delivery</v>
      </c>
      <c r="JO71" s="144" t="str">
        <f>+$E71</f>
        <v>Logistics - Delivery - OTIF Group</v>
      </c>
      <c r="JP71" s="145" t="str">
        <f>+$F71</f>
        <v>Percentage</v>
      </c>
      <c r="JQ71" s="145" t="s">
        <v>284</v>
      </c>
      <c r="JR71" s="247" t="str">
        <f>IFERROR(AVERAGE(FC71:$FC71),"")</f>
        <v/>
      </c>
      <c r="JS71" s="247" t="str">
        <f>IFERROR(AVERAGE($FC71:FD71),"")</f>
        <v/>
      </c>
      <c r="JT71" s="247" t="str">
        <f>IFERROR(AVERAGE($FC71:FE71),"")</f>
        <v/>
      </c>
      <c r="JU71" s="247" t="str">
        <f>IFERROR(AVERAGE($FC71:FF71),"")</f>
        <v/>
      </c>
      <c r="JV71" s="247" t="str">
        <f>IFERROR(AVERAGE($FC71:FG71),"")</f>
        <v/>
      </c>
      <c r="JW71" s="247" t="str">
        <f>IFERROR(AVERAGE($FC71:FH71),"")</f>
        <v/>
      </c>
      <c r="JX71" s="247" t="str">
        <f>IFERROR(AVERAGE($FC71:FI71),"")</f>
        <v/>
      </c>
      <c r="JY71" s="247" t="str">
        <f>IFERROR(AVERAGE($FC71:FJ71),"")</f>
        <v/>
      </c>
      <c r="JZ71" s="247" t="str">
        <f>IFERROR(AVERAGE($FC71:FK71),"")</f>
        <v/>
      </c>
      <c r="KA71" s="247" t="str">
        <f>IFERROR(AVERAGE($FC71:FL71),"")</f>
        <v/>
      </c>
      <c r="KB71" s="247" t="str">
        <f>IFERROR(AVERAGE($FC71:FM71),"")</f>
        <v/>
      </c>
      <c r="KC71" s="247" t="str">
        <f>IFERROR(AVERAGE($FC71:FN71),"")</f>
        <v/>
      </c>
      <c r="KD71" s="247" t="str">
        <f>IFERROR(AVERAGE($FC71:FO71),"")</f>
        <v/>
      </c>
      <c r="KE71" s="247">
        <f>IFERROR(AVERAGE($FC71:FP71),"")</f>
        <v>0.88</v>
      </c>
      <c r="KF71" s="247">
        <f>IFERROR(AVERAGE($FC71:FQ71),"")</f>
        <v>0.89200000000000002</v>
      </c>
      <c r="KG71" s="247">
        <f>IFERROR(AVERAGE($FC71:FR71),"")</f>
        <v>0.90466666666666662</v>
      </c>
      <c r="KH71" s="247">
        <f>IFERROR(AVERAGE($FC71:FS71),"")</f>
        <v>0.91100000000000003</v>
      </c>
      <c r="KI71" s="247">
        <f>IFERROR(AVERAGE($FC71:FT71),"")</f>
        <v>0.89680000000000004</v>
      </c>
      <c r="KJ71" s="247">
        <f>IFERROR(AVERAGE($FC71:FU71),"")</f>
        <v>0.8656666666666667</v>
      </c>
      <c r="KK71" s="247">
        <f>IFERROR(AVERAGE($FC71:FV71),"")</f>
        <v>0.86199999999999999</v>
      </c>
      <c r="KL71" s="247">
        <f>IFERROR(AVERAGE($FC71:FW71),"")</f>
        <v>0.86199999999999999</v>
      </c>
      <c r="KM71" s="247">
        <f>IFERROR(AVERAGE($FC71:FX71),"")</f>
        <v>0.86199999999999999</v>
      </c>
      <c r="KN71" s="247">
        <f>IFERROR(AVERAGE($FC71:FY71),"")</f>
        <v>0.86199999999999999</v>
      </c>
      <c r="KO71" s="247">
        <f>IFERROR(AVERAGE($FC71:FZ71),"")</f>
        <v>0.86199999999999999</v>
      </c>
      <c r="KP71" s="247">
        <f>IFERROR(AVERAGE($FC71:GA71),"")</f>
        <v>0.86199999999999999</v>
      </c>
      <c r="KQ71" s="247">
        <f>IFERROR(AVERAGE($FC71:GB71),"")</f>
        <v>0.86199999999999999</v>
      </c>
      <c r="KR71" s="247">
        <f>IFERROR(AVERAGE($FC71:GC71),"")</f>
        <v>0.86199999999999999</v>
      </c>
      <c r="KS71" s="247">
        <f>IFERROR(AVERAGE($FC71:GD71),"")</f>
        <v>0.86199999999999999</v>
      </c>
      <c r="KT71" s="247">
        <f>IFERROR(AVERAGE($FC71:GE71),"")</f>
        <v>0.86199999999999999</v>
      </c>
      <c r="KU71" s="247">
        <f>IFERROR(AVERAGE($FC71:GF71),"")</f>
        <v>0.86199999999999999</v>
      </c>
      <c r="KV71" s="247">
        <f>IFERROR(AVERAGE($FC71:GG71),"")</f>
        <v>0.86199999999999999</v>
      </c>
      <c r="KW71" s="247">
        <f>IFERROR(AVERAGE($FC71:GH71),"")</f>
        <v>0.86199999999999999</v>
      </c>
      <c r="KX71" s="247">
        <f>IFERROR(AVERAGE($FC71:GI71),"")</f>
        <v>0.86199999999999999</v>
      </c>
      <c r="KY71" s="247">
        <f>IFERROR(AVERAGE($FC71:GJ71),"")</f>
        <v>0.75424999999999998</v>
      </c>
      <c r="KZ71" s="247">
        <f>IFERROR(AVERAGE($FC71:GK71),"")</f>
        <v>0.6704444444444444</v>
      </c>
      <c r="LA71" s="247">
        <f>IFERROR(AVERAGE($FC71:GL71),"")</f>
        <v>0.60339999999999994</v>
      </c>
      <c r="LB71" s="247">
        <f>IFERROR(AVERAGE($FC71:GM71),"")</f>
        <v>0.54854545454545456</v>
      </c>
      <c r="LC71" s="247">
        <f>IFERROR(AVERAGE($FC71:GN71),"")</f>
        <v>0.50283333333333335</v>
      </c>
      <c r="LD71" s="247">
        <f>IFERROR(AVERAGE($FC71:GO71),"")</f>
        <v>0.46415384615384614</v>
      </c>
      <c r="LE71" s="247">
        <f>IFERROR(AVERAGE($FC71:GP71),"")</f>
        <v>0.43099999999999999</v>
      </c>
      <c r="LF71" s="247">
        <f>IFERROR(AVERAGE($FC71:GQ71),"")</f>
        <v>0.40226666666666666</v>
      </c>
      <c r="LG71" s="247">
        <f>IFERROR(AVERAGE($FC71:GR71),"")</f>
        <v>0.37712499999999999</v>
      </c>
      <c r="LH71" s="247">
        <f>IFERROR(AVERAGE($FC71:GS71),"")</f>
        <v>0.37712499999999999</v>
      </c>
      <c r="LI71" s="247">
        <f>IFERROR(AVERAGE($FC71:GT71),"")</f>
        <v>0.37712499999999999</v>
      </c>
      <c r="LJ71" s="247">
        <f>IFERROR(AVERAGE($FC71:GU71),"")</f>
        <v>0.37712499999999999</v>
      </c>
      <c r="LK71" s="247">
        <f>IFERROR(AVERAGE($FC71:GV71),"")</f>
        <v>0.37712499999999999</v>
      </c>
      <c r="LL71" s="247">
        <f>IFERROR(AVERAGE($FC71:GW71),"")</f>
        <v>0.37712499999999999</v>
      </c>
      <c r="LM71" s="247">
        <f>IFERROR(AVERAGE($FC71:GX71),"")</f>
        <v>0.37712499999999999</v>
      </c>
      <c r="LN71" s="247">
        <f>IFERROR(AVERAGE($FC71:GY71),"")</f>
        <v>0.37712499999999999</v>
      </c>
      <c r="LO71" s="247">
        <f>IFERROR(AVERAGE($FC71:GZ71),"")</f>
        <v>0.37712499999999999</v>
      </c>
      <c r="LP71" s="247">
        <f>IFERROR(AVERAGE($FC71:HA71),"")</f>
        <v>0.37712499999999999</v>
      </c>
      <c r="LQ71" s="247">
        <f>IFERROR(AVERAGE($FC71:HB71),"")</f>
        <v>0.37712499999999999</v>
      </c>
      <c r="LR71" s="247">
        <f>IFERROR(AVERAGE($FC71:HC71),"")</f>
        <v>0.37712499999999999</v>
      </c>
      <c r="LT71" s="136" t="str">
        <f>+$C71</f>
        <v>KPI D1</v>
      </c>
      <c r="LU71" s="144" t="str">
        <f>+$D71</f>
        <v>Delivery</v>
      </c>
      <c r="LV71" s="144" t="str">
        <f>+$E71</f>
        <v>Logistics - Delivery - OTIF Group</v>
      </c>
      <c r="LW71" s="145" t="str">
        <f>+$F71</f>
        <v>Percentage</v>
      </c>
      <c r="LX71" s="145" t="s">
        <v>285</v>
      </c>
      <c r="LY71" s="199" t="str">
        <f>IFERROR(AVERAGE($HJ71:HJ71),"")</f>
        <v/>
      </c>
      <c r="LZ71" s="199" t="str">
        <f>IFERROR(IF(LAD$7&gt;$D$3,"",AVERAGE($HJ71:HK71)),"")</f>
        <v/>
      </c>
      <c r="MA71" s="199" t="str">
        <f>IFERROR(IF(MA$7&gt;$D$3,"",AVERAGE($HJ71:HL71)),"")</f>
        <v/>
      </c>
      <c r="MB71" s="199" t="str">
        <f>IFERROR(IF(MB$7&gt;$D$3,"",AVERAGE($HJ71:HM71)),"")</f>
        <v/>
      </c>
      <c r="MC71" s="199" t="str">
        <f>IFERROR(IF(MC$7&gt;$D$3,"",AVERAGE($HJ71:HN71)),"")</f>
        <v/>
      </c>
      <c r="MD71" s="199" t="str">
        <f>IFERROR(IF(MD$7&gt;$D$3,"",AVERAGE($HJ71:HO71)),"")</f>
        <v/>
      </c>
      <c r="ME71" s="199" t="str">
        <f>IFERROR(IF(ME$7&gt;$D$3,"",AVERAGE($HJ71:HP71)),"")</f>
        <v/>
      </c>
      <c r="MF71" s="199" t="str">
        <f>IFERROR(IF(MF$7&gt;$D$3,"",AVERAGE($HJ71:HQ71)),"")</f>
        <v/>
      </c>
      <c r="MG71" s="199" t="str">
        <f>IFERROR(IF(MG$7&gt;$D$3,"",AVERAGE($HJ71:HR71)),"")</f>
        <v/>
      </c>
      <c r="MH71" s="199" t="str">
        <f>IFERROR(IF(MH$7&gt;$D$3,"",AVERAGE($HJ71:HS71)),"")</f>
        <v/>
      </c>
      <c r="MI71" s="199" t="str">
        <f>IFERROR(IF(MI$7&gt;$D$3,"",AVERAGE($HJ71:HT71)),"")</f>
        <v/>
      </c>
      <c r="MJ71" s="199" t="str">
        <f>IFERROR(IF(MJ$7&gt;$D$3,"",AVERAGE($HJ71:HU71)),"")</f>
        <v/>
      </c>
      <c r="MK71" s="199" t="str">
        <f>IFERROR(IF(MK$7&gt;$D$3,"",AVERAGE($HJ71:HV71)),"")</f>
        <v/>
      </c>
      <c r="ML71" s="199">
        <f>IFERROR(IF(ML$7&gt;$D$3,"",AVERAGE($HJ71:HW71)),"")</f>
        <v>0.95</v>
      </c>
      <c r="MM71" s="199">
        <f>IFERROR(IF(MM$7&gt;$D$3,"",AVERAGE($HJ71:HX71)),"")</f>
        <v>0.95</v>
      </c>
      <c r="MN71" s="199">
        <f>IFERROR(IF(MN$7&gt;$D$3,"",AVERAGE($HJ71:HY71)),"")</f>
        <v>0.94999999999999984</v>
      </c>
      <c r="MO71" s="199">
        <f>IFERROR(IF(MO$7&gt;$D$3,"",AVERAGE($HJ71:HZ71)),"")</f>
        <v>0.95</v>
      </c>
      <c r="MP71" s="199">
        <f>IFERROR(IF(MP$7&gt;$D$3,"",AVERAGE($HJ71:IA71)),"")</f>
        <v>0.95</v>
      </c>
      <c r="MQ71" s="199">
        <f>IFERROR(IF(MQ$7&gt;$D$3,"",AVERAGE($HJ71:IB71)),"")</f>
        <v>0.95000000000000007</v>
      </c>
      <c r="MR71" s="199">
        <f>IFERROR(IF(MR$7&gt;$D$3,"",AVERAGE($HJ71:IC71)),"")</f>
        <v>0.95000000000000007</v>
      </c>
      <c r="MS71" s="199">
        <f>IFERROR(IF(MS$7&gt;$D$3,"",AVERAGE($HJ71:ID71)),"")</f>
        <v>0.95000000000000007</v>
      </c>
      <c r="MT71" s="199">
        <f>IFERROR(IF(MT$7&gt;$D$3,"",AVERAGE($HJ71:IE71)),"")</f>
        <v>0.95000000000000007</v>
      </c>
      <c r="MU71" s="199">
        <f>IFERROR(IF(MU$7&gt;$D$3,"",AVERAGE($HJ71:IF71)),"")</f>
        <v>0.95000000000000007</v>
      </c>
      <c r="MV71" s="199">
        <f>IFERROR(IF(MV$7&gt;$D$3,"",AVERAGE($HJ71:IG71)),"")</f>
        <v>0.95000000000000007</v>
      </c>
      <c r="MW71" s="199">
        <f>IFERROR(IF(MW$7&gt;$D$3,"",AVERAGE($HJ71:IH71)),"")</f>
        <v>0.95000000000000007</v>
      </c>
      <c r="MX71" s="199">
        <f>IFERROR(IF(MX$7&gt;$D$3,"",AVERAGE($HJ71:II71)),"")</f>
        <v>0.95000000000000007</v>
      </c>
      <c r="MY71" s="199">
        <f>IFERROR(IF(MY$7&gt;$D$3,"",AVERAGE($HJ71:IJ71)),"")</f>
        <v>0.95000000000000007</v>
      </c>
      <c r="MZ71" s="199">
        <f>IFERROR(IF(MZ$7&gt;$D$3,"",AVERAGE($HJ71:IK71)),"")</f>
        <v>0.83125000000000004</v>
      </c>
      <c r="NA71" s="199">
        <f>IFERROR(IF(NA$7&gt;$D$3,"",AVERAGE($HJ71:IL71)),"")</f>
        <v>0.73888888888888893</v>
      </c>
      <c r="NB71" s="199">
        <f>IFERROR(IF(NB$7&gt;$D$3,"",AVERAGE($HJ71:IM71)),"")</f>
        <v>0.66500000000000004</v>
      </c>
      <c r="NC71" s="199">
        <f>IFERROR(IF(NC$7&gt;$D$3,"",AVERAGE($HJ71:IN71)),"")</f>
        <v>0.60454545454545461</v>
      </c>
      <c r="ND71" s="199">
        <f>IFERROR(IF(ND$7&gt;$D$3,"",AVERAGE($HJ71:IO71)),"")</f>
        <v>0.5541666666666667</v>
      </c>
      <c r="NE71" s="199">
        <f>IFERROR(IF(NE$7&gt;$D$3,"",AVERAGE($HJ71:IP71)),"")</f>
        <v>0.51153846153846161</v>
      </c>
      <c r="NF71" s="199">
        <f>IFERROR(IF(NF$7&gt;$D$3,"",AVERAGE($HJ71:IQ71)),"")</f>
        <v>0.47500000000000003</v>
      </c>
      <c r="NG71" s="199">
        <f>IFERROR(IF(NG$7&gt;$D$3,"",AVERAGE($HJ71:IR71)),"")</f>
        <v>0.44333333333333336</v>
      </c>
      <c r="NH71" s="199">
        <f>IFERROR(IF(NH$7&gt;$D$3,"",AVERAGE($HJ71:IS71)),"")</f>
        <v>0.41562500000000002</v>
      </c>
      <c r="NI71" s="199">
        <f>IFERROR(IF(NI$7&gt;$D$3,"",AVERAGE($HJ71:IT71)),"")</f>
        <v>0.39117647058823529</v>
      </c>
      <c r="NJ71" s="199">
        <f>IFERROR(IF(NJ$7&gt;$D$3,"",AVERAGE($HJ71:IU71)),"")</f>
        <v>0.36944444444444446</v>
      </c>
      <c r="NK71" s="199">
        <f>IFERROR(IF(NK$7&gt;$D$3,"",AVERAGE($HJ71:IV71)),"")</f>
        <v>0.35000000000000003</v>
      </c>
      <c r="NL71" s="199">
        <f>IFERROR(IF(NL$7&gt;$D$3,"",AVERAGE($HJ71:IW71)),"")</f>
        <v>0.33250000000000002</v>
      </c>
      <c r="NM71" s="199">
        <f>IFERROR(IF(NM$7&gt;$D$3,"",AVERAGE($HJ71:IX71)),"")</f>
        <v>0.31666666666666671</v>
      </c>
      <c r="NN71" s="199">
        <f>IFERROR(IF(NN$7&gt;$D$3,"",AVERAGE($HJ71:IY71)),"")</f>
        <v>0.3022727272727273</v>
      </c>
      <c r="NO71" s="199" t="str">
        <f>IFERROR(IF(NO$7&gt;$D$3,"",AVERAGE($HJ71:IZ71)),"")</f>
        <v/>
      </c>
      <c r="NP71" s="199" t="str">
        <f>IFERROR(IF(NP$7&gt;$D$3,"",AVERAGE($HJ71:JA71)),"")</f>
        <v/>
      </c>
      <c r="NQ71" s="199" t="str">
        <f>IFERROR(IF(NQ$7&gt;$D$3,"",AVERAGE($HJ71:JB71)),"")</f>
        <v/>
      </c>
      <c r="NR71" s="199" t="str">
        <f>IFERROR(IF(NR$7&gt;$D$3,"",AVERAGE($HJ71:JC71)),"")</f>
        <v/>
      </c>
      <c r="NS71" s="199" t="str">
        <f>IFERROR(IF(NS$7&gt;$D$3,"",AVERAGE($HJ71:JD71)),"")</f>
        <v/>
      </c>
      <c r="NT71" s="199" t="str">
        <f>IFERROR(IF(NT$7&gt;$D$3,"",AVERAGE($HJ71:JE71)),"")</f>
        <v/>
      </c>
      <c r="NU71" s="199" t="str">
        <f>IFERROR(IF(NU$7&gt;$D$3,"",AVERAGE($HJ71:JF71)),"")</f>
        <v/>
      </c>
      <c r="NV71" s="199" t="str">
        <f>IFERROR(IF(NV$7&gt;$D$3,"",AVERAGE($HJ71:JG71)),"")</f>
        <v/>
      </c>
      <c r="NW71" s="199" t="str">
        <f>IFERROR(IF(NW$7&gt;$D$3,"",AVERAGE($HJ71:JH71)),"")</f>
        <v/>
      </c>
      <c r="NX71" s="199" t="str">
        <f>IFERROR(IF(NX$7&gt;$D$3,"",AVERAGE($HJ71:JI71)),"")</f>
        <v/>
      </c>
      <c r="NY71" s="199" t="str">
        <f>IFERROR(IF(NY$7&gt;$D$3,"",AVERAGE($HJ71:JJ71)),"")</f>
        <v/>
      </c>
    </row>
    <row r="72" spans="1:389" x14ac:dyDescent="0.3">
      <c r="A72" t="str">
        <f>$B$69&amp;"-"&amp;C72</f>
        <v>Logistics-KPI Q1</v>
      </c>
      <c r="B72" s="918">
        <f>+'KPI Stats'!B71</f>
        <v>0</v>
      </c>
      <c r="C72" s="136" t="str">
        <f>+'KPI Stats'!C71</f>
        <v>KPI Q1</v>
      </c>
      <c r="D72" s="144" t="str">
        <f>+'KPI Stats'!D71</f>
        <v>Quality</v>
      </c>
      <c r="E72" s="144" t="str">
        <f>+'KPI Stats'!E71</f>
        <v>Transport Complaints</v>
      </c>
      <c r="F72" s="145" t="str">
        <f>+'KPI Stats'!F71</f>
        <v>Count</v>
      </c>
      <c r="G72" s="169" t="str">
        <f>+'KPI Stats'!G71</f>
        <v>Over</v>
      </c>
      <c r="J72" s="69" t="str">
        <f>_xlfn.XLOOKUP(J$7,$AM$7:$CM$7,$AM72:$CM72,,FALSE)</f>
        <v>OD</v>
      </c>
      <c r="K72" s="264">
        <f>_xlfn.XLOOKUP(K$7,$FC$7:$HC$7,$FC72:$HC72,,FALSE)</f>
        <v>0</v>
      </c>
      <c r="L72" s="278">
        <f>_xlfn.XLOOKUP(L$7,$HJ$7:$JJ$7,$HJ72:$JJ72,,FALSE)</f>
        <v>0</v>
      </c>
      <c r="M72" s="275" t="str">
        <f>_xlfn.XLOOKUP(M$7,$CU$7:$EU$7,$CU72:$EU72,,FALSE)</f>
        <v>OD</v>
      </c>
      <c r="P72" s="69" t="str">
        <f>_xlfn.XLOOKUP(P$7,$AM$7:$CM$7,$AM72:$CM72,,FALSE)</f>
        <v>OD</v>
      </c>
      <c r="Q72" s="264">
        <f t="shared" si="227"/>
        <v>0</v>
      </c>
      <c r="R72" s="278">
        <f t="shared" si="227"/>
        <v>0</v>
      </c>
      <c r="S72" s="288" t="str">
        <f t="shared" si="228"/>
        <v>OD</v>
      </c>
      <c r="T72" s="265" t="str">
        <f t="shared" si="228"/>
        <v>OD</v>
      </c>
      <c r="U72" s="295" t="str">
        <f>IF(F69&lt;$R$2,"Not Complete",IF(Q72=R72,"Same −",IF($G72="Over",IF(Q72&lt;R72,"Better ↑","Worse ↓"),IF($G72="Under",IF(Q72&gt;R72,"Better ↑","Worse ↓"),"err"))))</f>
        <v>Same −</v>
      </c>
      <c r="X72" s="69" t="e">
        <f t="shared" si="229"/>
        <v>#DIV/0!</v>
      </c>
      <c r="Y72" s="114">
        <f>_xlfn.XLOOKUP(Y$7,$JR$7:$LR$7,$JR72:$LR72,FALSE)</f>
        <v>0</v>
      </c>
      <c r="Z72" s="114">
        <f>_xlfn.XLOOKUP(Z$7,$LY$7:$NY$7,$LY72:$NY72,FALSE)</f>
        <v>0.43863636363636366</v>
      </c>
      <c r="AA72" s="252" t="e">
        <f>IF(G72="Undefined","",IF(G72="under",Y72/Z72,IF(G72="over",Z72/Y72,"err")))</f>
        <v>#DIV/0!</v>
      </c>
      <c r="AB72" s="295" t="str">
        <f>IF(F69&lt;$R$2,"TBC",IF(Y72=Z72,"Same −",IF($G72="Over",IF(Z72&lt;Y72,"Better ↑ ","Worse ↓ "),IF($G72="Under",IF(Y72&gt;Z72,"Better ↑ ","Worse ↓ "),"err"))))</f>
        <v xml:space="preserve">Worse ↓ </v>
      </c>
      <c r="AC72" s="69" t="e">
        <f>IF(AND(G72="above adero",AD72&gt;0),"R",IF(AF72&gt;1,"G",IF(AF72&gt;0.95,"A","R")))</f>
        <v>#DIV/0!</v>
      </c>
      <c r="AD72" s="114">
        <f>_xlfn.XLOOKUP(AD$7,$JR$7:$LR$7,$JR72:$LR72,FALSE)</f>
        <v>0</v>
      </c>
      <c r="AE72" s="114">
        <f>_xlfn.XLOOKUP(AE$7,$LY$7:$NY$7,$LY72:$NY72,FALSE)</f>
        <v>0.45952380952380956</v>
      </c>
      <c r="AF72" s="252" t="e">
        <f t="shared" si="230"/>
        <v>#DIV/0!</v>
      </c>
      <c r="AH72" s="465" t="str">
        <f>+$A72</f>
        <v>Logistics-KPI Q1</v>
      </c>
      <c r="AI72" s="136" t="str">
        <f t="shared" si="231"/>
        <v>KPI Q1</v>
      </c>
      <c r="AJ72" s="144" t="str">
        <f t="shared" si="231"/>
        <v>Quality</v>
      </c>
      <c r="AK72" s="144" t="str">
        <f t="shared" si="216"/>
        <v>Transport Complaints</v>
      </c>
      <c r="AL72" s="145" t="str">
        <f t="shared" si="216"/>
        <v>Count</v>
      </c>
      <c r="AM72" s="69" t="str">
        <f>IF(AM$7&gt;$D$3,"",_xlfn.XLOOKUP(AM$7,Logistics!$M$6:$BM$6,Logistics!$M$16:$BM$16))</f>
        <v>Blank</v>
      </c>
      <c r="AN72" s="199" t="str">
        <f>IF(AN$7&gt;$D$3,"",_xlfn.XLOOKUP(AN$7,Logistics!$M$6:$BM$6,Logistics!$M$16:$BM$16))</f>
        <v>Missed</v>
      </c>
      <c r="AO72" s="69" t="str">
        <f>IF(AO$7&gt;$D$3,"",_xlfn.XLOOKUP(AO$7,Logistics!$M$6:$BM$6,Logistics!$M$16:$BM$16))</f>
        <v>Missed</v>
      </c>
      <c r="AP72" s="69" t="str">
        <f>IF(AP$7&gt;$D$3,"",_xlfn.XLOOKUP(AP$7,Logistics!$M$6:$BM$6,Logistics!$M$16:$BM$16))</f>
        <v>Missed</v>
      </c>
      <c r="AQ72" s="69" t="str">
        <f>IF(AQ$7&gt;$D$3,"",_xlfn.XLOOKUP(AQ$7,Logistics!$M$6:$BM$6,Logistics!$M$16:$BM$16))</f>
        <v>Missed</v>
      </c>
      <c r="AR72" s="69" t="str">
        <f>IF(AR$7&gt;$D$3,"",_xlfn.XLOOKUP(AR$7,Logistics!$M$6:$BM$6,Logistics!$M$16:$BM$16))</f>
        <v>Missed</v>
      </c>
      <c r="AS72" s="69" t="str">
        <f>IF(AS$7&gt;$D$3,"",_xlfn.XLOOKUP(AS$7,Logistics!$M$6:$BM$6,Logistics!$M$16:$BM$16))</f>
        <v>Missed</v>
      </c>
      <c r="AT72" s="69" t="str">
        <f>IF(AT$7&gt;$D$3,"",_xlfn.XLOOKUP(AT$7,Logistics!$M$6:$BM$6,Logistics!$M$16:$BM$16))</f>
        <v>Missed</v>
      </c>
      <c r="AU72" s="69" t="str">
        <f>IF(AU$7&gt;$D$3,"",_xlfn.XLOOKUP(AU$7,Logistics!$M$6:$BM$6,Logistics!$M$16:$BM$16))</f>
        <v>Missed</v>
      </c>
      <c r="AV72" s="69" t="str">
        <f>IF(AV$7&gt;$D$3,"",_xlfn.XLOOKUP(AV$7,Logistics!$M$6:$BM$6,Logistics!$M$16:$BM$16))</f>
        <v>Missed</v>
      </c>
      <c r="AW72" s="69" t="str">
        <f>IF(AW$7&gt;$D$3,"",_xlfn.XLOOKUP(AW$7,Logistics!$M$6:$BM$6,Logistics!$M$16:$BM$16))</f>
        <v>Missed</v>
      </c>
      <c r="AX72" s="69" t="str">
        <f>IF(AX$7&gt;$D$3,"",_xlfn.XLOOKUP(AX$7,Logistics!$M$6:$BM$6,Logistics!$M$16:$BM$16))</f>
        <v>Missed</v>
      </c>
      <c r="AY72" s="69" t="str">
        <f>IF(AY$7&gt;$D$3,"",_xlfn.XLOOKUP(AY$7,Logistics!$M$6:$BM$6,Logistics!$M$16:$BM$16))</f>
        <v>Missed</v>
      </c>
      <c r="AZ72" s="69" t="str">
        <f>IF(AZ$7&gt;$D$3,"",_xlfn.XLOOKUP(AZ$7,Logistics!$M$6:$BM$6,Logistics!$M$16:$BM$16))</f>
        <v>Missed</v>
      </c>
      <c r="BA72" s="69" t="str">
        <f>IF(BA$7&gt;$D$3,"",_xlfn.XLOOKUP(BA$7,Logistics!$M$6:$BM$6,Logistics!$M$16:$BM$16))</f>
        <v>Missed</v>
      </c>
      <c r="BB72" s="69" t="str">
        <f>IF(BB$7&gt;$D$3,"",_xlfn.XLOOKUP(BB$7,Logistics!$M$6:$BM$6,Logistics!$M$16:$BM$16))</f>
        <v>Missed</v>
      </c>
      <c r="BC72" s="69" t="str">
        <f>IF(BC$7&gt;$D$3,"",_xlfn.XLOOKUP(BC$7,Logistics!$M$6:$BM$6,Logistics!$M$16:$BM$16))</f>
        <v>Missed</v>
      </c>
      <c r="BD72" s="69" t="str">
        <f>IF(BD$7&gt;$D$3,"",_xlfn.XLOOKUP(BD$7,Logistics!$M$6:$BM$6,Logistics!$M$16:$BM$16))</f>
        <v>Missed</v>
      </c>
      <c r="BE72" s="69" t="str">
        <f>IF(BE$7&gt;$D$3,"",_xlfn.XLOOKUP(BE$7,Logistics!$M$6:$BM$6,Logistics!$M$16:$BM$16))</f>
        <v>Missed</v>
      </c>
      <c r="BF72" s="69" t="str">
        <f>IF(BF$7&gt;$D$3,"",_xlfn.XLOOKUP(BF$7,Logistics!$M$6:$BM$6,Logistics!$M$16:$BM$16))</f>
        <v>Missed</v>
      </c>
      <c r="BG72" s="69" t="str">
        <f>IF(BG$7&gt;$D$3,"",_xlfn.XLOOKUP(BG$7,Logistics!$M$6:$BM$6,Logistics!$M$16:$BM$16))</f>
        <v>Missed</v>
      </c>
      <c r="BH72" s="69" t="str">
        <f>IF(BH$7&gt;$D$3,"",_xlfn.XLOOKUP(BH$7,Logistics!$M$6:$BM$6,Logistics!$M$16:$BM$16))</f>
        <v>Missed</v>
      </c>
      <c r="BI72" s="69" t="str">
        <f>IF(BI$7&gt;$D$3,"",_xlfn.XLOOKUP(BI$7,Logistics!$M$6:$BM$6,Logistics!$M$16:$BM$16))</f>
        <v>Missed</v>
      </c>
      <c r="BJ72" s="69" t="str">
        <f>IF(BJ$7&gt;$D$3,"",_xlfn.XLOOKUP(BJ$7,Logistics!$M$6:$BM$6,Logistics!$M$16:$BM$16))</f>
        <v>Missed</v>
      </c>
      <c r="BK72" s="69" t="str">
        <f>IF(BK$7&gt;$D$3,"",_xlfn.XLOOKUP(BK$7,Logistics!$M$6:$BM$6,Logistics!$M$16:$BM$16))</f>
        <v>Missed</v>
      </c>
      <c r="BL72" s="69" t="str">
        <f>IF(BL$7&gt;$D$3,"",_xlfn.XLOOKUP(BL$7,Logistics!$M$6:$BM$6,Logistics!$M$16:$BM$16))</f>
        <v>Missed</v>
      </c>
      <c r="BM72" s="69" t="str">
        <f>IF(BM$7&gt;$D$3,"",_xlfn.XLOOKUP(BM$7,Logistics!$M$6:$BM$6,Logistics!$M$16:$BM$16))</f>
        <v>Missed</v>
      </c>
      <c r="BN72" s="69" t="str">
        <f>IF(BN$7&gt;$D$3,"",_xlfn.XLOOKUP(BN$7,Logistics!$M$6:$BM$6,Logistics!$M$16:$BM$16))</f>
        <v>Missed</v>
      </c>
      <c r="BO72" s="69" t="str">
        <f>IF(BO$7&gt;$D$3,"",_xlfn.XLOOKUP(BO$7,Logistics!$M$6:$BM$6,Logistics!$M$16:$BM$16))</f>
        <v>Missed</v>
      </c>
      <c r="BP72" s="69" t="str">
        <f>IF(BP$7&gt;$D$3,"",_xlfn.XLOOKUP(BP$7,Logistics!$M$6:$BM$6,Logistics!$M$16:$BM$16))</f>
        <v>Missed</v>
      </c>
      <c r="BQ72" s="69" t="str">
        <f>IF(BQ$7&gt;$D$3,"",_xlfn.XLOOKUP(BQ$7,Logistics!$M$6:$BM$6,Logistics!$M$16:$BM$16))</f>
        <v>Missed</v>
      </c>
      <c r="BR72" s="69" t="str">
        <f>IF(BR$7&gt;$D$3,"",_xlfn.XLOOKUP(BR$7,Logistics!$M$6:$BM$6,Logistics!$M$16:$BM$16))</f>
        <v>Missed</v>
      </c>
      <c r="BS72" s="69" t="str">
        <f>IF(BS$7&gt;$D$3,"",_xlfn.XLOOKUP(BS$7,Logistics!$M$6:$BM$6,Logistics!$M$16:$BM$16))</f>
        <v>Missed</v>
      </c>
      <c r="BT72" s="69" t="str">
        <f>IF(BT$7&gt;$D$3,"",_xlfn.XLOOKUP(BT$7,Logistics!$M$6:$BM$6,Logistics!$M$16:$BM$16))</f>
        <v>Missed</v>
      </c>
      <c r="BU72" s="69" t="str">
        <f>IF(BU$7&gt;$D$3,"",_xlfn.XLOOKUP(BU$7,Logistics!$M$6:$BM$6,Logistics!$M$16:$BM$16))</f>
        <v>Missed</v>
      </c>
      <c r="BV72" s="69" t="str">
        <f>IF(BV$7&gt;$D$3,"",_xlfn.XLOOKUP(BV$7,Logistics!$M$6:$BM$6,Logistics!$M$16:$BM$16))</f>
        <v>G</v>
      </c>
      <c r="BW72" s="69" t="str">
        <f>IF(BW$7&gt;$D$3,"",_xlfn.XLOOKUP(BW$7,Logistics!$M$6:$BM$6,Logistics!$M$16:$BM$16))</f>
        <v>G</v>
      </c>
      <c r="BX72" s="69" t="str">
        <f>IF(BX$7&gt;$D$3,"",_xlfn.XLOOKUP(BX$7,Logistics!$M$6:$BM$6,Logistics!$M$16:$BM$16))</f>
        <v>G</v>
      </c>
      <c r="BY72" s="69" t="str">
        <f>IF(BY$7&gt;$D$3,"",_xlfn.XLOOKUP(BY$7,Logistics!$M$6:$BM$6,Logistics!$M$16:$BM$16))</f>
        <v>OD</v>
      </c>
      <c r="BZ72" s="69" t="str">
        <f>IF(BZ$7&gt;$D$3,"",_xlfn.XLOOKUP(BZ$7,Logistics!$M$6:$BM$6,Logistics!$M$16:$BM$16))</f>
        <v>OD</v>
      </c>
      <c r="CA72" s="69" t="str">
        <f>IF(CA$7&gt;$D$3,"",_xlfn.XLOOKUP(CA$7,Logistics!$M$6:$BM$6,Logistics!$M$16:$BM$16))</f>
        <v>OD</v>
      </c>
      <c r="CB72" s="69" t="str">
        <f>IF(CB$7&gt;$D$3,"",_xlfn.XLOOKUP(CB$7,Logistics!$M$6:$BM$6,Logistics!$M$16:$BM$16))</f>
        <v>OD</v>
      </c>
      <c r="CC72" s="69" t="str">
        <f>IF(CC$7&gt;$D$3,"",_xlfn.XLOOKUP(CC$7,Logistics!$M$6:$BM$6,Logistics!$M$16:$BM$16))</f>
        <v/>
      </c>
      <c r="CD72" s="69" t="str">
        <f>IF(CD$7&gt;$D$3,"",_xlfn.XLOOKUP(CD$7,Logistics!$M$6:$BM$6,Logistics!$M$16:$BM$16))</f>
        <v/>
      </c>
      <c r="CE72" s="69" t="str">
        <f>IF(CE$7&gt;$D$3,"",_xlfn.XLOOKUP(CE$7,Logistics!$M$6:$BM$6,Logistics!$M$16:$BM$16))</f>
        <v/>
      </c>
      <c r="CF72" s="69" t="str">
        <f>IF(CF$7&gt;$D$3,"",_xlfn.XLOOKUP(CF$7,Logistics!$M$6:$BM$6,Logistics!$M$16:$BM$16))</f>
        <v/>
      </c>
      <c r="CG72" s="69" t="str">
        <f>IF(CG$7&gt;$D$3,"",_xlfn.XLOOKUP(CG$7,Logistics!$M$6:$BM$6,Logistics!$M$16:$BM$16))</f>
        <v/>
      </c>
      <c r="CH72" s="69" t="str">
        <f>IF(CH$7&gt;$D$3,"",_xlfn.XLOOKUP(CH$7,Logistics!$M$6:$BM$6,Logistics!$M$16:$BM$16))</f>
        <v/>
      </c>
      <c r="CI72" s="69" t="str">
        <f>IF(CI$7&gt;$D$3,"",_xlfn.XLOOKUP(CI$7,Logistics!$M$6:$BM$6,Logistics!$M$16:$BM$16))</f>
        <v/>
      </c>
      <c r="CJ72" s="69" t="str">
        <f>IF(CJ$7&gt;$D$3,"",_xlfn.XLOOKUP(CJ$7,Logistics!$M$6:$BM$6,Logistics!$M$16:$BM$16))</f>
        <v/>
      </c>
      <c r="CK72" s="69" t="str">
        <f>IF(CK$7&gt;$D$3,"",_xlfn.XLOOKUP(CK$7,Logistics!$M$6:$BM$6,Logistics!$M$16:$BM$16))</f>
        <v/>
      </c>
      <c r="CL72" s="69" t="str">
        <f>IF(CL$7&gt;$D$3,"",_xlfn.XLOOKUP(CL$7,Logistics!$M$6:$BM$6,Logistics!$M$16:$BM$16))</f>
        <v/>
      </c>
      <c r="CM72" s="69" t="str">
        <f>IF(CM$7&gt;$D$3,"",_xlfn.XLOOKUP(CM$7,Logistics!$M$6:$BM$6,Logistics!$M$16:$BM$16))</f>
        <v/>
      </c>
      <c r="CO72" s="465" t="str">
        <f>+$A72</f>
        <v>Logistics-KPI Q1</v>
      </c>
      <c r="CP72" s="136" t="str">
        <f t="shared" si="232"/>
        <v>KPI Q1</v>
      </c>
      <c r="CQ72" s="144" t="str">
        <f t="shared" si="232"/>
        <v>Quality</v>
      </c>
      <c r="CR72" s="144" t="str">
        <f t="shared" si="218"/>
        <v>Transport Complaints</v>
      </c>
      <c r="CS72" s="145" t="str">
        <f t="shared" si="218"/>
        <v>Count</v>
      </c>
      <c r="CT72" s="207" t="s">
        <v>246</v>
      </c>
      <c r="CU72" s="423" t="str">
        <f>IFERROR(IF(CU$7&gt;$D$3,"",IF(AM72="Undefined","Undefined",IF(AM72="Missed","Missed",IF(AM72="Blank","Blank",IF(AM72="OD","OD",IF(IF(AM72="OD","OD",_xlfn.XLOOKUP(CU$7,Logistics!$M$6:$BM$6,Logistics!$M$15:$BM$15)/_xlfn.XLOOKUP(CU$7,Logistics!$M$6:$BM$6,Logistics!$M$14:$BM$14))=0,100%,_xlfn.XLOOKUP(CU$7,Logistics!$M$6:$BM$6,Logistics!$M$15:$BM$15)/_xlfn.XLOOKUP(CU$7,Logistics!$M$6:$BM$6,Logistics!$M$14:$BM$14))))))),"")</f>
        <v>Blank</v>
      </c>
      <c r="CV72" s="323" t="str">
        <f>IFERROR(IF(CV$7&gt;$D$3,"",IF(AN72="Undefined","Undefined",IF(AN72="Missed","Missed",IF(AN72="OD","OD",IF(AN72="TBC","TBC",IF(_xlfn.XLOOKUP(CV$7,Logistics!$M$6:$BM$6,Logistics!$M$15:$BM$15)/_xlfn.XLOOKUP(CV$7,Logistics!$M$6:$BM$6,Logistics!$M$14:$BM$14)=0,100%,_xlfn.XLOOKUP(CV$7,Logistics!$M$6:$BM$6,Logistics!$M$15:$BM$15)/_xlfn.XLOOKUP(CV$7,Logistics!$M$6:$BM$6,Logistics!$M$14:$BM$14))))))),"")</f>
        <v>Missed</v>
      </c>
      <c r="CW72" s="315" t="str">
        <f>IFERROR(IF(CW$7&gt;$D$3,"",IF(AO72="Undefined","Undefined",IF(AO72="Missed","Missed",IF(AO72="OD","OD",IF(AO72="TBC","TBC",IF(_xlfn.XLOOKUP(CW$7,Logistics!$M$6:$BM$6,Logistics!$M$15:$BM$15)/_xlfn.XLOOKUP(CW$7,Logistics!$M$6:$BM$6,Logistics!$M$14:$BM$14)=0,100%,_xlfn.XLOOKUP(CW$7,Logistics!$M$6:$BM$6,Logistics!$M$15:$BM$15)/_xlfn.XLOOKUP(CW$7,Logistics!$M$6:$BM$6,Logistics!$M$14:$BM$14))))))),"")</f>
        <v>Missed</v>
      </c>
      <c r="CX72" s="315" t="str">
        <f>IFERROR(IF(CX$7&gt;$D$3,"",IF(AP72="Undefined","Undefined",IF(AP72="Missed","Missed",IF(AP72="OD","OD",IF(AP72="TBC","TBC",IF(_xlfn.XLOOKUP(CX$7,Logistics!$M$6:$BM$6,Logistics!$M$15:$BM$15)/_xlfn.XLOOKUP(CX$7,Logistics!$M$6:$BM$6,Logistics!$M$14:$BM$14)=0,100%,_xlfn.XLOOKUP(CX$7,Logistics!$M$6:$BM$6,Logistics!$M$15:$BM$15)/_xlfn.XLOOKUP(CX$7,Logistics!$M$6:$BM$6,Logistics!$M$14:$BM$14))))))),"")</f>
        <v>Missed</v>
      </c>
      <c r="CY72" s="315" t="str">
        <f>IFERROR(IF(CY$7&gt;$D$3,"",IF(AQ72="Undefined","Undefined",IF(AQ72="Missed","Missed",IF(AQ72="OD","OD",IF(AQ72="TBC","TBC",IF(_xlfn.XLOOKUP(CY$7,Logistics!$M$6:$BM$6,Logistics!$M$15:$BM$15)/_xlfn.XLOOKUP(CY$7,Logistics!$M$6:$BM$6,Logistics!$M$14:$BM$14)=0,100%,_xlfn.XLOOKUP(CY$7,Logistics!$M$6:$BM$6,Logistics!$M$15:$BM$15)/_xlfn.XLOOKUP(CY$7,Logistics!$M$6:$BM$6,Logistics!$M$14:$BM$14))))))),"")</f>
        <v>Missed</v>
      </c>
      <c r="CZ72" s="315" t="str">
        <f>IFERROR(IF(CZ$7&gt;$D$3,"",IF(AR72="Undefined","Undefined",IF(AR72="Missed","Missed",IF(AR72="OD","OD",IF(AR72="TBC","TBC",IF(_xlfn.XLOOKUP(CZ$7,Logistics!$M$6:$BM$6,Logistics!$M$15:$BM$15)/_xlfn.XLOOKUP(CZ$7,Logistics!$M$6:$BM$6,Logistics!$M$14:$BM$14)=0,100%,_xlfn.XLOOKUP(CZ$7,Logistics!$M$6:$BM$6,Logistics!$M$15:$BM$15)/_xlfn.XLOOKUP(CZ$7,Logistics!$M$6:$BM$6,Logistics!$M$14:$BM$14))))))),"")</f>
        <v>Missed</v>
      </c>
      <c r="DA72" s="315" t="str">
        <f>IFERROR(IF(DA$7&gt;$D$3,"",IF(AS72="Undefined","Undefined",IF(AS72="Missed","Missed",IF(AS72="OD","OD",IF(AS72="TBC","TBC",IF(_xlfn.XLOOKUP(DA$7,Logistics!$M$6:$BM$6,Logistics!$M$15:$BM$15)/_xlfn.XLOOKUP(DA$7,Logistics!$M$6:$BM$6,Logistics!$M$14:$BM$14)=0,100%,_xlfn.XLOOKUP(DA$7,Logistics!$M$6:$BM$6,Logistics!$M$15:$BM$15)/_xlfn.XLOOKUP(DA$7,Logistics!$M$6:$BM$6,Logistics!$M$14:$BM$14))))))),"")</f>
        <v>Missed</v>
      </c>
      <c r="DB72" s="315" t="str">
        <f>IFERROR(IF(DB$7&gt;$D$3,"",IF(AT72="Undefined","Undefined",IF(AT72="Missed","Missed",IF(AT72="OD","OD",IF(AT72="TBC","TBC",IF(_xlfn.XLOOKUP(DB$7,Logistics!$M$6:$BM$6,Logistics!$M$15:$BM$15)/_xlfn.XLOOKUP(DB$7,Logistics!$M$6:$BM$6,Logistics!$M$14:$BM$14)=0,100%,_xlfn.XLOOKUP(DB$7,Logistics!$M$6:$BM$6,Logistics!$M$15:$BM$15)/_xlfn.XLOOKUP(DB$7,Logistics!$M$6:$BM$6,Logistics!$M$14:$BM$14))))))),"")</f>
        <v>Missed</v>
      </c>
      <c r="DC72" s="315" t="str">
        <f>IFERROR(IF(DC$7&gt;$D$3,"",IF(AU72="Undefined","Undefined",IF(AU72="Missed","Missed",IF(AU72="OD","OD",IF(AU72="TBC","TBC",IF(_xlfn.XLOOKUP(DC$7,Logistics!$M$6:$BM$6,Logistics!$M$15:$BM$15)/_xlfn.XLOOKUP(DC$7,Logistics!$M$6:$BM$6,Logistics!$M$14:$BM$14)=0,100%,_xlfn.XLOOKUP(DC$7,Logistics!$M$6:$BM$6,Logistics!$M$15:$BM$15)/_xlfn.XLOOKUP(DC$7,Logistics!$M$6:$BM$6,Logistics!$M$14:$BM$14))))))),"")</f>
        <v>Missed</v>
      </c>
      <c r="DD72" s="315" t="str">
        <f>IFERROR(IF(DD$7&gt;$D$3,"",IF(AV72="Undefined","Undefined",IF(AV72="Missed","Missed",IF(AV72="OD","OD",IF(AV72="TBC","TBC",IF(_xlfn.XLOOKUP(DD$7,Logistics!$M$6:$BM$6,Logistics!$M$15:$BM$15)/_xlfn.XLOOKUP(DD$7,Logistics!$M$6:$BM$6,Logistics!$M$14:$BM$14)=0,100%,_xlfn.XLOOKUP(DD$7,Logistics!$M$6:$BM$6,Logistics!$M$15:$BM$15)/_xlfn.XLOOKUP(DD$7,Logistics!$M$6:$BM$6,Logistics!$M$14:$BM$14))))))),"")</f>
        <v>Missed</v>
      </c>
      <c r="DE72" s="315" t="str">
        <f>IFERROR(IF(DE$7&gt;$D$3,"",IF(AW72="Undefined","Undefined",IF(AW72="Missed","Missed",IF(AW72="OD","OD",IF(AW72="TBC","TBC",IF(_xlfn.XLOOKUP(DE$7,Logistics!$M$6:$BM$6,Logistics!$M$15:$BM$15)/_xlfn.XLOOKUP(DE$7,Logistics!$M$6:$BM$6,Logistics!$M$14:$BM$14)=0,100%,_xlfn.XLOOKUP(DE$7,Logistics!$M$6:$BM$6,Logistics!$M$15:$BM$15)/_xlfn.XLOOKUP(DE$7,Logistics!$M$6:$BM$6,Logistics!$M$14:$BM$14))))))),"")</f>
        <v>Missed</v>
      </c>
      <c r="DF72" s="315" t="str">
        <f>IFERROR(IF(DF$7&gt;$D$3,"",IF(AX72="Undefined","Undefined",IF(AX72="Missed","Missed",IF(AX72="OD","OD",IF(AX72="TBC","TBC",IF(_xlfn.XLOOKUP(DF$7,Logistics!$M$6:$BM$6,Logistics!$M$15:$BM$15)/_xlfn.XLOOKUP(DF$7,Logistics!$M$6:$BM$6,Logistics!$M$14:$BM$14)=0,100%,_xlfn.XLOOKUP(DF$7,Logistics!$M$6:$BM$6,Logistics!$M$15:$BM$15)/_xlfn.XLOOKUP(DF$7,Logistics!$M$6:$BM$6,Logistics!$M$14:$BM$14))))))),"")</f>
        <v>Missed</v>
      </c>
      <c r="DG72" s="315" t="str">
        <f>IFERROR(IF(DG$7&gt;$D$3,"",IF(AY72="Undefined","Undefined",IF(AY72="Missed","Missed",IF(AY72="OD","OD",IF(AY72="TBC","TBC",IF(_xlfn.XLOOKUP(DG$7,Logistics!$M$6:$BM$6,Logistics!$M$15:$BM$15)/_xlfn.XLOOKUP(DG$7,Logistics!$M$6:$BM$6,Logistics!$M$14:$BM$14)=0,100%,_xlfn.XLOOKUP(DG$7,Logistics!$M$6:$BM$6,Logistics!$M$15:$BM$15)/_xlfn.XLOOKUP(DG$7,Logistics!$M$6:$BM$6,Logistics!$M$14:$BM$14))))))),"")</f>
        <v>Missed</v>
      </c>
      <c r="DH72" s="315" t="str">
        <f>IFERROR(IF(DH$7&gt;$D$3,"",IF(AZ72="Undefined","Undefined",IF(AZ72="Missed","Missed",IF(AZ72="OD","OD",IF(AZ72="TBC","TBC",IF(_xlfn.XLOOKUP(DH$7,Logistics!$M$6:$BM$6,Logistics!$M$15:$BM$15)/_xlfn.XLOOKUP(DH$7,Logistics!$M$6:$BM$6,Logistics!$M$14:$BM$14)=0,100%,_xlfn.XLOOKUP(DH$7,Logistics!$M$6:$BM$6,Logistics!$M$15:$BM$15)/_xlfn.XLOOKUP(DH$7,Logistics!$M$6:$BM$6,Logistics!$M$14:$BM$14))))))),"")</f>
        <v>Missed</v>
      </c>
      <c r="DI72" s="315" t="str">
        <f>IFERROR(IF(DI$7&gt;$D$3,"",IF(BA72="Undefined","Undefined",IF(BA72="Missed","Missed",IF(BA72="OD","OD",IF(BA72="TBC","TBC",IF(_xlfn.XLOOKUP(DI$7,Logistics!$M$6:$BM$6,Logistics!$M$15:$BM$15)/_xlfn.XLOOKUP(DI$7,Logistics!$M$6:$BM$6,Logistics!$M$14:$BM$14)=0,100%,_xlfn.XLOOKUP(DI$7,Logistics!$M$6:$BM$6,Logistics!$M$15:$BM$15)/_xlfn.XLOOKUP(DI$7,Logistics!$M$6:$BM$6,Logistics!$M$14:$BM$14))))))),"")</f>
        <v>Missed</v>
      </c>
      <c r="DJ72" s="315" t="str">
        <f>IFERROR(IF(DJ$7&gt;$D$3,"",IF(BB72="Undefined","Undefined",IF(BB72="Missed","Missed",IF(BB72="OD","OD",IF(BB72="TBC","TBC",IF(_xlfn.XLOOKUP(DJ$7,Logistics!$M$6:$BM$6,Logistics!$M$15:$BM$15)/_xlfn.XLOOKUP(DJ$7,Logistics!$M$6:$BM$6,Logistics!$M$14:$BM$14)=0,100%,_xlfn.XLOOKUP(DJ$7,Logistics!$M$6:$BM$6,Logistics!$M$15:$BM$15)/_xlfn.XLOOKUP(DJ$7,Logistics!$M$6:$BM$6,Logistics!$M$14:$BM$14))))))),"")</f>
        <v>Missed</v>
      </c>
      <c r="DK72" s="315" t="str">
        <f>IFERROR(IF(DK$7&gt;$D$3,"",IF(BC72="Undefined","Undefined",IF(BC72="Missed","Missed",IF(BC72="OD","OD",IF(BC72="TBC","TBC",IF(_xlfn.XLOOKUP(DK$7,Logistics!$M$6:$BM$6,Logistics!$M$15:$BM$15)/_xlfn.XLOOKUP(DK$7,Logistics!$M$6:$BM$6,Logistics!$M$14:$BM$14)=0,100%,_xlfn.XLOOKUP(DK$7,Logistics!$M$6:$BM$6,Logistics!$M$15:$BM$15)/_xlfn.XLOOKUP(DK$7,Logistics!$M$6:$BM$6,Logistics!$M$14:$BM$14))))))),"")</f>
        <v>Missed</v>
      </c>
      <c r="DL72" s="315" t="str">
        <f>IFERROR(IF(DL$7&gt;$D$3,"",IF(BD72="Undefined","Undefined",IF(BD72="Missed","Missed",IF(BD72="OD","OD",IF(BD72="TBC","TBC",IF(_xlfn.XLOOKUP(DL$7,Logistics!$M$6:$BM$6,Logistics!$M$15:$BM$15)/_xlfn.XLOOKUP(DL$7,Logistics!$M$6:$BM$6,Logistics!$M$14:$BM$14)=0,100%,_xlfn.XLOOKUP(DL$7,Logistics!$M$6:$BM$6,Logistics!$M$15:$BM$15)/_xlfn.XLOOKUP(DL$7,Logistics!$M$6:$BM$6,Logistics!$M$14:$BM$14))))))),"")</f>
        <v>Missed</v>
      </c>
      <c r="DM72" s="315" t="str">
        <f>IFERROR(IF(DM$7&gt;$D$3,"",IF(BE72="Undefined","Undefined",IF(BE72="Missed","Missed",IF(BE72="OD","OD",IF(BE72="TBC","TBC",IF(_xlfn.XLOOKUP(DM$7,Logistics!$M$6:$BM$6,Logistics!$M$15:$BM$15)/_xlfn.XLOOKUP(DM$7,Logistics!$M$6:$BM$6,Logistics!$M$14:$BM$14)=0,100%,_xlfn.XLOOKUP(DM$7,Logistics!$M$6:$BM$6,Logistics!$M$15:$BM$15)/_xlfn.XLOOKUP(DM$7,Logistics!$M$6:$BM$6,Logistics!$M$14:$BM$14))))))),"")</f>
        <v>Missed</v>
      </c>
      <c r="DN72" s="315" t="str">
        <f>IFERROR(IF(DN$7&gt;$D$3,"",IF(BF72="Undefined","Undefined",IF(BF72="Missed","Missed",IF(BF72="OD","OD",IF(BF72="TBC","TBC",IF(_xlfn.XLOOKUP(DN$7,Logistics!$M$6:$BM$6,Logistics!$M$15:$BM$15)/_xlfn.XLOOKUP(DN$7,Logistics!$M$6:$BM$6,Logistics!$M$14:$BM$14)=0,100%,_xlfn.XLOOKUP(DN$7,Logistics!$M$6:$BM$6,Logistics!$M$15:$BM$15)/_xlfn.XLOOKUP(DN$7,Logistics!$M$6:$BM$6,Logistics!$M$14:$BM$14))))))),"")</f>
        <v>Missed</v>
      </c>
      <c r="DO72" s="315" t="str">
        <f>IFERROR(IF(DO$7&gt;$D$3,"",IF(BG72="Undefined","Undefined",IF(BG72="Missed","Missed",IF(BG72="OD","OD",IF(BG72="TBC","TBC",IF(_xlfn.XLOOKUP(DO$7,Logistics!$M$6:$BM$6,Logistics!$M$15:$BM$15)/_xlfn.XLOOKUP(DO$7,Logistics!$M$6:$BM$6,Logistics!$M$14:$BM$14)=0,100%,_xlfn.XLOOKUP(DO$7,Logistics!$M$6:$BM$6,Logistics!$M$15:$BM$15)/_xlfn.XLOOKUP(DO$7,Logistics!$M$6:$BM$6,Logistics!$M$14:$BM$14))))))),"")</f>
        <v>Missed</v>
      </c>
      <c r="DP72" s="315" t="str">
        <f>IFERROR(IF(DP$7&gt;$D$3,"",IF(BH72="Undefined","Undefined",IF(BH72="Missed","Missed",IF(BH72="OD","OD",IF(BH72="TBC","TBC",IF(_xlfn.XLOOKUP(DP$7,Logistics!$M$6:$BM$6,Logistics!$M$15:$BM$15)/_xlfn.XLOOKUP(DP$7,Logistics!$M$6:$BM$6,Logistics!$M$14:$BM$14)=0,100%,_xlfn.XLOOKUP(DP$7,Logistics!$M$6:$BM$6,Logistics!$M$15:$BM$15)/_xlfn.XLOOKUP(DP$7,Logistics!$M$6:$BM$6,Logistics!$M$14:$BM$14))))))),"")</f>
        <v>Missed</v>
      </c>
      <c r="DQ72" s="315" t="str">
        <f>IFERROR(IF(DQ$7&gt;$D$3,"",IF(BI72="Undefined","Undefined",IF(BI72="Missed","Missed",IF(BI72="OD","OD",IF(BI72="TBC","TBC",IF(_xlfn.XLOOKUP(DQ$7,Logistics!$M$6:$BM$6,Logistics!$M$15:$BM$15)/_xlfn.XLOOKUP(DQ$7,Logistics!$M$6:$BM$6,Logistics!$M$14:$BM$14)=0,100%,_xlfn.XLOOKUP(DQ$7,Logistics!$M$6:$BM$6,Logistics!$M$15:$BM$15)/_xlfn.XLOOKUP(DQ$7,Logistics!$M$6:$BM$6,Logistics!$M$14:$BM$14))))))),"")</f>
        <v>Missed</v>
      </c>
      <c r="DR72" s="315" t="str">
        <f>IFERROR(IF(DR$7&gt;$D$3,"",IF(BJ72="Undefined","Undefined",IF(BJ72="Missed","Missed",IF(BJ72="OD","OD",IF(BJ72="TBC","TBC",IF(_xlfn.XLOOKUP(DR$7,Logistics!$M$6:$BM$6,Logistics!$M$15:$BM$15)/_xlfn.XLOOKUP(DR$7,Logistics!$M$6:$BM$6,Logistics!$M$14:$BM$14)=0,100%,_xlfn.XLOOKUP(DR$7,Logistics!$M$6:$BM$6,Logistics!$M$15:$BM$15)/_xlfn.XLOOKUP(DR$7,Logistics!$M$6:$BM$6,Logistics!$M$14:$BM$14))))))),"")</f>
        <v>Missed</v>
      </c>
      <c r="DS72" s="315" t="str">
        <f>IFERROR(IF(DS$7&gt;$D$3,"",IF(BK72="Undefined","Undefined",IF(BK72="Missed","Missed",IF(BK72="OD","OD",IF(BK72="TBC","TBC",IF(_xlfn.XLOOKUP(DS$7,Logistics!$M$6:$BM$6,Logistics!$M$15:$BM$15)/_xlfn.XLOOKUP(DS$7,Logistics!$M$6:$BM$6,Logistics!$M$14:$BM$14)=0,100%,_xlfn.XLOOKUP(DS$7,Logistics!$M$6:$BM$6,Logistics!$M$15:$BM$15)/_xlfn.XLOOKUP(DS$7,Logistics!$M$6:$BM$6,Logistics!$M$14:$BM$14))))))),"")</f>
        <v>Missed</v>
      </c>
      <c r="DT72" s="315" t="str">
        <f>IFERROR(IF(DT$7&gt;$D$3,"",IF(BL72="Undefined","Undefined",IF(BL72="Missed","Missed",IF(BL72="OD","OD",IF(BL72="TBC","TBC",IF(_xlfn.XLOOKUP(DT$7,Logistics!$M$6:$BM$6,Logistics!$M$15:$BM$15)/_xlfn.XLOOKUP(DT$7,Logistics!$M$6:$BM$6,Logistics!$M$14:$BM$14)=0,100%,_xlfn.XLOOKUP(DT$7,Logistics!$M$6:$BM$6,Logistics!$M$15:$BM$15)/_xlfn.XLOOKUP(DT$7,Logistics!$M$6:$BM$6,Logistics!$M$14:$BM$14))))))),"")</f>
        <v>Missed</v>
      </c>
      <c r="DU72" s="315" t="str">
        <f>IFERROR(IF(DU$7&gt;$D$3,"",IF(BM72="Undefined","Undefined",IF(BM72="Missed","Missed",IF(BM72="OD","OD",IF(BM72="TBC","TBC",IF(_xlfn.XLOOKUP(DU$7,Logistics!$M$6:$BM$6,Logistics!$M$15:$BM$15)/_xlfn.XLOOKUP(DU$7,Logistics!$M$6:$BM$6,Logistics!$M$14:$BM$14)=0,100%,_xlfn.XLOOKUP(DU$7,Logistics!$M$6:$BM$6,Logistics!$M$15:$BM$15)/_xlfn.XLOOKUP(DU$7,Logistics!$M$6:$BM$6,Logistics!$M$14:$BM$14))))))),"")</f>
        <v>Missed</v>
      </c>
      <c r="DV72" s="315" t="str">
        <f>IFERROR(IF(DV$7&gt;$D$3,"",IF(BN72="Undefined","Undefined",IF(BN72="Missed","Missed",IF(BN72="OD","OD",IF(BN72="TBC","TBC",IF(_xlfn.XLOOKUP(DV$7,Logistics!$M$6:$BM$6,Logistics!$M$15:$BM$15)/_xlfn.XLOOKUP(DV$7,Logistics!$M$6:$BM$6,Logistics!$M$14:$BM$14)=0,100%,_xlfn.XLOOKUP(DV$7,Logistics!$M$6:$BM$6,Logistics!$M$15:$BM$15)/_xlfn.XLOOKUP(DV$7,Logistics!$M$6:$BM$6,Logistics!$M$14:$BM$14))))))),"")</f>
        <v>Missed</v>
      </c>
      <c r="DW72" s="315" t="str">
        <f>IFERROR(IF(DW$7&gt;$D$3,"",IF(BO72="Undefined","Undefined",IF(BO72="Missed","Missed",IF(BO72="OD","OD",IF(BO72="TBC","TBC",IF(_xlfn.XLOOKUP(DW$7,Logistics!$M$6:$BM$6,Logistics!$M$15:$BM$15)/_xlfn.XLOOKUP(DW$7,Logistics!$M$6:$BM$6,Logistics!$M$14:$BM$14)=0,100%,_xlfn.XLOOKUP(DW$7,Logistics!$M$6:$BM$6,Logistics!$M$15:$BM$15)/_xlfn.XLOOKUP(DW$7,Logistics!$M$6:$BM$6,Logistics!$M$14:$BM$14))))))),"")</f>
        <v>Missed</v>
      </c>
      <c r="DX72" s="315" t="str">
        <f>IFERROR(IF(DX$7&gt;$D$3,"",IF(BP72="Undefined","Undefined",IF(BP72="Missed","Missed",IF(BP72="OD","OD",IF(BP72="TBC","TBC",IF(_xlfn.XLOOKUP(DX$7,Logistics!$M$6:$BM$6,Logistics!$M$15:$BM$15)/_xlfn.XLOOKUP(DX$7,Logistics!$M$6:$BM$6,Logistics!$M$14:$BM$14)=0,100%,_xlfn.XLOOKUP(DX$7,Logistics!$M$6:$BM$6,Logistics!$M$15:$BM$15)/_xlfn.XLOOKUP(DX$7,Logistics!$M$6:$BM$6,Logistics!$M$14:$BM$14))))))),"")</f>
        <v>Missed</v>
      </c>
      <c r="DY72" s="315" t="str">
        <f>IFERROR(IF(DY$7&gt;$D$3,"",IF(BQ72="Undefined","Undefined",IF(BQ72="Missed","Missed",IF(BQ72="OD","OD",IF(BQ72="TBC","TBC",IF(_xlfn.XLOOKUP(DY$7,Logistics!$M$6:$BM$6,Logistics!$M$15:$BM$15)/_xlfn.XLOOKUP(DY$7,Logistics!$M$6:$BM$6,Logistics!$M$14:$BM$14)=0,100%,_xlfn.XLOOKUP(DY$7,Logistics!$M$6:$BM$6,Logistics!$M$15:$BM$15)/_xlfn.XLOOKUP(DY$7,Logistics!$M$6:$BM$6,Logistics!$M$14:$BM$14))))))),"")</f>
        <v>Missed</v>
      </c>
      <c r="DZ72" s="315" t="str">
        <f>IFERROR(IF(DZ$7&gt;$D$3,"",IF(BR72="Undefined","Undefined",IF(BR72="Missed","Missed",IF(BR72="OD","OD",IF(BR72="TBC","TBC",IF(_xlfn.XLOOKUP(DZ$7,Logistics!$M$6:$BM$6,Logistics!$M$15:$BM$15)/_xlfn.XLOOKUP(DZ$7,Logistics!$M$6:$BM$6,Logistics!$M$14:$BM$14)=0,100%,_xlfn.XLOOKUP(DZ$7,Logistics!$M$6:$BM$6,Logistics!$M$15:$BM$15)/_xlfn.XLOOKUP(DZ$7,Logistics!$M$6:$BM$6,Logistics!$M$14:$BM$14))))))),"")</f>
        <v>Missed</v>
      </c>
      <c r="EA72" s="315" t="str">
        <f>IFERROR(IF(EA$7&gt;$D$3,"",IF(BS72="Undefined","Undefined",IF(BS72="Missed","Missed",IF(BS72="OD","OD",IF(BS72="TBC","TBC",IF(_xlfn.XLOOKUP(EA$7,Logistics!$M$6:$BM$6,Logistics!$M$15:$BM$15)/_xlfn.XLOOKUP(EA$7,Logistics!$M$6:$BM$6,Logistics!$M$14:$BM$14)=0,100%,_xlfn.XLOOKUP(EA$7,Logistics!$M$6:$BM$6,Logistics!$M$15:$BM$15)/_xlfn.XLOOKUP(EA$7,Logistics!$M$6:$BM$6,Logistics!$M$14:$BM$14))))))),"")</f>
        <v>Missed</v>
      </c>
      <c r="EB72" s="315" t="str">
        <f>IFERROR(IF(EB$7&gt;$D$3,"",IF(BT72="Undefined","Undefined",IF(BT72="Missed","Missed",IF(BT72="OD","OD",IF(BT72="TBC","TBC",IF(_xlfn.XLOOKUP(EB$7,Logistics!$M$6:$BM$6,Logistics!$M$15:$BM$15)/_xlfn.XLOOKUP(EB$7,Logistics!$M$6:$BM$6,Logistics!$M$14:$BM$14)=0,100%,_xlfn.XLOOKUP(EB$7,Logistics!$M$6:$BM$6,Logistics!$M$15:$BM$15)/_xlfn.XLOOKUP(EB$7,Logistics!$M$6:$BM$6,Logistics!$M$14:$BM$14))))))),"")</f>
        <v>Missed</v>
      </c>
      <c r="EC72" s="315" t="str">
        <f>IFERROR(IF(EC$7&gt;$D$3,"",IF(BU72="Undefined","Undefined",IF(BU72="Missed","Missed",IF(BU72="OD","OD",IF(BU72="TBC","TBC",IF(_xlfn.XLOOKUP(EC$7,Logistics!$M$6:$BM$6,Logistics!$M$15:$BM$15)/_xlfn.XLOOKUP(EC$7,Logistics!$M$6:$BM$6,Logistics!$M$14:$BM$14)=0,100%,_xlfn.XLOOKUP(EC$7,Logistics!$M$6:$BM$6,Logistics!$M$15:$BM$15)/_xlfn.XLOOKUP(EC$7,Logistics!$M$6:$BM$6,Logistics!$M$14:$BM$14))))))),"")</f>
        <v>Missed</v>
      </c>
      <c r="ED72" s="315">
        <f>IFERROR(IF(ED$7&gt;$D$3,"",IF(BV72="Undefined","Undefined",IF(BV72="Missed","Missed",IF(BV72="OD","OD",IF(BV72="TBC","TBC",IF(_xlfn.XLOOKUP(ED$7,Logistics!$M$6:$BM$6,Logistics!$M$15:$BM$15)/_xlfn.XLOOKUP(ED$7,Logistics!$M$6:$BM$6,Logistics!$M$14:$BM$14)=0,100%,_xlfn.XLOOKUP(ED$7,Logistics!$M$6:$BM$6,Logistics!$M$15:$BM$15)/_xlfn.XLOOKUP(ED$7,Logistics!$M$6:$BM$6,Logistics!$M$14:$BM$14))))))),"")</f>
        <v>1</v>
      </c>
      <c r="EE72" s="315">
        <f>IFERROR(IF(EE$7&gt;$D$3,"",IF(BW72="Undefined","Undefined",IF(BW72="Missed","Missed",IF(BW72="OD","OD",IF(BW72="TBC","TBC",IF(_xlfn.XLOOKUP(EE$7,Logistics!$M$6:$BM$6,Logistics!$M$15:$BM$15)/_xlfn.XLOOKUP(EE$7,Logistics!$M$6:$BM$6,Logistics!$M$14:$BM$14)=0,100%,_xlfn.XLOOKUP(EE$7,Logistics!$M$6:$BM$6,Logistics!$M$15:$BM$15)/_xlfn.XLOOKUP(EE$7,Logistics!$M$6:$BM$6,Logistics!$M$14:$BM$14))))))),"")</f>
        <v>1</v>
      </c>
      <c r="EF72" s="315">
        <f>IFERROR(IF(EF$7&gt;$D$3,"",IF(BX72="Undefined","Undefined",IF(BX72="Missed","Missed",IF(BX72="OD","OD",IF(BX72="TBC","TBC",IF(_xlfn.XLOOKUP(EF$7,Logistics!$M$6:$BM$6,Logistics!$M$15:$BM$15)/_xlfn.XLOOKUP(EF$7,Logistics!$M$6:$BM$6,Logistics!$M$14:$BM$14)=0,100%,_xlfn.XLOOKUP(EF$7,Logistics!$M$6:$BM$6,Logistics!$M$15:$BM$15)/_xlfn.XLOOKUP(EF$7,Logistics!$M$6:$BM$6,Logistics!$M$14:$BM$14))))))),"")</f>
        <v>1</v>
      </c>
      <c r="EG72" s="315" t="str">
        <f>IFERROR(IF(EG$7&gt;$D$3,"",IF(BY72="Undefined","Undefined",IF(BY72="Missed","Missed",IF(BY72="OD","OD",IF(BY72="TBC","TBC",IF(_xlfn.XLOOKUP(EG$7,Logistics!$M$6:$BM$6,Logistics!$M$15:$BM$15)/_xlfn.XLOOKUP(EG$7,Logistics!$M$6:$BM$6,Logistics!$M$14:$BM$14)=0,100%,_xlfn.XLOOKUP(EG$7,Logistics!$M$6:$BM$6,Logistics!$M$15:$BM$15)/_xlfn.XLOOKUP(EG$7,Logistics!$M$6:$BM$6,Logistics!$M$14:$BM$14))))))),"")</f>
        <v>OD</v>
      </c>
      <c r="EH72" s="315" t="str">
        <f>IFERROR(IF(EH$7&gt;$D$3,"",IF(BZ72="Undefined","Undefined",IF(BZ72="Missed","Missed",IF(BZ72="OD","OD",IF(BZ72="TBC","TBC",IF(_xlfn.XLOOKUP(EH$7,Logistics!$M$6:$BM$6,Logistics!$M$15:$BM$15)/_xlfn.XLOOKUP(EH$7,Logistics!$M$6:$BM$6,Logistics!$M$14:$BM$14)=0,100%,_xlfn.XLOOKUP(EH$7,Logistics!$M$6:$BM$6,Logistics!$M$15:$BM$15)/_xlfn.XLOOKUP(EH$7,Logistics!$M$6:$BM$6,Logistics!$M$14:$BM$14))))))),"")</f>
        <v>OD</v>
      </c>
      <c r="EI72" s="315" t="str">
        <f>IFERROR(IF(EI$7&gt;$D$3,"",IF(CA72="Undefined","Undefined",IF(CA72="Missed","Missed",IF(CA72="OD","OD",IF(CA72="TBC","TBC",IF(_xlfn.XLOOKUP(EI$7,Logistics!$M$6:$BM$6,Logistics!$M$15:$BM$15)/_xlfn.XLOOKUP(EI$7,Logistics!$M$6:$BM$6,Logistics!$M$14:$BM$14)=0,100%,_xlfn.XLOOKUP(EI$7,Logistics!$M$6:$BM$6,Logistics!$M$15:$BM$15)/_xlfn.XLOOKUP(EI$7,Logistics!$M$6:$BM$6,Logistics!$M$14:$BM$14))))))),"")</f>
        <v>OD</v>
      </c>
      <c r="EJ72" s="315" t="str">
        <f>IFERROR(IF(EJ$7&gt;$D$3,"",IF(CB72="Undefined","Undefined",IF(CB72="Missed","Missed",IF(CB72="OD","OD",IF(CB72="TBC","TBC",IF(_xlfn.XLOOKUP(EJ$7,Logistics!$M$6:$BM$6,Logistics!$M$15:$BM$15)/_xlfn.XLOOKUP(EJ$7,Logistics!$M$6:$BM$6,Logistics!$M$14:$BM$14)=0,100%,_xlfn.XLOOKUP(EJ$7,Logistics!$M$6:$BM$6,Logistics!$M$15:$BM$15)/_xlfn.XLOOKUP(EJ$7,Logistics!$M$6:$BM$6,Logistics!$M$14:$BM$14))))))),"")</f>
        <v>OD</v>
      </c>
      <c r="EK72" s="315" t="str">
        <f>IFERROR(IF(EK$7&gt;$D$3,"",IF(CC72="Undefined","Undefined",IF(CC72="Missed","Missed",IF(CC72="OD","OD",IF(CC72="TBC","TBC",IF(_xlfn.XLOOKUP(EK$7,Logistics!$M$6:$BM$6,Logistics!$M$15:$BM$15)/_xlfn.XLOOKUP(EK$7,Logistics!$M$6:$BM$6,Logistics!$M$14:$BM$14)=0,100%,_xlfn.XLOOKUP(EK$7,Logistics!$M$6:$BM$6,Logistics!$M$15:$BM$15)/_xlfn.XLOOKUP(EK$7,Logistics!$M$6:$BM$6,Logistics!$M$14:$BM$14))))))),"")</f>
        <v/>
      </c>
      <c r="EL72" s="315" t="str">
        <f>IFERROR(IF(EL$7&gt;$D$3,"",IF(CD72="Undefined","Undefined",IF(CD72="Missed","Missed",IF(CD72="OD","OD",IF(CD72="TBC","TBC",IF(_xlfn.XLOOKUP(EL$7,Logistics!$M$6:$BM$6,Logistics!$M$15:$BM$15)/_xlfn.XLOOKUP(EL$7,Logistics!$M$6:$BM$6,Logistics!$M$14:$BM$14)=0,100%,_xlfn.XLOOKUP(EL$7,Logistics!$M$6:$BM$6,Logistics!$M$15:$BM$15)/_xlfn.XLOOKUP(EL$7,Logistics!$M$6:$BM$6,Logistics!$M$14:$BM$14))))))),"")</f>
        <v/>
      </c>
      <c r="EM72" s="315" t="str">
        <f>IFERROR(IF(EM$7&gt;$D$3,"",IF(CE72="Undefined","Undefined",IF(CE72="Missed","Missed",IF(CE72="OD","OD",IF(CE72="TBC","TBC",IF(_xlfn.XLOOKUP(EM$7,Logistics!$M$6:$BM$6,Logistics!$M$15:$BM$15)/_xlfn.XLOOKUP(EM$7,Logistics!$M$6:$BM$6,Logistics!$M$14:$BM$14)=0,100%,_xlfn.XLOOKUP(EM$7,Logistics!$M$6:$BM$6,Logistics!$M$15:$BM$15)/_xlfn.XLOOKUP(EM$7,Logistics!$M$6:$BM$6,Logistics!$M$14:$BM$14))))))),"")</f>
        <v/>
      </c>
      <c r="EN72" s="315" t="str">
        <f>IFERROR(IF(EN$7&gt;$D$3,"",IF(CF72="Undefined","Undefined",IF(CF72="Missed","Missed",IF(CF72="OD","OD",IF(CF72="TBC","TBC",IF(_xlfn.XLOOKUP(EN$7,Logistics!$M$6:$BM$6,Logistics!$M$15:$BM$15)/_xlfn.XLOOKUP(EN$7,Logistics!$M$6:$BM$6,Logistics!$M$14:$BM$14)=0,100%,_xlfn.XLOOKUP(EN$7,Logistics!$M$6:$BM$6,Logistics!$M$15:$BM$15)/_xlfn.XLOOKUP(EN$7,Logistics!$M$6:$BM$6,Logistics!$M$14:$BM$14))))))),"")</f>
        <v/>
      </c>
      <c r="EO72" s="315" t="str">
        <f>IFERROR(IF(EO$7&gt;$D$3,"",IF(CG72="Undefined","Undefined",IF(CG72="Missed","Missed",IF(CG72="OD","OD",IF(CG72="TBC","TBC",IF(_xlfn.XLOOKUP(EO$7,Logistics!$M$6:$BM$6,Logistics!$M$15:$BM$15)/_xlfn.XLOOKUP(EO$7,Logistics!$M$6:$BM$6,Logistics!$M$14:$BM$14)=0,100%,_xlfn.XLOOKUP(EO$7,Logistics!$M$6:$BM$6,Logistics!$M$15:$BM$15)/_xlfn.XLOOKUP(EO$7,Logistics!$M$6:$BM$6,Logistics!$M$14:$BM$14))))))),"")</f>
        <v/>
      </c>
      <c r="EP72" s="315" t="str">
        <f>IFERROR(IF(EP$7&gt;$D$3,"",IF(CH72="Undefined","Undefined",IF(CH72="Missed","Missed",IF(CH72="OD","OD",IF(CH72="TBC","TBC",IF(_xlfn.XLOOKUP(EP$7,Logistics!$M$6:$BM$6,Logistics!$M$15:$BM$15)/_xlfn.XLOOKUP(EP$7,Logistics!$M$6:$BM$6,Logistics!$M$14:$BM$14)=0,100%,_xlfn.XLOOKUP(EP$7,Logistics!$M$6:$BM$6,Logistics!$M$15:$BM$15)/_xlfn.XLOOKUP(EP$7,Logistics!$M$6:$BM$6,Logistics!$M$14:$BM$14))))))),"")</f>
        <v/>
      </c>
      <c r="EQ72" s="315" t="str">
        <f>IFERROR(IF(EQ$7&gt;$D$3,"",IF(CI72="Undefined","Undefined",IF(CI72="Missed","Missed",IF(CI72="OD","OD",IF(CI72="TBC","TBC",IF(_xlfn.XLOOKUP(EQ$7,Logistics!$M$6:$BM$6,Logistics!$M$15:$BM$15)/_xlfn.XLOOKUP(EQ$7,Logistics!$M$6:$BM$6,Logistics!$M$14:$BM$14)=0,100%,_xlfn.XLOOKUP(EQ$7,Logistics!$M$6:$BM$6,Logistics!$M$15:$BM$15)/_xlfn.XLOOKUP(EQ$7,Logistics!$M$6:$BM$6,Logistics!$M$14:$BM$14))))))),"")</f>
        <v/>
      </c>
      <c r="ER72" s="315" t="str">
        <f>IFERROR(IF(ER$7&gt;$D$3,"",IF(CJ72="Undefined","Undefined",IF(CJ72="Missed","Missed",IF(CJ72="OD","OD",IF(CJ72="TBC","TBC",IF(_xlfn.XLOOKUP(ER$7,Logistics!$M$6:$BM$6,Logistics!$M$15:$BM$15)/_xlfn.XLOOKUP(ER$7,Logistics!$M$6:$BM$6,Logistics!$M$14:$BM$14)=0,100%,_xlfn.XLOOKUP(ER$7,Logistics!$M$6:$BM$6,Logistics!$M$15:$BM$15)/_xlfn.XLOOKUP(ER$7,Logistics!$M$6:$BM$6,Logistics!$M$14:$BM$14))))))),"")</f>
        <v/>
      </c>
      <c r="ES72" s="315" t="str">
        <f>IFERROR(IF(ES$7&gt;$D$3,"",IF(CK72="Undefined","Undefined",IF(CK72="Missed","Missed",IF(CK72="OD","OD",IF(CK72="TBC","TBC",IF(_xlfn.XLOOKUP(ES$7,Logistics!$M$6:$BM$6,Logistics!$M$15:$BM$15)/_xlfn.XLOOKUP(ES$7,Logistics!$M$6:$BM$6,Logistics!$M$14:$BM$14)=0,100%,_xlfn.XLOOKUP(ES$7,Logistics!$M$6:$BM$6,Logistics!$M$15:$BM$15)/_xlfn.XLOOKUP(ES$7,Logistics!$M$6:$BM$6,Logistics!$M$14:$BM$14))))))),"")</f>
        <v/>
      </c>
      <c r="ET72" s="315" t="str">
        <f>IFERROR(IF(ET$7&gt;$D$3,"",IF(CL72="Undefined","Undefined",IF(CL72="Missed","Missed",IF(CL72="OD","OD",IF(CL72="TBC","TBC",IF(_xlfn.XLOOKUP(ET$7,Logistics!$M$6:$BM$6,Logistics!$M$15:$BM$15)/_xlfn.XLOOKUP(ET$7,Logistics!$M$6:$BM$6,Logistics!$M$14:$BM$14)=0,100%,_xlfn.XLOOKUP(ET$7,Logistics!$M$6:$BM$6,Logistics!$M$15:$BM$15)/_xlfn.XLOOKUP(ET$7,Logistics!$M$6:$BM$6,Logistics!$M$14:$BM$14))))))),"")</f>
        <v/>
      </c>
      <c r="EU72" s="315" t="str">
        <f>IFERROR(IF(EU$7&gt;$D$3,"",IF(CM72="Undefined","Undefined",IF(CM72="Missed","Missed",IF(CM72="OD","OD",IF(CM72="TBC","TBC",IF(_xlfn.XLOOKUP(EU$7,Logistics!$M$6:$BM$6,Logistics!$M$15:$BM$15)/_xlfn.XLOOKUP(EU$7,Logistics!$M$6:$BM$6,Logistics!$M$14:$BM$14)=0,100%,_xlfn.XLOOKUP(EU$7,Logistics!$M$6:$BM$6,Logistics!$M$15:$BM$15)/_xlfn.XLOOKUP(EU$7,Logistics!$M$6:$BM$6,Logistics!$M$14:$BM$14))))))),"")</f>
        <v/>
      </c>
      <c r="EW72" s="465" t="str">
        <f>+$A72</f>
        <v>Logistics-KPI Q1</v>
      </c>
      <c r="EX72" s="136" t="str">
        <f>+$C72</f>
        <v>KPI Q1</v>
      </c>
      <c r="EY72" s="144" t="str">
        <f>+$D72</f>
        <v>Quality</v>
      </c>
      <c r="EZ72" s="144" t="str">
        <f>+$E72</f>
        <v>Transport Complaints</v>
      </c>
      <c r="FA72" s="145" t="str">
        <f>+$F72</f>
        <v>Count</v>
      </c>
      <c r="FB72" s="145" t="s">
        <v>251</v>
      </c>
      <c r="FC72" s="199" t="str">
        <f>IF(FC$7&gt;$D$3,"",IF($FA69&lt;FC$7,"OD",_xlfn.XLOOKUP(FC$7,Logistics!$M$6:$BM$6,Logistics!$M$15:$BM$15)))</f>
        <v>Blank</v>
      </c>
      <c r="FD72" s="199" t="str">
        <f>IF(FD$7&gt;$D$3,"",IF($FA69&lt;FD$7,"OD",_xlfn.XLOOKUP(FD$7,Logistics!$M$6:$BM$6,Logistics!$M$15:$BM$15)))</f>
        <v>Missed</v>
      </c>
      <c r="FE72" s="199" t="str">
        <f>IF(FE$7&gt;$D$3,"",IF($FA69&lt;FE$7,"OD",_xlfn.XLOOKUP(FE$7,Logistics!$M$6:$BM$6,Logistics!$M$15:$BM$15)))</f>
        <v>Missed</v>
      </c>
      <c r="FF72" s="199" t="str">
        <f>IF(FF$7&gt;$D$3,"",IF($FA69&lt;FF$7,"OD",_xlfn.XLOOKUP(FF$7,Logistics!$M$6:$BM$6,Logistics!$M$15:$BM$15)))</f>
        <v>Missed</v>
      </c>
      <c r="FG72" s="199" t="str">
        <f>IF(FG$7&gt;$D$3,"",IF($FA69&lt;FG$7,"OD",_xlfn.XLOOKUP(FG$7,Logistics!$M$6:$BM$6,Logistics!$M$15:$BM$15)))</f>
        <v>Missed</v>
      </c>
      <c r="FH72" s="199" t="str">
        <f>IF(FH$7&gt;$D$3,"",IF($FA69&lt;FH$7,"OD",_xlfn.XLOOKUP(FH$7,Logistics!$M$6:$BM$6,Logistics!$M$15:$BM$15)))</f>
        <v>Missed</v>
      </c>
      <c r="FI72" s="199" t="str">
        <f>IF(FI$7&gt;$D$3,"",IF($FA69&lt;FI$7,"OD",_xlfn.XLOOKUP(FI$7,Logistics!$M$6:$BM$6,Logistics!$M$15:$BM$15)))</f>
        <v>Missed</v>
      </c>
      <c r="FJ72" s="199" t="str">
        <f>IF(FJ$7&gt;$D$3,"",IF($FA69&lt;FJ$7,"OD",_xlfn.XLOOKUP(FJ$7,Logistics!$M$6:$BM$6,Logistics!$M$15:$BM$15)))</f>
        <v>Missed</v>
      </c>
      <c r="FK72" s="199" t="str">
        <f>IF(FK$7&gt;$D$3,"",IF($FA69&lt;FK$7,"OD",_xlfn.XLOOKUP(FK$7,Logistics!$M$6:$BM$6,Logistics!$M$15:$BM$15)))</f>
        <v>Missed</v>
      </c>
      <c r="FL72" s="199" t="str">
        <f>IF(FL$7&gt;$D$3,"",IF($FA69&lt;FL$7,"OD",_xlfn.XLOOKUP(FL$7,Logistics!$M$6:$BM$6,Logistics!$M$15:$BM$15)))</f>
        <v>Missed</v>
      </c>
      <c r="FM72" s="199" t="str">
        <f>IF(FM$7&gt;$D$3,"",IF($FA69&lt;FM$7,"OD",_xlfn.XLOOKUP(FM$7,Logistics!$M$6:$BM$6,Logistics!$M$15:$BM$15)))</f>
        <v>Missed</v>
      </c>
      <c r="FN72" s="199" t="str">
        <f>IF(FN$7&gt;$D$3,"",IF($FA69&lt;FN$7,"OD",_xlfn.XLOOKUP(FN$7,Logistics!$M$6:$BM$6,Logistics!$M$15:$BM$15)))</f>
        <v>Missed</v>
      </c>
      <c r="FO72" s="199" t="str">
        <f>IF(FO$7&gt;$D$3,"",IF($FA69&lt;FO$7,"OD",_xlfn.XLOOKUP(FO$7,Logistics!$M$6:$BM$6,Logistics!$M$15:$BM$15)))</f>
        <v>Missed</v>
      </c>
      <c r="FP72" s="199" t="str">
        <f>IF(FP$7&gt;$D$3,"",IF($FA69&lt;FP$7,"OD",_xlfn.XLOOKUP(FP$7,Logistics!$M$6:$BM$6,Logistics!$M$15:$BM$15)))</f>
        <v>Missed</v>
      </c>
      <c r="FQ72" s="199" t="str">
        <f>IF(FQ$7&gt;$D$3,"",IF($FA69&lt;FQ$7,"OD",_xlfn.XLOOKUP(FQ$7,Logistics!$M$6:$BM$6,Logistics!$M$15:$BM$15)))</f>
        <v>Missed</v>
      </c>
      <c r="FR72" s="199" t="str">
        <f>IF(FR$7&gt;$D$3,"",IF($FA69&lt;FR$7,"OD",_xlfn.XLOOKUP(FR$7,Logistics!$M$6:$BM$6,Logistics!$M$15:$BM$15)))</f>
        <v>Missed</v>
      </c>
      <c r="FS72" s="199" t="str">
        <f>IF(FS$7&gt;$D$3,"",IF($FA69&lt;FS$7,"OD",_xlfn.XLOOKUP(FS$7,Logistics!$M$6:$BM$6,Logistics!$M$15:$BM$15)))</f>
        <v>Missed</v>
      </c>
      <c r="FT72" s="199" t="str">
        <f>IF(FT$7&gt;$D$3,"",IF($FA69&lt;FT$7,"OD",_xlfn.XLOOKUP(FT$7,Logistics!$M$6:$BM$6,Logistics!$M$15:$BM$15)))</f>
        <v>Missed</v>
      </c>
      <c r="FU72" s="199" t="str">
        <f>IF(FU$7&gt;$D$3,"",IF($FA69&lt;FU$7,"OD",_xlfn.XLOOKUP(FU$7,Logistics!$M$6:$BM$6,Logistics!$M$15:$BM$15)))</f>
        <v>Missed</v>
      </c>
      <c r="FV72" s="199" t="str">
        <f>IF(FV$7&gt;$D$3,"",IF($FA69&lt;FV$7,"OD",_xlfn.XLOOKUP(FV$7,Logistics!$M$6:$BM$6,Logistics!$M$15:$BM$15)))</f>
        <v>Missed</v>
      </c>
      <c r="FW72" s="199" t="str">
        <f>IF(FW$7&gt;$D$3,"",IF($FA69&lt;FW$7,"OD",_xlfn.XLOOKUP(FW$7,Logistics!$M$6:$BM$6,Logistics!$M$15:$BM$15)))</f>
        <v>Missed</v>
      </c>
      <c r="FX72" s="199" t="str">
        <f>IF(FX$7&gt;$D$3,"",IF($FA69&lt;FX$7,"OD",_xlfn.XLOOKUP(FX$7,Logistics!$M$6:$BM$6,Logistics!$M$15:$BM$15)))</f>
        <v>Missed</v>
      </c>
      <c r="FY72" s="199" t="str">
        <f>IF(FY$7&gt;$D$3,"",IF($FA69&lt;FY$7,"OD",_xlfn.XLOOKUP(FY$7,Logistics!$M$6:$BM$6,Logistics!$M$15:$BM$15)))</f>
        <v>Missed</v>
      </c>
      <c r="FZ72" s="199" t="str">
        <f>IF(FZ$7&gt;$D$3,"",IF($FA69&lt;FZ$7,"OD",_xlfn.XLOOKUP(FZ$7,Logistics!$M$6:$BM$6,Logistics!$M$15:$BM$15)))</f>
        <v>Missed</v>
      </c>
      <c r="GA72" s="199" t="str">
        <f>IF(GA$7&gt;$D$3,"",IF($FA69&lt;GA$7,"OD",_xlfn.XLOOKUP(GA$7,Logistics!$M$6:$BM$6,Logistics!$M$15:$BM$15)))</f>
        <v>Missed</v>
      </c>
      <c r="GB72" s="199" t="str">
        <f>IF(GB$7&gt;$D$3,"",IF($FA69&lt;GB$7,"OD",_xlfn.XLOOKUP(GB$7,Logistics!$M$6:$BM$6,Logistics!$M$15:$BM$15)))</f>
        <v>Missed</v>
      </c>
      <c r="GC72" s="199" t="str">
        <f>IF(GC$7&gt;$D$3,"",IF($FA69&lt;GC$7,"OD",_xlfn.XLOOKUP(GC$7,Logistics!$M$6:$BM$6,Logistics!$M$15:$BM$15)))</f>
        <v>Missed</v>
      </c>
      <c r="GD72" s="199" t="str">
        <f>IF(GD$7&gt;$D$3,"",IF($FA69&lt;GD$7,"OD",_xlfn.XLOOKUP(GD$7,Logistics!$M$6:$BM$6,Logistics!$M$15:$BM$15)))</f>
        <v>Missed</v>
      </c>
      <c r="GE72" s="199" t="str">
        <f>IF(GE$7&gt;$D$3,"",IF($FA69&lt;GE$7,"OD",_xlfn.XLOOKUP(GE$7,Logistics!$M$6:$BM$6,Logistics!$M$15:$BM$15)))</f>
        <v>Missed</v>
      </c>
      <c r="GF72" s="199" t="str">
        <f>IF(GF$7&gt;$D$3,"",IF($FA69&lt;GF$7,"OD",_xlfn.XLOOKUP(GF$7,Logistics!$M$6:$BM$6,Logistics!$M$15:$BM$15)))</f>
        <v>Missed</v>
      </c>
      <c r="GG72" s="199" t="str">
        <f>IF(GG$7&gt;$D$3,"",IF($FA69&lt;GG$7,"OD",_xlfn.XLOOKUP(GG$7,Logistics!$M$6:$BM$6,Logistics!$M$15:$BM$15)))</f>
        <v>Missed</v>
      </c>
      <c r="GH72" s="199" t="str">
        <f>IF(GH$7&gt;$D$3,"",IF($FA69&lt;GH$7,"OD",_xlfn.XLOOKUP(GH$7,Logistics!$M$6:$BM$6,Logistics!$M$15:$BM$15)))</f>
        <v>Missed</v>
      </c>
      <c r="GI72" s="199" t="str">
        <f>IF(GI$7&gt;$D$3,"",IF($FA69&lt;GI$7,"OD",_xlfn.XLOOKUP(GI$7,Logistics!$M$6:$BM$6,Logistics!$M$15:$BM$15)))</f>
        <v>Missed</v>
      </c>
      <c r="GJ72" s="199" t="str">
        <f>IF(GJ$7&gt;$D$3,"",IF($FA69&lt;GJ$7,"OD",_xlfn.XLOOKUP(GJ$7,Logistics!$M$6:$BM$6,Logistics!$M$15:$BM$15)))</f>
        <v>Missed</v>
      </c>
      <c r="GK72" s="199" t="str">
        <f>IF(GK$7&gt;$D$3,"",IF($FA69&lt;GK$7,"OD",_xlfn.XLOOKUP(GK$7,Logistics!$M$6:$BM$6,Logistics!$M$15:$BM$15)))</f>
        <v>Missed</v>
      </c>
      <c r="GL72" s="199">
        <f>IF(GL$7&gt;$D$3,"",IF($FA69&lt;GL$7,"OD",_xlfn.XLOOKUP(GL$7,Logistics!$M$6:$BM$6,Logistics!$M$15:$BM$15)))</f>
        <v>0</v>
      </c>
      <c r="GM72" s="199">
        <f>IF(GM$7&gt;$D$3,"",IF($FA69&lt;GM$7,"OD",_xlfn.XLOOKUP(GM$7,Logistics!$M$6:$BM$6,Logistics!$M$15:$BM$15)))</f>
        <v>0</v>
      </c>
      <c r="GN72" s="199">
        <f>IF(GN$7&gt;$D$3,"",IF($FA69&lt;GN$7,"OD",_xlfn.XLOOKUP(GN$7,Logistics!$M$6:$BM$6,Logistics!$M$15:$BM$15)))</f>
        <v>0</v>
      </c>
      <c r="GO72" s="199">
        <f>IF(GO$7&gt;$D$3,"",IF($FA69&lt;GO$7,"OD",_xlfn.XLOOKUP(GO$7,Logistics!$M$6:$BM$6,Logistics!$M$15:$BM$15)))</f>
        <v>0</v>
      </c>
      <c r="GP72" s="199">
        <f>IF(GP$7&gt;$D$3,"",IF($FA69&lt;GP$7,"OD",_xlfn.XLOOKUP(GP$7,Logistics!$M$6:$BM$6,Logistics!$M$15:$BM$15)))</f>
        <v>0</v>
      </c>
      <c r="GQ72" s="199">
        <f>IF(GQ$7&gt;$D$3,"",IF($FA69&lt;GQ$7,"OD",_xlfn.XLOOKUP(GQ$7,Logistics!$M$6:$BM$6,Logistics!$M$15:$BM$15)))</f>
        <v>0</v>
      </c>
      <c r="GR72" s="199">
        <f>IF(GR$7&gt;$D$3,"",IF($FA69&lt;GR$7,"OD",_xlfn.XLOOKUP(GR$7,Logistics!$M$6:$BM$6,Logistics!$M$15:$BM$15)))</f>
        <v>0</v>
      </c>
      <c r="GS72" s="199" t="str">
        <f>IF(GS$7&gt;$D$3,"",IF($FA69&lt;GS$7,"OD",_xlfn.XLOOKUP(GS$7,Logistics!$M$6:$BM$6,Logistics!$M$15:$BM$15)))</f>
        <v/>
      </c>
      <c r="GT72" s="199" t="str">
        <f>IF(GT$7&gt;$D$3,"",IF($FA69&lt;GT$7,"OD",_xlfn.XLOOKUP(GT$7,Logistics!$M$6:$BM$6,Logistics!$M$15:$BM$15)))</f>
        <v/>
      </c>
      <c r="GU72" s="199" t="str">
        <f>IF(GU$7&gt;$D$3,"",IF($FA69&lt;GU$7,"OD",_xlfn.XLOOKUP(GU$7,Logistics!$M$6:$BM$6,Logistics!$M$15:$BM$15)))</f>
        <v/>
      </c>
      <c r="GV72" s="199" t="str">
        <f>IF(GV$7&gt;$D$3,"",IF($FA69&lt;GV$7,"OD",_xlfn.XLOOKUP(GV$7,Logistics!$M$6:$BM$6,Logistics!$M$15:$BM$15)))</f>
        <v/>
      </c>
      <c r="GW72" s="199" t="str">
        <f>IF(GW$7&gt;$D$3,"",IF($FA69&lt;GW$7,"OD",_xlfn.XLOOKUP(GW$7,Logistics!$M$6:$BM$6,Logistics!$M$15:$BM$15)))</f>
        <v/>
      </c>
      <c r="GX72" s="199" t="str">
        <f>IF(GX$7&gt;$D$3,"",IF($FA69&lt;GX$7,"OD",_xlfn.XLOOKUP(GX$7,Logistics!$M$6:$BM$6,Logistics!$M$15:$BM$15)))</f>
        <v/>
      </c>
      <c r="GY72" s="199" t="str">
        <f>IF(GY$7&gt;$D$3,"",IF($FA69&lt;GY$7,"OD",_xlfn.XLOOKUP(GY$7,Logistics!$M$6:$BM$6,Logistics!$M$15:$BM$15)))</f>
        <v/>
      </c>
      <c r="GZ72" s="199" t="str">
        <f>IF(GZ$7&gt;$D$3,"",IF($FA69&lt;GZ$7,"OD",_xlfn.XLOOKUP(GZ$7,Logistics!$M$6:$BM$6,Logistics!$M$15:$BM$15)))</f>
        <v/>
      </c>
      <c r="HA72" s="199" t="str">
        <f>IF(HA$7&gt;$D$3,"",IF($FA69&lt;HA$7,"OD",_xlfn.XLOOKUP(HA$7,Logistics!$M$6:$BM$6,Logistics!$M$15:$BM$15)))</f>
        <v/>
      </c>
      <c r="HB72" s="199" t="str">
        <f>IF(HB$7&gt;$D$3,"",IF($FA69&lt;HB$7,"OD",_xlfn.XLOOKUP(HB$7,Logistics!$M$6:$BM$6,Logistics!$M$15:$BM$15)))</f>
        <v/>
      </c>
      <c r="HC72" s="199" t="str">
        <f>IF(HC$7&gt;$D$3,"",IF($FA69&lt;HC$7,"OD",_xlfn.XLOOKUP(HC$7,Logistics!$M$6:$BM$6,Logistics!$M$15:$BM$15)))</f>
        <v/>
      </c>
      <c r="HE72" s="136" t="str">
        <f>+$C72</f>
        <v>KPI Q1</v>
      </c>
      <c r="HF72" s="144" t="str">
        <f>+$D72</f>
        <v>Quality</v>
      </c>
      <c r="HG72" s="144" t="str">
        <f>+$E72</f>
        <v>Transport Complaints</v>
      </c>
      <c r="HH72" s="145" t="str">
        <f>+$F72</f>
        <v>Count</v>
      </c>
      <c r="HI72" s="145" t="s">
        <v>44</v>
      </c>
      <c r="HJ72" s="199" t="str">
        <f>IF(HJ$7&gt;$D$3,"",IF($FA69&lt;HJ$7,"OD",_xlfn.XLOOKUP(HJ$7,Logistics!$M$6:$BM$6,Logistics!$M$14:$BM$14)))</f>
        <v>Blank</v>
      </c>
      <c r="HK72" s="199" t="str">
        <f>IF(HK$7&gt;$D$3,"",IF($FA69&lt;HK$7,"OD",_xlfn.XLOOKUP(HK$7,Logistics!$M$6:$BM$6,Logistics!$M$14:$BM$14)))</f>
        <v>TBC</v>
      </c>
      <c r="HL72" s="199" t="str">
        <f>IF(HL$7&gt;$D$3,"",IF($FA69&lt;HL$7,"OD",_xlfn.XLOOKUP(HL$7,Logistics!$M$6:$BM$6,Logistics!$M$14:$BM$14)))</f>
        <v>TBC</v>
      </c>
      <c r="HM72" s="199" t="str">
        <f>IF(HM$7&gt;$D$3,"",IF($FA69&lt;HM$7,"OD",_xlfn.XLOOKUP(HM$7,Logistics!$M$6:$BM$6,Logistics!$M$14:$BM$14)))</f>
        <v>TBC</v>
      </c>
      <c r="HN72" s="199" t="str">
        <f>IF(HN$7&gt;$D$3,"",IF($FA69&lt;HN$7,"OD",_xlfn.XLOOKUP(HN$7,Logistics!$M$6:$BM$6,Logistics!$M$14:$BM$14)))</f>
        <v>TBC</v>
      </c>
      <c r="HO72" s="199" t="str">
        <f>IF(HO$7&gt;$D$3,"",IF($FA69&lt;HO$7,"OD",_xlfn.XLOOKUP(HO$7,Logistics!$M$6:$BM$6,Logistics!$M$14:$BM$14)))</f>
        <v>TBC</v>
      </c>
      <c r="HP72" s="199" t="str">
        <f>IF(HP$7&gt;$D$3,"",IF($FA69&lt;HP$7,"OD",_xlfn.XLOOKUP(HP$7,Logistics!$M$6:$BM$6,Logistics!$M$14:$BM$14)))</f>
        <v>TBC</v>
      </c>
      <c r="HQ72" s="199" t="str">
        <f>IF(HQ$7&gt;$D$3,"",IF($FA69&lt;HQ$7,"OD",_xlfn.XLOOKUP(HQ$7,Logistics!$M$6:$BM$6,Logistics!$M$14:$BM$14)))</f>
        <v>TBC</v>
      </c>
      <c r="HR72" s="199" t="str">
        <f>IF(HR$7&gt;$D$3,"",IF($FA69&lt;HR$7,"OD",_xlfn.XLOOKUP(HR$7,Logistics!$M$6:$BM$6,Logistics!$M$14:$BM$14)))</f>
        <v>TBC</v>
      </c>
      <c r="HS72" s="199" t="str">
        <f>IF(HS$7&gt;$D$3,"",IF($FA69&lt;HS$7,"OD",_xlfn.XLOOKUP(HS$7,Logistics!$M$6:$BM$6,Logistics!$M$14:$BM$14)))</f>
        <v>TBC</v>
      </c>
      <c r="HT72" s="199" t="str">
        <f>IF(HT$7&gt;$D$3,"",IF($FA69&lt;HT$7,"OD",_xlfn.XLOOKUP(HT$7,Logistics!$M$6:$BM$6,Logistics!$M$14:$BM$14)))</f>
        <v>TBC</v>
      </c>
      <c r="HU72" s="199" t="str">
        <f>IF(HU$7&gt;$D$3,"",IF($FA69&lt;HU$7,"OD",_xlfn.XLOOKUP(HU$7,Logistics!$M$6:$BM$6,Logistics!$M$14:$BM$14)))</f>
        <v>TBC</v>
      </c>
      <c r="HV72" s="199" t="str">
        <f>IF(HV$7&gt;$D$3,"",IF($FA69&lt;HV$7,"OD",_xlfn.XLOOKUP(HV$7,Logistics!$M$6:$BM$6,Logistics!$M$14:$BM$14)))</f>
        <v>TBC</v>
      </c>
      <c r="HW72" s="199">
        <f>IF(HW$7&gt;$D$3,"",IF($FA69&lt;HW$7,"OD",_xlfn.XLOOKUP(HW$7,Logistics!$M$6:$BM$6,Logistics!$M$14:$BM$14)))</f>
        <v>0.95</v>
      </c>
      <c r="HX72" s="199">
        <f>IF(HX$7&gt;$D$3,"",IF($FA69&lt;HX$7,"OD",_xlfn.XLOOKUP(HX$7,Logistics!$M$6:$BM$6,Logistics!$M$14:$BM$14)))</f>
        <v>0.95</v>
      </c>
      <c r="HY72" s="199">
        <f>IF(HY$7&gt;$D$3,"",IF($FA69&lt;HY$7,"OD",_xlfn.XLOOKUP(HY$7,Logistics!$M$6:$BM$6,Logistics!$M$14:$BM$14)))</f>
        <v>0.95</v>
      </c>
      <c r="HZ72" s="199">
        <f>IF(HZ$7&gt;$D$3,"",IF($FA69&lt;HZ$7,"OD",_xlfn.XLOOKUP(HZ$7,Logistics!$M$6:$BM$6,Logistics!$M$14:$BM$14)))</f>
        <v>0.95</v>
      </c>
      <c r="IA72" s="199">
        <f>IF(IA$7&gt;$D$3,"",IF($FA69&lt;IA$7,"OD",_xlfn.XLOOKUP(IA$7,Logistics!$M$6:$BM$6,Logistics!$M$14:$BM$14)))</f>
        <v>0.95</v>
      </c>
      <c r="IB72" s="199">
        <f>IF(IB$7&gt;$D$3,"",IF($FA69&lt;IB$7,"OD",_xlfn.XLOOKUP(IB$7,Logistics!$M$6:$BM$6,Logistics!$M$14:$BM$14)))</f>
        <v>0.95</v>
      </c>
      <c r="IC72" s="199">
        <f>IF(IC$7&gt;$D$3,"",IF($FA69&lt;IC$7,"OD",_xlfn.XLOOKUP(IC$7,Logistics!$M$6:$BM$6,Logistics!$M$14:$BM$14)))</f>
        <v>0.95</v>
      </c>
      <c r="ID72" s="199" t="str">
        <f>IF(ID$7&gt;$D$3,"",IF($FA69&lt;ID$7,"OD",_xlfn.XLOOKUP(ID$7,Logistics!$M$6:$BM$6,Logistics!$M$14:$BM$14)))</f>
        <v>OD</v>
      </c>
      <c r="IE72" s="199" t="str">
        <f>IF(IE$7&gt;$D$3,"",IF($FA69&lt;IE$7,"OD",_xlfn.XLOOKUP(IE$7,Logistics!$M$6:$BM$6,Logistics!$M$14:$BM$14)))</f>
        <v>OD</v>
      </c>
      <c r="IF72" s="199" t="str">
        <f>IF(IF$7&gt;$D$3,"",IF($FA69&lt;IF$7,"OD",_xlfn.XLOOKUP(IF$7,Logistics!$M$6:$BM$6,Logistics!$M$14:$BM$14)))</f>
        <v>OD</v>
      </c>
      <c r="IG72" s="199" t="str">
        <f>IF(IG$7&gt;$D$3,"",IF($FA69&lt;IG$7,"OD",_xlfn.XLOOKUP(IG$7,Logistics!$M$6:$BM$6,Logistics!$M$14:$BM$14)))</f>
        <v>OD</v>
      </c>
      <c r="IH72" s="199" t="str">
        <f>IF(IH$7&gt;$D$3,"",IF($FA69&lt;IH$7,"OD",_xlfn.XLOOKUP(IH$7,Logistics!$M$6:$BM$6,Logistics!$M$14:$BM$14)))</f>
        <v>OD</v>
      </c>
      <c r="II72" s="199" t="str">
        <f>IF(II$7&gt;$D$3,"",IF($FA69&lt;II$7,"OD",_xlfn.XLOOKUP(II$7,Logistics!$M$6:$BM$6,Logistics!$M$14:$BM$14)))</f>
        <v>OD</v>
      </c>
      <c r="IJ72" s="199" t="str">
        <f>IF(IJ$7&gt;$D$3,"",IF($FA69&lt;IJ$7,"OD",_xlfn.XLOOKUP(IJ$7,Logistics!$M$6:$BM$6,Logistics!$M$14:$BM$14)))</f>
        <v>OD</v>
      </c>
      <c r="IK72" s="199">
        <f>IF(IK$7&gt;$D$3,"",IF($FA69&lt;IK$7,"OD",_xlfn.XLOOKUP(IK$7,Logistics!$M$6:$BM$6,Logistics!$M$14:$BM$14)))</f>
        <v>0</v>
      </c>
      <c r="IL72" s="199">
        <f>IF(IL$7&gt;$D$3,"",IF($FA69&lt;IL$7,"OD",_xlfn.XLOOKUP(IL$7,Logistics!$M$6:$BM$6,Logistics!$M$14:$BM$14)))</f>
        <v>0</v>
      </c>
      <c r="IM72" s="199">
        <f>IF(IM$7&gt;$D$3,"",IF($FA69&lt;IM$7,"OD",_xlfn.XLOOKUP(IM$7,Logistics!$M$6:$BM$6,Logistics!$M$14:$BM$14)))</f>
        <v>0</v>
      </c>
      <c r="IN72" s="199">
        <f>IF(IN$7&gt;$D$3,"",IF($FA69&lt;IN$7,"OD",_xlfn.XLOOKUP(IN$7,Logistics!$M$6:$BM$6,Logistics!$M$14:$BM$14)))</f>
        <v>0</v>
      </c>
      <c r="IO72" s="199">
        <f>IF(IO$7&gt;$D$3,"",IF($FA69&lt;IO$7,"OD",_xlfn.XLOOKUP(IO$7,Logistics!$M$6:$BM$6,Logistics!$M$14:$BM$14)))</f>
        <v>0</v>
      </c>
      <c r="IP72" s="199">
        <f>IF(IP$7&gt;$D$3,"",IF($FA69&lt;IP$7,"OD",_xlfn.XLOOKUP(IP$7,Logistics!$M$6:$BM$6,Logistics!$M$14:$BM$14)))</f>
        <v>0</v>
      </c>
      <c r="IQ72" s="199">
        <f>IF(IQ$7&gt;$D$3,"",IF($FA69&lt;IQ$7,"OD",_xlfn.XLOOKUP(IQ$7,Logistics!$M$6:$BM$6,Logistics!$M$14:$BM$14)))</f>
        <v>0</v>
      </c>
      <c r="IR72" s="199">
        <f>IF(IR$7&gt;$D$3,"",IF($FA69&lt;IR$7,"OD",_xlfn.XLOOKUP(IR$7,Logistics!$M$6:$BM$6,Logistics!$M$14:$BM$14)))</f>
        <v>0</v>
      </c>
      <c r="IS72" s="199">
        <f>IF(IS$7&gt;$D$3,"",IF($FA69&lt;IS$7,"OD",_xlfn.XLOOKUP(IS$7,Logistics!$M$6:$BM$6,Logistics!$M$14:$BM$14)))</f>
        <v>1</v>
      </c>
      <c r="IT72" s="199">
        <f>IF(IT$7&gt;$D$3,"",IF($FA69&lt;IT$7,"OD",_xlfn.XLOOKUP(IT$7,Logistics!$M$6:$BM$6,Logistics!$M$14:$BM$14)))</f>
        <v>1</v>
      </c>
      <c r="IU72" s="199">
        <f>IF(IU$7&gt;$D$3,"",IF($FA69&lt;IU$7,"OD",_xlfn.XLOOKUP(IU$7,Logistics!$M$6:$BM$6,Logistics!$M$14:$BM$14)))</f>
        <v>1</v>
      </c>
      <c r="IV72" s="199">
        <f>IF(IV$7&gt;$D$3,"",IF($FA69&lt;IV$7,"OD",_xlfn.XLOOKUP(IV$7,Logistics!$M$6:$BM$6,Logistics!$M$14:$BM$14)))</f>
        <v>0</v>
      </c>
      <c r="IW72" s="199">
        <f>IF(IW$7&gt;$D$3,"",IF($FA69&lt;IW$7,"OD",_xlfn.XLOOKUP(IW$7,Logistics!$M$6:$BM$6,Logistics!$M$14:$BM$14)))</f>
        <v>0</v>
      </c>
      <c r="IX72" s="199">
        <f>IF(IX$7&gt;$D$3,"",IF($FA69&lt;IX$7,"OD",_xlfn.XLOOKUP(IX$7,Logistics!$M$6:$BM$6,Logistics!$M$14:$BM$14)))</f>
        <v>0</v>
      </c>
      <c r="IY72" s="199">
        <f>IF(IY$7&gt;$D$3,"",IF($FA69&lt;IY$7,"OD",_xlfn.XLOOKUP(IY$7,Logistics!$M$6:$BM$6,Logistics!$M$14:$BM$14)))</f>
        <v>0</v>
      </c>
      <c r="IZ72" s="199" t="str">
        <f>IF(IZ$7&gt;$D$3,"",IF($FA69&lt;IZ$7,"OD",_xlfn.XLOOKUP(IZ$7,Logistics!$M$6:$BM$6,Logistics!$M$14:$BM$14)))</f>
        <v/>
      </c>
      <c r="JA72" s="199" t="str">
        <f>IF(JA$7&gt;$D$3,"",IF($FA69&lt;JA$7,"OD",_xlfn.XLOOKUP(JA$7,Logistics!$M$6:$BM$6,Logistics!$M$14:$BM$14)))</f>
        <v/>
      </c>
      <c r="JB72" s="199" t="str">
        <f>IF(JB$7&gt;$D$3,"",IF($FA69&lt;JB$7,"OD",_xlfn.XLOOKUP(JB$7,Logistics!$M$6:$BM$6,Logistics!$M$14:$BM$14)))</f>
        <v/>
      </c>
      <c r="JC72" s="199" t="str">
        <f>IF(JC$7&gt;$D$3,"",IF($FA69&lt;JC$7,"OD",_xlfn.XLOOKUP(JC$7,Logistics!$M$6:$BM$6,Logistics!$M$14:$BM$14)))</f>
        <v/>
      </c>
      <c r="JD72" s="199" t="str">
        <f>IF(JD$7&gt;$D$3,"",IF($FA69&lt;JD$7,"OD",_xlfn.XLOOKUP(JD$7,Logistics!$M$6:$BM$6,Logistics!$M$14:$BM$14)))</f>
        <v/>
      </c>
      <c r="JE72" s="199" t="str">
        <f>IF(JE$7&gt;$D$3,"",IF($FA69&lt;JE$7,"OD",_xlfn.XLOOKUP(JE$7,Logistics!$M$6:$BM$6,Logistics!$M$14:$BM$14)))</f>
        <v/>
      </c>
      <c r="JF72" s="199" t="str">
        <f>IF(JF$7&gt;$D$3,"",IF($FA69&lt;JF$7,"OD",_xlfn.XLOOKUP(JF$7,Logistics!$M$6:$BM$6,Logistics!$M$14:$BM$14)))</f>
        <v/>
      </c>
      <c r="JG72" s="199" t="str">
        <f>IF(JG$7&gt;$D$3,"",IF($FA69&lt;JG$7,"OD",_xlfn.XLOOKUP(JG$7,Logistics!$M$6:$BM$6,Logistics!$M$14:$BM$14)))</f>
        <v/>
      </c>
      <c r="JH72" s="199" t="str">
        <f>IF(JH$7&gt;$D$3,"",IF($FA69&lt;JH$7,"OD",_xlfn.XLOOKUP(JH$7,Logistics!$M$6:$BM$6,Logistics!$M$14:$BM$14)))</f>
        <v/>
      </c>
      <c r="JI72" s="199" t="str">
        <f>IF(JI$7&gt;$D$3,"",IF($FA69&lt;JI$7,"OD",_xlfn.XLOOKUP(JI$7,Logistics!$M$6:$BM$6,Logistics!$M$14:$BM$14)))</f>
        <v/>
      </c>
      <c r="JJ72" s="199" t="str">
        <f>IF(JJ$7&gt;$D$3,"",IF($FA69&lt;JJ$7,"OD",_xlfn.XLOOKUP(JJ$7,Logistics!$M$6:$BM$6,Logistics!$M$14:$BM$14)))</f>
        <v/>
      </c>
      <c r="JM72" s="136" t="str">
        <f>+$C72</f>
        <v>KPI Q1</v>
      </c>
      <c r="JN72" s="144" t="str">
        <f>+$D72</f>
        <v>Quality</v>
      </c>
      <c r="JO72" s="144" t="str">
        <f>+$E72</f>
        <v>Transport Complaints</v>
      </c>
      <c r="JP72" s="145" t="str">
        <f>+$F72</f>
        <v>Count</v>
      </c>
      <c r="JQ72" s="145" t="s">
        <v>284</v>
      </c>
      <c r="JR72" s="247" t="str">
        <f>IFERROR(AVERAGE(FC72:$FC72),"")</f>
        <v/>
      </c>
      <c r="JS72" s="247" t="str">
        <f>IFERROR(AVERAGE($FC72:FD72),"")</f>
        <v/>
      </c>
      <c r="JT72" s="247" t="str">
        <f>IFERROR(AVERAGE($FC72:FE72),"")</f>
        <v/>
      </c>
      <c r="JU72" s="247" t="str">
        <f>IFERROR(AVERAGE($FC72:FF72),"")</f>
        <v/>
      </c>
      <c r="JV72" s="247" t="str">
        <f>IFERROR(AVERAGE($FC72:FG72),"")</f>
        <v/>
      </c>
      <c r="JW72" s="247" t="str">
        <f>IFERROR(AVERAGE($FC72:FH72),"")</f>
        <v/>
      </c>
      <c r="JX72" s="247" t="str">
        <f>IFERROR(AVERAGE($FC72:FI72),"")</f>
        <v/>
      </c>
      <c r="JY72" s="247" t="str">
        <f>IFERROR(AVERAGE($FC72:FJ72),"")</f>
        <v/>
      </c>
      <c r="JZ72" s="247" t="str">
        <f>IFERROR(AVERAGE($FC72:FK72),"")</f>
        <v/>
      </c>
      <c r="KA72" s="247" t="str">
        <f>IFERROR(AVERAGE($FC72:FL72),"")</f>
        <v/>
      </c>
      <c r="KB72" s="247" t="str">
        <f>IFERROR(AVERAGE($FC72:FM72),"")</f>
        <v/>
      </c>
      <c r="KC72" s="247" t="str">
        <f>IFERROR(AVERAGE($FC72:FN72),"")</f>
        <v/>
      </c>
      <c r="KD72" s="247" t="str">
        <f>IFERROR(AVERAGE($FC72:FO72),"")</f>
        <v/>
      </c>
      <c r="KE72" s="247" t="str">
        <f>IFERROR(AVERAGE($FC72:FP72),"")</f>
        <v/>
      </c>
      <c r="KF72" s="247" t="str">
        <f>IFERROR(AVERAGE($FC72:FQ72),"")</f>
        <v/>
      </c>
      <c r="KG72" s="247" t="str">
        <f>IFERROR(AVERAGE($FC72:FR72),"")</f>
        <v/>
      </c>
      <c r="KH72" s="247" t="str">
        <f>IFERROR(AVERAGE($FC72:FS72),"")</f>
        <v/>
      </c>
      <c r="KI72" s="247" t="str">
        <f>IFERROR(AVERAGE($FC72:FT72),"")</f>
        <v/>
      </c>
      <c r="KJ72" s="247" t="str">
        <f>IFERROR(AVERAGE($FC72:FU72),"")</f>
        <v/>
      </c>
      <c r="KK72" s="247" t="str">
        <f>IFERROR(AVERAGE($FC72:FV72),"")</f>
        <v/>
      </c>
      <c r="KL72" s="247" t="str">
        <f>IFERROR(AVERAGE($FC72:FW72),"")</f>
        <v/>
      </c>
      <c r="KM72" s="247" t="str">
        <f>IFERROR(AVERAGE($FC72:FX72),"")</f>
        <v/>
      </c>
      <c r="KN72" s="247" t="str">
        <f>IFERROR(AVERAGE($FC72:FY72),"")</f>
        <v/>
      </c>
      <c r="KO72" s="247" t="str">
        <f>IFERROR(AVERAGE($FC72:FZ72),"")</f>
        <v/>
      </c>
      <c r="KP72" s="247" t="str">
        <f>IFERROR(AVERAGE($FC72:GA72),"")</f>
        <v/>
      </c>
      <c r="KQ72" s="247" t="str">
        <f>IFERROR(AVERAGE($FC72:GB72),"")</f>
        <v/>
      </c>
      <c r="KR72" s="247" t="str">
        <f>IFERROR(AVERAGE($FC72:GC72),"")</f>
        <v/>
      </c>
      <c r="KS72" s="247" t="str">
        <f>IFERROR(AVERAGE($FC72:GD72),"")</f>
        <v/>
      </c>
      <c r="KT72" s="247" t="str">
        <f>IFERROR(AVERAGE($FC72:GE72),"")</f>
        <v/>
      </c>
      <c r="KU72" s="247" t="str">
        <f>IFERROR(AVERAGE($FC72:GF72),"")</f>
        <v/>
      </c>
      <c r="KV72" s="247" t="str">
        <f>IFERROR(AVERAGE($FC72:GG72),"")</f>
        <v/>
      </c>
      <c r="KW72" s="247" t="str">
        <f>IFERROR(AVERAGE($FC72:GH72),"")</f>
        <v/>
      </c>
      <c r="KX72" s="247" t="str">
        <f>IFERROR(AVERAGE($FC72:GI72),"")</f>
        <v/>
      </c>
      <c r="KY72" s="247" t="str">
        <f>IFERROR(AVERAGE($FC72:GJ72),"")</f>
        <v/>
      </c>
      <c r="KZ72" s="247" t="str">
        <f>IFERROR(AVERAGE($FC72:GK72),"")</f>
        <v/>
      </c>
      <c r="LA72" s="247">
        <f>IFERROR(AVERAGE($FC72:GL72),"")</f>
        <v>0</v>
      </c>
      <c r="LB72" s="247">
        <f>IFERROR(AVERAGE($FC72:GM72),"")</f>
        <v>0</v>
      </c>
      <c r="LC72" s="247">
        <f>IFERROR(AVERAGE($FC72:GN72),"")</f>
        <v>0</v>
      </c>
      <c r="LD72" s="247">
        <f>IFERROR(AVERAGE($FC72:GO72),"")</f>
        <v>0</v>
      </c>
      <c r="LE72" s="247">
        <f>IFERROR(AVERAGE($FC72:GP72),"")</f>
        <v>0</v>
      </c>
      <c r="LF72" s="247">
        <f>IFERROR(AVERAGE($FC72:GQ72),"")</f>
        <v>0</v>
      </c>
      <c r="LG72" s="247">
        <f>IFERROR(AVERAGE($FC72:GR72),"")</f>
        <v>0</v>
      </c>
      <c r="LH72" s="247">
        <f>IFERROR(AVERAGE($FC72:GS72),"")</f>
        <v>0</v>
      </c>
      <c r="LI72" s="247">
        <f>IFERROR(AVERAGE($FC72:GT72),"")</f>
        <v>0</v>
      </c>
      <c r="LJ72" s="247">
        <f>IFERROR(AVERAGE($FC72:GU72),"")</f>
        <v>0</v>
      </c>
      <c r="LK72" s="247">
        <f>IFERROR(AVERAGE($FC72:GV72),"")</f>
        <v>0</v>
      </c>
      <c r="LL72" s="247">
        <f>IFERROR(AVERAGE($FC72:GW72),"")</f>
        <v>0</v>
      </c>
      <c r="LM72" s="247">
        <f>IFERROR(AVERAGE($FC72:GX72),"")</f>
        <v>0</v>
      </c>
      <c r="LN72" s="247">
        <f>IFERROR(AVERAGE($FC72:GY72),"")</f>
        <v>0</v>
      </c>
      <c r="LO72" s="247">
        <f>IFERROR(AVERAGE($FC72:GZ72),"")</f>
        <v>0</v>
      </c>
      <c r="LP72" s="247">
        <f>IFERROR(AVERAGE($FC72:HA72),"")</f>
        <v>0</v>
      </c>
      <c r="LQ72" s="247">
        <f>IFERROR(AVERAGE($FC72:HB72),"")</f>
        <v>0</v>
      </c>
      <c r="LR72" s="247">
        <f>IFERROR(AVERAGE($FC72:HC72),"")</f>
        <v>0</v>
      </c>
      <c r="LT72" s="136" t="str">
        <f>+$C72</f>
        <v>KPI Q1</v>
      </c>
      <c r="LU72" s="144" t="str">
        <f>+$D72</f>
        <v>Quality</v>
      </c>
      <c r="LV72" s="144" t="str">
        <f>+$E72</f>
        <v>Transport Complaints</v>
      </c>
      <c r="LW72" s="145" t="str">
        <f>+$F72</f>
        <v>Count</v>
      </c>
      <c r="LX72" s="145" t="s">
        <v>285</v>
      </c>
      <c r="LY72" s="199" t="str">
        <f>IFERROR(AVERAGE($HJ72:HJ72),"")</f>
        <v/>
      </c>
      <c r="LZ72" s="199" t="str">
        <f>IFERROR(IF(LAD$7&gt;$D$3,"",AVERAGE($HJ72:HK72)),"")</f>
        <v/>
      </c>
      <c r="MA72" s="199" t="str">
        <f>IFERROR(IF(MA$7&gt;$D$3,"",AVERAGE($HJ72:HL72)),"")</f>
        <v/>
      </c>
      <c r="MB72" s="199" t="str">
        <f>IFERROR(IF(MB$7&gt;$D$3,"",AVERAGE($HJ72:HM72)),"")</f>
        <v/>
      </c>
      <c r="MC72" s="199" t="str">
        <f>IFERROR(IF(MC$7&gt;$D$3,"",AVERAGE($HJ72:HN72)),"")</f>
        <v/>
      </c>
      <c r="MD72" s="199" t="str">
        <f>IFERROR(IF(MD$7&gt;$D$3,"",AVERAGE($HJ72:HO72)),"")</f>
        <v/>
      </c>
      <c r="ME72" s="199" t="str">
        <f>IFERROR(IF(ME$7&gt;$D$3,"",AVERAGE($HJ72:HP72)),"")</f>
        <v/>
      </c>
      <c r="MF72" s="199" t="str">
        <f>IFERROR(IF(MF$7&gt;$D$3,"",AVERAGE($HJ72:HQ72)),"")</f>
        <v/>
      </c>
      <c r="MG72" s="199" t="str">
        <f>IFERROR(IF(MG$7&gt;$D$3,"",AVERAGE($HJ72:HR72)),"")</f>
        <v/>
      </c>
      <c r="MH72" s="199" t="str">
        <f>IFERROR(IF(MH$7&gt;$D$3,"",AVERAGE($HJ72:HS72)),"")</f>
        <v/>
      </c>
      <c r="MI72" s="199" t="str">
        <f>IFERROR(IF(MI$7&gt;$D$3,"",AVERAGE($HJ72:HT72)),"")</f>
        <v/>
      </c>
      <c r="MJ72" s="199" t="str">
        <f>IFERROR(IF(MJ$7&gt;$D$3,"",AVERAGE($HJ72:HU72)),"")</f>
        <v/>
      </c>
      <c r="MK72" s="199" t="str">
        <f>IFERROR(IF(MK$7&gt;$D$3,"",AVERAGE($HJ72:HV72)),"")</f>
        <v/>
      </c>
      <c r="ML72" s="199">
        <f>IFERROR(IF(ML$7&gt;$D$3,"",AVERAGE($HJ72:HW72)),"")</f>
        <v>0.95</v>
      </c>
      <c r="MM72" s="199">
        <f>IFERROR(IF(MM$7&gt;$D$3,"",AVERAGE($HJ72:HX72)),"")</f>
        <v>0.95</v>
      </c>
      <c r="MN72" s="199">
        <f>IFERROR(IF(MN$7&gt;$D$3,"",AVERAGE($HJ72:HY72)),"")</f>
        <v>0.94999999999999984</v>
      </c>
      <c r="MO72" s="199">
        <f>IFERROR(IF(MO$7&gt;$D$3,"",AVERAGE($HJ72:HZ72)),"")</f>
        <v>0.95</v>
      </c>
      <c r="MP72" s="199">
        <f>IFERROR(IF(MP$7&gt;$D$3,"",AVERAGE($HJ72:IA72)),"")</f>
        <v>0.95</v>
      </c>
      <c r="MQ72" s="199">
        <f>IFERROR(IF(MQ$7&gt;$D$3,"",AVERAGE($HJ72:IB72)),"")</f>
        <v>0.95000000000000007</v>
      </c>
      <c r="MR72" s="199">
        <f>IFERROR(IF(MR$7&gt;$D$3,"",AVERAGE($HJ72:IC72)),"")</f>
        <v>0.95000000000000007</v>
      </c>
      <c r="MS72" s="199">
        <f>IFERROR(IF(MS$7&gt;$D$3,"",AVERAGE($HJ72:ID72)),"")</f>
        <v>0.95000000000000007</v>
      </c>
      <c r="MT72" s="199">
        <f>IFERROR(IF(MT$7&gt;$D$3,"",AVERAGE($HJ72:IE72)),"")</f>
        <v>0.95000000000000007</v>
      </c>
      <c r="MU72" s="199">
        <f>IFERROR(IF(MU$7&gt;$D$3,"",AVERAGE($HJ72:IF72)),"")</f>
        <v>0.95000000000000007</v>
      </c>
      <c r="MV72" s="199">
        <f>IFERROR(IF(MV$7&gt;$D$3,"",AVERAGE($HJ72:IG72)),"")</f>
        <v>0.95000000000000007</v>
      </c>
      <c r="MW72" s="199">
        <f>IFERROR(IF(MW$7&gt;$D$3,"",AVERAGE($HJ72:IH72)),"")</f>
        <v>0.95000000000000007</v>
      </c>
      <c r="MX72" s="199">
        <f>IFERROR(IF(MX$7&gt;$D$3,"",AVERAGE($HJ72:II72)),"")</f>
        <v>0.95000000000000007</v>
      </c>
      <c r="MY72" s="199">
        <f>IFERROR(IF(MY$7&gt;$D$3,"",AVERAGE($HJ72:IJ72)),"")</f>
        <v>0.95000000000000007</v>
      </c>
      <c r="MZ72" s="199">
        <f>IFERROR(IF(MZ$7&gt;$D$3,"",AVERAGE($HJ72:IK72)),"")</f>
        <v>0.83125000000000004</v>
      </c>
      <c r="NA72" s="199">
        <f>IFERROR(IF(NA$7&gt;$D$3,"",AVERAGE($HJ72:IL72)),"")</f>
        <v>0.73888888888888893</v>
      </c>
      <c r="NB72" s="199">
        <f>IFERROR(IF(NB$7&gt;$D$3,"",AVERAGE($HJ72:IM72)),"")</f>
        <v>0.66500000000000004</v>
      </c>
      <c r="NC72" s="199">
        <f>IFERROR(IF(NC$7&gt;$D$3,"",AVERAGE($HJ72:IN72)),"")</f>
        <v>0.60454545454545461</v>
      </c>
      <c r="ND72" s="199">
        <f>IFERROR(IF(ND$7&gt;$D$3,"",AVERAGE($HJ72:IO72)),"")</f>
        <v>0.5541666666666667</v>
      </c>
      <c r="NE72" s="199">
        <f>IFERROR(IF(NE$7&gt;$D$3,"",AVERAGE($HJ72:IP72)),"")</f>
        <v>0.51153846153846161</v>
      </c>
      <c r="NF72" s="199">
        <f>IFERROR(IF(NF$7&gt;$D$3,"",AVERAGE($HJ72:IQ72)),"")</f>
        <v>0.47500000000000003</v>
      </c>
      <c r="NG72" s="199">
        <f>IFERROR(IF(NG$7&gt;$D$3,"",AVERAGE($HJ72:IR72)),"")</f>
        <v>0.44333333333333336</v>
      </c>
      <c r="NH72" s="199">
        <f>IFERROR(IF(NH$7&gt;$D$3,"",AVERAGE($HJ72:IS72)),"")</f>
        <v>0.47812500000000002</v>
      </c>
      <c r="NI72" s="199">
        <f>IFERROR(IF(NI$7&gt;$D$3,"",AVERAGE($HJ72:IT72)),"")</f>
        <v>0.50882352941176467</v>
      </c>
      <c r="NJ72" s="199">
        <f>IFERROR(IF(NJ$7&gt;$D$3,"",AVERAGE($HJ72:IU72)),"")</f>
        <v>0.53611111111111109</v>
      </c>
      <c r="NK72" s="199">
        <f>IFERROR(IF(NK$7&gt;$D$3,"",AVERAGE($HJ72:IV72)),"")</f>
        <v>0.50789473684210529</v>
      </c>
      <c r="NL72" s="199">
        <f>IFERROR(IF(NL$7&gt;$D$3,"",AVERAGE($HJ72:IW72)),"")</f>
        <v>0.48250000000000004</v>
      </c>
      <c r="NM72" s="199">
        <f>IFERROR(IF(NM$7&gt;$D$3,"",AVERAGE($HJ72:IX72)),"")</f>
        <v>0.45952380952380956</v>
      </c>
      <c r="NN72" s="199">
        <f>IFERROR(IF(NN$7&gt;$D$3,"",AVERAGE($HJ72:IY72)),"")</f>
        <v>0.43863636363636366</v>
      </c>
      <c r="NO72" s="199" t="str">
        <f>IFERROR(IF(NO$7&gt;$D$3,"",AVERAGE($HJ72:IZ72)),"")</f>
        <v/>
      </c>
      <c r="NP72" s="199" t="str">
        <f>IFERROR(IF(NP$7&gt;$D$3,"",AVERAGE($HJ72:JA72)),"")</f>
        <v/>
      </c>
      <c r="NQ72" s="199" t="str">
        <f>IFERROR(IF(NQ$7&gt;$D$3,"",AVERAGE($HJ72:JB72)),"")</f>
        <v/>
      </c>
      <c r="NR72" s="199" t="str">
        <f>IFERROR(IF(NR$7&gt;$D$3,"",AVERAGE($HJ72:JC72)),"")</f>
        <v/>
      </c>
      <c r="NS72" s="199" t="str">
        <f>IFERROR(IF(NS$7&gt;$D$3,"",AVERAGE($HJ72:JD72)),"")</f>
        <v/>
      </c>
      <c r="NT72" s="199" t="str">
        <f>IFERROR(IF(NT$7&gt;$D$3,"",AVERAGE($HJ72:JE72)),"")</f>
        <v/>
      </c>
      <c r="NU72" s="199" t="str">
        <f>IFERROR(IF(NU$7&gt;$D$3,"",AVERAGE($HJ72:JF72)),"")</f>
        <v/>
      </c>
      <c r="NV72" s="199" t="str">
        <f>IFERROR(IF(NV$7&gt;$D$3,"",AVERAGE($HJ72:JG72)),"")</f>
        <v/>
      </c>
      <c r="NW72" s="199" t="str">
        <f>IFERROR(IF(NW$7&gt;$D$3,"",AVERAGE($HJ72:JH72)),"")</f>
        <v/>
      </c>
      <c r="NX72" s="199" t="str">
        <f>IFERROR(IF(NX$7&gt;$D$3,"",AVERAGE($HJ72:JI72)),"")</f>
        <v/>
      </c>
      <c r="NY72" s="199" t="str">
        <f>IFERROR(IF(NY$7&gt;$D$3,"",AVERAGE($HJ72:JJ72)),"")</f>
        <v/>
      </c>
    </row>
    <row r="73" spans="1:389" ht="15" thickBot="1" x14ac:dyDescent="0.35">
      <c r="A73" t="str">
        <f>$B$69&amp;"-"&amp;C73</f>
        <v>Logistics-KPI C1</v>
      </c>
      <c r="B73" s="138"/>
      <c r="C73" s="138" t="str">
        <f>+'KPI Stats'!C72</f>
        <v>KPI C1</v>
      </c>
      <c r="D73" s="146" t="str">
        <f>+'KPI Stats'!D72</f>
        <v>Cost</v>
      </c>
      <c r="E73" s="146" t="str">
        <f>+'KPI Stats'!E72</f>
        <v>Distribution Costs - Group</v>
      </c>
      <c r="F73" s="147" t="str">
        <f>+'KPI Stats'!F72</f>
        <v>£'s</v>
      </c>
      <c r="G73" s="170" t="str">
        <f>+'KPI Stats'!G72</f>
        <v>Over</v>
      </c>
      <c r="J73" s="160" t="str">
        <f>_xlfn.XLOOKUP(J$7,$AM$7:$CM$7,$AM73:$CM73,,FALSE)</f>
        <v>OD</v>
      </c>
      <c r="K73" s="266">
        <f>_xlfn.XLOOKUP(K$7,$FC$7:$HC$7,$FC73:$HC73,,FALSE)</f>
        <v>0</v>
      </c>
      <c r="L73" s="279" t="str">
        <f>_xlfn.XLOOKUP(L$7,$HJ$7:$JJ$7,$HJ73:$JJ73,,FALSE)</f>
        <v>Undefined</v>
      </c>
      <c r="M73" s="276" t="str">
        <f>_xlfn.XLOOKUP(M$7,$CU$7:$EU$7,$CU73:$EU73,,FALSE)</f>
        <v>OD</v>
      </c>
      <c r="P73" s="160" t="str">
        <f>_xlfn.XLOOKUP(P$7,$AM$7:$CM$7,$AM73:$CM73,,FALSE)</f>
        <v>OD</v>
      </c>
      <c r="Q73" s="266">
        <f t="shared" si="227"/>
        <v>0</v>
      </c>
      <c r="R73" s="279">
        <f t="shared" si="227"/>
        <v>0</v>
      </c>
      <c r="S73" s="289" t="str">
        <f t="shared" si="228"/>
        <v>OD</v>
      </c>
      <c r="T73" s="267" t="str">
        <f t="shared" si="228"/>
        <v>OD</v>
      </c>
      <c r="U73" s="296" t="str">
        <f>IF(F69&lt;$R$2,"Not Complete",IF(Q73=R73,"Same −",IF($G73="Over",IF(Q73&lt;R73,"Better ↑","Worse ↓"),IF($G73="Under",IF(Q73&gt;R73,"Better ↑","Worse ↓"),"err"))))</f>
        <v>Same −</v>
      </c>
      <c r="X73" s="160" t="str">
        <f t="shared" si="229"/>
        <v>R</v>
      </c>
      <c r="Y73" s="164">
        <f>_xlfn.XLOOKUP(Y$7,$JR$7:$LR$7,$JR73:$LR73,FALSE)</f>
        <v>0</v>
      </c>
      <c r="Z73" s="164" t="str">
        <f>_xlfn.XLOOKUP(Z$7,$LY$7:$NY$7,$LY73:$NY73,FALSE)</f>
        <v/>
      </c>
      <c r="AA73" s="255">
        <f>IFERROR(IF(G73="Undefined","",IF(G73="under",Y73/Z73,IF(G73="over",Z73/Y73,"err"))),0)</f>
        <v>0</v>
      </c>
      <c r="AB73" s="296" t="str">
        <f>IF(F69&lt;$R$2,"TBC",IF(Y73=Z73,"Same −",IF($G73="Over",IF(Z73&lt;Y73,"Better ↑ ","Worse ↓ "),IF($G73="Under",IF(Y73&gt;Z73,"Better ↑ ","Worse ↓ "),"err"))))</f>
        <v xml:space="preserve">Worse ↓ </v>
      </c>
      <c r="AC73" s="160" t="e">
        <f>IF(AND(G73="above adero",AD73&gt;0),"R",IF(AF73&gt;1,"G",IF(AF73&gt;0.95,"A","R")))</f>
        <v>#VALUE!</v>
      </c>
      <c r="AD73" s="164">
        <f>_xlfn.XLOOKUP(AD$7,$JR$7:$LR$7,$JR73:$LR73,FALSE)</f>
        <v>0</v>
      </c>
      <c r="AE73" s="164" t="str">
        <f>_xlfn.XLOOKUP(AE$7,$LY$7:$NY$7,$LY73:$NY73,FALSE)</f>
        <v/>
      </c>
      <c r="AF73" s="255" t="e">
        <f t="shared" si="230"/>
        <v>#VALUE!</v>
      </c>
      <c r="AH73" s="465" t="str">
        <f>+$A73</f>
        <v>Logistics-KPI C1</v>
      </c>
      <c r="AI73" s="138" t="str">
        <f t="shared" si="231"/>
        <v>KPI C1</v>
      </c>
      <c r="AJ73" s="146" t="str">
        <f t="shared" si="231"/>
        <v>Cost</v>
      </c>
      <c r="AK73" s="146" t="str">
        <f t="shared" si="216"/>
        <v>Distribution Costs - Group</v>
      </c>
      <c r="AL73" s="147" t="str">
        <f t="shared" si="216"/>
        <v>£'s</v>
      </c>
      <c r="AM73" s="160" t="str">
        <f>IF(AM$7&gt;$D$3,"",_xlfn.XLOOKUP(AM$7,Logistics!$M$6:$BM$6,Logistics!$M$19:$BM$19))</f>
        <v>Blank</v>
      </c>
      <c r="AN73" s="200" t="str">
        <f>IF(AN$7&gt;$D$3,"",_xlfn.XLOOKUP(AN$7,Logistics!$M$6:$BM$6,Logistics!$M$19:$BM$19))</f>
        <v>Undefined</v>
      </c>
      <c r="AO73" s="160" t="str">
        <f>IF(AO$7&gt;$D$3,"",_xlfn.XLOOKUP(AO$7,Logistics!$M$6:$BM$6,Logistics!$M$19:$BM$19))</f>
        <v>Undefined</v>
      </c>
      <c r="AP73" s="160" t="str">
        <f>IF(AP$7&gt;$D$3,"",_xlfn.XLOOKUP(AP$7,Logistics!$M$6:$BM$6,Logistics!$M$19:$BM$19))</f>
        <v>Undefined</v>
      </c>
      <c r="AQ73" s="160" t="str">
        <f>IF(AQ$7&gt;$D$3,"",_xlfn.XLOOKUP(AQ$7,Logistics!$M$6:$BM$6,Logistics!$M$19:$BM$19))</f>
        <v>Undefined</v>
      </c>
      <c r="AR73" s="160" t="str">
        <f>IF(AR$7&gt;$D$3,"",_xlfn.XLOOKUP(AR$7,Logistics!$M$6:$BM$6,Logistics!$M$19:$BM$19))</f>
        <v>Undefined</v>
      </c>
      <c r="AS73" s="160" t="str">
        <f>IF(AS$7&gt;$D$3,"",_xlfn.XLOOKUP(AS$7,Logistics!$M$6:$BM$6,Logistics!$M$19:$BM$19))</f>
        <v>Undefined</v>
      </c>
      <c r="AT73" s="160" t="str">
        <f>IF(AT$7&gt;$D$3,"",_xlfn.XLOOKUP(AT$7,Logistics!$M$6:$BM$6,Logistics!$M$19:$BM$19))</f>
        <v>Undefined</v>
      </c>
      <c r="AU73" s="160" t="str">
        <f>IF(AU$7&gt;$D$3,"",_xlfn.XLOOKUP(AU$7,Logistics!$M$6:$BM$6,Logistics!$M$19:$BM$19))</f>
        <v>Undefined</v>
      </c>
      <c r="AV73" s="160" t="str">
        <f>IF(AV$7&gt;$D$3,"",_xlfn.XLOOKUP(AV$7,Logistics!$M$6:$BM$6,Logistics!$M$19:$BM$19))</f>
        <v>Undefined</v>
      </c>
      <c r="AW73" s="160" t="str">
        <f>IF(AW$7&gt;$D$3,"",_xlfn.XLOOKUP(AW$7,Logistics!$M$6:$BM$6,Logistics!$M$19:$BM$19))</f>
        <v>Undefined</v>
      </c>
      <c r="AX73" s="160" t="str">
        <f>IF(AX$7&gt;$D$3,"",_xlfn.XLOOKUP(AX$7,Logistics!$M$6:$BM$6,Logistics!$M$19:$BM$19))</f>
        <v>Undefined</v>
      </c>
      <c r="AY73" s="160" t="str">
        <f>IF(AY$7&gt;$D$3,"",_xlfn.XLOOKUP(AY$7,Logistics!$M$6:$BM$6,Logistics!$M$19:$BM$19))</f>
        <v>Undefined</v>
      </c>
      <c r="AZ73" s="160" t="str">
        <f>IF(AZ$7&gt;$D$3,"",_xlfn.XLOOKUP(AZ$7,Logistics!$M$6:$BM$6,Logistics!$M$19:$BM$19))</f>
        <v>Undefined</v>
      </c>
      <c r="BA73" s="160" t="str">
        <f>IF(BA$7&gt;$D$3,"",_xlfn.XLOOKUP(BA$7,Logistics!$M$6:$BM$6,Logistics!$M$19:$BM$19))</f>
        <v>Undefined</v>
      </c>
      <c r="BB73" s="160" t="str">
        <f>IF(BB$7&gt;$D$3,"",_xlfn.XLOOKUP(BB$7,Logistics!$M$6:$BM$6,Logistics!$M$19:$BM$19))</f>
        <v>Undefined</v>
      </c>
      <c r="BC73" s="160" t="str">
        <f>IF(BC$7&gt;$D$3,"",_xlfn.XLOOKUP(BC$7,Logistics!$M$6:$BM$6,Logistics!$M$19:$BM$19))</f>
        <v>Undefined</v>
      </c>
      <c r="BD73" s="160" t="str">
        <f>IF(BD$7&gt;$D$3,"",_xlfn.XLOOKUP(BD$7,Logistics!$M$6:$BM$6,Logistics!$M$19:$BM$19))</f>
        <v>Undefined</v>
      </c>
      <c r="BE73" s="160" t="str">
        <f>IF(BE$7&gt;$D$3,"",_xlfn.XLOOKUP(BE$7,Logistics!$M$6:$BM$6,Logistics!$M$19:$BM$19))</f>
        <v>Undefined</v>
      </c>
      <c r="BF73" s="160" t="str">
        <f>IF(BF$7&gt;$D$3,"",_xlfn.XLOOKUP(BF$7,Logistics!$M$6:$BM$6,Logistics!$M$19:$BM$19))</f>
        <v>Undefined</v>
      </c>
      <c r="BG73" s="160" t="str">
        <f>IF(BG$7&gt;$D$3,"",_xlfn.XLOOKUP(BG$7,Logistics!$M$6:$BM$6,Logistics!$M$19:$BM$19))</f>
        <v>Undefined</v>
      </c>
      <c r="BH73" s="160" t="str">
        <f>IF(BH$7&gt;$D$3,"",_xlfn.XLOOKUP(BH$7,Logistics!$M$6:$BM$6,Logistics!$M$19:$BM$19))</f>
        <v>Undefined</v>
      </c>
      <c r="BI73" s="160" t="str">
        <f>IF(BI$7&gt;$D$3,"",_xlfn.XLOOKUP(BI$7,Logistics!$M$6:$BM$6,Logistics!$M$19:$BM$19))</f>
        <v>Undefined</v>
      </c>
      <c r="BJ73" s="160" t="str">
        <f>IF(BJ$7&gt;$D$3,"",_xlfn.XLOOKUP(BJ$7,Logistics!$M$6:$BM$6,Logistics!$M$19:$BM$19))</f>
        <v>Undefined</v>
      </c>
      <c r="BK73" s="160" t="str">
        <f>IF(BK$7&gt;$D$3,"",_xlfn.XLOOKUP(BK$7,Logistics!$M$6:$BM$6,Logistics!$M$19:$BM$19))</f>
        <v>Undefined</v>
      </c>
      <c r="BL73" s="160" t="str">
        <f>IF(BL$7&gt;$D$3,"",_xlfn.XLOOKUP(BL$7,Logistics!$M$6:$BM$6,Logistics!$M$19:$BM$19))</f>
        <v>Undefined</v>
      </c>
      <c r="BM73" s="160" t="str">
        <f>IF(BM$7&gt;$D$3,"",_xlfn.XLOOKUP(BM$7,Logistics!$M$6:$BM$6,Logistics!$M$19:$BM$19))</f>
        <v>Undefined</v>
      </c>
      <c r="BN73" s="160" t="str">
        <f>IF(BN$7&gt;$D$3,"",_xlfn.XLOOKUP(BN$7,Logistics!$M$6:$BM$6,Logistics!$M$19:$BM$19))</f>
        <v>Undefined</v>
      </c>
      <c r="BO73" s="160" t="str">
        <f>IF(BO$7&gt;$D$3,"",_xlfn.XLOOKUP(BO$7,Logistics!$M$6:$BM$6,Logistics!$M$19:$BM$19))</f>
        <v>Undefined</v>
      </c>
      <c r="BP73" s="160" t="str">
        <f>IF(BP$7&gt;$D$3,"",_xlfn.XLOOKUP(BP$7,Logistics!$M$6:$BM$6,Logistics!$M$19:$BM$19))</f>
        <v>Undefined</v>
      </c>
      <c r="BQ73" s="160" t="str">
        <f>IF(BQ$7&gt;$D$3,"",_xlfn.XLOOKUP(BQ$7,Logistics!$M$6:$BM$6,Logistics!$M$19:$BM$19))</f>
        <v>Undefined</v>
      </c>
      <c r="BR73" s="160" t="str">
        <f>IF(BR$7&gt;$D$3,"",_xlfn.XLOOKUP(BR$7,Logistics!$M$6:$BM$6,Logistics!$M$19:$BM$19))</f>
        <v>OD</v>
      </c>
      <c r="BS73" s="160" t="str">
        <f>IF(BS$7&gt;$D$3,"",_xlfn.XLOOKUP(BS$7,Logistics!$M$6:$BM$6,Logistics!$M$19:$BM$19))</f>
        <v>OD</v>
      </c>
      <c r="BT73" s="160" t="str">
        <f>IF(BT$7&gt;$D$3,"",_xlfn.XLOOKUP(BT$7,Logistics!$M$6:$BM$6,Logistics!$M$19:$BM$19))</f>
        <v>OD</v>
      </c>
      <c r="BU73" s="160" t="str">
        <f>IF(BU$7&gt;$D$3,"",_xlfn.XLOOKUP(BU$7,Logistics!$M$6:$BM$6,Logistics!$M$19:$BM$19))</f>
        <v>OD</v>
      </c>
      <c r="BV73" s="160" t="str">
        <f>IF(BV$7&gt;$D$3,"",_xlfn.XLOOKUP(BV$7,Logistics!$M$6:$BM$6,Logistics!$M$19:$BM$19))</f>
        <v>OD</v>
      </c>
      <c r="BW73" s="160" t="str">
        <f>IF(BW$7&gt;$D$3,"",_xlfn.XLOOKUP(BW$7,Logistics!$M$6:$BM$6,Logistics!$M$19:$BM$19))</f>
        <v>OD</v>
      </c>
      <c r="BX73" s="160" t="str">
        <f>IF(BX$7&gt;$D$3,"",_xlfn.XLOOKUP(BX$7,Logistics!$M$6:$BM$6,Logistics!$M$19:$BM$19))</f>
        <v>OD</v>
      </c>
      <c r="BY73" s="160" t="str">
        <f>IF(BY$7&gt;$D$3,"",_xlfn.XLOOKUP(BY$7,Logistics!$M$6:$BM$6,Logistics!$M$19:$BM$19))</f>
        <v>OD</v>
      </c>
      <c r="BZ73" s="160" t="str">
        <f>IF(BZ$7&gt;$D$3,"",_xlfn.XLOOKUP(BZ$7,Logistics!$M$6:$BM$6,Logistics!$M$19:$BM$19))</f>
        <v>OD</v>
      </c>
      <c r="CA73" s="160" t="str">
        <f>IF(CA$7&gt;$D$3,"",_xlfn.XLOOKUP(CA$7,Logistics!$M$6:$BM$6,Logistics!$M$19:$BM$19))</f>
        <v>OD</v>
      </c>
      <c r="CB73" s="160" t="str">
        <f>IF(CB$7&gt;$D$3,"",_xlfn.XLOOKUP(CB$7,Logistics!$M$6:$BM$6,Logistics!$M$19:$BM$19))</f>
        <v>OD</v>
      </c>
      <c r="CC73" s="160" t="str">
        <f>IF(CC$7&gt;$D$3,"",_xlfn.XLOOKUP(CC$7,Logistics!$M$6:$BM$6,Logistics!$M$19:$BM$19))</f>
        <v/>
      </c>
      <c r="CD73" s="160" t="str">
        <f>IF(CD$7&gt;$D$3,"",_xlfn.XLOOKUP(CD$7,Logistics!$M$6:$BM$6,Logistics!$M$19:$BM$19))</f>
        <v/>
      </c>
      <c r="CE73" s="160" t="str">
        <f>IF(CE$7&gt;$D$3,"",_xlfn.XLOOKUP(CE$7,Logistics!$M$6:$BM$6,Logistics!$M$19:$BM$19))</f>
        <v/>
      </c>
      <c r="CF73" s="160" t="str">
        <f>IF(CF$7&gt;$D$3,"",_xlfn.XLOOKUP(CF$7,Logistics!$M$6:$BM$6,Logistics!$M$19:$BM$19))</f>
        <v/>
      </c>
      <c r="CG73" s="160" t="str">
        <f>IF(CG$7&gt;$D$3,"",_xlfn.XLOOKUP(CG$7,Logistics!$M$6:$BM$6,Logistics!$M$19:$BM$19))</f>
        <v/>
      </c>
      <c r="CH73" s="160" t="str">
        <f>IF(CH$7&gt;$D$3,"",_xlfn.XLOOKUP(CH$7,Logistics!$M$6:$BM$6,Logistics!$M$19:$BM$19))</f>
        <v/>
      </c>
      <c r="CI73" s="160" t="str">
        <f>IF(CI$7&gt;$D$3,"",_xlfn.XLOOKUP(CI$7,Logistics!$M$6:$BM$6,Logistics!$M$19:$BM$19))</f>
        <v/>
      </c>
      <c r="CJ73" s="160" t="str">
        <f>IF(CJ$7&gt;$D$3,"",_xlfn.XLOOKUP(CJ$7,Logistics!$M$6:$BM$6,Logistics!$M$19:$BM$19))</f>
        <v/>
      </c>
      <c r="CK73" s="160" t="str">
        <f>IF(CK$7&gt;$D$3,"",_xlfn.XLOOKUP(CK$7,Logistics!$M$6:$BM$6,Logistics!$M$19:$BM$19))</f>
        <v/>
      </c>
      <c r="CL73" s="160" t="str">
        <f>IF(CL$7&gt;$D$3,"",_xlfn.XLOOKUP(CL$7,Logistics!$M$6:$BM$6,Logistics!$M$19:$BM$19))</f>
        <v/>
      </c>
      <c r="CM73" s="160" t="str">
        <f>IF(CM$7&gt;$D$3,"",_xlfn.XLOOKUP(CM$7,Logistics!$M$6:$BM$6,Logistics!$M$19:$BM$19))</f>
        <v/>
      </c>
      <c r="CO73" s="465" t="str">
        <f>+$A73</f>
        <v>Logistics-KPI C1</v>
      </c>
      <c r="CP73" s="138" t="str">
        <f t="shared" si="232"/>
        <v>KPI C1</v>
      </c>
      <c r="CQ73" s="146" t="str">
        <f t="shared" si="232"/>
        <v>Cost</v>
      </c>
      <c r="CR73" s="146" t="str">
        <f t="shared" si="218"/>
        <v>Distribution Costs - Group</v>
      </c>
      <c r="CS73" s="147" t="str">
        <f t="shared" si="218"/>
        <v>£'s</v>
      </c>
      <c r="CT73" s="208" t="s">
        <v>246</v>
      </c>
      <c r="CU73" s="424" t="str">
        <f>IF(CU$7&gt;$D$3,"",_xlfn.XLOOKUP(CU$7,Logistics!$M$6:$BM$6,Logistics!$M$19:$BM$19))</f>
        <v>Blank</v>
      </c>
      <c r="CV73" s="324" t="str">
        <f>IFERROR(IF(CV$7&gt;$D$3,"",IF(AN73="Undefined","Undefined",IF(AN73="Missed","Missed",IF(AN73="OD","OD",IF(AN73="TBC","TBC",IF(_xlfn.XLOOKUP(CV$7,Logistics!$M$6:$BM$6,Logistics!$M$18:$BM$18)/_xlfn.XLOOKUP(CV$7,Logistics!$M$6:$BM$6,Logistics!$M$17:$BM$17)=0,100%,_xlfn.XLOOKUP(CV$7,Logistics!$M$6:$BM$6,Logistics!$M$18:$BM$18)/_xlfn.XLOOKUP(CV$7,Logistics!$M$6:$BM$6,Logistics!$M$17:$BM$17))))))),"")</f>
        <v>Undefined</v>
      </c>
      <c r="CW73" s="325" t="str">
        <f>IFERROR(IF(CW$7&gt;$D$3,"",IF(AO73="Undefined","Undefined",IF(AO73="Missed","Missed",IF(AO73="OD","OD",IF(AO73="TBC","TBC",IF(_xlfn.XLOOKUP(CW$7,Logistics!$M$6:$BM$6,Logistics!$M$18:$BM$18)/_xlfn.XLOOKUP(CW$7,Logistics!$M$6:$BM$6,Logistics!$M$17:$BM$17)=0,100%,_xlfn.XLOOKUP(CW$7,Logistics!$M$6:$BM$6,Logistics!$M$18:$BM$18)/_xlfn.XLOOKUP(CW$7,Logistics!$M$6:$BM$6,Logistics!$M$17:$BM$17))))))),"")</f>
        <v>Undefined</v>
      </c>
      <c r="CX73" s="325" t="str">
        <f>IFERROR(IF(CX$7&gt;$D$3,"",IF(AP73="Undefined","Undefined",IF(AP73="Missed","Missed",IF(AP73="OD","OD",IF(AP73="TBC","TBC",IF(_xlfn.XLOOKUP(CX$7,Logistics!$M$6:$BM$6,Logistics!$M$18:$BM$18)/_xlfn.XLOOKUP(CX$7,Logistics!$M$6:$BM$6,Logistics!$M$17:$BM$17)=0,100%,_xlfn.XLOOKUP(CX$7,Logistics!$M$6:$BM$6,Logistics!$M$18:$BM$18)/_xlfn.XLOOKUP(CX$7,Logistics!$M$6:$BM$6,Logistics!$M$17:$BM$17))))))),"")</f>
        <v>Undefined</v>
      </c>
      <c r="CY73" s="325" t="str">
        <f>IFERROR(IF(CY$7&gt;$D$3,"",IF(AQ73="Undefined","Undefined",IF(AQ73="Missed","Missed",IF(AQ73="OD","OD",IF(AQ73="TBC","TBC",IF(_xlfn.XLOOKUP(CY$7,Logistics!$M$6:$BM$6,Logistics!$M$18:$BM$18)/_xlfn.XLOOKUP(CY$7,Logistics!$M$6:$BM$6,Logistics!$M$17:$BM$17)=0,100%,_xlfn.XLOOKUP(CY$7,Logistics!$M$6:$BM$6,Logistics!$M$18:$BM$18)/_xlfn.XLOOKUP(CY$7,Logistics!$M$6:$BM$6,Logistics!$M$17:$BM$17))))))),"")</f>
        <v>Undefined</v>
      </c>
      <c r="CZ73" s="325" t="str">
        <f>IFERROR(IF(CZ$7&gt;$D$3,"",IF(AR73="Undefined","Undefined",IF(AR73="Missed","Missed",IF(AR73="OD","OD",IF(AR73="TBC","TBC",IF(_xlfn.XLOOKUP(CZ$7,Logistics!$M$6:$BM$6,Logistics!$M$18:$BM$18)/_xlfn.XLOOKUP(CZ$7,Logistics!$M$6:$BM$6,Logistics!$M$17:$BM$17)=0,100%,_xlfn.XLOOKUP(CZ$7,Logistics!$M$6:$BM$6,Logistics!$M$18:$BM$18)/_xlfn.XLOOKUP(CZ$7,Logistics!$M$6:$BM$6,Logistics!$M$17:$BM$17))))))),"")</f>
        <v>Undefined</v>
      </c>
      <c r="DA73" s="325" t="str">
        <f>IFERROR(IF(DA$7&gt;$D$3,"",IF(AS73="Undefined","Undefined",IF(AS73="Missed","Missed",IF(AS73="OD","OD",IF(AS73="TBC","TBC",IF(_xlfn.XLOOKUP(DA$7,Logistics!$M$6:$BM$6,Logistics!$M$18:$BM$18)/_xlfn.XLOOKUP(DA$7,Logistics!$M$6:$BM$6,Logistics!$M$17:$BM$17)=0,100%,_xlfn.XLOOKUP(DA$7,Logistics!$M$6:$BM$6,Logistics!$M$18:$BM$18)/_xlfn.XLOOKUP(DA$7,Logistics!$M$6:$BM$6,Logistics!$M$17:$BM$17))))))),"")</f>
        <v>Undefined</v>
      </c>
      <c r="DB73" s="325" t="str">
        <f>IFERROR(IF(DB$7&gt;$D$3,"",IF(AT73="Undefined","Undefined",IF(AT73="Missed","Missed",IF(AT73="OD","OD",IF(AT73="TBC","TBC",IF(_xlfn.XLOOKUP(DB$7,Logistics!$M$6:$BM$6,Logistics!$M$18:$BM$18)/_xlfn.XLOOKUP(DB$7,Logistics!$M$6:$BM$6,Logistics!$M$17:$BM$17)=0,100%,_xlfn.XLOOKUP(DB$7,Logistics!$M$6:$BM$6,Logistics!$M$18:$BM$18)/_xlfn.XLOOKUP(DB$7,Logistics!$M$6:$BM$6,Logistics!$M$17:$BM$17))))))),"")</f>
        <v>Undefined</v>
      </c>
      <c r="DC73" s="325" t="str">
        <f>IFERROR(IF(DC$7&gt;$D$3,"",IF(AU73="Undefined","Undefined",IF(AU73="Missed","Missed",IF(AU73="OD","OD",IF(AU73="TBC","TBC",IF(_xlfn.XLOOKUP(DC$7,Logistics!$M$6:$BM$6,Logistics!$M$18:$BM$18)/_xlfn.XLOOKUP(DC$7,Logistics!$M$6:$BM$6,Logistics!$M$17:$BM$17)=0,100%,_xlfn.XLOOKUP(DC$7,Logistics!$M$6:$BM$6,Logistics!$M$18:$BM$18)/_xlfn.XLOOKUP(DC$7,Logistics!$M$6:$BM$6,Logistics!$M$17:$BM$17))))))),"")</f>
        <v>Undefined</v>
      </c>
      <c r="DD73" s="325" t="str">
        <f>IFERROR(IF(DD$7&gt;$D$3,"",IF(AV73="Undefined","Undefined",IF(AV73="Missed","Missed",IF(AV73="OD","OD",IF(AV73="TBC","TBC",IF(_xlfn.XLOOKUP(DD$7,Logistics!$M$6:$BM$6,Logistics!$M$18:$BM$18)/_xlfn.XLOOKUP(DD$7,Logistics!$M$6:$BM$6,Logistics!$M$17:$BM$17)=0,100%,_xlfn.XLOOKUP(DD$7,Logistics!$M$6:$BM$6,Logistics!$M$18:$BM$18)/_xlfn.XLOOKUP(DD$7,Logistics!$M$6:$BM$6,Logistics!$M$17:$BM$17))))))),"")</f>
        <v>Undefined</v>
      </c>
      <c r="DE73" s="325" t="str">
        <f>IFERROR(IF(DE$7&gt;$D$3,"",IF(AW73="Undefined","Undefined",IF(AW73="Missed","Missed",IF(AW73="OD","OD",IF(AW73="TBC","TBC",IF(_xlfn.XLOOKUP(DE$7,Logistics!$M$6:$BM$6,Logistics!$M$18:$BM$18)/_xlfn.XLOOKUP(DE$7,Logistics!$M$6:$BM$6,Logistics!$M$17:$BM$17)=0,100%,_xlfn.XLOOKUP(DE$7,Logistics!$M$6:$BM$6,Logistics!$M$18:$BM$18)/_xlfn.XLOOKUP(DE$7,Logistics!$M$6:$BM$6,Logistics!$M$17:$BM$17))))))),"")</f>
        <v>Undefined</v>
      </c>
      <c r="DF73" s="325" t="str">
        <f>IFERROR(IF(DF$7&gt;$D$3,"",IF(AX73="Undefined","Undefined",IF(AX73="Missed","Missed",IF(AX73="OD","OD",IF(AX73="TBC","TBC",IF(_xlfn.XLOOKUP(DF$7,Logistics!$M$6:$BM$6,Logistics!$M$18:$BM$18)/_xlfn.XLOOKUP(DF$7,Logistics!$M$6:$BM$6,Logistics!$M$17:$BM$17)=0,100%,_xlfn.XLOOKUP(DF$7,Logistics!$M$6:$BM$6,Logistics!$M$18:$BM$18)/_xlfn.XLOOKUP(DF$7,Logistics!$M$6:$BM$6,Logistics!$M$17:$BM$17))))))),"")</f>
        <v>Undefined</v>
      </c>
      <c r="DG73" s="325" t="str">
        <f>IFERROR(IF(DG$7&gt;$D$3,"",IF(AY73="Undefined","Undefined",IF(AY73="Missed","Missed",IF(AY73="OD","OD",IF(AY73="TBC","TBC",IF(_xlfn.XLOOKUP(DG$7,Logistics!$M$6:$BM$6,Logistics!$M$18:$BM$18)/_xlfn.XLOOKUP(DG$7,Logistics!$M$6:$BM$6,Logistics!$M$17:$BM$17)=0,100%,_xlfn.XLOOKUP(DG$7,Logistics!$M$6:$BM$6,Logistics!$M$18:$BM$18)/_xlfn.XLOOKUP(DG$7,Logistics!$M$6:$BM$6,Logistics!$M$17:$BM$17))))))),"")</f>
        <v>Undefined</v>
      </c>
      <c r="DH73" s="325" t="str">
        <f>IFERROR(IF(DH$7&gt;$D$3,"",IF(AZ73="Undefined","Undefined",IF(AZ73="Missed","Missed",IF(AZ73="OD","OD",IF(AZ73="TBC","TBC",IF(_xlfn.XLOOKUP(DH$7,Logistics!$M$6:$BM$6,Logistics!$M$18:$BM$18)/_xlfn.XLOOKUP(DH$7,Logistics!$M$6:$BM$6,Logistics!$M$17:$BM$17)=0,100%,_xlfn.XLOOKUP(DH$7,Logistics!$M$6:$BM$6,Logistics!$M$18:$BM$18)/_xlfn.XLOOKUP(DH$7,Logistics!$M$6:$BM$6,Logistics!$M$17:$BM$17))))))),"")</f>
        <v>Undefined</v>
      </c>
      <c r="DI73" s="325" t="str">
        <f>IFERROR(IF(DI$7&gt;$D$3,"",IF(BA73="Undefined","Undefined",IF(BA73="Missed","Missed",IF(BA73="OD","OD",IF(BA73="TBC","TBC",IF(_xlfn.XLOOKUP(DI$7,Logistics!$M$6:$BM$6,Logistics!$M$18:$BM$18)/_xlfn.XLOOKUP(DI$7,Logistics!$M$6:$BM$6,Logistics!$M$17:$BM$17)=0,100%,_xlfn.XLOOKUP(DI$7,Logistics!$M$6:$BM$6,Logistics!$M$18:$BM$18)/_xlfn.XLOOKUP(DI$7,Logistics!$M$6:$BM$6,Logistics!$M$17:$BM$17))))))),"")</f>
        <v>Undefined</v>
      </c>
      <c r="DJ73" s="325" t="str">
        <f>IFERROR(IF(DJ$7&gt;$D$3,"",IF(BB73="Undefined","Undefined",IF(BB73="Missed","Missed",IF(BB73="OD","OD",IF(BB73="TBC","TBC",IF(_xlfn.XLOOKUP(DJ$7,Logistics!$M$6:$BM$6,Logistics!$M$18:$BM$18)/_xlfn.XLOOKUP(DJ$7,Logistics!$M$6:$BM$6,Logistics!$M$17:$BM$17)=0,100%,_xlfn.XLOOKUP(DJ$7,Logistics!$M$6:$BM$6,Logistics!$M$18:$BM$18)/_xlfn.XLOOKUP(DJ$7,Logistics!$M$6:$BM$6,Logistics!$M$17:$BM$17))))))),"")</f>
        <v>Undefined</v>
      </c>
      <c r="DK73" s="325" t="str">
        <f>IFERROR(IF(DK$7&gt;$D$3,"",IF(BC73="Undefined","Undefined",IF(BC73="Missed","Missed",IF(BC73="OD","OD",IF(BC73="TBC","TBC",IF(_xlfn.XLOOKUP(DK$7,Logistics!$M$6:$BM$6,Logistics!$M$18:$BM$18)/_xlfn.XLOOKUP(DK$7,Logistics!$M$6:$BM$6,Logistics!$M$17:$BM$17)=0,100%,_xlfn.XLOOKUP(DK$7,Logistics!$M$6:$BM$6,Logistics!$M$18:$BM$18)/_xlfn.XLOOKUP(DK$7,Logistics!$M$6:$BM$6,Logistics!$M$17:$BM$17))))))),"")</f>
        <v>Undefined</v>
      </c>
      <c r="DL73" s="325" t="str">
        <f>IFERROR(IF(DL$7&gt;$D$3,"",IF(BD73="Undefined","Undefined",IF(BD73="Missed","Missed",IF(BD73="OD","OD",IF(BD73="TBC","TBC",IF(_xlfn.XLOOKUP(DL$7,Logistics!$M$6:$BM$6,Logistics!$M$18:$BM$18)/_xlfn.XLOOKUP(DL$7,Logistics!$M$6:$BM$6,Logistics!$M$17:$BM$17)=0,100%,_xlfn.XLOOKUP(DL$7,Logistics!$M$6:$BM$6,Logistics!$M$18:$BM$18)/_xlfn.XLOOKUP(DL$7,Logistics!$M$6:$BM$6,Logistics!$M$17:$BM$17))))))),"")</f>
        <v>Undefined</v>
      </c>
      <c r="DM73" s="325" t="str">
        <f>IFERROR(IF(DM$7&gt;$D$3,"",IF(BE73="Undefined","Undefined",IF(BE73="Missed","Missed",IF(BE73="OD","OD",IF(BE73="TBC","TBC",IF(_xlfn.XLOOKUP(DM$7,Logistics!$M$6:$BM$6,Logistics!$M$18:$BM$18)/_xlfn.XLOOKUP(DM$7,Logistics!$M$6:$BM$6,Logistics!$M$17:$BM$17)=0,100%,_xlfn.XLOOKUP(DM$7,Logistics!$M$6:$BM$6,Logistics!$M$18:$BM$18)/_xlfn.XLOOKUP(DM$7,Logistics!$M$6:$BM$6,Logistics!$M$17:$BM$17))))))),"")</f>
        <v>Undefined</v>
      </c>
      <c r="DN73" s="325" t="str">
        <f>IFERROR(IF(DN$7&gt;$D$3,"",IF(BF73="Undefined","Undefined",IF(BF73="Missed","Missed",IF(BF73="OD","OD",IF(BF73="TBC","TBC",IF(_xlfn.XLOOKUP(DN$7,Logistics!$M$6:$BM$6,Logistics!$M$18:$BM$18)/_xlfn.XLOOKUP(DN$7,Logistics!$M$6:$BM$6,Logistics!$M$17:$BM$17)=0,100%,_xlfn.XLOOKUP(DN$7,Logistics!$M$6:$BM$6,Logistics!$M$18:$BM$18)/_xlfn.XLOOKUP(DN$7,Logistics!$M$6:$BM$6,Logistics!$M$17:$BM$17))))))),"")</f>
        <v>Undefined</v>
      </c>
      <c r="DO73" s="325" t="str">
        <f>IFERROR(IF(DO$7&gt;$D$3,"",IF(BG73="Undefined","Undefined",IF(BG73="Missed","Missed",IF(BG73="OD","OD",IF(BG73="TBC","TBC",IF(_xlfn.XLOOKUP(DO$7,Logistics!$M$6:$BM$6,Logistics!$M$18:$BM$18)/_xlfn.XLOOKUP(DO$7,Logistics!$M$6:$BM$6,Logistics!$M$17:$BM$17)=0,100%,_xlfn.XLOOKUP(DO$7,Logistics!$M$6:$BM$6,Logistics!$M$18:$BM$18)/_xlfn.XLOOKUP(DO$7,Logistics!$M$6:$BM$6,Logistics!$M$17:$BM$17))))))),"")</f>
        <v>Undefined</v>
      </c>
      <c r="DP73" s="325" t="str">
        <f>IFERROR(IF(DP$7&gt;$D$3,"",IF(BH73="Undefined","Undefined",IF(BH73="Missed","Missed",IF(BH73="OD","OD",IF(BH73="TBC","TBC",IF(_xlfn.XLOOKUP(DP$7,Logistics!$M$6:$BM$6,Logistics!$M$18:$BM$18)/_xlfn.XLOOKUP(DP$7,Logistics!$M$6:$BM$6,Logistics!$M$17:$BM$17)=0,100%,_xlfn.XLOOKUP(DP$7,Logistics!$M$6:$BM$6,Logistics!$M$18:$BM$18)/_xlfn.XLOOKUP(DP$7,Logistics!$M$6:$BM$6,Logistics!$M$17:$BM$17))))))),"")</f>
        <v>Undefined</v>
      </c>
      <c r="DQ73" s="325" t="str">
        <f>IFERROR(IF(DQ$7&gt;$D$3,"",IF(BI73="Undefined","Undefined",IF(BI73="Missed","Missed",IF(BI73="OD","OD",IF(BI73="TBC","TBC",IF(_xlfn.XLOOKUP(DQ$7,Logistics!$M$6:$BM$6,Logistics!$M$18:$BM$18)/_xlfn.XLOOKUP(DQ$7,Logistics!$M$6:$BM$6,Logistics!$M$17:$BM$17)=0,100%,_xlfn.XLOOKUP(DQ$7,Logistics!$M$6:$BM$6,Logistics!$M$18:$BM$18)/_xlfn.XLOOKUP(DQ$7,Logistics!$M$6:$BM$6,Logistics!$M$17:$BM$17))))))),"")</f>
        <v>Undefined</v>
      </c>
      <c r="DR73" s="325" t="str">
        <f>IFERROR(IF(DR$7&gt;$D$3,"",IF(BJ73="Undefined","Undefined",IF(BJ73="Missed","Missed",IF(BJ73="OD","OD",IF(BJ73="TBC","TBC",IF(_xlfn.XLOOKUP(DR$7,Logistics!$M$6:$BM$6,Logistics!$M$18:$BM$18)/_xlfn.XLOOKUP(DR$7,Logistics!$M$6:$BM$6,Logistics!$M$17:$BM$17)=0,100%,_xlfn.XLOOKUP(DR$7,Logistics!$M$6:$BM$6,Logistics!$M$18:$BM$18)/_xlfn.XLOOKUP(DR$7,Logistics!$M$6:$BM$6,Logistics!$M$17:$BM$17))))))),"")</f>
        <v>Undefined</v>
      </c>
      <c r="DS73" s="325" t="str">
        <f>IFERROR(IF(DS$7&gt;$D$3,"",IF(BK73="Undefined","Undefined",IF(BK73="Missed","Missed",IF(BK73="OD","OD",IF(BK73="TBC","TBC",IF(_xlfn.XLOOKUP(DS$7,Logistics!$M$6:$BM$6,Logistics!$M$18:$BM$18)/_xlfn.XLOOKUP(DS$7,Logistics!$M$6:$BM$6,Logistics!$M$17:$BM$17)=0,100%,_xlfn.XLOOKUP(DS$7,Logistics!$M$6:$BM$6,Logistics!$M$18:$BM$18)/_xlfn.XLOOKUP(DS$7,Logistics!$M$6:$BM$6,Logistics!$M$17:$BM$17))))))),"")</f>
        <v>Undefined</v>
      </c>
      <c r="DT73" s="325" t="str">
        <f>IFERROR(IF(DT$7&gt;$D$3,"",IF(BL73="Undefined","Undefined",IF(BL73="Missed","Missed",IF(BL73="OD","OD",IF(BL73="TBC","TBC",IF(_xlfn.XLOOKUP(DT$7,Logistics!$M$6:$BM$6,Logistics!$M$18:$BM$18)/_xlfn.XLOOKUP(DT$7,Logistics!$M$6:$BM$6,Logistics!$M$17:$BM$17)=0,100%,_xlfn.XLOOKUP(DT$7,Logistics!$M$6:$BM$6,Logistics!$M$18:$BM$18)/_xlfn.XLOOKUP(DT$7,Logistics!$M$6:$BM$6,Logistics!$M$17:$BM$17))))))),"")</f>
        <v>Undefined</v>
      </c>
      <c r="DU73" s="325" t="str">
        <f>IFERROR(IF(DU$7&gt;$D$3,"",IF(BM73="Undefined","Undefined",IF(BM73="Missed","Missed",IF(BM73="OD","OD",IF(BM73="TBC","TBC",IF(_xlfn.XLOOKUP(DU$7,Logistics!$M$6:$BM$6,Logistics!$M$18:$BM$18)/_xlfn.XLOOKUP(DU$7,Logistics!$M$6:$BM$6,Logistics!$M$17:$BM$17)=0,100%,_xlfn.XLOOKUP(DU$7,Logistics!$M$6:$BM$6,Logistics!$M$18:$BM$18)/_xlfn.XLOOKUP(DU$7,Logistics!$M$6:$BM$6,Logistics!$M$17:$BM$17))))))),"")</f>
        <v>Undefined</v>
      </c>
      <c r="DV73" s="325" t="str">
        <f>IFERROR(IF(DV$7&gt;$D$3,"",IF(BN73="Undefined","Undefined",IF(BN73="Missed","Missed",IF(BN73="OD","OD",IF(BN73="TBC","TBC",IF(_xlfn.XLOOKUP(DV$7,Logistics!$M$6:$BM$6,Logistics!$M$18:$BM$18)/_xlfn.XLOOKUP(DV$7,Logistics!$M$6:$BM$6,Logistics!$M$17:$BM$17)=0,100%,_xlfn.XLOOKUP(DV$7,Logistics!$M$6:$BM$6,Logistics!$M$18:$BM$18)/_xlfn.XLOOKUP(DV$7,Logistics!$M$6:$BM$6,Logistics!$M$17:$BM$17))))))),"")</f>
        <v>Undefined</v>
      </c>
      <c r="DW73" s="325" t="str">
        <f>IFERROR(IF(DW$7&gt;$D$3,"",IF(BO73="Undefined","Undefined",IF(BO73="Missed","Missed",IF(BO73="OD","OD",IF(BO73="TBC","TBC",IF(_xlfn.XLOOKUP(DW$7,Logistics!$M$6:$BM$6,Logistics!$M$18:$BM$18)/_xlfn.XLOOKUP(DW$7,Logistics!$M$6:$BM$6,Logistics!$M$17:$BM$17)=0,100%,_xlfn.XLOOKUP(DW$7,Logistics!$M$6:$BM$6,Logistics!$M$18:$BM$18)/_xlfn.XLOOKUP(DW$7,Logistics!$M$6:$BM$6,Logistics!$M$17:$BM$17))))))),"")</f>
        <v>Undefined</v>
      </c>
      <c r="DX73" s="325" t="str">
        <f>IFERROR(IF(DX$7&gt;$D$3,"",IF(BP73="Undefined","Undefined",IF(BP73="Missed","Missed",IF(BP73="OD","OD",IF(BP73="TBC","TBC",IF(_xlfn.XLOOKUP(DX$7,Logistics!$M$6:$BM$6,Logistics!$M$18:$BM$18)/_xlfn.XLOOKUP(DX$7,Logistics!$M$6:$BM$6,Logistics!$M$17:$BM$17)=0,100%,_xlfn.XLOOKUP(DX$7,Logistics!$M$6:$BM$6,Logistics!$M$18:$BM$18)/_xlfn.XLOOKUP(DX$7,Logistics!$M$6:$BM$6,Logistics!$M$17:$BM$17))))))),"")</f>
        <v>Undefined</v>
      </c>
      <c r="DY73" s="325" t="str">
        <f>IFERROR(IF(DY$7&gt;$D$3,"",IF(BQ73="Undefined","Undefined",IF(BQ73="Missed","Missed",IF(BQ73="OD","OD",IF(BQ73="TBC","TBC",IF(_xlfn.XLOOKUP(DY$7,Logistics!$M$6:$BM$6,Logistics!$M$18:$BM$18)/_xlfn.XLOOKUP(DY$7,Logistics!$M$6:$BM$6,Logistics!$M$17:$BM$17)=0,100%,_xlfn.XLOOKUP(DY$7,Logistics!$M$6:$BM$6,Logistics!$M$18:$BM$18)/_xlfn.XLOOKUP(DY$7,Logistics!$M$6:$BM$6,Logistics!$M$17:$BM$17))))))),"")</f>
        <v>Undefined</v>
      </c>
      <c r="DZ73" s="325" t="str">
        <f>IFERROR(IF(DZ$7&gt;$D$3,"",IF(BR73="Undefined","Undefined",IF(BR73="Missed","Missed",IF(BR73="OD","OD",IF(BR73="TBC","TBC",IF(_xlfn.XLOOKUP(DZ$7,Logistics!$M$6:$BM$6,Logistics!$M$18:$BM$18)/_xlfn.XLOOKUP(DZ$7,Logistics!$M$6:$BM$6,Logistics!$M$17:$BM$17)=0,100%,_xlfn.XLOOKUP(DZ$7,Logistics!$M$6:$BM$6,Logistics!$M$18:$BM$18)/_xlfn.XLOOKUP(DZ$7,Logistics!$M$6:$BM$6,Logistics!$M$17:$BM$17))))))),"")</f>
        <v>OD</v>
      </c>
      <c r="EA73" s="325" t="str">
        <f>IFERROR(IF(EA$7&gt;$D$3,"",IF(BS73="Undefined","Undefined",IF(BS73="Missed","Missed",IF(BS73="OD","OD",IF(BS73="TBC","TBC",IF(_xlfn.XLOOKUP(EA$7,Logistics!$M$6:$BM$6,Logistics!$M$18:$BM$18)/_xlfn.XLOOKUP(EA$7,Logistics!$M$6:$BM$6,Logistics!$M$17:$BM$17)=0,100%,_xlfn.XLOOKUP(EA$7,Logistics!$M$6:$BM$6,Logistics!$M$18:$BM$18)/_xlfn.XLOOKUP(EA$7,Logistics!$M$6:$BM$6,Logistics!$M$17:$BM$17))))))),"")</f>
        <v>OD</v>
      </c>
      <c r="EB73" s="325" t="str">
        <f>IFERROR(IF(EB$7&gt;$D$3,"",IF(BT73="Undefined","Undefined",IF(BT73="Missed","Missed",IF(BT73="OD","OD",IF(BT73="TBC","TBC",IF(_xlfn.XLOOKUP(EB$7,Logistics!$M$6:$BM$6,Logistics!$M$18:$BM$18)/_xlfn.XLOOKUP(EB$7,Logistics!$M$6:$BM$6,Logistics!$M$17:$BM$17)=0,100%,_xlfn.XLOOKUP(EB$7,Logistics!$M$6:$BM$6,Logistics!$M$18:$BM$18)/_xlfn.XLOOKUP(EB$7,Logistics!$M$6:$BM$6,Logistics!$M$17:$BM$17))))))),"")</f>
        <v>OD</v>
      </c>
      <c r="EC73" s="325" t="str">
        <f>IFERROR(IF(EC$7&gt;$D$3,"",IF(BU73="Undefined","Undefined",IF(BU73="Missed","Missed",IF(BU73="OD","OD",IF(BU73="TBC","TBC",IF(_xlfn.XLOOKUP(EC$7,Logistics!$M$6:$BM$6,Logistics!$M$18:$BM$18)/_xlfn.XLOOKUP(EC$7,Logistics!$M$6:$BM$6,Logistics!$M$17:$BM$17)=0,100%,_xlfn.XLOOKUP(EC$7,Logistics!$M$6:$BM$6,Logistics!$M$18:$BM$18)/_xlfn.XLOOKUP(EC$7,Logistics!$M$6:$BM$6,Logistics!$M$17:$BM$17))))))),"")</f>
        <v>OD</v>
      </c>
      <c r="ED73" s="325" t="str">
        <f>IFERROR(IF(ED$7&gt;$D$3,"",IF(BV73="Undefined","Undefined",IF(BV73="Missed","Missed",IF(BV73="OD","OD",IF(BV73="TBC","TBC",IF(_xlfn.XLOOKUP(ED$7,Logistics!$M$6:$BM$6,Logistics!$M$18:$BM$18)/_xlfn.XLOOKUP(ED$7,Logistics!$M$6:$BM$6,Logistics!$M$17:$BM$17)=0,100%,_xlfn.XLOOKUP(ED$7,Logistics!$M$6:$BM$6,Logistics!$M$18:$BM$18)/_xlfn.XLOOKUP(ED$7,Logistics!$M$6:$BM$6,Logistics!$M$17:$BM$17))))))),"")</f>
        <v>OD</v>
      </c>
      <c r="EE73" s="325" t="str">
        <f>IFERROR(IF(EE$7&gt;$D$3,"",IF(BW73="Undefined","Undefined",IF(BW73="Missed","Missed",IF(BW73="OD","OD",IF(BW73="TBC","TBC",IF(_xlfn.XLOOKUP(EE$7,Logistics!$M$6:$BM$6,Logistics!$M$18:$BM$18)/_xlfn.XLOOKUP(EE$7,Logistics!$M$6:$BM$6,Logistics!$M$17:$BM$17)=0,100%,_xlfn.XLOOKUP(EE$7,Logistics!$M$6:$BM$6,Logistics!$M$18:$BM$18)/_xlfn.XLOOKUP(EE$7,Logistics!$M$6:$BM$6,Logistics!$M$17:$BM$17))))))),"")</f>
        <v>OD</v>
      </c>
      <c r="EF73" s="325" t="str">
        <f>IFERROR(IF(EF$7&gt;$D$3,"",IF(BX73="Undefined","Undefined",IF(BX73="Missed","Missed",IF(BX73="OD","OD",IF(BX73="TBC","TBC",IF(_xlfn.XLOOKUP(EF$7,Logistics!$M$6:$BM$6,Logistics!$M$18:$BM$18)/_xlfn.XLOOKUP(EF$7,Logistics!$M$6:$BM$6,Logistics!$M$17:$BM$17)=0,100%,_xlfn.XLOOKUP(EF$7,Logistics!$M$6:$BM$6,Logistics!$M$18:$BM$18)/_xlfn.XLOOKUP(EF$7,Logistics!$M$6:$BM$6,Logistics!$M$17:$BM$17))))))),"")</f>
        <v>OD</v>
      </c>
      <c r="EG73" s="325" t="str">
        <f>IFERROR(IF(EG$7&gt;$D$3,"",IF(BY73="Undefined","Undefined",IF(BY73="Missed","Missed",IF(BY73="OD","OD",IF(BY73="TBC","TBC",IF(_xlfn.XLOOKUP(EG$7,Logistics!$M$6:$BM$6,Logistics!$M$18:$BM$18)/_xlfn.XLOOKUP(EG$7,Logistics!$M$6:$BM$6,Logistics!$M$17:$BM$17)=0,100%,_xlfn.XLOOKUP(EG$7,Logistics!$M$6:$BM$6,Logistics!$M$18:$BM$18)/_xlfn.XLOOKUP(EG$7,Logistics!$M$6:$BM$6,Logistics!$M$17:$BM$17))))))),"")</f>
        <v>OD</v>
      </c>
      <c r="EH73" s="325" t="str">
        <f>IFERROR(IF(EH$7&gt;$D$3,"",IF(BZ73="Undefined","Undefined",IF(BZ73="Missed","Missed",IF(BZ73="OD","OD",IF(BZ73="TBC","TBC",IF(_xlfn.XLOOKUP(EH$7,Logistics!$M$6:$BM$6,Logistics!$M$18:$BM$18)/_xlfn.XLOOKUP(EH$7,Logistics!$M$6:$BM$6,Logistics!$M$17:$BM$17)=0,100%,_xlfn.XLOOKUP(EH$7,Logistics!$M$6:$BM$6,Logistics!$M$18:$BM$18)/_xlfn.XLOOKUP(EH$7,Logistics!$M$6:$BM$6,Logistics!$M$17:$BM$17))))))),"")</f>
        <v>OD</v>
      </c>
      <c r="EI73" s="325" t="str">
        <f>IFERROR(IF(EI$7&gt;$D$3,"",IF(CA73="Undefined","Undefined",IF(CA73="Missed","Missed",IF(CA73="OD","OD",IF(CA73="TBC","TBC",IF(_xlfn.XLOOKUP(EI$7,Logistics!$M$6:$BM$6,Logistics!$M$18:$BM$18)/_xlfn.XLOOKUP(EI$7,Logistics!$M$6:$BM$6,Logistics!$M$17:$BM$17)=0,100%,_xlfn.XLOOKUP(EI$7,Logistics!$M$6:$BM$6,Logistics!$M$18:$BM$18)/_xlfn.XLOOKUP(EI$7,Logistics!$M$6:$BM$6,Logistics!$M$17:$BM$17))))))),"")</f>
        <v>OD</v>
      </c>
      <c r="EJ73" s="325" t="str">
        <f>IFERROR(IF(EJ$7&gt;$D$3,"",IF(CB73="Undefined","Undefined",IF(CB73="Missed","Missed",IF(CB73="OD","OD",IF(CB73="TBC","TBC",IF(_xlfn.XLOOKUP(EJ$7,Logistics!$M$6:$BM$6,Logistics!$M$18:$BM$18)/_xlfn.XLOOKUP(EJ$7,Logistics!$M$6:$BM$6,Logistics!$M$17:$BM$17)=0,100%,_xlfn.XLOOKUP(EJ$7,Logistics!$M$6:$BM$6,Logistics!$M$18:$BM$18)/_xlfn.XLOOKUP(EJ$7,Logistics!$M$6:$BM$6,Logistics!$M$17:$BM$17))))))),"")</f>
        <v>OD</v>
      </c>
      <c r="EK73" s="325" t="str">
        <f>IFERROR(IF(EK$7&gt;$D$3,"",IF(CC73="Undefined","Undefined",IF(CC73="Missed","Missed",IF(CC73="OD","OD",IF(CC73="TBC","TBC",IF(_xlfn.XLOOKUP(EK$7,Logistics!$M$6:$BM$6,Logistics!$M$18:$BM$18)/_xlfn.XLOOKUP(EK$7,Logistics!$M$6:$BM$6,Logistics!$M$17:$BM$17)=0,100%,_xlfn.XLOOKUP(EK$7,Logistics!$M$6:$BM$6,Logistics!$M$18:$BM$18)/_xlfn.XLOOKUP(EK$7,Logistics!$M$6:$BM$6,Logistics!$M$17:$BM$17))))))),"")</f>
        <v/>
      </c>
      <c r="EL73" s="325" t="str">
        <f>IFERROR(IF(EL$7&gt;$D$3,"",IF(CD73="Undefined","Undefined",IF(CD73="Missed","Missed",IF(CD73="OD","OD",IF(CD73="TBC","TBC",IF(_xlfn.XLOOKUP(EL$7,Logistics!$M$6:$BM$6,Logistics!$M$18:$BM$18)/_xlfn.XLOOKUP(EL$7,Logistics!$M$6:$BM$6,Logistics!$M$17:$BM$17)=0,100%,_xlfn.XLOOKUP(EL$7,Logistics!$M$6:$BM$6,Logistics!$M$18:$BM$18)/_xlfn.XLOOKUP(EL$7,Logistics!$M$6:$BM$6,Logistics!$M$17:$BM$17))))))),"")</f>
        <v/>
      </c>
      <c r="EM73" s="325" t="str">
        <f>IFERROR(IF(EM$7&gt;$D$3,"",IF(CE73="Undefined","Undefined",IF(CE73="Missed","Missed",IF(CE73="OD","OD",IF(CE73="TBC","TBC",IF(_xlfn.XLOOKUP(EM$7,Logistics!$M$6:$BM$6,Logistics!$M$18:$BM$18)/_xlfn.XLOOKUP(EM$7,Logistics!$M$6:$BM$6,Logistics!$M$17:$BM$17)=0,100%,_xlfn.XLOOKUP(EM$7,Logistics!$M$6:$BM$6,Logistics!$M$18:$BM$18)/_xlfn.XLOOKUP(EM$7,Logistics!$M$6:$BM$6,Logistics!$M$17:$BM$17))))))),"")</f>
        <v/>
      </c>
      <c r="EN73" s="325" t="str">
        <f>IFERROR(IF(EN$7&gt;$D$3,"",IF(CF73="Undefined","Undefined",IF(CF73="Missed","Missed",IF(CF73="OD","OD",IF(CF73="TBC","TBC",IF(_xlfn.XLOOKUP(EN$7,Logistics!$M$6:$BM$6,Logistics!$M$18:$BM$18)/_xlfn.XLOOKUP(EN$7,Logistics!$M$6:$BM$6,Logistics!$M$17:$BM$17)=0,100%,_xlfn.XLOOKUP(EN$7,Logistics!$M$6:$BM$6,Logistics!$M$18:$BM$18)/_xlfn.XLOOKUP(EN$7,Logistics!$M$6:$BM$6,Logistics!$M$17:$BM$17))))))),"")</f>
        <v/>
      </c>
      <c r="EO73" s="325" t="str">
        <f>IFERROR(IF(EO$7&gt;$D$3,"",IF(CG73="Undefined","Undefined",IF(CG73="Missed","Missed",IF(CG73="OD","OD",IF(CG73="TBC","TBC",IF(_xlfn.XLOOKUP(EO$7,Logistics!$M$6:$BM$6,Logistics!$M$18:$BM$18)/_xlfn.XLOOKUP(EO$7,Logistics!$M$6:$BM$6,Logistics!$M$17:$BM$17)=0,100%,_xlfn.XLOOKUP(EO$7,Logistics!$M$6:$BM$6,Logistics!$M$18:$BM$18)/_xlfn.XLOOKUP(EO$7,Logistics!$M$6:$BM$6,Logistics!$M$17:$BM$17))))))),"")</f>
        <v/>
      </c>
      <c r="EP73" s="325" t="str">
        <f>IFERROR(IF(EP$7&gt;$D$3,"",IF(CH73="Undefined","Undefined",IF(CH73="Missed","Missed",IF(CH73="OD","OD",IF(CH73="TBC","TBC",IF(_xlfn.XLOOKUP(EP$7,Logistics!$M$6:$BM$6,Logistics!$M$18:$BM$18)/_xlfn.XLOOKUP(EP$7,Logistics!$M$6:$BM$6,Logistics!$M$17:$BM$17)=0,100%,_xlfn.XLOOKUP(EP$7,Logistics!$M$6:$BM$6,Logistics!$M$18:$BM$18)/_xlfn.XLOOKUP(EP$7,Logistics!$M$6:$BM$6,Logistics!$M$17:$BM$17))))))),"")</f>
        <v/>
      </c>
      <c r="EQ73" s="325" t="str">
        <f>IFERROR(IF(EQ$7&gt;$D$3,"",IF(CI73="Undefined","Undefined",IF(CI73="Missed","Missed",IF(CI73="OD","OD",IF(CI73="TBC","TBC",IF(_xlfn.XLOOKUP(EQ$7,Logistics!$M$6:$BM$6,Logistics!$M$18:$BM$18)/_xlfn.XLOOKUP(EQ$7,Logistics!$M$6:$BM$6,Logistics!$M$17:$BM$17)=0,100%,_xlfn.XLOOKUP(EQ$7,Logistics!$M$6:$BM$6,Logistics!$M$18:$BM$18)/_xlfn.XLOOKUP(EQ$7,Logistics!$M$6:$BM$6,Logistics!$M$17:$BM$17))))))),"")</f>
        <v/>
      </c>
      <c r="ER73" s="325" t="str">
        <f>IFERROR(IF(ER$7&gt;$D$3,"",IF(CJ73="Undefined","Undefined",IF(CJ73="Missed","Missed",IF(CJ73="OD","OD",IF(CJ73="TBC","TBC",IF(_xlfn.XLOOKUP(ER$7,Logistics!$M$6:$BM$6,Logistics!$M$18:$BM$18)/_xlfn.XLOOKUP(ER$7,Logistics!$M$6:$BM$6,Logistics!$M$17:$BM$17)=0,100%,_xlfn.XLOOKUP(ER$7,Logistics!$M$6:$BM$6,Logistics!$M$18:$BM$18)/_xlfn.XLOOKUP(ER$7,Logistics!$M$6:$BM$6,Logistics!$M$17:$BM$17))))))),"")</f>
        <v/>
      </c>
      <c r="ES73" s="325" t="str">
        <f>IFERROR(IF(ES$7&gt;$D$3,"",IF(CK73="Undefined","Undefined",IF(CK73="Missed","Missed",IF(CK73="OD","OD",IF(CK73="TBC","TBC",IF(_xlfn.XLOOKUP(ES$7,Logistics!$M$6:$BM$6,Logistics!$M$18:$BM$18)/_xlfn.XLOOKUP(ES$7,Logistics!$M$6:$BM$6,Logistics!$M$17:$BM$17)=0,100%,_xlfn.XLOOKUP(ES$7,Logistics!$M$6:$BM$6,Logistics!$M$18:$BM$18)/_xlfn.XLOOKUP(ES$7,Logistics!$M$6:$BM$6,Logistics!$M$17:$BM$17))))))),"")</f>
        <v/>
      </c>
      <c r="ET73" s="325" t="str">
        <f>IFERROR(IF(ET$7&gt;$D$3,"",IF(CL73="Undefined","Undefined",IF(CL73="Missed","Missed",IF(CL73="OD","OD",IF(CL73="TBC","TBC",IF(_xlfn.XLOOKUP(ET$7,Logistics!$M$6:$BM$6,Logistics!$M$18:$BM$18)/_xlfn.XLOOKUP(ET$7,Logistics!$M$6:$BM$6,Logistics!$M$17:$BM$17)=0,100%,_xlfn.XLOOKUP(ET$7,Logistics!$M$6:$BM$6,Logistics!$M$18:$BM$18)/_xlfn.XLOOKUP(ET$7,Logistics!$M$6:$BM$6,Logistics!$M$17:$BM$17))))))),"")</f>
        <v/>
      </c>
      <c r="EU73" s="325" t="str">
        <f>IFERROR(IF(EU$7&gt;$D$3,"",IF(CM73="Undefined","Undefined",IF(CM73="Missed","Missed",IF(CM73="OD","OD",IF(CM73="TBC","TBC",IF(_xlfn.XLOOKUP(EU$7,Logistics!$M$6:$BM$6,Logistics!$M$18:$BM$18)/_xlfn.XLOOKUP(EU$7,Logistics!$M$6:$BM$6,Logistics!$M$17:$BM$17)=0,100%,_xlfn.XLOOKUP(EU$7,Logistics!$M$6:$BM$6,Logistics!$M$18:$BM$18)/_xlfn.XLOOKUP(EU$7,Logistics!$M$6:$BM$6,Logistics!$M$17:$BM$17))))))),"")</f>
        <v/>
      </c>
      <c r="EW73" s="465" t="str">
        <f>+$A73</f>
        <v>Logistics-KPI C1</v>
      </c>
      <c r="EX73" s="138" t="str">
        <f>+$C73</f>
        <v>KPI C1</v>
      </c>
      <c r="EY73" s="146" t="str">
        <f>+$D73</f>
        <v>Cost</v>
      </c>
      <c r="EZ73" s="146" t="str">
        <f>+$E73</f>
        <v>Distribution Costs - Group</v>
      </c>
      <c r="FA73" s="147" t="str">
        <f>+$F73</f>
        <v>£'s</v>
      </c>
      <c r="FB73" s="147" t="s">
        <v>251</v>
      </c>
      <c r="FC73" s="200" t="str">
        <f>IF(FC$7&gt;$D$3,"",IF($FA69&lt;FC$7,"OD",_xlfn.XLOOKUP(FC$7,Logistics!$M$6:$BM$6,Logistics!$M$18:$BM$18)))</f>
        <v>Blank</v>
      </c>
      <c r="FD73" s="200" t="str">
        <f>IF(FD$7&gt;$D$3,"",IF($FA69&lt;FD$7,"OD",_xlfn.XLOOKUP(FD$7,Logistics!$M$6:$BM$6,Logistics!$M$18:$BM$18)))</f>
        <v>Undefined</v>
      </c>
      <c r="FE73" s="200" t="str">
        <f>IF(FE$7&gt;$D$3,"",IF($FA69&lt;FE$7,"OD",_xlfn.XLOOKUP(FE$7,Logistics!$M$6:$BM$6,Logistics!$M$18:$BM$18)))</f>
        <v>Undefined</v>
      </c>
      <c r="FF73" s="200" t="str">
        <f>IF(FF$7&gt;$D$3,"",IF($FA69&lt;FF$7,"OD",_xlfn.XLOOKUP(FF$7,Logistics!$M$6:$BM$6,Logistics!$M$18:$BM$18)))</f>
        <v>Undefined</v>
      </c>
      <c r="FG73" s="200" t="str">
        <f>IF(FG$7&gt;$D$3,"",IF($FA69&lt;FG$7,"OD",_xlfn.XLOOKUP(FG$7,Logistics!$M$6:$BM$6,Logistics!$M$18:$BM$18)))</f>
        <v>Undefined</v>
      </c>
      <c r="FH73" s="200" t="str">
        <f>IF(FH$7&gt;$D$3,"",IF($FA69&lt;FH$7,"OD",_xlfn.XLOOKUP(FH$7,Logistics!$M$6:$BM$6,Logistics!$M$18:$BM$18)))</f>
        <v>Undefined</v>
      </c>
      <c r="FI73" s="200" t="str">
        <f>IF(FI$7&gt;$D$3,"",IF($FA69&lt;FI$7,"OD",_xlfn.XLOOKUP(FI$7,Logistics!$M$6:$BM$6,Logistics!$M$18:$BM$18)))</f>
        <v>Undefined</v>
      </c>
      <c r="FJ73" s="200" t="str">
        <f>IF(FJ$7&gt;$D$3,"",IF($FA69&lt;FJ$7,"OD",_xlfn.XLOOKUP(FJ$7,Logistics!$M$6:$BM$6,Logistics!$M$18:$BM$18)))</f>
        <v>Undefined</v>
      </c>
      <c r="FK73" s="200" t="str">
        <f>IF(FK$7&gt;$D$3,"",IF($FA69&lt;FK$7,"OD",_xlfn.XLOOKUP(FK$7,Logistics!$M$6:$BM$6,Logistics!$M$18:$BM$18)))</f>
        <v>Undefined</v>
      </c>
      <c r="FL73" s="200" t="str">
        <f>IF(FL$7&gt;$D$3,"",IF($FA69&lt;FL$7,"OD",_xlfn.XLOOKUP(FL$7,Logistics!$M$6:$BM$6,Logistics!$M$18:$BM$18)))</f>
        <v>Undefined</v>
      </c>
      <c r="FM73" s="200" t="str">
        <f>IF(FM$7&gt;$D$3,"",IF($FA69&lt;FM$7,"OD",_xlfn.XLOOKUP(FM$7,Logistics!$M$6:$BM$6,Logistics!$M$18:$BM$18)))</f>
        <v>Undefined</v>
      </c>
      <c r="FN73" s="200" t="str">
        <f>IF(FN$7&gt;$D$3,"",IF($FA69&lt;FN$7,"OD",_xlfn.XLOOKUP(FN$7,Logistics!$M$6:$BM$6,Logistics!$M$18:$BM$18)))</f>
        <v>Undefined</v>
      </c>
      <c r="FO73" s="200" t="str">
        <f>IF(FO$7&gt;$D$3,"",IF($FA69&lt;FO$7,"OD",_xlfn.XLOOKUP(FO$7,Logistics!$M$6:$BM$6,Logistics!$M$18:$BM$18)))</f>
        <v>Undefined</v>
      </c>
      <c r="FP73" s="200" t="str">
        <f>IF(FP$7&gt;$D$3,"",IF($FA69&lt;FP$7,"OD",_xlfn.XLOOKUP(FP$7,Logistics!$M$6:$BM$6,Logistics!$M$18:$BM$18)))</f>
        <v>Undefined</v>
      </c>
      <c r="FQ73" s="200" t="str">
        <f>IF(FQ$7&gt;$D$3,"",IF($FA69&lt;FQ$7,"OD",_xlfn.XLOOKUP(FQ$7,Logistics!$M$6:$BM$6,Logistics!$M$18:$BM$18)))</f>
        <v>Undefined</v>
      </c>
      <c r="FR73" s="200" t="str">
        <f>IF(FR$7&gt;$D$3,"",IF($FA69&lt;FR$7,"OD",_xlfn.XLOOKUP(FR$7,Logistics!$M$6:$BM$6,Logistics!$M$18:$BM$18)))</f>
        <v>Undefined</v>
      </c>
      <c r="FS73" s="200" t="str">
        <f>IF(FS$7&gt;$D$3,"",IF($FA69&lt;FS$7,"OD",_xlfn.XLOOKUP(FS$7,Logistics!$M$6:$BM$6,Logistics!$M$18:$BM$18)))</f>
        <v>Undefined</v>
      </c>
      <c r="FT73" s="200" t="str">
        <f>IF(FT$7&gt;$D$3,"",IF($FA69&lt;FT$7,"OD",_xlfn.XLOOKUP(FT$7,Logistics!$M$6:$BM$6,Logistics!$M$18:$BM$18)))</f>
        <v>Undefined</v>
      </c>
      <c r="FU73" s="200" t="str">
        <f>IF(FU$7&gt;$D$3,"",IF($FA69&lt;FU$7,"OD",_xlfn.XLOOKUP(FU$7,Logistics!$M$6:$BM$6,Logistics!$M$18:$BM$18)))</f>
        <v>Undefined</v>
      </c>
      <c r="FV73" s="200" t="str">
        <f>IF(FV$7&gt;$D$3,"",IF($FA69&lt;FV$7,"OD",_xlfn.XLOOKUP(FV$7,Logistics!$M$6:$BM$6,Logistics!$M$18:$BM$18)))</f>
        <v>Undefined</v>
      </c>
      <c r="FW73" s="200" t="str">
        <f>IF(FW$7&gt;$D$3,"",IF($FA69&lt;FW$7,"OD",_xlfn.XLOOKUP(FW$7,Logistics!$M$6:$BM$6,Logistics!$M$18:$BM$18)))</f>
        <v>Undefined</v>
      </c>
      <c r="FX73" s="200" t="str">
        <f>IF(FX$7&gt;$D$3,"",IF($FA69&lt;FX$7,"OD",_xlfn.XLOOKUP(FX$7,Logistics!$M$6:$BM$6,Logistics!$M$18:$BM$18)))</f>
        <v>Undefined</v>
      </c>
      <c r="FY73" s="200" t="str">
        <f>IF(FY$7&gt;$D$3,"",IF($FA69&lt;FY$7,"OD",_xlfn.XLOOKUP(FY$7,Logistics!$M$6:$BM$6,Logistics!$M$18:$BM$18)))</f>
        <v>Undefined</v>
      </c>
      <c r="FZ73" s="200" t="str">
        <f>IF(FZ$7&gt;$D$3,"",IF($FA69&lt;FZ$7,"OD",_xlfn.XLOOKUP(FZ$7,Logistics!$M$6:$BM$6,Logistics!$M$18:$BM$18)))</f>
        <v>undefined</v>
      </c>
      <c r="GA73" s="200" t="str">
        <f>IF(GA$7&gt;$D$3,"",IF($FA69&lt;GA$7,"OD",_xlfn.XLOOKUP(GA$7,Logistics!$M$6:$BM$6,Logistics!$M$18:$BM$18)))</f>
        <v>undefined</v>
      </c>
      <c r="GB73" s="200" t="str">
        <f>IF(GB$7&gt;$D$3,"",IF($FA69&lt;GB$7,"OD",_xlfn.XLOOKUP(GB$7,Logistics!$M$6:$BM$6,Logistics!$M$18:$BM$18)))</f>
        <v>undefined</v>
      </c>
      <c r="GC73" s="200" t="str">
        <f>IF(GC$7&gt;$D$3,"",IF($FA69&lt;GC$7,"OD",_xlfn.XLOOKUP(GC$7,Logistics!$M$6:$BM$6,Logistics!$M$18:$BM$18)))</f>
        <v>undefined</v>
      </c>
      <c r="GD73" s="200" t="str">
        <f>IF(GD$7&gt;$D$3,"",IF($FA69&lt;GD$7,"OD",_xlfn.XLOOKUP(GD$7,Logistics!$M$6:$BM$6,Logistics!$M$18:$BM$18)))</f>
        <v>undefined</v>
      </c>
      <c r="GE73" s="200" t="str">
        <f>IF(GE$7&gt;$D$3,"",IF($FA69&lt;GE$7,"OD",_xlfn.XLOOKUP(GE$7,Logistics!$M$6:$BM$6,Logistics!$M$18:$BM$18)))</f>
        <v>undefined</v>
      </c>
      <c r="GF73" s="200" t="str">
        <f>IF(GF$7&gt;$D$3,"",IF($FA69&lt;GF$7,"OD",_xlfn.XLOOKUP(GF$7,Logistics!$M$6:$BM$6,Logistics!$M$18:$BM$18)))</f>
        <v>undefined</v>
      </c>
      <c r="GG73" s="200" t="str">
        <f>IF(GG$7&gt;$D$3,"",IF($FA69&lt;GG$7,"OD",_xlfn.XLOOKUP(GG$7,Logistics!$M$6:$BM$6,Logistics!$M$18:$BM$18)))</f>
        <v>undefined</v>
      </c>
      <c r="GH73" s="200">
        <f>IF(GH$7&gt;$D$3,"",IF($FA69&lt;GH$7,"OD",_xlfn.XLOOKUP(GH$7,Logistics!$M$6:$BM$6,Logistics!$M$18:$BM$18)))</f>
        <v>0</v>
      </c>
      <c r="GI73" s="200">
        <f>IF(GI$7&gt;$D$3,"",IF($FA69&lt;GI$7,"OD",_xlfn.XLOOKUP(GI$7,Logistics!$M$6:$BM$6,Logistics!$M$18:$BM$18)))</f>
        <v>0</v>
      </c>
      <c r="GJ73" s="200">
        <f>IF(GJ$7&gt;$D$3,"",IF($FA69&lt;GJ$7,"OD",_xlfn.XLOOKUP(GJ$7,Logistics!$M$6:$BM$6,Logistics!$M$18:$BM$18)))</f>
        <v>0</v>
      </c>
      <c r="GK73" s="200">
        <f>IF(GK$7&gt;$D$3,"",IF($FA69&lt;GK$7,"OD",_xlfn.XLOOKUP(GK$7,Logistics!$M$6:$BM$6,Logistics!$M$18:$BM$18)))</f>
        <v>0</v>
      </c>
      <c r="GL73" s="200">
        <f>IF(GL$7&gt;$D$3,"",IF($FA69&lt;GL$7,"OD",_xlfn.XLOOKUP(GL$7,Logistics!$M$6:$BM$6,Logistics!$M$18:$BM$18)))</f>
        <v>0</v>
      </c>
      <c r="GM73" s="200">
        <f>IF(GM$7&gt;$D$3,"",IF($FA69&lt;GM$7,"OD",_xlfn.XLOOKUP(GM$7,Logistics!$M$6:$BM$6,Logistics!$M$18:$BM$18)))</f>
        <v>0</v>
      </c>
      <c r="GN73" s="200">
        <f>IF(GN$7&gt;$D$3,"",IF($FA69&lt;GN$7,"OD",_xlfn.XLOOKUP(GN$7,Logistics!$M$6:$BM$6,Logistics!$M$18:$BM$18)))</f>
        <v>0</v>
      </c>
      <c r="GO73" s="200">
        <f>IF(GO$7&gt;$D$3,"",IF($FA69&lt;GO$7,"OD",_xlfn.XLOOKUP(GO$7,Logistics!$M$6:$BM$6,Logistics!$M$18:$BM$18)))</f>
        <v>0</v>
      </c>
      <c r="GP73" s="200">
        <f>IF(GP$7&gt;$D$3,"",IF($FA69&lt;GP$7,"OD",_xlfn.XLOOKUP(GP$7,Logistics!$M$6:$BM$6,Logistics!$M$18:$BM$18)))</f>
        <v>0</v>
      </c>
      <c r="GQ73" s="200">
        <f>IF(GQ$7&gt;$D$3,"",IF($FA69&lt;GQ$7,"OD",_xlfn.XLOOKUP(GQ$7,Logistics!$M$6:$BM$6,Logistics!$M$18:$BM$18)))</f>
        <v>0</v>
      </c>
      <c r="GR73" s="200">
        <f>IF(GR$7&gt;$D$3,"",IF($FA69&lt;GR$7,"OD",_xlfn.XLOOKUP(GR$7,Logistics!$M$6:$BM$6,Logistics!$M$18:$BM$18)))</f>
        <v>0</v>
      </c>
      <c r="GS73" s="200" t="str">
        <f>IF(GS$7&gt;$D$3,"",IF($FA69&lt;GS$7,"OD",_xlfn.XLOOKUP(GS$7,Logistics!$M$6:$BM$6,Logistics!$M$18:$BM$18)))</f>
        <v/>
      </c>
      <c r="GT73" s="200" t="str">
        <f>IF(GT$7&gt;$D$3,"",IF($FA69&lt;GT$7,"OD",_xlfn.XLOOKUP(GT$7,Logistics!$M$6:$BM$6,Logistics!$M$18:$BM$18)))</f>
        <v/>
      </c>
      <c r="GU73" s="200" t="str">
        <f>IF(GU$7&gt;$D$3,"",IF($FA69&lt;GU$7,"OD",_xlfn.XLOOKUP(GU$7,Logistics!$M$6:$BM$6,Logistics!$M$18:$BM$18)))</f>
        <v/>
      </c>
      <c r="GV73" s="200" t="str">
        <f>IF(GV$7&gt;$D$3,"",IF($FA69&lt;GV$7,"OD",_xlfn.XLOOKUP(GV$7,Logistics!$M$6:$BM$6,Logistics!$M$18:$BM$18)))</f>
        <v/>
      </c>
      <c r="GW73" s="200" t="str">
        <f>IF(GW$7&gt;$D$3,"",IF($FA69&lt;GW$7,"OD",_xlfn.XLOOKUP(GW$7,Logistics!$M$6:$BM$6,Logistics!$M$18:$BM$18)))</f>
        <v/>
      </c>
      <c r="GX73" s="200" t="str">
        <f>IF(GX$7&gt;$D$3,"",IF($FA69&lt;GX$7,"OD",_xlfn.XLOOKUP(GX$7,Logistics!$M$6:$BM$6,Logistics!$M$18:$BM$18)))</f>
        <v/>
      </c>
      <c r="GY73" s="200" t="str">
        <f>IF(GY$7&gt;$D$3,"",IF($FA69&lt;GY$7,"OD",_xlfn.XLOOKUP(GY$7,Logistics!$M$6:$BM$6,Logistics!$M$18:$BM$18)))</f>
        <v/>
      </c>
      <c r="GZ73" s="200" t="str">
        <f>IF(GZ$7&gt;$D$3,"",IF($FA69&lt;GZ$7,"OD",_xlfn.XLOOKUP(GZ$7,Logistics!$M$6:$BM$6,Logistics!$M$18:$BM$18)))</f>
        <v/>
      </c>
      <c r="HA73" s="200" t="str">
        <f>IF(HA$7&gt;$D$3,"",IF($FA69&lt;HA$7,"OD",_xlfn.XLOOKUP(HA$7,Logistics!$M$6:$BM$6,Logistics!$M$18:$BM$18)))</f>
        <v/>
      </c>
      <c r="HB73" s="200" t="str">
        <f>IF(HB$7&gt;$D$3,"",IF($FA69&lt;HB$7,"OD",_xlfn.XLOOKUP(HB$7,Logistics!$M$6:$BM$6,Logistics!$M$18:$BM$18)))</f>
        <v/>
      </c>
      <c r="HC73" s="200" t="str">
        <f>IF(HC$7&gt;$D$3,"",IF($FA69&lt;HC$7,"OD",_xlfn.XLOOKUP(HC$7,Logistics!$M$6:$BM$6,Logistics!$M$18:$BM$18)))</f>
        <v/>
      </c>
      <c r="HE73" s="138" t="str">
        <f>+$C73</f>
        <v>KPI C1</v>
      </c>
      <c r="HF73" s="146" t="str">
        <f>+$D73</f>
        <v>Cost</v>
      </c>
      <c r="HG73" s="146" t="str">
        <f>+$E73</f>
        <v>Distribution Costs - Group</v>
      </c>
      <c r="HH73" s="147" t="str">
        <f>+$F73</f>
        <v>£'s</v>
      </c>
      <c r="HI73" s="147" t="s">
        <v>44</v>
      </c>
      <c r="HJ73" s="200" t="str">
        <f>IF(HJ$7&gt;$D$3,"",IF($FA69&lt;HJ$7,"OD",_xlfn.XLOOKUP(HJ$7,Logistics!$M$6:$BM$6,Logistics!$M$17:$BM$17)))</f>
        <v>Blank</v>
      </c>
      <c r="HK73" s="200" t="str">
        <f>IF(HK$7&gt;$D$3,"",IF($FA69&lt;HK$7,"OD",_xlfn.XLOOKUP(HK$7,Logistics!$M$6:$BM$6,Logistics!$M$17:$BM$17)))</f>
        <v>Undefined</v>
      </c>
      <c r="HL73" s="200" t="str">
        <f>IF(HL$7&gt;$D$3,"",IF($FA69&lt;HL$7,"OD",_xlfn.XLOOKUP(HL$7,Logistics!$M$6:$BM$6,Logistics!$M$17:$BM$17)))</f>
        <v>Undefined</v>
      </c>
      <c r="HM73" s="200" t="str">
        <f>IF(HM$7&gt;$D$3,"",IF($FA69&lt;HM$7,"OD",_xlfn.XLOOKUP(HM$7,Logistics!$M$6:$BM$6,Logistics!$M$17:$BM$17)))</f>
        <v>Undefined</v>
      </c>
      <c r="HN73" s="200" t="str">
        <f>IF(HN$7&gt;$D$3,"",IF($FA69&lt;HN$7,"OD",_xlfn.XLOOKUP(HN$7,Logistics!$M$6:$BM$6,Logistics!$M$17:$BM$17)))</f>
        <v>Undefined</v>
      </c>
      <c r="HO73" s="200" t="str">
        <f>IF(HO$7&gt;$D$3,"",IF($FA69&lt;HO$7,"OD",_xlfn.XLOOKUP(HO$7,Logistics!$M$6:$BM$6,Logistics!$M$17:$BM$17)))</f>
        <v>Undefined</v>
      </c>
      <c r="HP73" s="200" t="str">
        <f>IF(HP$7&gt;$D$3,"",IF($FA69&lt;HP$7,"OD",_xlfn.XLOOKUP(HP$7,Logistics!$M$6:$BM$6,Logistics!$M$17:$BM$17)))</f>
        <v>Undefined</v>
      </c>
      <c r="HQ73" s="200" t="str">
        <f>IF(HQ$7&gt;$D$3,"",IF($FA69&lt;HQ$7,"OD",_xlfn.XLOOKUP(HQ$7,Logistics!$M$6:$BM$6,Logistics!$M$17:$BM$17)))</f>
        <v>Undefined</v>
      </c>
      <c r="HR73" s="200" t="str">
        <f>IF(HR$7&gt;$D$3,"",IF($FA69&lt;HR$7,"OD",_xlfn.XLOOKUP(HR$7,Logistics!$M$6:$BM$6,Logistics!$M$17:$BM$17)))</f>
        <v>Undefined</v>
      </c>
      <c r="HS73" s="200" t="str">
        <f>IF(HS$7&gt;$D$3,"",IF($FA69&lt;HS$7,"OD",_xlfn.XLOOKUP(HS$7,Logistics!$M$6:$BM$6,Logistics!$M$17:$BM$17)))</f>
        <v>Undefined</v>
      </c>
      <c r="HT73" s="200" t="str">
        <f>IF(HT$7&gt;$D$3,"",IF($FA69&lt;HT$7,"OD",_xlfn.XLOOKUP(HT$7,Logistics!$M$6:$BM$6,Logistics!$M$17:$BM$17)))</f>
        <v>Undefined</v>
      </c>
      <c r="HU73" s="200" t="str">
        <f>IF(HU$7&gt;$D$3,"",IF($FA69&lt;HU$7,"OD",_xlfn.XLOOKUP(HU$7,Logistics!$M$6:$BM$6,Logistics!$M$17:$BM$17)))</f>
        <v>Undefined</v>
      </c>
      <c r="HV73" s="200" t="str">
        <f>IF(HV$7&gt;$D$3,"",IF($FA69&lt;HV$7,"OD",_xlfn.XLOOKUP(HV$7,Logistics!$M$6:$BM$6,Logistics!$M$17:$BM$17)))</f>
        <v>Undefined</v>
      </c>
      <c r="HW73" s="200" t="str">
        <f>IF(HW$7&gt;$D$3,"",IF($FA69&lt;HW$7,"OD",_xlfn.XLOOKUP(HW$7,Logistics!$M$6:$BM$6,Logistics!$M$17:$BM$17)))</f>
        <v>Undefined</v>
      </c>
      <c r="HX73" s="200" t="str">
        <f>IF(HX$7&gt;$D$3,"",IF($FA69&lt;HX$7,"OD",_xlfn.XLOOKUP(HX$7,Logistics!$M$6:$BM$6,Logistics!$M$17:$BM$17)))</f>
        <v>Undefined</v>
      </c>
      <c r="HY73" s="200" t="str">
        <f>IF(HY$7&gt;$D$3,"",IF($FA69&lt;HY$7,"OD",_xlfn.XLOOKUP(HY$7,Logistics!$M$6:$BM$6,Logistics!$M$17:$BM$17)))</f>
        <v>Undefined</v>
      </c>
      <c r="HZ73" s="200" t="str">
        <f>IF(HZ$7&gt;$D$3,"",IF($FA69&lt;HZ$7,"OD",_xlfn.XLOOKUP(HZ$7,Logistics!$M$6:$BM$6,Logistics!$M$17:$BM$17)))</f>
        <v>Undefined</v>
      </c>
      <c r="IA73" s="200" t="str">
        <f>IF(IA$7&gt;$D$3,"",IF($FA69&lt;IA$7,"OD",_xlfn.XLOOKUP(IA$7,Logistics!$M$6:$BM$6,Logistics!$M$17:$BM$17)))</f>
        <v>Undefined</v>
      </c>
      <c r="IB73" s="200" t="str">
        <f>IF(IB$7&gt;$D$3,"",IF($FA69&lt;IB$7,"OD",_xlfn.XLOOKUP(IB$7,Logistics!$M$6:$BM$6,Logistics!$M$17:$BM$17)))</f>
        <v>Undefined</v>
      </c>
      <c r="IC73" s="200" t="str">
        <f>IF(IC$7&gt;$D$3,"",IF($FA69&lt;IC$7,"OD",_xlfn.XLOOKUP(IC$7,Logistics!$M$6:$BM$6,Logistics!$M$17:$BM$17)))</f>
        <v>Undefined</v>
      </c>
      <c r="ID73" s="200" t="str">
        <f>IF(ID$7&gt;$D$3,"",IF($FA69&lt;ID$7,"OD",_xlfn.XLOOKUP(ID$7,Logistics!$M$6:$BM$6,Logistics!$M$17:$BM$17)))</f>
        <v>Undefined</v>
      </c>
      <c r="IE73" s="200" t="str">
        <f>IF(IE$7&gt;$D$3,"",IF($FA69&lt;IE$7,"OD",_xlfn.XLOOKUP(IE$7,Logistics!$M$6:$BM$6,Logistics!$M$17:$BM$17)))</f>
        <v>Undefined</v>
      </c>
      <c r="IF73" s="200" t="str">
        <f>IF(IF$7&gt;$D$3,"",IF($FA69&lt;IF$7,"OD",_xlfn.XLOOKUP(IF$7,Logistics!$M$6:$BM$6,Logistics!$M$17:$BM$17)))</f>
        <v>Undefined</v>
      </c>
      <c r="IG73" s="200" t="str">
        <f>IF(IG$7&gt;$D$3,"",IF($FA69&lt;IG$7,"OD",_xlfn.XLOOKUP(IG$7,Logistics!$M$6:$BM$6,Logistics!$M$17:$BM$17)))</f>
        <v>Undefined</v>
      </c>
      <c r="IH73" s="200" t="str">
        <f>IF(IH$7&gt;$D$3,"",IF($FA69&lt;IH$7,"OD",_xlfn.XLOOKUP(IH$7,Logistics!$M$6:$BM$6,Logistics!$M$17:$BM$17)))</f>
        <v>Undefined</v>
      </c>
      <c r="II73" s="200" t="str">
        <f>IF(II$7&gt;$D$3,"",IF($FA69&lt;II$7,"OD",_xlfn.XLOOKUP(II$7,Logistics!$M$6:$BM$6,Logistics!$M$17:$BM$17)))</f>
        <v>Undefined</v>
      </c>
      <c r="IJ73" s="200" t="str">
        <f>IF(IJ$7&gt;$D$3,"",IF($FA69&lt;IJ$7,"OD",_xlfn.XLOOKUP(IJ$7,Logistics!$M$6:$BM$6,Logistics!$M$17:$BM$17)))</f>
        <v>Undefined</v>
      </c>
      <c r="IK73" s="200" t="str">
        <f>IF(IK$7&gt;$D$3,"",IF($FA69&lt;IK$7,"OD",_xlfn.XLOOKUP(IK$7,Logistics!$M$6:$BM$6,Logistics!$M$17:$BM$17)))</f>
        <v>Undefined</v>
      </c>
      <c r="IL73" s="200" t="str">
        <f>IF(IL$7&gt;$D$3,"",IF($FA69&lt;IL$7,"OD",_xlfn.XLOOKUP(IL$7,Logistics!$M$6:$BM$6,Logistics!$M$17:$BM$17)))</f>
        <v>Undefined</v>
      </c>
      <c r="IM73" s="200" t="str">
        <f>IF(IM$7&gt;$D$3,"",IF($FA69&lt;IM$7,"OD",_xlfn.XLOOKUP(IM$7,Logistics!$M$6:$BM$6,Logistics!$M$17:$BM$17)))</f>
        <v>Undefined</v>
      </c>
      <c r="IN73" s="200" t="str">
        <f>IF(IN$7&gt;$D$3,"",IF($FA69&lt;IN$7,"OD",_xlfn.XLOOKUP(IN$7,Logistics!$M$6:$BM$6,Logistics!$M$17:$BM$17)))</f>
        <v>Undefined</v>
      </c>
      <c r="IO73" s="200" t="str">
        <f>IF(IO$7&gt;$D$3,"",IF($FA69&lt;IO$7,"OD",_xlfn.XLOOKUP(IO$7,Logistics!$M$6:$BM$6,Logistics!$M$17:$BM$17)))</f>
        <v>Undefined</v>
      </c>
      <c r="IP73" s="200" t="str">
        <f>IF(IP$7&gt;$D$3,"",IF($FA69&lt;IP$7,"OD",_xlfn.XLOOKUP(IP$7,Logistics!$M$6:$BM$6,Logistics!$M$17:$BM$17)))</f>
        <v>Undefined</v>
      </c>
      <c r="IQ73" s="200" t="str">
        <f>IF(IQ$7&gt;$D$3,"",IF($FA69&lt;IQ$7,"OD",_xlfn.XLOOKUP(IQ$7,Logistics!$M$6:$BM$6,Logistics!$M$17:$BM$17)))</f>
        <v>Undefined</v>
      </c>
      <c r="IR73" s="200" t="str">
        <f>IF(IR$7&gt;$D$3,"",IF($FA69&lt;IR$7,"OD",_xlfn.XLOOKUP(IR$7,Logistics!$M$6:$BM$6,Logistics!$M$17:$BM$17)))</f>
        <v>Undefined</v>
      </c>
      <c r="IS73" s="200" t="str">
        <f>IF(IS$7&gt;$D$3,"",IF($FA69&lt;IS$7,"OD",_xlfn.XLOOKUP(IS$7,Logistics!$M$6:$BM$6,Logistics!$M$17:$BM$17)))</f>
        <v>Undefined</v>
      </c>
      <c r="IT73" s="200" t="str">
        <f>IF(IT$7&gt;$D$3,"",IF($FA69&lt;IT$7,"OD",_xlfn.XLOOKUP(IT$7,Logistics!$M$6:$BM$6,Logistics!$M$17:$BM$17)))</f>
        <v>Undefined</v>
      </c>
      <c r="IU73" s="200" t="str">
        <f>IF(IU$7&gt;$D$3,"",IF($FA69&lt;IU$7,"OD",_xlfn.XLOOKUP(IU$7,Logistics!$M$6:$BM$6,Logistics!$M$17:$BM$17)))</f>
        <v>Undefined</v>
      </c>
      <c r="IV73" s="200" t="str">
        <f>IF(IV$7&gt;$D$3,"",IF($FA69&lt;IV$7,"OD",_xlfn.XLOOKUP(IV$7,Logistics!$M$6:$BM$6,Logistics!$M$17:$BM$17)))</f>
        <v>Undefined</v>
      </c>
      <c r="IW73" s="200" t="str">
        <f>IF(IW$7&gt;$D$3,"",IF($FA69&lt;IW$7,"OD",_xlfn.XLOOKUP(IW$7,Logistics!$M$6:$BM$6,Logistics!$M$17:$BM$17)))</f>
        <v>Undefined</v>
      </c>
      <c r="IX73" s="200" t="str">
        <f>IF(IX$7&gt;$D$3,"",IF($FA69&lt;IX$7,"OD",_xlfn.XLOOKUP(IX$7,Logistics!$M$6:$BM$6,Logistics!$M$17:$BM$17)))</f>
        <v>Undefined</v>
      </c>
      <c r="IY73" s="200" t="str">
        <f>IF(IY$7&gt;$D$3,"",IF($FA69&lt;IY$7,"OD",_xlfn.XLOOKUP(IY$7,Logistics!$M$6:$BM$6,Logistics!$M$17:$BM$17)))</f>
        <v>Undefined</v>
      </c>
      <c r="IZ73" s="200" t="str">
        <f>IF(IZ$7&gt;$D$3,"",IF($FA69&lt;IZ$7,"OD",_xlfn.XLOOKUP(IZ$7,Logistics!$M$6:$BM$6,Logistics!$M$17:$BM$17)))</f>
        <v/>
      </c>
      <c r="JA73" s="200" t="str">
        <f>IF(JA$7&gt;$D$3,"",IF($FA69&lt;JA$7,"OD",_xlfn.XLOOKUP(JA$7,Logistics!$M$6:$BM$6,Logistics!$M$17:$BM$17)))</f>
        <v/>
      </c>
      <c r="JB73" s="200" t="str">
        <f>IF(JB$7&gt;$D$3,"",IF($FA69&lt;JB$7,"OD",_xlfn.XLOOKUP(JB$7,Logistics!$M$6:$BM$6,Logistics!$M$17:$BM$17)))</f>
        <v/>
      </c>
      <c r="JC73" s="200" t="str">
        <f>IF(JC$7&gt;$D$3,"",IF($FA69&lt;JC$7,"OD",_xlfn.XLOOKUP(JC$7,Logistics!$M$6:$BM$6,Logistics!$M$17:$BM$17)))</f>
        <v/>
      </c>
      <c r="JD73" s="200" t="str">
        <f>IF(JD$7&gt;$D$3,"",IF($FA69&lt;JD$7,"OD",_xlfn.XLOOKUP(JD$7,Logistics!$M$6:$BM$6,Logistics!$M$17:$BM$17)))</f>
        <v/>
      </c>
      <c r="JE73" s="200" t="str">
        <f>IF(JE$7&gt;$D$3,"",IF($FA69&lt;JE$7,"OD",_xlfn.XLOOKUP(JE$7,Logistics!$M$6:$BM$6,Logistics!$M$17:$BM$17)))</f>
        <v/>
      </c>
      <c r="JF73" s="200" t="str">
        <f>IF(JF$7&gt;$D$3,"",IF($FA69&lt;JF$7,"OD",_xlfn.XLOOKUP(JF$7,Logistics!$M$6:$BM$6,Logistics!$M$17:$BM$17)))</f>
        <v/>
      </c>
      <c r="JG73" s="200" t="str">
        <f>IF(JG$7&gt;$D$3,"",IF($FA69&lt;JG$7,"OD",_xlfn.XLOOKUP(JG$7,Logistics!$M$6:$BM$6,Logistics!$M$17:$BM$17)))</f>
        <v/>
      </c>
      <c r="JH73" s="200" t="str">
        <f>IF(JH$7&gt;$D$3,"",IF($FA69&lt;JH$7,"OD",_xlfn.XLOOKUP(JH$7,Logistics!$M$6:$BM$6,Logistics!$M$17:$BM$17)))</f>
        <v/>
      </c>
      <c r="JI73" s="200" t="str">
        <f>IF(JI$7&gt;$D$3,"",IF($FA69&lt;JI$7,"OD",_xlfn.XLOOKUP(JI$7,Logistics!$M$6:$BM$6,Logistics!$M$17:$BM$17)))</f>
        <v/>
      </c>
      <c r="JJ73" s="200" t="str">
        <f>IF(JJ$7&gt;$D$3,"",IF($FA69&lt;JJ$7,"OD",_xlfn.XLOOKUP(JJ$7,Logistics!$M$6:$BM$6,Logistics!$M$17:$BM$17)))</f>
        <v/>
      </c>
      <c r="JM73" s="138" t="str">
        <f>+$C73</f>
        <v>KPI C1</v>
      </c>
      <c r="JN73" s="146" t="str">
        <f>+$D73</f>
        <v>Cost</v>
      </c>
      <c r="JO73" s="146" t="str">
        <f>+$E73</f>
        <v>Distribution Costs - Group</v>
      </c>
      <c r="JP73" s="147" t="str">
        <f>+$F73</f>
        <v>£'s</v>
      </c>
      <c r="JQ73" s="147" t="s">
        <v>284</v>
      </c>
      <c r="JR73" s="248" t="str">
        <f>IFERROR(AVERAGE(FC73:$FC73),"")</f>
        <v/>
      </c>
      <c r="JS73" s="248" t="str">
        <f>IFERROR(AVERAGE($FC73:FD73),"")</f>
        <v/>
      </c>
      <c r="JT73" s="248" t="str">
        <f>IFERROR(AVERAGE($FC73:FE73),"")</f>
        <v/>
      </c>
      <c r="JU73" s="248" t="str">
        <f>IFERROR(AVERAGE($FC73:FF73),"")</f>
        <v/>
      </c>
      <c r="JV73" s="248" t="str">
        <f>IFERROR(AVERAGE($FC73:FG73),"")</f>
        <v/>
      </c>
      <c r="JW73" s="248" t="str">
        <f>IFERROR(AVERAGE($FC73:FH73),"")</f>
        <v/>
      </c>
      <c r="JX73" s="248" t="str">
        <f>IFERROR(AVERAGE($FC73:FI73),"")</f>
        <v/>
      </c>
      <c r="JY73" s="248" t="str">
        <f>IFERROR(AVERAGE($FC73:FJ73),"")</f>
        <v/>
      </c>
      <c r="JZ73" s="248" t="str">
        <f>IFERROR(AVERAGE($FC73:FK73),"")</f>
        <v/>
      </c>
      <c r="KA73" s="248" t="str">
        <f>IFERROR(AVERAGE($FC73:FL73),"")</f>
        <v/>
      </c>
      <c r="KB73" s="248" t="str">
        <f>IFERROR(AVERAGE($FC73:FM73),"")</f>
        <v/>
      </c>
      <c r="KC73" s="248" t="str">
        <f>IFERROR(AVERAGE($FC73:FN73),"")</f>
        <v/>
      </c>
      <c r="KD73" s="248" t="str">
        <f>IFERROR(AVERAGE($FC73:FO73),"")</f>
        <v/>
      </c>
      <c r="KE73" s="248" t="str">
        <f>IFERROR(AVERAGE($FC73:FP73),"")</f>
        <v/>
      </c>
      <c r="KF73" s="248" t="str">
        <f>IFERROR(AVERAGE($FC73:FQ73),"")</f>
        <v/>
      </c>
      <c r="KG73" s="248" t="str">
        <f>IFERROR(AVERAGE($FC73:FR73),"")</f>
        <v/>
      </c>
      <c r="KH73" s="248" t="str">
        <f>IFERROR(AVERAGE($FC73:FS73),"")</f>
        <v/>
      </c>
      <c r="KI73" s="248" t="str">
        <f>IFERROR(AVERAGE($FC73:FT73),"")</f>
        <v/>
      </c>
      <c r="KJ73" s="248" t="str">
        <f>IFERROR(AVERAGE($FC73:FU73),"")</f>
        <v/>
      </c>
      <c r="KK73" s="248" t="str">
        <f>IFERROR(AVERAGE($FC73:FV73),"")</f>
        <v/>
      </c>
      <c r="KL73" s="248" t="str">
        <f>IFERROR(AVERAGE($FC73:FW73),"")</f>
        <v/>
      </c>
      <c r="KM73" s="248" t="str">
        <f>IFERROR(AVERAGE($FC73:FX73),"")</f>
        <v/>
      </c>
      <c r="KN73" s="248" t="str">
        <f>IFERROR(AVERAGE($FC73:FY73),"")</f>
        <v/>
      </c>
      <c r="KO73" s="248" t="str">
        <f>IFERROR(AVERAGE($FC73:FZ73),"")</f>
        <v/>
      </c>
      <c r="KP73" s="248" t="str">
        <f>IFERROR(AVERAGE($FC73:GA73),"")</f>
        <v/>
      </c>
      <c r="KQ73" s="248" t="str">
        <f>IFERROR(AVERAGE($FC73:GB73),"")</f>
        <v/>
      </c>
      <c r="KR73" s="248" t="str">
        <f>IFERROR(AVERAGE($FC73:GC73),"")</f>
        <v/>
      </c>
      <c r="KS73" s="248" t="str">
        <f>IFERROR(AVERAGE($FC73:GD73),"")</f>
        <v/>
      </c>
      <c r="KT73" s="248" t="str">
        <f>IFERROR(AVERAGE($FC73:GE73),"")</f>
        <v/>
      </c>
      <c r="KU73" s="248" t="str">
        <f>IFERROR(AVERAGE($FC73:GF73),"")</f>
        <v/>
      </c>
      <c r="KV73" s="248" t="str">
        <f>IFERROR(AVERAGE($FC73:GG73),"")</f>
        <v/>
      </c>
      <c r="KW73" s="248">
        <f>IFERROR(AVERAGE($FC73:GH73),"")</f>
        <v>0</v>
      </c>
      <c r="KX73" s="248">
        <f>IFERROR(AVERAGE($FC73:GI73),"")</f>
        <v>0</v>
      </c>
      <c r="KY73" s="248">
        <f>IFERROR(AVERAGE($FC73:GJ73),"")</f>
        <v>0</v>
      </c>
      <c r="KZ73" s="248">
        <f>IFERROR(AVERAGE($FC73:GK73),"")</f>
        <v>0</v>
      </c>
      <c r="LA73" s="248">
        <f>IFERROR(AVERAGE($FC73:GL73),"")</f>
        <v>0</v>
      </c>
      <c r="LB73" s="248">
        <f>IFERROR(AVERAGE($FC73:GM73),"")</f>
        <v>0</v>
      </c>
      <c r="LC73" s="248">
        <f>IFERROR(AVERAGE($FC73:GN73),"")</f>
        <v>0</v>
      </c>
      <c r="LD73" s="248">
        <f>IFERROR(AVERAGE($FC73:GO73),"")</f>
        <v>0</v>
      </c>
      <c r="LE73" s="248">
        <f>IFERROR(AVERAGE($FC73:GP73),"")</f>
        <v>0</v>
      </c>
      <c r="LF73" s="248">
        <f>IFERROR(AVERAGE($FC73:GQ73),"")</f>
        <v>0</v>
      </c>
      <c r="LG73" s="248">
        <f>IFERROR(AVERAGE($FC73:GR73),"")</f>
        <v>0</v>
      </c>
      <c r="LH73" s="248">
        <f>IFERROR(AVERAGE($FC73:GS73),"")</f>
        <v>0</v>
      </c>
      <c r="LI73" s="248">
        <f>IFERROR(AVERAGE($FC73:GT73),"")</f>
        <v>0</v>
      </c>
      <c r="LJ73" s="248">
        <f>IFERROR(AVERAGE($FC73:GU73),"")</f>
        <v>0</v>
      </c>
      <c r="LK73" s="248">
        <f>IFERROR(AVERAGE($FC73:GV73),"")</f>
        <v>0</v>
      </c>
      <c r="LL73" s="248">
        <f>IFERROR(AVERAGE($FC73:GW73),"")</f>
        <v>0</v>
      </c>
      <c r="LM73" s="248">
        <f>IFERROR(AVERAGE($FC73:GX73),"")</f>
        <v>0</v>
      </c>
      <c r="LN73" s="248">
        <f>IFERROR(AVERAGE($FC73:GY73),"")</f>
        <v>0</v>
      </c>
      <c r="LO73" s="248">
        <f>IFERROR(AVERAGE($FC73:GZ73),"")</f>
        <v>0</v>
      </c>
      <c r="LP73" s="248">
        <f>IFERROR(AVERAGE($FC73:HA73),"")</f>
        <v>0</v>
      </c>
      <c r="LQ73" s="248">
        <f>IFERROR(AVERAGE($FC73:HB73),"")</f>
        <v>0</v>
      </c>
      <c r="LR73" s="248">
        <f>IFERROR(AVERAGE($FC73:HC73),"")</f>
        <v>0</v>
      </c>
      <c r="LT73" s="138" t="str">
        <f>+$C73</f>
        <v>KPI C1</v>
      </c>
      <c r="LU73" s="146" t="str">
        <f>+$D73</f>
        <v>Cost</v>
      </c>
      <c r="LV73" s="146" t="str">
        <f>+$E73</f>
        <v>Distribution Costs - Group</v>
      </c>
      <c r="LW73" s="147" t="str">
        <f>+$F73</f>
        <v>£'s</v>
      </c>
      <c r="LX73" s="147" t="s">
        <v>285</v>
      </c>
      <c r="LY73" s="200" t="str">
        <f>IFERROR(AVERAGE($HJ73:HJ73),"")</f>
        <v/>
      </c>
      <c r="LZ73" s="200" t="str">
        <f>IFERROR(IF(LAD$7&gt;$D$3,"",AVERAGE($HJ73:HK73)),"")</f>
        <v/>
      </c>
      <c r="MA73" s="200" t="str">
        <f>IFERROR(IF(MA$7&gt;$D$3,"",AVERAGE($HJ73:HL73)),"")</f>
        <v/>
      </c>
      <c r="MB73" s="200" t="str">
        <f>IFERROR(IF(MB$7&gt;$D$3,"",AVERAGE($HJ73:HM73)),"")</f>
        <v/>
      </c>
      <c r="MC73" s="200" t="str">
        <f>IFERROR(IF(MC$7&gt;$D$3,"",AVERAGE($HJ73:HN73)),"")</f>
        <v/>
      </c>
      <c r="MD73" s="200" t="str">
        <f>IFERROR(IF(MD$7&gt;$D$3,"",AVERAGE($HJ73:HO73)),"")</f>
        <v/>
      </c>
      <c r="ME73" s="200" t="str">
        <f>IFERROR(IF(ME$7&gt;$D$3,"",AVERAGE($HJ73:HP73)),"")</f>
        <v/>
      </c>
      <c r="MF73" s="200" t="str">
        <f>IFERROR(IF(MF$7&gt;$D$3,"",AVERAGE($HJ73:HQ73)),"")</f>
        <v/>
      </c>
      <c r="MG73" s="200" t="str">
        <f>IFERROR(IF(MG$7&gt;$D$3,"",AVERAGE($HJ73:HR73)),"")</f>
        <v/>
      </c>
      <c r="MH73" s="200" t="str">
        <f>IFERROR(IF(MH$7&gt;$D$3,"",AVERAGE($HJ73:HS73)),"")</f>
        <v/>
      </c>
      <c r="MI73" s="200" t="str">
        <f>IFERROR(IF(MI$7&gt;$D$3,"",AVERAGE($HJ73:HT73)),"")</f>
        <v/>
      </c>
      <c r="MJ73" s="200" t="str">
        <f>IFERROR(IF(MJ$7&gt;$D$3,"",AVERAGE($HJ73:HU73)),"")</f>
        <v/>
      </c>
      <c r="MK73" s="200" t="str">
        <f>IFERROR(IF(MK$7&gt;$D$3,"",AVERAGE($HJ73:HV73)),"")</f>
        <v/>
      </c>
      <c r="ML73" s="200" t="str">
        <f>IFERROR(IF(ML$7&gt;$D$3,"",AVERAGE($HJ73:HW73)),"")</f>
        <v/>
      </c>
      <c r="MM73" s="200" t="str">
        <f>IFERROR(IF(MM$7&gt;$D$3,"",AVERAGE($HJ73:HX73)),"")</f>
        <v/>
      </c>
      <c r="MN73" s="200" t="str">
        <f>IFERROR(IF(MN$7&gt;$D$3,"",AVERAGE($HJ73:HY73)),"")</f>
        <v/>
      </c>
      <c r="MO73" s="200" t="str">
        <f>IFERROR(IF(MO$7&gt;$D$3,"",AVERAGE($HJ73:HZ73)),"")</f>
        <v/>
      </c>
      <c r="MP73" s="200" t="str">
        <f>IFERROR(IF(MP$7&gt;$D$3,"",AVERAGE($HJ73:IA73)),"")</f>
        <v/>
      </c>
      <c r="MQ73" s="200" t="str">
        <f>IFERROR(IF(MQ$7&gt;$D$3,"",AVERAGE($HJ73:IB73)),"")</f>
        <v/>
      </c>
      <c r="MR73" s="200" t="str">
        <f>IFERROR(IF(MR$7&gt;$D$3,"",AVERAGE($HJ73:IC73)),"")</f>
        <v/>
      </c>
      <c r="MS73" s="200" t="str">
        <f>IFERROR(IF(MS$7&gt;$D$3,"",AVERAGE($HJ73:ID73)),"")</f>
        <v/>
      </c>
      <c r="MT73" s="200" t="str">
        <f>IFERROR(IF(MT$7&gt;$D$3,"",AVERAGE($HJ73:IE73)),"")</f>
        <v/>
      </c>
      <c r="MU73" s="200" t="str">
        <f>IFERROR(IF(MU$7&gt;$D$3,"",AVERAGE($HJ73:IF73)),"")</f>
        <v/>
      </c>
      <c r="MV73" s="200" t="str">
        <f>IFERROR(IF(MV$7&gt;$D$3,"",AVERAGE($HJ73:IG73)),"")</f>
        <v/>
      </c>
      <c r="MW73" s="200" t="str">
        <f>IFERROR(IF(MW$7&gt;$D$3,"",AVERAGE($HJ73:IH73)),"")</f>
        <v/>
      </c>
      <c r="MX73" s="200" t="str">
        <f>IFERROR(IF(MX$7&gt;$D$3,"",AVERAGE($HJ73:II73)),"")</f>
        <v/>
      </c>
      <c r="MY73" s="200" t="str">
        <f>IFERROR(IF(MY$7&gt;$D$3,"",AVERAGE($HJ73:IJ73)),"")</f>
        <v/>
      </c>
      <c r="MZ73" s="200" t="str">
        <f>IFERROR(IF(MZ$7&gt;$D$3,"",AVERAGE($HJ73:IK73)),"")</f>
        <v/>
      </c>
      <c r="NA73" s="200" t="str">
        <f>IFERROR(IF(NA$7&gt;$D$3,"",AVERAGE($HJ73:IL73)),"")</f>
        <v/>
      </c>
      <c r="NB73" s="200" t="str">
        <f>IFERROR(IF(NB$7&gt;$D$3,"",AVERAGE($HJ73:IM73)),"")</f>
        <v/>
      </c>
      <c r="NC73" s="200" t="str">
        <f>IFERROR(IF(NC$7&gt;$D$3,"",AVERAGE($HJ73:IN73)),"")</f>
        <v/>
      </c>
      <c r="ND73" s="200" t="str">
        <f>IFERROR(IF(ND$7&gt;$D$3,"",AVERAGE($HJ73:IO73)),"")</f>
        <v/>
      </c>
      <c r="NE73" s="200" t="str">
        <f>IFERROR(IF(NE$7&gt;$D$3,"",AVERAGE($HJ73:IP73)),"")</f>
        <v/>
      </c>
      <c r="NF73" s="200" t="str">
        <f>IFERROR(IF(NF$7&gt;$D$3,"",AVERAGE($HJ73:IQ73)),"")</f>
        <v/>
      </c>
      <c r="NG73" s="200" t="str">
        <f>IFERROR(IF(NG$7&gt;$D$3,"",AVERAGE($HJ73:IR73)),"")</f>
        <v/>
      </c>
      <c r="NH73" s="200" t="str">
        <f>IFERROR(IF(NH$7&gt;$D$3,"",AVERAGE($HJ73:IS73)),"")</f>
        <v/>
      </c>
      <c r="NI73" s="200" t="str">
        <f>IFERROR(IF(NI$7&gt;$D$3,"",AVERAGE($HJ73:IT73)),"")</f>
        <v/>
      </c>
      <c r="NJ73" s="200" t="str">
        <f>IFERROR(IF(NJ$7&gt;$D$3,"",AVERAGE($HJ73:IU73)),"")</f>
        <v/>
      </c>
      <c r="NK73" s="200" t="str">
        <f>IFERROR(IF(NK$7&gt;$D$3,"",AVERAGE($HJ73:IV73)),"")</f>
        <v/>
      </c>
      <c r="NL73" s="200" t="str">
        <f>IFERROR(IF(NL$7&gt;$D$3,"",AVERAGE($HJ73:IW73)),"")</f>
        <v/>
      </c>
      <c r="NM73" s="200" t="str">
        <f>IFERROR(IF(NM$7&gt;$D$3,"",AVERAGE($HJ73:IX73)),"")</f>
        <v/>
      </c>
      <c r="NN73" s="200" t="str">
        <f>IFERROR(IF(NN$7&gt;$D$3,"",AVERAGE($HJ73:IY73)),"")</f>
        <v/>
      </c>
      <c r="NO73" s="200" t="str">
        <f>IFERROR(IF(NO$7&gt;$D$3,"",AVERAGE($HJ73:IZ73)),"")</f>
        <v/>
      </c>
      <c r="NP73" s="200" t="str">
        <f>IFERROR(IF(NP$7&gt;$D$3,"",AVERAGE($HJ73:JA73)),"")</f>
        <v/>
      </c>
      <c r="NQ73" s="200" t="str">
        <f>IFERROR(IF(NQ$7&gt;$D$3,"",AVERAGE($HJ73:JB73)),"")</f>
        <v/>
      </c>
      <c r="NR73" s="200" t="str">
        <f>IFERROR(IF(NR$7&gt;$D$3,"",AVERAGE($HJ73:JC73)),"")</f>
        <v/>
      </c>
      <c r="NS73" s="200" t="str">
        <f>IFERROR(IF(NS$7&gt;$D$3,"",AVERAGE($HJ73:JD73)),"")</f>
        <v/>
      </c>
      <c r="NT73" s="200" t="str">
        <f>IFERROR(IF(NT$7&gt;$D$3,"",AVERAGE($HJ73:JE73)),"")</f>
        <v/>
      </c>
      <c r="NU73" s="200" t="str">
        <f>IFERROR(IF(NU$7&gt;$D$3,"",AVERAGE($HJ73:JF73)),"")</f>
        <v/>
      </c>
      <c r="NV73" s="200" t="str">
        <f>IFERROR(IF(NV$7&gt;$D$3,"",AVERAGE($HJ73:JG73)),"")</f>
        <v/>
      </c>
      <c r="NW73" s="200" t="str">
        <f>IFERROR(IF(NW$7&gt;$D$3,"",AVERAGE($HJ73:JH73)),"")</f>
        <v/>
      </c>
      <c r="NX73" s="200" t="str">
        <f>IFERROR(IF(NX$7&gt;$D$3,"",AVERAGE($HJ73:JI73)),"")</f>
        <v/>
      </c>
      <c r="NY73" s="200" t="str">
        <f>IFERROR(IF(NY$7&gt;$D$3,"",AVERAGE($HJ73:JJ73)),"")</f>
        <v/>
      </c>
    </row>
    <row r="74" spans="1:389" ht="15" thickBot="1" x14ac:dyDescent="0.35">
      <c r="AB74" s="292"/>
      <c r="AH74" s="465"/>
      <c r="AN74" s="201"/>
      <c r="CO74" s="465"/>
      <c r="CV74" s="316"/>
      <c r="CW74" s="316"/>
      <c r="CX74" s="316"/>
      <c r="CY74" s="316"/>
      <c r="CZ74" s="316"/>
      <c r="DA74" s="316"/>
      <c r="DB74" s="316"/>
      <c r="DC74" s="316"/>
      <c r="DD74" s="316"/>
      <c r="DE74" s="316"/>
      <c r="DF74" s="316"/>
      <c r="DG74" s="316"/>
      <c r="DH74" s="316"/>
      <c r="DI74" s="316"/>
      <c r="DJ74" s="316"/>
      <c r="DK74" s="316"/>
      <c r="DL74" s="316"/>
      <c r="DM74" s="316"/>
      <c r="DN74" s="316"/>
      <c r="DO74" s="316"/>
      <c r="DP74" s="316"/>
      <c r="DQ74" s="316"/>
      <c r="DR74" s="316"/>
      <c r="DS74" s="316"/>
      <c r="DT74" s="316"/>
      <c r="DU74" s="316"/>
      <c r="DV74" s="316"/>
      <c r="DW74" s="316"/>
      <c r="DX74" s="316"/>
      <c r="DY74" s="316"/>
      <c r="DZ74" s="316"/>
      <c r="EA74" s="316"/>
      <c r="EB74" s="316"/>
      <c r="EC74" s="316"/>
      <c r="ED74" s="316"/>
      <c r="EE74" s="316"/>
      <c r="EF74" s="316"/>
      <c r="EG74" s="316"/>
      <c r="EH74" s="316"/>
      <c r="EI74" s="316"/>
      <c r="EJ74" s="316"/>
      <c r="EK74" s="316"/>
      <c r="EL74" s="316"/>
      <c r="EM74" s="316"/>
      <c r="EN74" s="316"/>
      <c r="EO74" s="316"/>
      <c r="EP74" s="316"/>
      <c r="EQ74" s="316"/>
      <c r="ER74" s="316"/>
      <c r="ES74" s="316"/>
      <c r="ET74" s="316"/>
      <c r="EU74" s="316"/>
      <c r="EW74" s="465"/>
      <c r="FC74" s="201"/>
      <c r="FD74" s="201"/>
      <c r="FE74" s="201"/>
      <c r="FF74" s="201"/>
      <c r="FG74" s="201"/>
      <c r="FH74" s="201"/>
      <c r="FI74" s="201"/>
      <c r="FJ74" s="201"/>
      <c r="FK74" s="201"/>
      <c r="FL74" s="201"/>
      <c r="FM74" s="201"/>
      <c r="FN74" s="201"/>
      <c r="FO74" s="201"/>
      <c r="FP74" s="201"/>
      <c r="FQ74" s="201"/>
      <c r="FR74" s="201"/>
      <c r="FS74" s="201"/>
      <c r="FT74" s="201"/>
      <c r="FU74" s="201"/>
      <c r="FV74" s="201"/>
      <c r="FW74" s="201"/>
      <c r="FX74" s="201"/>
      <c r="FY74" s="201"/>
      <c r="FZ74" s="201"/>
      <c r="GA74" s="201"/>
      <c r="GB74" s="201"/>
      <c r="GC74" s="201"/>
      <c r="GD74" s="201"/>
      <c r="GE74" s="201"/>
      <c r="GF74" s="201"/>
      <c r="GG74" s="201"/>
      <c r="GH74" s="201"/>
      <c r="GI74" s="201"/>
      <c r="GJ74" s="201"/>
      <c r="GK74" s="201"/>
      <c r="GL74" s="201"/>
      <c r="GM74" s="201"/>
      <c r="GN74" s="201"/>
      <c r="GO74" s="201"/>
      <c r="GP74" s="201"/>
      <c r="GQ74" s="201"/>
      <c r="GR74" s="201"/>
      <c r="GS74" s="201"/>
      <c r="GT74" s="201"/>
      <c r="GU74" s="201"/>
      <c r="GV74" s="201"/>
      <c r="GW74" s="201"/>
      <c r="GX74" s="201"/>
      <c r="GY74" s="201"/>
      <c r="GZ74" s="201"/>
      <c r="HA74" s="201"/>
      <c r="HB74" s="201"/>
      <c r="HC74" s="201"/>
      <c r="HJ74" s="201"/>
      <c r="HK74" s="201"/>
      <c r="HL74" s="249"/>
      <c r="HM74" s="249"/>
      <c r="HN74" s="249"/>
      <c r="HO74" s="249"/>
      <c r="HP74" s="249"/>
      <c r="HQ74" s="249"/>
      <c r="HR74" s="249"/>
      <c r="HS74" s="249"/>
      <c r="HT74" s="249"/>
      <c r="HU74" s="249"/>
      <c r="HV74" s="249"/>
      <c r="HW74" s="249"/>
      <c r="HX74" s="249"/>
      <c r="HY74" s="249"/>
      <c r="HZ74" s="249"/>
      <c r="IA74" s="249"/>
      <c r="IB74" s="249"/>
      <c r="IC74" s="249"/>
      <c r="ID74" s="249"/>
      <c r="IE74" s="249"/>
      <c r="IF74" s="249"/>
      <c r="IG74" s="249"/>
      <c r="IH74" s="249"/>
      <c r="II74" s="249"/>
      <c r="IJ74" s="249"/>
      <c r="IK74" s="249"/>
      <c r="IL74" s="249"/>
      <c r="IM74" s="249"/>
      <c r="IN74" s="249"/>
      <c r="IO74" s="249"/>
      <c r="IP74" s="249"/>
      <c r="IQ74" s="249"/>
      <c r="IR74" s="249"/>
      <c r="IS74" s="249"/>
      <c r="IT74" s="249"/>
      <c r="IU74" s="249"/>
      <c r="IV74" s="249"/>
      <c r="IW74" s="249"/>
      <c r="IX74" s="249"/>
      <c r="IY74" s="249"/>
      <c r="IZ74" s="249"/>
      <c r="JA74" s="249"/>
      <c r="JB74" s="249"/>
      <c r="JC74" s="249"/>
      <c r="JD74" s="249"/>
      <c r="JE74" s="249"/>
      <c r="JF74" s="249"/>
      <c r="JG74" s="249"/>
      <c r="JH74" s="249"/>
      <c r="JI74" s="249"/>
      <c r="JJ74" s="249"/>
      <c r="JR74" s="249"/>
      <c r="JS74" s="249"/>
      <c r="JT74" s="249"/>
      <c r="JU74" s="249"/>
      <c r="JV74" s="249"/>
      <c r="JW74" s="249"/>
      <c r="JX74" s="249"/>
      <c r="JY74" s="249"/>
      <c r="JZ74" s="249"/>
      <c r="KA74" s="249"/>
      <c r="KB74" s="249"/>
      <c r="KC74" s="249"/>
      <c r="KD74" s="249"/>
      <c r="KE74" s="249"/>
      <c r="KF74" s="249"/>
      <c r="KG74" s="249"/>
      <c r="KH74" s="249"/>
      <c r="KI74" s="249"/>
      <c r="KJ74" s="249"/>
      <c r="KK74" s="249"/>
      <c r="KL74" s="249"/>
      <c r="KM74" s="249"/>
      <c r="KN74" s="249"/>
      <c r="KO74" s="249"/>
      <c r="KP74" s="249"/>
      <c r="KQ74" s="249"/>
      <c r="KR74" s="249"/>
      <c r="KS74" s="249"/>
      <c r="KT74" s="249"/>
      <c r="KU74" s="249"/>
      <c r="KV74" s="249"/>
      <c r="KW74" s="249"/>
      <c r="KX74" s="249"/>
      <c r="KY74" s="249"/>
      <c r="KZ74" s="249"/>
      <c r="LA74" s="249"/>
      <c r="LB74" s="249"/>
      <c r="LC74" s="249"/>
      <c r="LD74" s="249"/>
      <c r="LE74" s="249"/>
      <c r="LF74" s="249"/>
      <c r="LG74" s="249"/>
      <c r="LH74" s="249"/>
      <c r="LI74" s="249"/>
      <c r="LJ74" s="249"/>
      <c r="LK74" s="249"/>
      <c r="LL74" s="249"/>
      <c r="LM74" s="249"/>
      <c r="LN74" s="249"/>
      <c r="LO74" s="249"/>
      <c r="LP74" s="249"/>
      <c r="LQ74" s="249"/>
      <c r="LR74" s="249"/>
      <c r="LY74" s="201"/>
      <c r="LZ74" s="201"/>
      <c r="MA74" s="201"/>
      <c r="MB74" s="201"/>
      <c r="MC74" s="201"/>
      <c r="MD74" s="201"/>
      <c r="ME74" s="201"/>
      <c r="MF74" s="201"/>
      <c r="MG74" s="201"/>
      <c r="MH74" s="201"/>
      <c r="MI74" s="201"/>
      <c r="MJ74" s="201"/>
      <c r="MK74" s="201"/>
      <c r="ML74" s="201"/>
      <c r="MM74" s="201"/>
      <c r="MN74" s="201"/>
      <c r="MO74" s="201"/>
      <c r="MP74" s="201"/>
      <c r="MQ74" s="201"/>
      <c r="MR74" s="201"/>
      <c r="MS74" s="201"/>
      <c r="MT74" s="201"/>
      <c r="MU74" s="201"/>
      <c r="MV74" s="201"/>
      <c r="MW74" s="201"/>
      <c r="MX74" s="201"/>
      <c r="MY74" s="201"/>
      <c r="MZ74" s="201"/>
      <c r="NA74" s="201"/>
      <c r="NB74" s="201"/>
      <c r="NC74" s="201"/>
      <c r="ND74" s="201"/>
      <c r="NE74" s="201"/>
      <c r="NF74" s="201"/>
      <c r="NG74" s="201"/>
      <c r="NH74" s="201"/>
      <c r="NI74" s="201"/>
      <c r="NJ74" s="201"/>
      <c r="NK74" s="201"/>
      <c r="NL74" s="201"/>
      <c r="NM74" s="201"/>
      <c r="NN74" s="201"/>
      <c r="NO74" s="201"/>
      <c r="NP74" s="201"/>
      <c r="NQ74" s="201"/>
      <c r="NR74" s="201"/>
      <c r="NS74" s="201"/>
      <c r="NT74" s="201"/>
      <c r="NU74" s="201"/>
      <c r="NV74" s="201"/>
      <c r="NW74" s="201"/>
      <c r="NX74" s="201"/>
      <c r="NY74" s="201"/>
    </row>
    <row r="75" spans="1:389" ht="15" thickBot="1" x14ac:dyDescent="0.35">
      <c r="B75" s="180" t="str">
        <f>+'KPI Stats'!B74</f>
        <v>Engineering</v>
      </c>
      <c r="C75" s="133" t="str">
        <f>+'KPI Stats'!C74</f>
        <v>Garin Bowen</v>
      </c>
      <c r="D75" s="134"/>
      <c r="E75" s="179" t="s">
        <v>561</v>
      </c>
      <c r="F75" s="179">
        <f>+'KPI Stats'!F74</f>
        <v>9</v>
      </c>
      <c r="G75" s="181" t="s">
        <v>507</v>
      </c>
      <c r="J75" s="181" t="str">
        <f>+$B75</f>
        <v>Engineering</v>
      </c>
      <c r="K75" s="181"/>
      <c r="L75" s="182"/>
      <c r="M75" s="183"/>
      <c r="P75" s="181" t="str">
        <f>+$B75</f>
        <v>Engineering</v>
      </c>
      <c r="Q75" s="181"/>
      <c r="R75" s="181"/>
      <c r="S75" s="183"/>
      <c r="T75" s="183"/>
      <c r="U75" s="291"/>
      <c r="X75" s="181" t="str">
        <f>+$B75</f>
        <v>Engineering</v>
      </c>
      <c r="Y75" s="181"/>
      <c r="Z75" s="181"/>
      <c r="AA75" s="183"/>
      <c r="AB75" s="291"/>
      <c r="AC75" s="181" t="str">
        <f>+$B75</f>
        <v>Engineering</v>
      </c>
      <c r="AD75" s="181"/>
      <c r="AE75" s="181"/>
      <c r="AF75" s="183"/>
      <c r="AH75" s="465"/>
      <c r="AI75" s="191" t="str">
        <f>+B76</f>
        <v>Engineering</v>
      </c>
      <c r="AJ75" s="192"/>
      <c r="AK75" s="141" t="str">
        <f t="shared" ref="AK75" si="233">+E75</f>
        <v>Completed to month</v>
      </c>
      <c r="AL75" s="141">
        <f t="shared" ref="AL75" si="234">+F75</f>
        <v>9</v>
      </c>
      <c r="AM75" s="181" t="str">
        <f t="shared" ref="AM75:BR75" si="235">+$B75</f>
        <v>Engineering</v>
      </c>
      <c r="AN75" s="197" t="str">
        <f t="shared" si="235"/>
        <v>Engineering</v>
      </c>
      <c r="AO75" s="181" t="str">
        <f t="shared" si="235"/>
        <v>Engineering</v>
      </c>
      <c r="AP75" s="181" t="str">
        <f t="shared" si="235"/>
        <v>Engineering</v>
      </c>
      <c r="AQ75" s="181" t="str">
        <f t="shared" si="235"/>
        <v>Engineering</v>
      </c>
      <c r="AR75" s="181" t="str">
        <f t="shared" si="235"/>
        <v>Engineering</v>
      </c>
      <c r="AS75" s="181" t="str">
        <f t="shared" si="235"/>
        <v>Engineering</v>
      </c>
      <c r="AT75" s="181" t="str">
        <f t="shared" si="235"/>
        <v>Engineering</v>
      </c>
      <c r="AU75" s="181" t="str">
        <f t="shared" si="235"/>
        <v>Engineering</v>
      </c>
      <c r="AV75" s="181" t="str">
        <f t="shared" si="235"/>
        <v>Engineering</v>
      </c>
      <c r="AW75" s="181" t="str">
        <f t="shared" si="235"/>
        <v>Engineering</v>
      </c>
      <c r="AX75" s="181" t="str">
        <f t="shared" si="235"/>
        <v>Engineering</v>
      </c>
      <c r="AY75" s="181" t="str">
        <f t="shared" si="235"/>
        <v>Engineering</v>
      </c>
      <c r="AZ75" s="181" t="str">
        <f t="shared" si="235"/>
        <v>Engineering</v>
      </c>
      <c r="BA75" s="181" t="str">
        <f t="shared" si="235"/>
        <v>Engineering</v>
      </c>
      <c r="BB75" s="181" t="str">
        <f t="shared" si="235"/>
        <v>Engineering</v>
      </c>
      <c r="BC75" s="181" t="str">
        <f t="shared" si="235"/>
        <v>Engineering</v>
      </c>
      <c r="BD75" s="181" t="str">
        <f t="shared" si="235"/>
        <v>Engineering</v>
      </c>
      <c r="BE75" s="181" t="str">
        <f t="shared" si="235"/>
        <v>Engineering</v>
      </c>
      <c r="BF75" s="181" t="str">
        <f t="shared" si="235"/>
        <v>Engineering</v>
      </c>
      <c r="BG75" s="181" t="str">
        <f t="shared" si="235"/>
        <v>Engineering</v>
      </c>
      <c r="BH75" s="181" t="str">
        <f t="shared" si="235"/>
        <v>Engineering</v>
      </c>
      <c r="BI75" s="181" t="str">
        <f t="shared" si="235"/>
        <v>Engineering</v>
      </c>
      <c r="BJ75" s="181" t="str">
        <f t="shared" si="235"/>
        <v>Engineering</v>
      </c>
      <c r="BK75" s="181" t="str">
        <f t="shared" si="235"/>
        <v>Engineering</v>
      </c>
      <c r="BL75" s="181" t="str">
        <f t="shared" si="235"/>
        <v>Engineering</v>
      </c>
      <c r="BM75" s="181" t="str">
        <f t="shared" si="235"/>
        <v>Engineering</v>
      </c>
      <c r="BN75" s="181" t="str">
        <f t="shared" si="235"/>
        <v>Engineering</v>
      </c>
      <c r="BO75" s="181" t="str">
        <f t="shared" si="235"/>
        <v>Engineering</v>
      </c>
      <c r="BP75" s="181" t="str">
        <f t="shared" si="235"/>
        <v>Engineering</v>
      </c>
      <c r="BQ75" s="181" t="str">
        <f t="shared" si="235"/>
        <v>Engineering</v>
      </c>
      <c r="BR75" s="181" t="str">
        <f t="shared" si="235"/>
        <v>Engineering</v>
      </c>
      <c r="BS75" s="181" t="str">
        <f t="shared" ref="BS75:CM75" si="236">+$B75</f>
        <v>Engineering</v>
      </c>
      <c r="BT75" s="181" t="str">
        <f t="shared" si="236"/>
        <v>Engineering</v>
      </c>
      <c r="BU75" s="181" t="str">
        <f t="shared" si="236"/>
        <v>Engineering</v>
      </c>
      <c r="BV75" s="181" t="str">
        <f t="shared" si="236"/>
        <v>Engineering</v>
      </c>
      <c r="BW75" s="181" t="str">
        <f t="shared" si="236"/>
        <v>Engineering</v>
      </c>
      <c r="BX75" s="181" t="str">
        <f t="shared" si="236"/>
        <v>Engineering</v>
      </c>
      <c r="BY75" s="181" t="str">
        <f t="shared" si="236"/>
        <v>Engineering</v>
      </c>
      <c r="BZ75" s="181" t="str">
        <f t="shared" si="236"/>
        <v>Engineering</v>
      </c>
      <c r="CA75" s="181" t="str">
        <f t="shared" si="236"/>
        <v>Engineering</v>
      </c>
      <c r="CB75" s="181" t="str">
        <f t="shared" si="236"/>
        <v>Engineering</v>
      </c>
      <c r="CC75" s="181" t="str">
        <f t="shared" si="236"/>
        <v>Engineering</v>
      </c>
      <c r="CD75" s="181" t="str">
        <f t="shared" si="236"/>
        <v>Engineering</v>
      </c>
      <c r="CE75" s="181" t="str">
        <f t="shared" si="236"/>
        <v>Engineering</v>
      </c>
      <c r="CF75" s="181" t="str">
        <f t="shared" si="236"/>
        <v>Engineering</v>
      </c>
      <c r="CG75" s="181" t="str">
        <f t="shared" si="236"/>
        <v>Engineering</v>
      </c>
      <c r="CH75" s="181" t="str">
        <f t="shared" si="236"/>
        <v>Engineering</v>
      </c>
      <c r="CI75" s="181" t="str">
        <f t="shared" si="236"/>
        <v>Engineering</v>
      </c>
      <c r="CJ75" s="181" t="str">
        <f t="shared" si="236"/>
        <v>Engineering</v>
      </c>
      <c r="CK75" s="181" t="str">
        <f t="shared" si="236"/>
        <v>Engineering</v>
      </c>
      <c r="CL75" s="181" t="str">
        <f t="shared" si="236"/>
        <v>Engineering</v>
      </c>
      <c r="CM75" s="181" t="str">
        <f t="shared" si="236"/>
        <v>Engineering</v>
      </c>
      <c r="CO75" s="465"/>
      <c r="CP75" s="191" t="str">
        <f>+B76</f>
        <v>Engineering</v>
      </c>
      <c r="CQ75" s="191"/>
      <c r="CR75" s="141" t="str">
        <f t="shared" ref="CR75" si="237">+E75</f>
        <v>Completed to month</v>
      </c>
      <c r="CS75" s="141">
        <f t="shared" ref="CS75" si="238">+F75</f>
        <v>9</v>
      </c>
      <c r="CT75" s="351" t="str">
        <f>+G75</f>
        <v>Monthly KPI</v>
      </c>
      <c r="CU75" s="322" t="str">
        <f t="shared" ref="CU75:EU75" si="239">+$B75</f>
        <v>Engineering</v>
      </c>
      <c r="CV75" s="317" t="str">
        <f t="shared" si="239"/>
        <v>Engineering</v>
      </c>
      <c r="CW75" s="317" t="str">
        <f t="shared" si="239"/>
        <v>Engineering</v>
      </c>
      <c r="CX75" s="317" t="str">
        <f t="shared" si="239"/>
        <v>Engineering</v>
      </c>
      <c r="CY75" s="317" t="str">
        <f t="shared" si="239"/>
        <v>Engineering</v>
      </c>
      <c r="CZ75" s="317" t="str">
        <f t="shared" si="239"/>
        <v>Engineering</v>
      </c>
      <c r="DA75" s="317" t="str">
        <f t="shared" si="239"/>
        <v>Engineering</v>
      </c>
      <c r="DB75" s="317" t="str">
        <f t="shared" si="239"/>
        <v>Engineering</v>
      </c>
      <c r="DC75" s="317" t="str">
        <f t="shared" si="239"/>
        <v>Engineering</v>
      </c>
      <c r="DD75" s="317" t="str">
        <f t="shared" si="239"/>
        <v>Engineering</v>
      </c>
      <c r="DE75" s="317" t="str">
        <f t="shared" si="239"/>
        <v>Engineering</v>
      </c>
      <c r="DF75" s="317" t="str">
        <f t="shared" si="239"/>
        <v>Engineering</v>
      </c>
      <c r="DG75" s="317" t="str">
        <f t="shared" si="239"/>
        <v>Engineering</v>
      </c>
      <c r="DH75" s="317" t="str">
        <f t="shared" si="239"/>
        <v>Engineering</v>
      </c>
      <c r="DI75" s="317" t="str">
        <f t="shared" si="239"/>
        <v>Engineering</v>
      </c>
      <c r="DJ75" s="317" t="str">
        <f t="shared" si="239"/>
        <v>Engineering</v>
      </c>
      <c r="DK75" s="317" t="str">
        <f t="shared" si="239"/>
        <v>Engineering</v>
      </c>
      <c r="DL75" s="317" t="str">
        <f t="shared" si="239"/>
        <v>Engineering</v>
      </c>
      <c r="DM75" s="317" t="str">
        <f t="shared" si="239"/>
        <v>Engineering</v>
      </c>
      <c r="DN75" s="317" t="str">
        <f t="shared" si="239"/>
        <v>Engineering</v>
      </c>
      <c r="DO75" s="317" t="str">
        <f t="shared" si="239"/>
        <v>Engineering</v>
      </c>
      <c r="DP75" s="317" t="str">
        <f t="shared" si="239"/>
        <v>Engineering</v>
      </c>
      <c r="DQ75" s="317" t="str">
        <f t="shared" si="239"/>
        <v>Engineering</v>
      </c>
      <c r="DR75" s="317" t="str">
        <f t="shared" si="239"/>
        <v>Engineering</v>
      </c>
      <c r="DS75" s="317" t="str">
        <f t="shared" si="239"/>
        <v>Engineering</v>
      </c>
      <c r="DT75" s="317" t="str">
        <f t="shared" si="239"/>
        <v>Engineering</v>
      </c>
      <c r="DU75" s="317" t="str">
        <f t="shared" si="239"/>
        <v>Engineering</v>
      </c>
      <c r="DV75" s="317" t="str">
        <f t="shared" si="239"/>
        <v>Engineering</v>
      </c>
      <c r="DW75" s="317" t="str">
        <f t="shared" si="239"/>
        <v>Engineering</v>
      </c>
      <c r="DX75" s="317" t="str">
        <f t="shared" si="239"/>
        <v>Engineering</v>
      </c>
      <c r="DY75" s="317" t="str">
        <f t="shared" si="239"/>
        <v>Engineering</v>
      </c>
      <c r="DZ75" s="317" t="str">
        <f t="shared" si="239"/>
        <v>Engineering</v>
      </c>
      <c r="EA75" s="317" t="str">
        <f t="shared" si="239"/>
        <v>Engineering</v>
      </c>
      <c r="EB75" s="317" t="str">
        <f t="shared" si="239"/>
        <v>Engineering</v>
      </c>
      <c r="EC75" s="317" t="str">
        <f t="shared" si="239"/>
        <v>Engineering</v>
      </c>
      <c r="ED75" s="317" t="str">
        <f t="shared" si="239"/>
        <v>Engineering</v>
      </c>
      <c r="EE75" s="317" t="str">
        <f t="shared" si="239"/>
        <v>Engineering</v>
      </c>
      <c r="EF75" s="317" t="str">
        <f t="shared" si="239"/>
        <v>Engineering</v>
      </c>
      <c r="EG75" s="317" t="str">
        <f t="shared" si="239"/>
        <v>Engineering</v>
      </c>
      <c r="EH75" s="317" t="str">
        <f t="shared" si="239"/>
        <v>Engineering</v>
      </c>
      <c r="EI75" s="317" t="str">
        <f t="shared" si="239"/>
        <v>Engineering</v>
      </c>
      <c r="EJ75" s="317" t="str">
        <f t="shared" si="239"/>
        <v>Engineering</v>
      </c>
      <c r="EK75" s="317" t="str">
        <f t="shared" si="239"/>
        <v>Engineering</v>
      </c>
      <c r="EL75" s="317" t="str">
        <f t="shared" si="239"/>
        <v>Engineering</v>
      </c>
      <c r="EM75" s="317" t="str">
        <f t="shared" si="239"/>
        <v>Engineering</v>
      </c>
      <c r="EN75" s="317" t="str">
        <f t="shared" si="239"/>
        <v>Engineering</v>
      </c>
      <c r="EO75" s="317" t="str">
        <f t="shared" si="239"/>
        <v>Engineering</v>
      </c>
      <c r="EP75" s="317" t="str">
        <f t="shared" si="239"/>
        <v>Engineering</v>
      </c>
      <c r="EQ75" s="317" t="str">
        <f t="shared" si="239"/>
        <v>Engineering</v>
      </c>
      <c r="ER75" s="317" t="str">
        <f t="shared" si="239"/>
        <v>Engineering</v>
      </c>
      <c r="ES75" s="317" t="str">
        <f t="shared" si="239"/>
        <v>Engineering</v>
      </c>
      <c r="ET75" s="317" t="str">
        <f t="shared" si="239"/>
        <v>Engineering</v>
      </c>
      <c r="EU75" s="317" t="str">
        <f t="shared" si="239"/>
        <v>Engineering</v>
      </c>
      <c r="EW75" s="465"/>
      <c r="EX75" s="191" t="str">
        <f>+$B75</f>
        <v>Engineering</v>
      </c>
      <c r="EY75" s="192"/>
      <c r="EZ75" s="141" t="str">
        <f>+$E75</f>
        <v>Completed to month</v>
      </c>
      <c r="FA75" s="141">
        <f>+$F75</f>
        <v>9</v>
      </c>
      <c r="FB75" s="141"/>
      <c r="FC75" s="197" t="str">
        <f t="shared" ref="FC75:GH75" si="240">+$B75</f>
        <v>Engineering</v>
      </c>
      <c r="FD75" s="197" t="str">
        <f t="shared" si="240"/>
        <v>Engineering</v>
      </c>
      <c r="FE75" s="197" t="str">
        <f t="shared" si="240"/>
        <v>Engineering</v>
      </c>
      <c r="FF75" s="197" t="str">
        <f t="shared" si="240"/>
        <v>Engineering</v>
      </c>
      <c r="FG75" s="197" t="str">
        <f t="shared" si="240"/>
        <v>Engineering</v>
      </c>
      <c r="FH75" s="197" t="str">
        <f t="shared" si="240"/>
        <v>Engineering</v>
      </c>
      <c r="FI75" s="197" t="str">
        <f t="shared" si="240"/>
        <v>Engineering</v>
      </c>
      <c r="FJ75" s="197" t="str">
        <f t="shared" si="240"/>
        <v>Engineering</v>
      </c>
      <c r="FK75" s="197" t="str">
        <f t="shared" si="240"/>
        <v>Engineering</v>
      </c>
      <c r="FL75" s="197" t="str">
        <f t="shared" si="240"/>
        <v>Engineering</v>
      </c>
      <c r="FM75" s="197" t="str">
        <f t="shared" si="240"/>
        <v>Engineering</v>
      </c>
      <c r="FN75" s="197" t="str">
        <f t="shared" si="240"/>
        <v>Engineering</v>
      </c>
      <c r="FO75" s="197" t="str">
        <f t="shared" si="240"/>
        <v>Engineering</v>
      </c>
      <c r="FP75" s="197" t="str">
        <f t="shared" si="240"/>
        <v>Engineering</v>
      </c>
      <c r="FQ75" s="197" t="str">
        <f t="shared" si="240"/>
        <v>Engineering</v>
      </c>
      <c r="FR75" s="197" t="str">
        <f t="shared" si="240"/>
        <v>Engineering</v>
      </c>
      <c r="FS75" s="197" t="str">
        <f t="shared" si="240"/>
        <v>Engineering</v>
      </c>
      <c r="FT75" s="197" t="str">
        <f t="shared" si="240"/>
        <v>Engineering</v>
      </c>
      <c r="FU75" s="197" t="str">
        <f t="shared" si="240"/>
        <v>Engineering</v>
      </c>
      <c r="FV75" s="197" t="str">
        <f t="shared" si="240"/>
        <v>Engineering</v>
      </c>
      <c r="FW75" s="197" t="str">
        <f t="shared" si="240"/>
        <v>Engineering</v>
      </c>
      <c r="FX75" s="197" t="str">
        <f t="shared" si="240"/>
        <v>Engineering</v>
      </c>
      <c r="FY75" s="197" t="str">
        <f t="shared" si="240"/>
        <v>Engineering</v>
      </c>
      <c r="FZ75" s="197" t="str">
        <f t="shared" si="240"/>
        <v>Engineering</v>
      </c>
      <c r="GA75" s="197" t="str">
        <f t="shared" si="240"/>
        <v>Engineering</v>
      </c>
      <c r="GB75" s="197" t="str">
        <f t="shared" si="240"/>
        <v>Engineering</v>
      </c>
      <c r="GC75" s="197" t="str">
        <f t="shared" si="240"/>
        <v>Engineering</v>
      </c>
      <c r="GD75" s="197" t="str">
        <f t="shared" si="240"/>
        <v>Engineering</v>
      </c>
      <c r="GE75" s="197" t="str">
        <f t="shared" si="240"/>
        <v>Engineering</v>
      </c>
      <c r="GF75" s="197" t="str">
        <f t="shared" si="240"/>
        <v>Engineering</v>
      </c>
      <c r="GG75" s="197" t="str">
        <f t="shared" si="240"/>
        <v>Engineering</v>
      </c>
      <c r="GH75" s="197" t="str">
        <f t="shared" si="240"/>
        <v>Engineering</v>
      </c>
      <c r="GI75" s="197" t="str">
        <f t="shared" ref="GI75:HC75" si="241">+$B75</f>
        <v>Engineering</v>
      </c>
      <c r="GJ75" s="197" t="str">
        <f t="shared" si="241"/>
        <v>Engineering</v>
      </c>
      <c r="GK75" s="197" t="str">
        <f t="shared" si="241"/>
        <v>Engineering</v>
      </c>
      <c r="GL75" s="197" t="str">
        <f t="shared" si="241"/>
        <v>Engineering</v>
      </c>
      <c r="GM75" s="197" t="str">
        <f t="shared" si="241"/>
        <v>Engineering</v>
      </c>
      <c r="GN75" s="197" t="str">
        <f t="shared" si="241"/>
        <v>Engineering</v>
      </c>
      <c r="GO75" s="197" t="str">
        <f t="shared" si="241"/>
        <v>Engineering</v>
      </c>
      <c r="GP75" s="197" t="str">
        <f t="shared" si="241"/>
        <v>Engineering</v>
      </c>
      <c r="GQ75" s="197" t="str">
        <f t="shared" si="241"/>
        <v>Engineering</v>
      </c>
      <c r="GR75" s="197" t="str">
        <f t="shared" si="241"/>
        <v>Engineering</v>
      </c>
      <c r="GS75" s="197" t="str">
        <f t="shared" si="241"/>
        <v>Engineering</v>
      </c>
      <c r="GT75" s="197" t="str">
        <f t="shared" si="241"/>
        <v>Engineering</v>
      </c>
      <c r="GU75" s="197" t="str">
        <f t="shared" si="241"/>
        <v>Engineering</v>
      </c>
      <c r="GV75" s="197" t="str">
        <f t="shared" si="241"/>
        <v>Engineering</v>
      </c>
      <c r="GW75" s="197" t="str">
        <f t="shared" si="241"/>
        <v>Engineering</v>
      </c>
      <c r="GX75" s="197" t="str">
        <f t="shared" si="241"/>
        <v>Engineering</v>
      </c>
      <c r="GY75" s="197" t="str">
        <f t="shared" si="241"/>
        <v>Engineering</v>
      </c>
      <c r="GZ75" s="197" t="str">
        <f t="shared" si="241"/>
        <v>Engineering</v>
      </c>
      <c r="HA75" s="197" t="str">
        <f t="shared" si="241"/>
        <v>Engineering</v>
      </c>
      <c r="HB75" s="197" t="str">
        <f t="shared" si="241"/>
        <v>Engineering</v>
      </c>
      <c r="HC75" s="181" t="str">
        <f t="shared" si="241"/>
        <v>Engineering</v>
      </c>
      <c r="HE75" s="191" t="str">
        <f>+$B75</f>
        <v>Engineering</v>
      </c>
      <c r="HF75" s="192"/>
      <c r="HG75" s="141" t="str">
        <f>+$E75</f>
        <v>Completed to month</v>
      </c>
      <c r="HH75" s="141">
        <f>+$F75</f>
        <v>9</v>
      </c>
      <c r="HI75" s="141" t="str">
        <f>+GJ75</f>
        <v>Engineering</v>
      </c>
      <c r="HJ75" s="197" t="str">
        <f t="shared" ref="HJ75:IO75" si="242">+$B75</f>
        <v>Engineering</v>
      </c>
      <c r="HK75" s="197" t="str">
        <f t="shared" si="242"/>
        <v>Engineering</v>
      </c>
      <c r="HL75" s="250" t="str">
        <f t="shared" si="242"/>
        <v>Engineering</v>
      </c>
      <c r="HM75" s="250" t="str">
        <f t="shared" si="242"/>
        <v>Engineering</v>
      </c>
      <c r="HN75" s="250" t="str">
        <f t="shared" si="242"/>
        <v>Engineering</v>
      </c>
      <c r="HO75" s="250" t="str">
        <f t="shared" si="242"/>
        <v>Engineering</v>
      </c>
      <c r="HP75" s="250" t="str">
        <f t="shared" si="242"/>
        <v>Engineering</v>
      </c>
      <c r="HQ75" s="250" t="str">
        <f t="shared" si="242"/>
        <v>Engineering</v>
      </c>
      <c r="HR75" s="250" t="str">
        <f t="shared" si="242"/>
        <v>Engineering</v>
      </c>
      <c r="HS75" s="250" t="str">
        <f t="shared" si="242"/>
        <v>Engineering</v>
      </c>
      <c r="HT75" s="250" t="str">
        <f t="shared" si="242"/>
        <v>Engineering</v>
      </c>
      <c r="HU75" s="250" t="str">
        <f t="shared" si="242"/>
        <v>Engineering</v>
      </c>
      <c r="HV75" s="250" t="str">
        <f t="shared" si="242"/>
        <v>Engineering</v>
      </c>
      <c r="HW75" s="250" t="str">
        <f t="shared" si="242"/>
        <v>Engineering</v>
      </c>
      <c r="HX75" s="250" t="str">
        <f t="shared" si="242"/>
        <v>Engineering</v>
      </c>
      <c r="HY75" s="250" t="str">
        <f t="shared" si="242"/>
        <v>Engineering</v>
      </c>
      <c r="HZ75" s="250" t="str">
        <f t="shared" si="242"/>
        <v>Engineering</v>
      </c>
      <c r="IA75" s="250" t="str">
        <f t="shared" si="242"/>
        <v>Engineering</v>
      </c>
      <c r="IB75" s="250" t="str">
        <f t="shared" si="242"/>
        <v>Engineering</v>
      </c>
      <c r="IC75" s="250" t="str">
        <f t="shared" si="242"/>
        <v>Engineering</v>
      </c>
      <c r="ID75" s="250" t="str">
        <f t="shared" si="242"/>
        <v>Engineering</v>
      </c>
      <c r="IE75" s="250" t="str">
        <f t="shared" si="242"/>
        <v>Engineering</v>
      </c>
      <c r="IF75" s="250" t="str">
        <f t="shared" si="242"/>
        <v>Engineering</v>
      </c>
      <c r="IG75" s="250" t="str">
        <f t="shared" si="242"/>
        <v>Engineering</v>
      </c>
      <c r="IH75" s="250" t="str">
        <f t="shared" si="242"/>
        <v>Engineering</v>
      </c>
      <c r="II75" s="250" t="str">
        <f t="shared" si="242"/>
        <v>Engineering</v>
      </c>
      <c r="IJ75" s="250" t="str">
        <f t="shared" si="242"/>
        <v>Engineering</v>
      </c>
      <c r="IK75" s="250" t="str">
        <f t="shared" si="242"/>
        <v>Engineering</v>
      </c>
      <c r="IL75" s="250" t="str">
        <f t="shared" si="242"/>
        <v>Engineering</v>
      </c>
      <c r="IM75" s="250" t="str">
        <f t="shared" si="242"/>
        <v>Engineering</v>
      </c>
      <c r="IN75" s="250" t="str">
        <f t="shared" si="242"/>
        <v>Engineering</v>
      </c>
      <c r="IO75" s="250" t="str">
        <f t="shared" si="242"/>
        <v>Engineering</v>
      </c>
      <c r="IP75" s="250" t="str">
        <f t="shared" ref="IP75:JJ75" si="243">+$B75</f>
        <v>Engineering</v>
      </c>
      <c r="IQ75" s="250" t="str">
        <f t="shared" si="243"/>
        <v>Engineering</v>
      </c>
      <c r="IR75" s="250" t="str">
        <f t="shared" si="243"/>
        <v>Engineering</v>
      </c>
      <c r="IS75" s="250" t="str">
        <f t="shared" si="243"/>
        <v>Engineering</v>
      </c>
      <c r="IT75" s="250" t="str">
        <f t="shared" si="243"/>
        <v>Engineering</v>
      </c>
      <c r="IU75" s="250" t="str">
        <f t="shared" si="243"/>
        <v>Engineering</v>
      </c>
      <c r="IV75" s="250" t="str">
        <f t="shared" si="243"/>
        <v>Engineering</v>
      </c>
      <c r="IW75" s="250" t="str">
        <f t="shared" si="243"/>
        <v>Engineering</v>
      </c>
      <c r="IX75" s="250" t="str">
        <f t="shared" si="243"/>
        <v>Engineering</v>
      </c>
      <c r="IY75" s="250" t="str">
        <f t="shared" si="243"/>
        <v>Engineering</v>
      </c>
      <c r="IZ75" s="250" t="str">
        <f t="shared" si="243"/>
        <v>Engineering</v>
      </c>
      <c r="JA75" s="250" t="str">
        <f t="shared" si="243"/>
        <v>Engineering</v>
      </c>
      <c r="JB75" s="250" t="str">
        <f t="shared" si="243"/>
        <v>Engineering</v>
      </c>
      <c r="JC75" s="250" t="str">
        <f t="shared" si="243"/>
        <v>Engineering</v>
      </c>
      <c r="JD75" s="250" t="str">
        <f t="shared" si="243"/>
        <v>Engineering</v>
      </c>
      <c r="JE75" s="250" t="str">
        <f t="shared" si="243"/>
        <v>Engineering</v>
      </c>
      <c r="JF75" s="250" t="str">
        <f t="shared" si="243"/>
        <v>Engineering</v>
      </c>
      <c r="JG75" s="250" t="str">
        <f t="shared" si="243"/>
        <v>Engineering</v>
      </c>
      <c r="JH75" s="250" t="str">
        <f t="shared" si="243"/>
        <v>Engineering</v>
      </c>
      <c r="JI75" s="250" t="str">
        <f t="shared" si="243"/>
        <v>Engineering</v>
      </c>
      <c r="JJ75" s="425" t="str">
        <f t="shared" si="243"/>
        <v>Engineering</v>
      </c>
      <c r="JM75" s="191" t="str">
        <f>+$B75</f>
        <v>Engineering</v>
      </c>
      <c r="JN75" s="192"/>
      <c r="JO75" s="141" t="str">
        <f>+$E75</f>
        <v>Completed to month</v>
      </c>
      <c r="JP75" s="141">
        <f>+$F75</f>
        <v>9</v>
      </c>
      <c r="JQ75" s="141"/>
      <c r="JR75" s="250" t="str">
        <f t="shared" ref="JR75:KW75" si="244">+$B75</f>
        <v>Engineering</v>
      </c>
      <c r="JS75" s="250" t="str">
        <f t="shared" si="244"/>
        <v>Engineering</v>
      </c>
      <c r="JT75" s="250" t="str">
        <f t="shared" si="244"/>
        <v>Engineering</v>
      </c>
      <c r="JU75" s="250" t="str">
        <f t="shared" si="244"/>
        <v>Engineering</v>
      </c>
      <c r="JV75" s="250" t="str">
        <f t="shared" si="244"/>
        <v>Engineering</v>
      </c>
      <c r="JW75" s="250" t="str">
        <f t="shared" si="244"/>
        <v>Engineering</v>
      </c>
      <c r="JX75" s="250" t="str">
        <f t="shared" si="244"/>
        <v>Engineering</v>
      </c>
      <c r="JY75" s="250" t="str">
        <f t="shared" si="244"/>
        <v>Engineering</v>
      </c>
      <c r="JZ75" s="250" t="str">
        <f t="shared" si="244"/>
        <v>Engineering</v>
      </c>
      <c r="KA75" s="250" t="str">
        <f t="shared" si="244"/>
        <v>Engineering</v>
      </c>
      <c r="KB75" s="250" t="str">
        <f t="shared" si="244"/>
        <v>Engineering</v>
      </c>
      <c r="KC75" s="250" t="str">
        <f t="shared" si="244"/>
        <v>Engineering</v>
      </c>
      <c r="KD75" s="250" t="str">
        <f t="shared" si="244"/>
        <v>Engineering</v>
      </c>
      <c r="KE75" s="250" t="str">
        <f t="shared" si="244"/>
        <v>Engineering</v>
      </c>
      <c r="KF75" s="250" t="str">
        <f t="shared" si="244"/>
        <v>Engineering</v>
      </c>
      <c r="KG75" s="250" t="str">
        <f t="shared" si="244"/>
        <v>Engineering</v>
      </c>
      <c r="KH75" s="250" t="str">
        <f t="shared" si="244"/>
        <v>Engineering</v>
      </c>
      <c r="KI75" s="250" t="str">
        <f t="shared" si="244"/>
        <v>Engineering</v>
      </c>
      <c r="KJ75" s="250" t="str">
        <f t="shared" si="244"/>
        <v>Engineering</v>
      </c>
      <c r="KK75" s="250" t="str">
        <f t="shared" si="244"/>
        <v>Engineering</v>
      </c>
      <c r="KL75" s="250" t="str">
        <f t="shared" si="244"/>
        <v>Engineering</v>
      </c>
      <c r="KM75" s="250" t="str">
        <f t="shared" si="244"/>
        <v>Engineering</v>
      </c>
      <c r="KN75" s="250" t="str">
        <f t="shared" si="244"/>
        <v>Engineering</v>
      </c>
      <c r="KO75" s="250" t="str">
        <f t="shared" si="244"/>
        <v>Engineering</v>
      </c>
      <c r="KP75" s="250" t="str">
        <f t="shared" si="244"/>
        <v>Engineering</v>
      </c>
      <c r="KQ75" s="250" t="str">
        <f t="shared" si="244"/>
        <v>Engineering</v>
      </c>
      <c r="KR75" s="250" t="str">
        <f t="shared" si="244"/>
        <v>Engineering</v>
      </c>
      <c r="KS75" s="250" t="str">
        <f t="shared" si="244"/>
        <v>Engineering</v>
      </c>
      <c r="KT75" s="250" t="str">
        <f t="shared" si="244"/>
        <v>Engineering</v>
      </c>
      <c r="KU75" s="250" t="str">
        <f t="shared" si="244"/>
        <v>Engineering</v>
      </c>
      <c r="KV75" s="250" t="str">
        <f t="shared" si="244"/>
        <v>Engineering</v>
      </c>
      <c r="KW75" s="250" t="str">
        <f t="shared" si="244"/>
        <v>Engineering</v>
      </c>
      <c r="KX75" s="250" t="str">
        <f t="shared" ref="KX75:LR75" si="245">+$B75</f>
        <v>Engineering</v>
      </c>
      <c r="KY75" s="250" t="str">
        <f t="shared" si="245"/>
        <v>Engineering</v>
      </c>
      <c r="KZ75" s="250" t="str">
        <f t="shared" si="245"/>
        <v>Engineering</v>
      </c>
      <c r="LA75" s="250" t="str">
        <f t="shared" si="245"/>
        <v>Engineering</v>
      </c>
      <c r="LB75" s="250" t="str">
        <f t="shared" si="245"/>
        <v>Engineering</v>
      </c>
      <c r="LC75" s="250" t="str">
        <f t="shared" si="245"/>
        <v>Engineering</v>
      </c>
      <c r="LD75" s="250" t="str">
        <f t="shared" si="245"/>
        <v>Engineering</v>
      </c>
      <c r="LE75" s="250" t="str">
        <f t="shared" si="245"/>
        <v>Engineering</v>
      </c>
      <c r="LF75" s="250" t="str">
        <f t="shared" si="245"/>
        <v>Engineering</v>
      </c>
      <c r="LG75" s="250" t="str">
        <f t="shared" si="245"/>
        <v>Engineering</v>
      </c>
      <c r="LH75" s="250" t="str">
        <f t="shared" si="245"/>
        <v>Engineering</v>
      </c>
      <c r="LI75" s="250" t="str">
        <f t="shared" si="245"/>
        <v>Engineering</v>
      </c>
      <c r="LJ75" s="250" t="str">
        <f t="shared" si="245"/>
        <v>Engineering</v>
      </c>
      <c r="LK75" s="250" t="str">
        <f t="shared" si="245"/>
        <v>Engineering</v>
      </c>
      <c r="LL75" s="250" t="str">
        <f t="shared" si="245"/>
        <v>Engineering</v>
      </c>
      <c r="LM75" s="250" t="str">
        <f t="shared" si="245"/>
        <v>Engineering</v>
      </c>
      <c r="LN75" s="250" t="str">
        <f t="shared" si="245"/>
        <v>Engineering</v>
      </c>
      <c r="LO75" s="250" t="str">
        <f t="shared" si="245"/>
        <v>Engineering</v>
      </c>
      <c r="LP75" s="250" t="str">
        <f t="shared" si="245"/>
        <v>Engineering</v>
      </c>
      <c r="LQ75" s="250" t="str">
        <f t="shared" si="245"/>
        <v>Engineering</v>
      </c>
      <c r="LR75" s="250" t="str">
        <f t="shared" si="245"/>
        <v>Engineering</v>
      </c>
      <c r="LT75" s="191" t="str">
        <f>+$B75</f>
        <v>Engineering</v>
      </c>
      <c r="LU75" s="192"/>
      <c r="LV75" s="141" t="str">
        <f>+$E75</f>
        <v>Completed to month</v>
      </c>
      <c r="LW75" s="141">
        <f>+$F75</f>
        <v>9</v>
      </c>
      <c r="LX75" s="141"/>
      <c r="LY75" s="197" t="str">
        <f t="shared" ref="LY75:ND75" si="246">+$B75</f>
        <v>Engineering</v>
      </c>
      <c r="LZ75" s="197" t="str">
        <f t="shared" si="246"/>
        <v>Engineering</v>
      </c>
      <c r="MA75" s="197" t="str">
        <f t="shared" si="246"/>
        <v>Engineering</v>
      </c>
      <c r="MB75" s="197" t="str">
        <f t="shared" si="246"/>
        <v>Engineering</v>
      </c>
      <c r="MC75" s="197" t="str">
        <f t="shared" si="246"/>
        <v>Engineering</v>
      </c>
      <c r="MD75" s="197" t="str">
        <f t="shared" si="246"/>
        <v>Engineering</v>
      </c>
      <c r="ME75" s="197" t="str">
        <f t="shared" si="246"/>
        <v>Engineering</v>
      </c>
      <c r="MF75" s="197" t="str">
        <f t="shared" si="246"/>
        <v>Engineering</v>
      </c>
      <c r="MG75" s="197" t="str">
        <f t="shared" si="246"/>
        <v>Engineering</v>
      </c>
      <c r="MH75" s="197" t="str">
        <f t="shared" si="246"/>
        <v>Engineering</v>
      </c>
      <c r="MI75" s="197" t="str">
        <f t="shared" si="246"/>
        <v>Engineering</v>
      </c>
      <c r="MJ75" s="197" t="str">
        <f t="shared" si="246"/>
        <v>Engineering</v>
      </c>
      <c r="MK75" s="197" t="str">
        <f t="shared" si="246"/>
        <v>Engineering</v>
      </c>
      <c r="ML75" s="197" t="str">
        <f t="shared" si="246"/>
        <v>Engineering</v>
      </c>
      <c r="MM75" s="197" t="str">
        <f t="shared" si="246"/>
        <v>Engineering</v>
      </c>
      <c r="MN75" s="197" t="str">
        <f t="shared" si="246"/>
        <v>Engineering</v>
      </c>
      <c r="MO75" s="197" t="str">
        <f t="shared" si="246"/>
        <v>Engineering</v>
      </c>
      <c r="MP75" s="197" t="str">
        <f t="shared" si="246"/>
        <v>Engineering</v>
      </c>
      <c r="MQ75" s="197" t="str">
        <f t="shared" si="246"/>
        <v>Engineering</v>
      </c>
      <c r="MR75" s="197" t="str">
        <f t="shared" si="246"/>
        <v>Engineering</v>
      </c>
      <c r="MS75" s="197" t="str">
        <f t="shared" si="246"/>
        <v>Engineering</v>
      </c>
      <c r="MT75" s="197" t="str">
        <f t="shared" si="246"/>
        <v>Engineering</v>
      </c>
      <c r="MU75" s="197" t="str">
        <f t="shared" si="246"/>
        <v>Engineering</v>
      </c>
      <c r="MV75" s="197" t="str">
        <f t="shared" si="246"/>
        <v>Engineering</v>
      </c>
      <c r="MW75" s="197" t="str">
        <f t="shared" si="246"/>
        <v>Engineering</v>
      </c>
      <c r="MX75" s="197" t="str">
        <f t="shared" si="246"/>
        <v>Engineering</v>
      </c>
      <c r="MY75" s="197" t="str">
        <f t="shared" si="246"/>
        <v>Engineering</v>
      </c>
      <c r="MZ75" s="197" t="str">
        <f t="shared" si="246"/>
        <v>Engineering</v>
      </c>
      <c r="NA75" s="197" t="str">
        <f t="shared" si="246"/>
        <v>Engineering</v>
      </c>
      <c r="NB75" s="197" t="str">
        <f t="shared" si="246"/>
        <v>Engineering</v>
      </c>
      <c r="NC75" s="197" t="str">
        <f t="shared" si="246"/>
        <v>Engineering</v>
      </c>
      <c r="ND75" s="197" t="str">
        <f t="shared" si="246"/>
        <v>Engineering</v>
      </c>
      <c r="NE75" s="197" t="str">
        <f t="shared" ref="NE75:NY75" si="247">+$B75</f>
        <v>Engineering</v>
      </c>
      <c r="NF75" s="197" t="str">
        <f t="shared" si="247"/>
        <v>Engineering</v>
      </c>
      <c r="NG75" s="197" t="str">
        <f t="shared" si="247"/>
        <v>Engineering</v>
      </c>
      <c r="NH75" s="197" t="str">
        <f t="shared" si="247"/>
        <v>Engineering</v>
      </c>
      <c r="NI75" s="197" t="str">
        <f t="shared" si="247"/>
        <v>Engineering</v>
      </c>
      <c r="NJ75" s="197" t="str">
        <f t="shared" si="247"/>
        <v>Engineering</v>
      </c>
      <c r="NK75" s="197" t="str">
        <f t="shared" si="247"/>
        <v>Engineering</v>
      </c>
      <c r="NL75" s="197" t="str">
        <f t="shared" si="247"/>
        <v>Engineering</v>
      </c>
      <c r="NM75" s="197" t="str">
        <f t="shared" si="247"/>
        <v>Engineering</v>
      </c>
      <c r="NN75" s="197" t="str">
        <f t="shared" si="247"/>
        <v>Engineering</v>
      </c>
      <c r="NO75" s="197" t="str">
        <f t="shared" si="247"/>
        <v>Engineering</v>
      </c>
      <c r="NP75" s="197" t="str">
        <f t="shared" si="247"/>
        <v>Engineering</v>
      </c>
      <c r="NQ75" s="197" t="str">
        <f t="shared" si="247"/>
        <v>Engineering</v>
      </c>
      <c r="NR75" s="197" t="str">
        <f t="shared" si="247"/>
        <v>Engineering</v>
      </c>
      <c r="NS75" s="197" t="str">
        <f t="shared" si="247"/>
        <v>Engineering</v>
      </c>
      <c r="NT75" s="197" t="str">
        <f t="shared" si="247"/>
        <v>Engineering</v>
      </c>
      <c r="NU75" s="197" t="str">
        <f t="shared" si="247"/>
        <v>Engineering</v>
      </c>
      <c r="NV75" s="197" t="str">
        <f t="shared" si="247"/>
        <v>Engineering</v>
      </c>
      <c r="NW75" s="197" t="str">
        <f t="shared" si="247"/>
        <v>Engineering</v>
      </c>
      <c r="NX75" s="197" t="str">
        <f t="shared" si="247"/>
        <v>Engineering</v>
      </c>
      <c r="NY75" s="197" t="str">
        <f t="shared" si="247"/>
        <v>Engineering</v>
      </c>
    </row>
    <row r="76" spans="1:389" x14ac:dyDescent="0.3">
      <c r="A76" t="str">
        <f>$B$75&amp;"-"&amp;C76</f>
        <v>Engineering-KPI P1</v>
      </c>
      <c r="B76" s="420" t="str">
        <f>+'KPI Stats'!B75</f>
        <v>Engineering</v>
      </c>
      <c r="C76" s="133" t="str">
        <f>+'KPI Stats'!C75</f>
        <v>KPI P1</v>
      </c>
      <c r="D76" s="142" t="str">
        <f>+'KPI Stats'!D75</f>
        <v>Productivity</v>
      </c>
      <c r="E76" s="142" t="str">
        <f>+'KPI Stats'!E75</f>
        <v>Mean Time to Allocate MTTA</v>
      </c>
      <c r="F76" s="143" t="str">
        <f>+'KPI Stats'!F75</f>
        <v>Days</v>
      </c>
      <c r="G76" s="168" t="str">
        <f>+'KPI Stats'!G75</f>
        <v>Over</v>
      </c>
      <c r="J76" s="159" t="str">
        <f>_xlfn.XLOOKUP(J$7,$AM$7:$CM$7,$AM76:$CM76,,FALSE)</f>
        <v>OD</v>
      </c>
      <c r="K76" s="262">
        <f>_xlfn.XLOOKUP(K$7,$FC$7:$HC$7,$FC76:$HC76,,FALSE)</f>
        <v>0</v>
      </c>
      <c r="L76" s="277">
        <f>_xlfn.XLOOKUP(L$7,$HJ$7:$JJ$7,$HJ76:$JJ76,,FALSE)</f>
        <v>2</v>
      </c>
      <c r="M76" s="274" t="str">
        <f>_xlfn.XLOOKUP(M$7,$CU$7:$EU$7,$CU76:$EU76,,FALSE)</f>
        <v>OD</v>
      </c>
      <c r="P76" s="159" t="str">
        <f>_xlfn.XLOOKUP(P$7,$AM$7:$CM$7,$AM76:$CM76,,FALSE)</f>
        <v>OD</v>
      </c>
      <c r="Q76" s="262">
        <f>_xlfn.XLOOKUP(Q$7,$FC$7:$HC$7,$FC76:$HC76,FALSE)</f>
        <v>0</v>
      </c>
      <c r="R76" s="277">
        <f>_xlfn.XLOOKUP(R$7,$FC$7:$HC$7,$FC76:$HC76,FALSE)</f>
        <v>0</v>
      </c>
      <c r="S76" s="262" t="str">
        <f>_xlfn.XLOOKUP(S$7,$CU$7:$EU$7,$CU76:$EU76,,FALSE)</f>
        <v>OD</v>
      </c>
      <c r="T76" s="277" t="str">
        <f>_xlfn.XLOOKUP(T$7,$CU$7:$EU$7,$CU76:$EU76,,FALSE)</f>
        <v>OD</v>
      </c>
      <c r="U76" s="294" t="str">
        <f>IF(F75&lt;$Q$4,"Not Complete",IF(Q76=R76,"Same −",IF($F75="Over",IF(Q76&lt;R76,"Better ↑","Worse ↓"),IF($G76="Under",IF(Q76&gt;R76,"Better ↑","Worse ↓"),"err"))))</f>
        <v>Same −</v>
      </c>
      <c r="W76" s="724"/>
      <c r="X76" s="159" t="str">
        <f>IF(Y76="","",IF(Y76="Blank","",IF(AND(G76="above zero",Y76&gt;0),"R",IF(AA76&gt;1,"G",IF(AA76&gt;0.95,"A","R")))))</f>
        <v>G</v>
      </c>
      <c r="Y76" s="161">
        <f>_xlfn.XLOOKUP(Y$7,$JR$7:$LR$7,$JR76:$LR76,FALSE)</f>
        <v>1.56</v>
      </c>
      <c r="Z76" s="161">
        <f>_xlfn.XLOOKUP(Z$7,$LY$7:$NY$7,$LY76:$NY76,FALSE)</f>
        <v>2</v>
      </c>
      <c r="AA76" s="162">
        <f>IF(G76="Undefined","",IF(G76="under",Y76/Z76,IF(G76="over",Z76/Y76,"err")))</f>
        <v>1.2820512820512819</v>
      </c>
      <c r="AB76" s="294" t="str">
        <f>IF(F75&lt;$Y$8,"TBC",IF(Y76=Z76,"Same −",IF($G76="Over",IF(Z76&lt;Y76,"Better ↑ ","Worse ↓ "),IF($G76="Under",IF(Y76&gt;Z76,"Better ↑ ","Worse ↓ "),"err"))))</f>
        <v xml:space="preserve">Worse ↓ </v>
      </c>
      <c r="AC76" s="159" t="str">
        <f>IF(AND(G76="above adero",AD76&gt;0),"R",IF(AF76&gt;1,"G",IF(AF76&gt;0.95,"A","R")))</f>
        <v>G</v>
      </c>
      <c r="AD76" s="161">
        <f>_xlfn.XLOOKUP(AD$7,$JR$7:$LR$7,$JR76:$LR76,FALSE)</f>
        <v>1.625</v>
      </c>
      <c r="AE76" s="161">
        <f>_xlfn.XLOOKUP(AE$7,$LY$7:$NY$7,$LY76:$NY76,FALSE)</f>
        <v>2</v>
      </c>
      <c r="AF76" s="162">
        <f>IF(G76="Undefined","",IF(G76="under",AD76/AE76,IF(G76="over",AE76/AD76,"err")))</f>
        <v>1.2307692307692308</v>
      </c>
      <c r="AH76" s="465" t="str">
        <f>+$A76</f>
        <v>Engineering-KPI P1</v>
      </c>
      <c r="AI76" s="133" t="str">
        <f t="shared" ref="AI76:AL77" si="248">+C76</f>
        <v>KPI P1</v>
      </c>
      <c r="AJ76" s="142" t="str">
        <f t="shared" si="248"/>
        <v>Productivity</v>
      </c>
      <c r="AK76" s="142" t="str">
        <f t="shared" si="248"/>
        <v>Mean Time to Allocate MTTA</v>
      </c>
      <c r="AL76" s="143" t="str">
        <f t="shared" si="248"/>
        <v>Days</v>
      </c>
      <c r="AM76" s="159" t="str">
        <f>IF(AM$7&gt;$D$3,"",_xlfn.XLOOKUP(AM$8,Engineering!$M$5:$BM$5,Engineering!$M$10:$BM$10))</f>
        <v>TBC</v>
      </c>
      <c r="AN76" s="198" t="str">
        <f>IF(AN$7&gt;$D$3,"",_xlfn.XLOOKUP(AN$8,Engineering!$M$5:$BM$5,Engineering!$M$10:$BM$10))</f>
        <v>TBC</v>
      </c>
      <c r="AO76" s="159" t="str">
        <f>IF(AO$7&gt;$D$3,"",_xlfn.XLOOKUP(AO$8,Engineering!$M$5:$BM$5,Engineering!$M$10:$BM$10))</f>
        <v>TBC</v>
      </c>
      <c r="AP76" s="159" t="str">
        <f>IF(AP$7&gt;$D$3,"",_xlfn.XLOOKUP(AP$8,Engineering!$M$5:$BM$5,Engineering!$M$10:$BM$10))</f>
        <v>TBC</v>
      </c>
      <c r="AQ76" s="159" t="str">
        <f>IF(AQ$7&gt;$D$3,"",_xlfn.XLOOKUP(AQ$8,Engineering!$M$5:$BM$5,Engineering!$M$10:$BM$10))</f>
        <v>TBC</v>
      </c>
      <c r="AR76" s="159" t="str">
        <f>IF(AR$7&gt;$D$3,"",_xlfn.XLOOKUP(AR$8,Engineering!$M$5:$BM$5,Engineering!$M$10:$BM$10))</f>
        <v>TBC</v>
      </c>
      <c r="AS76" s="159" t="str">
        <f>IF(AS$7&gt;$D$3,"",_xlfn.XLOOKUP(AS$8,Engineering!$M$5:$BM$5,Engineering!$M$10:$BM$10))</f>
        <v>TBC</v>
      </c>
      <c r="AT76" s="159" t="str">
        <f>IF(AT$7&gt;$D$3,"",_xlfn.XLOOKUP(AT$8,Engineering!$M$5:$BM$5,Engineering!$M$10:$BM$10))</f>
        <v>TBC</v>
      </c>
      <c r="AU76" s="159" t="str">
        <f>IF(AU$7&gt;$D$3,"",_xlfn.XLOOKUP(AU$8,Engineering!$M$5:$BM$5,Engineering!$M$10:$BM$10))</f>
        <v>TBC</v>
      </c>
      <c r="AV76" s="159" t="str">
        <f>IF(AV$7&gt;$D$3,"",_xlfn.XLOOKUP(AV$8,Engineering!$M$5:$BM$5,Engineering!$M$10:$BM$10))</f>
        <v>TBC</v>
      </c>
      <c r="AW76" s="159" t="str">
        <f>IF(AW$7&gt;$D$3,"",_xlfn.XLOOKUP(AW$8,Engineering!$M$5:$BM$5,Engineering!$M$10:$BM$10))</f>
        <v>TBC</v>
      </c>
      <c r="AX76" s="159" t="str">
        <f>IF(AX$7&gt;$D$3,"",_xlfn.XLOOKUP(AX$8,Engineering!$M$5:$BM$5,Engineering!$M$10:$BM$10))</f>
        <v>TBC</v>
      </c>
      <c r="AY76" s="159" t="str">
        <f>IF(AY$7&gt;$D$3,"",_xlfn.XLOOKUP(AY$8,Engineering!$M$5:$BM$5,Engineering!$M$10:$BM$10))</f>
        <v>TBC</v>
      </c>
      <c r="AZ76" s="159" t="str">
        <f>IF(AZ$7&gt;$D$3,"",_xlfn.XLOOKUP(AZ$8,Engineering!$M$5:$BM$5,Engineering!$M$10:$BM$10))</f>
        <v>TBC</v>
      </c>
      <c r="BA76" s="159" t="str">
        <f>IF(BA$7&gt;$D$3,"",_xlfn.XLOOKUP(BA$8,Engineering!$M$5:$BM$5,Engineering!$M$10:$BM$10))</f>
        <v>TBC</v>
      </c>
      <c r="BB76" s="159" t="str">
        <f>IF(BB$7&gt;$D$3,"",_xlfn.XLOOKUP(BB$8,Engineering!$M$5:$BM$5,Engineering!$M$10:$BM$10))</f>
        <v>TBC</v>
      </c>
      <c r="BC76" s="159" t="str">
        <f>IF(BC$7&gt;$D$3,"",_xlfn.XLOOKUP(BC$8,Engineering!$M$5:$BM$5,Engineering!$M$10:$BM$10))</f>
        <v>TBC</v>
      </c>
      <c r="BD76" s="159" t="str">
        <f>IF(BD$7&gt;$D$3,"",_xlfn.XLOOKUP(BD$8,Engineering!$M$5:$BM$5,Engineering!$M$10:$BM$10))</f>
        <v>G</v>
      </c>
      <c r="BE76" s="159" t="str">
        <f>IF(BE$7&gt;$D$3,"",_xlfn.XLOOKUP(BE$8,Engineering!$M$5:$BM$5,Engineering!$M$10:$BM$10))</f>
        <v>G</v>
      </c>
      <c r="BF76" s="159" t="str">
        <f>IF(BF$7&gt;$D$3,"",_xlfn.XLOOKUP(BF$8,Engineering!$M$5:$BM$5,Engineering!$M$10:$BM$10))</f>
        <v>G</v>
      </c>
      <c r="BG76" s="159" t="str">
        <f>IF(BG$7&gt;$D$3,"",_xlfn.XLOOKUP(BG$8,Engineering!$M$5:$BM$5,Engineering!$M$10:$BM$10))</f>
        <v>G</v>
      </c>
      <c r="BH76" s="159" t="str">
        <f>IF(BH$7&gt;$D$3,"",_xlfn.XLOOKUP(BH$8,Engineering!$M$5:$BM$5,Engineering!$M$10:$BM$10))</f>
        <v>G</v>
      </c>
      <c r="BI76" s="159" t="str">
        <f>IF(BI$7&gt;$D$3,"",_xlfn.XLOOKUP(BI$8,Engineering!$M$5:$BM$5,Engineering!$M$10:$BM$10))</f>
        <v>G</v>
      </c>
      <c r="BJ76" s="159" t="str">
        <f>IF(BJ$7&gt;$D$3,"",_xlfn.XLOOKUP(BJ$8,Engineering!$M$5:$BM$5,Engineering!$M$10:$BM$10))</f>
        <v>G</v>
      </c>
      <c r="BK76" s="159" t="str">
        <f>IF(BK$7&gt;$D$3,"",_xlfn.XLOOKUP(BK$8,Engineering!$M$5:$BM$5,Engineering!$M$10:$BM$10))</f>
        <v>G</v>
      </c>
      <c r="BL76" s="159" t="str">
        <f>IF(BL$7&gt;$D$3,"",_xlfn.XLOOKUP(BL$8,Engineering!$M$5:$BM$5,Engineering!$M$10:$BM$10))</f>
        <v>G</v>
      </c>
      <c r="BM76" s="159" t="str">
        <f>IF(BM$7&gt;$D$3,"",_xlfn.XLOOKUP(BM$8,Engineering!$M$5:$BM$5,Engineering!$M$10:$BM$10))</f>
        <v>R</v>
      </c>
      <c r="BN76" s="159" t="str">
        <f>IF(BN$7&gt;$D$3,"",_xlfn.XLOOKUP(BN$8,Engineering!$M$5:$BM$5,Engineering!$M$10:$BM$10))</f>
        <v>R</v>
      </c>
      <c r="BO76" s="159" t="str">
        <f>IF(BO$7&gt;$D$3,"",_xlfn.XLOOKUP(BO$8,Engineering!$M$5:$BM$5,Engineering!$M$10:$BM$10))</f>
        <v>R</v>
      </c>
      <c r="BP76" s="159" t="str">
        <f>IF(BP$7&gt;$D$3,"",_xlfn.XLOOKUP(BP$8,Engineering!$M$5:$BM$5,Engineering!$M$10:$BM$10))</f>
        <v>R</v>
      </c>
      <c r="BQ76" s="159" t="str">
        <f>IF(BQ$7&gt;$D$3,"",_xlfn.XLOOKUP(BQ$8,Engineering!$M$5:$BM$5,Engineering!$M$10:$BM$10))</f>
        <v>R</v>
      </c>
      <c r="BR76" s="159" t="str">
        <f>IF(BR$7&gt;$D$3,"",_xlfn.XLOOKUP(BR$8,Engineering!$M$5:$BM$5,Engineering!$M$10:$BM$10))</f>
        <v>OD</v>
      </c>
      <c r="BS76" s="159" t="str">
        <f>IF(BS$7&gt;$D$3,"",_xlfn.XLOOKUP(BS$8,Engineering!$M$5:$BM$5,Engineering!$M$10:$BM$10))</f>
        <v>OD</v>
      </c>
      <c r="BT76" s="159" t="str">
        <f>IF(BT$7&gt;$D$3,"",_xlfn.XLOOKUP(BT$8,Engineering!$M$5:$BM$5,Engineering!$M$10:$BM$10))</f>
        <v>OD</v>
      </c>
      <c r="BU76" s="159" t="str">
        <f>IF(BU$7&gt;$D$3,"",_xlfn.XLOOKUP(BU$8,Engineering!$M$5:$BM$5,Engineering!$M$10:$BM$10))</f>
        <v>OD</v>
      </c>
      <c r="BV76" s="159" t="str">
        <f>IF(BV$7&gt;$D$3,"",_xlfn.XLOOKUP(BV$8,Engineering!$M$5:$BM$5,Engineering!$M$10:$BM$10))</f>
        <v>OD</v>
      </c>
      <c r="BW76" s="159" t="str">
        <f>IF(BW$7&gt;$D$3,"",_xlfn.XLOOKUP(BW$8,Engineering!$M$5:$BM$5,Engineering!$M$10:$BM$10))</f>
        <v>OD</v>
      </c>
      <c r="BX76" s="159" t="str">
        <f>IF(BX$7&gt;$D$3,"",_xlfn.XLOOKUP(BX$8,Engineering!$M$5:$BM$5,Engineering!$M$10:$BM$10))</f>
        <v>OD</v>
      </c>
      <c r="BY76" s="159" t="str">
        <f>IF(BY$7&gt;$D$3,"",_xlfn.XLOOKUP(BY$8,Engineering!$M$5:$BM$5,Engineering!$M$10:$BM$10))</f>
        <v>OD</v>
      </c>
      <c r="BZ76" s="159" t="str">
        <f>IF(BZ$7&gt;$D$3,"",_xlfn.XLOOKUP(BZ$8,Engineering!$M$5:$BM$5,Engineering!$M$10:$BM$10))</f>
        <v>OD</v>
      </c>
      <c r="CA76" s="159" t="str">
        <f>IF(CA$7&gt;$D$3,"",_xlfn.XLOOKUP(CA$8,Engineering!$M$5:$BM$5,Engineering!$M$10:$BM$10))</f>
        <v>OD</v>
      </c>
      <c r="CB76" s="159" t="str">
        <f>IF(CB$7&gt;$D$3,"",_xlfn.XLOOKUP(CB$8,Engineering!$M$5:$BM$5,Engineering!$M$10:$BM$10))</f>
        <v>OD</v>
      </c>
      <c r="CC76" s="159" t="str">
        <f>IF(CC$7&gt;$D$3,"",_xlfn.XLOOKUP(CC$8,Engineering!$M$5:$BM$5,Engineering!$M$10:$BM$10))</f>
        <v/>
      </c>
      <c r="CD76" s="159" t="str">
        <f>IF(CD$7&gt;$D$3,"",_xlfn.XLOOKUP(CD$8,Engineering!$M$5:$BM$5,Engineering!$M$10:$BM$10))</f>
        <v/>
      </c>
      <c r="CE76" s="159" t="str">
        <f>IF(CE$7&gt;$D$3,"",_xlfn.XLOOKUP(CE$8,Engineering!$M$5:$BM$5,Engineering!$M$10:$BM$10))</f>
        <v/>
      </c>
      <c r="CF76" s="159" t="str">
        <f>IF(CF$7&gt;$D$3,"",_xlfn.XLOOKUP(CF$8,Engineering!$M$5:$BM$5,Engineering!$M$10:$BM$10))</f>
        <v/>
      </c>
      <c r="CG76" s="159" t="str">
        <f>IF(CG$7&gt;$D$3,"",_xlfn.XLOOKUP(CG$8,Engineering!$M$5:$BM$5,Engineering!$M$10:$BM$10))</f>
        <v/>
      </c>
      <c r="CH76" s="159" t="str">
        <f>IF(CH$7&gt;$D$3,"",_xlfn.XLOOKUP(CH$8,Engineering!$M$5:$BM$5,Engineering!$M$10:$BM$10))</f>
        <v/>
      </c>
      <c r="CI76" s="159" t="str">
        <f>IF(CI$7&gt;$D$3,"",_xlfn.XLOOKUP(CI$8,Engineering!$M$5:$BM$5,Engineering!$M$10:$BM$10))</f>
        <v/>
      </c>
      <c r="CJ76" s="159" t="str">
        <f>IF(CJ$7&gt;$D$3,"",_xlfn.XLOOKUP(CJ$8,Engineering!$M$5:$BM$5,Engineering!$M$10:$BM$10))</f>
        <v/>
      </c>
      <c r="CK76" s="159" t="str">
        <f>IF(CK$7&gt;$D$3,"",_xlfn.XLOOKUP(CK$8,Engineering!$M$5:$BM$5,Engineering!$M$10:$BM$10))</f>
        <v/>
      </c>
      <c r="CL76" s="159" t="str">
        <f>IF(CL$7&gt;$D$3,"",_xlfn.XLOOKUP(CL$8,Engineering!$M$5:$BM$5,Engineering!$M$10:$BM$10))</f>
        <v/>
      </c>
      <c r="CM76" s="624" t="str">
        <f>IF(CM$7&gt;$D$3,"",_xlfn.XLOOKUP(CM$8,Engineering!$M$5:$BM$5,Engineering!$M$10:$BM$10))</f>
        <v/>
      </c>
      <c r="CO76" s="465" t="str">
        <f>+$A76</f>
        <v>Engineering-KPI P1</v>
      </c>
      <c r="CP76" s="133" t="str">
        <f t="shared" ref="CP76:CS77" si="249">+C76</f>
        <v>KPI P1</v>
      </c>
      <c r="CQ76" s="677" t="str">
        <f t="shared" si="249"/>
        <v>Productivity</v>
      </c>
      <c r="CR76" s="142" t="str">
        <f t="shared" si="249"/>
        <v>Mean Time to Allocate MTTA</v>
      </c>
      <c r="CS76" s="143" t="str">
        <f t="shared" si="249"/>
        <v>Days</v>
      </c>
      <c r="CT76" s="206" t="s">
        <v>246</v>
      </c>
      <c r="CU76" s="159" t="str">
        <f>IF(CU$7&gt;$D$3,"",_xlfn.XLOOKUP(CU$7,Engineering!$M$22:$BM$22,Engineering!$M$26:$BM$26))</f>
        <v>Blank</v>
      </c>
      <c r="CV76" s="315" t="str">
        <f>IFERROR(IF(CV$7&gt;$D$3,"",IF(AN76="Missed","Missed",IF(AN76="OD","OD",IF(AN76="TBC","TBC",IF(AN76="Undefined","Undefined",
IF(_xlfn.XLOOKUP(CV$8,Engineering!$M$5:$BM$5,Engineering!$M$8:$BM$8)="Undefined",_xlfn.XLOOKUP(CV$8,Engineering!$M$5:$BM$5,Engineering!$M$9:$BM$9),
_xlfn.XLOOKUP(CV$8,Engineering!$M$5:$BM$5,Engineering!$M$8:$BM$8)/_xlfn.XLOOKUP(CV$8,Engineering!$M$5:$BM$5,Engineering!$M$9:$BM$9))))))),"")</f>
        <v>TBC</v>
      </c>
      <c r="CW76" s="315" t="str">
        <f>IFERROR(IF(CW$7&gt;$D$3,"",IF(AO76="Missed","Missed",IF(AO76="OD","OD",IF(AO76="TBC","TBC",IF(AO76="Undefined","Undefined",
IF(_xlfn.XLOOKUP(CW$8,Engineering!$M$5:$BM$5,Engineering!$M$8:$BM$8)="Undefined",_xlfn.XLOOKUP(CW$8,Engineering!$M$5:$BM$5,Engineering!$M$9:$BM$9),
_xlfn.XLOOKUP(CW$8,Engineering!$M$5:$BM$5,Engineering!$M$8:$BM$8)/_xlfn.XLOOKUP(CW$8,Engineering!$M$5:$BM$5,Engineering!$M$9:$BM$9))))))),"")</f>
        <v>TBC</v>
      </c>
      <c r="CX76" s="315" t="str">
        <f>IFERROR(IF(CX$7&gt;$D$3,"",IF(AP76="Missed","Missed",IF(AP76="OD","OD",IF(AP76="TBC","TBC",IF(AP76="Undefined","Undefined",
IF(_xlfn.XLOOKUP(CX$8,Engineering!$M$5:$BM$5,Engineering!$M$8:$BM$8)="Undefined",_xlfn.XLOOKUP(CX$8,Engineering!$M$5:$BM$5,Engineering!$M$9:$BM$9),
_xlfn.XLOOKUP(CX$8,Engineering!$M$5:$BM$5,Engineering!$M$8:$BM$8)/_xlfn.XLOOKUP(CX$8,Engineering!$M$5:$BM$5,Engineering!$M$9:$BM$9))))))),"")</f>
        <v>TBC</v>
      </c>
      <c r="CY76" s="315" t="str">
        <f>IFERROR(IF(CY$7&gt;$D$3,"",IF(AQ76="Missed","Missed",IF(AQ76="OD","OD",IF(AQ76="TBC","TBC",IF(AQ76="Undefined","Undefined",
IF(_xlfn.XLOOKUP(CY$8,Engineering!$M$5:$BM$5,Engineering!$M$8:$BM$8)="Undefined",_xlfn.XLOOKUP(CY$8,Engineering!$M$5:$BM$5,Engineering!$M$9:$BM$9),
_xlfn.XLOOKUP(CY$8,Engineering!$M$5:$BM$5,Engineering!$M$8:$BM$8)/_xlfn.XLOOKUP(CY$8,Engineering!$M$5:$BM$5,Engineering!$M$9:$BM$9))))))),"")</f>
        <v>TBC</v>
      </c>
      <c r="CZ76" s="315" t="str">
        <f>IFERROR(IF(CZ$7&gt;$D$3,"",IF(AR76="Missed","Missed",IF(AR76="OD","OD",IF(AR76="TBC","TBC",IF(AR76="Undefined","Undefined",
IF(_xlfn.XLOOKUP(CZ$8,Engineering!$M$5:$BM$5,Engineering!$M$8:$BM$8)="Undefined",_xlfn.XLOOKUP(CZ$8,Engineering!$M$5:$BM$5,Engineering!$M$9:$BM$9),
_xlfn.XLOOKUP(CZ$8,Engineering!$M$5:$BM$5,Engineering!$M$8:$BM$8)/_xlfn.XLOOKUP(CZ$8,Engineering!$M$5:$BM$5,Engineering!$M$9:$BM$9))))))),"")</f>
        <v>TBC</v>
      </c>
      <c r="DA76" s="315" t="str">
        <f>IFERROR(IF(DA$7&gt;$D$3,"",IF(AS76="Missed","Missed",IF(AS76="OD","OD",IF(AS76="TBC","TBC",IF(AS76="Undefined","Undefined",
IF(_xlfn.XLOOKUP(DA$8,Engineering!$M$5:$BM$5,Engineering!$M$8:$BM$8)="Undefined",_xlfn.XLOOKUP(DA$8,Engineering!$M$5:$BM$5,Engineering!$M$9:$BM$9),
_xlfn.XLOOKUP(DA$8,Engineering!$M$5:$BM$5,Engineering!$M$8:$BM$8)/_xlfn.XLOOKUP(DA$8,Engineering!$M$5:$BM$5,Engineering!$M$9:$BM$9))))))),"")</f>
        <v>TBC</v>
      </c>
      <c r="DB76" s="315" t="str">
        <f>IFERROR(IF(DB$7&gt;$D$3,"",IF(AT76="Missed","Missed",IF(AT76="OD","OD",IF(AT76="TBC","TBC",IF(AT76="Undefined","Undefined",
IF(_xlfn.XLOOKUP(DB$8,Engineering!$M$5:$BM$5,Engineering!$M$8:$BM$8)="Undefined",_xlfn.XLOOKUP(DB$8,Engineering!$M$5:$BM$5,Engineering!$M$9:$BM$9),
_xlfn.XLOOKUP(DB$8,Engineering!$M$5:$BM$5,Engineering!$M$8:$BM$8)/_xlfn.XLOOKUP(DB$8,Engineering!$M$5:$BM$5,Engineering!$M$9:$BM$9))))))),"")</f>
        <v>TBC</v>
      </c>
      <c r="DC76" s="315" t="str">
        <f>IFERROR(IF(DC$7&gt;$D$3,"",IF(AU76="Missed","Missed",IF(AU76="OD","OD",IF(AU76="TBC","TBC",IF(AU76="Undefined","Undefined",
IF(_xlfn.XLOOKUP(DC$8,Engineering!$M$5:$BM$5,Engineering!$M$8:$BM$8)="Undefined",_xlfn.XLOOKUP(DC$8,Engineering!$M$5:$BM$5,Engineering!$M$9:$BM$9),
_xlfn.XLOOKUP(DC$8,Engineering!$M$5:$BM$5,Engineering!$M$8:$BM$8)/_xlfn.XLOOKUP(DC$8,Engineering!$M$5:$BM$5,Engineering!$M$9:$BM$9))))))),"")</f>
        <v>TBC</v>
      </c>
      <c r="DD76" s="315" t="str">
        <f>IFERROR(IF(DD$7&gt;$D$3,"",IF(AV76="Missed","Missed",IF(AV76="OD","OD",IF(AV76="TBC","TBC",IF(AV76="Undefined","Undefined",
IF(_xlfn.XLOOKUP(DD$8,Engineering!$M$5:$BM$5,Engineering!$M$8:$BM$8)="Undefined",_xlfn.XLOOKUP(DD$8,Engineering!$M$5:$BM$5,Engineering!$M$9:$BM$9),
_xlfn.XLOOKUP(DD$8,Engineering!$M$5:$BM$5,Engineering!$M$8:$BM$8)/_xlfn.XLOOKUP(DD$8,Engineering!$M$5:$BM$5,Engineering!$M$9:$BM$9))))))),"")</f>
        <v>TBC</v>
      </c>
      <c r="DE76" s="315" t="str">
        <f>IFERROR(IF(DE$7&gt;$D$3,"",IF(AW76="Missed","Missed",IF(AW76="OD","OD",IF(AW76="TBC","TBC",IF(AW76="Undefined","Undefined",
IF(_xlfn.XLOOKUP(DE$8,Engineering!$M$5:$BM$5,Engineering!$M$8:$BM$8)="Undefined",_xlfn.XLOOKUP(DE$8,Engineering!$M$5:$BM$5,Engineering!$M$9:$BM$9),
_xlfn.XLOOKUP(DE$8,Engineering!$M$5:$BM$5,Engineering!$M$8:$BM$8)/_xlfn.XLOOKUP(DE$8,Engineering!$M$5:$BM$5,Engineering!$M$9:$BM$9))))))),"")</f>
        <v>TBC</v>
      </c>
      <c r="DF76" s="315" t="str">
        <f>IFERROR(IF(DF$7&gt;$D$3,"",IF(AX76="Missed","Missed",IF(AX76="OD","OD",IF(AX76="TBC","TBC",IF(AX76="Undefined","Undefined",
IF(_xlfn.XLOOKUP(DF$8,Engineering!$M$5:$BM$5,Engineering!$M$8:$BM$8)="Undefined",_xlfn.XLOOKUP(DF$8,Engineering!$M$5:$BM$5,Engineering!$M$9:$BM$9),
_xlfn.XLOOKUP(DF$8,Engineering!$M$5:$BM$5,Engineering!$M$8:$BM$8)/_xlfn.XLOOKUP(DF$8,Engineering!$M$5:$BM$5,Engineering!$M$9:$BM$9))))))),"")</f>
        <v>TBC</v>
      </c>
      <c r="DG76" s="315" t="str">
        <f>IFERROR(IF(DG$7&gt;$D$3,"",IF(AY76="Missed","Missed",IF(AY76="OD","OD",IF(AY76="TBC","TBC",IF(AY76="Undefined","Undefined",
IF(_xlfn.XLOOKUP(DG$8,Engineering!$M$5:$BM$5,Engineering!$M$8:$BM$8)="Undefined",_xlfn.XLOOKUP(DG$8,Engineering!$M$5:$BM$5,Engineering!$M$9:$BM$9),
_xlfn.XLOOKUP(DG$8,Engineering!$M$5:$BM$5,Engineering!$M$8:$BM$8)/_xlfn.XLOOKUP(DG$8,Engineering!$M$5:$BM$5,Engineering!$M$9:$BM$9))))))),"")</f>
        <v>TBC</v>
      </c>
      <c r="DH76" s="315" t="str">
        <f>IFERROR(IF(DH$7&gt;$D$3,"",IF(AZ76="Missed","Missed",IF(AZ76="OD","OD",IF(AZ76="TBC","TBC",IF(AZ76="Undefined","Undefined",
IF(_xlfn.XLOOKUP(DH$8,Engineering!$M$5:$BM$5,Engineering!$M$8:$BM$8)="Undefined",_xlfn.XLOOKUP(DH$8,Engineering!$M$5:$BM$5,Engineering!$M$9:$BM$9),
_xlfn.XLOOKUP(DH$8,Engineering!$M$5:$BM$5,Engineering!$M$8:$BM$8)/_xlfn.XLOOKUP(DH$8,Engineering!$M$5:$BM$5,Engineering!$M$9:$BM$9))))))),"")</f>
        <v>TBC</v>
      </c>
      <c r="DI76" s="315" t="str">
        <f>IFERROR(IF(DI$7&gt;$D$3,"",IF(BA76="Missed","Missed",IF(BA76="OD","OD",IF(BA76="TBC","TBC",IF(BA76="Undefined","Undefined",
IF(_xlfn.XLOOKUP(DI$8,Engineering!$M$5:$BM$5,Engineering!$M$8:$BM$8)="Undefined",_xlfn.XLOOKUP(DI$8,Engineering!$M$5:$BM$5,Engineering!$M$9:$BM$9),
_xlfn.XLOOKUP(DI$8,Engineering!$M$5:$BM$5,Engineering!$M$8:$BM$8)/_xlfn.XLOOKUP(DI$8,Engineering!$M$5:$BM$5,Engineering!$M$9:$BM$9))))))),"")</f>
        <v>TBC</v>
      </c>
      <c r="DJ76" s="315" t="str">
        <f>IFERROR(IF(DJ$7&gt;$D$3,"",IF(BB76="Missed","Missed",IF(BB76="OD","OD",IF(BB76="TBC","TBC",IF(BB76="Undefined","Undefined",
IF(_xlfn.XLOOKUP(DJ$8,Engineering!$M$5:$BM$5,Engineering!$M$8:$BM$8)="Undefined",_xlfn.XLOOKUP(DJ$8,Engineering!$M$5:$BM$5,Engineering!$M$9:$BM$9),
_xlfn.XLOOKUP(DJ$8,Engineering!$M$5:$BM$5,Engineering!$M$8:$BM$8)/_xlfn.XLOOKUP(DJ$8,Engineering!$M$5:$BM$5,Engineering!$M$9:$BM$9))))))),"")</f>
        <v>TBC</v>
      </c>
      <c r="DK76" s="315" t="str">
        <f>IFERROR(IF(DK$7&gt;$D$3,"",IF(BC76="Missed","Missed",IF(BC76="OD","OD",IF(BC76="TBC","TBC",IF(BC76="Undefined","Undefined",
IF(_xlfn.XLOOKUP(DK$8,Engineering!$M$5:$BM$5,Engineering!$M$8:$BM$8)="Undefined",_xlfn.XLOOKUP(DK$8,Engineering!$M$5:$BM$5,Engineering!$M$9:$BM$9),
_xlfn.XLOOKUP(DK$8,Engineering!$M$5:$BM$5,Engineering!$M$8:$BM$8)/_xlfn.XLOOKUP(DK$8,Engineering!$M$5:$BM$5,Engineering!$M$9:$BM$9))))))),"")</f>
        <v>TBC</v>
      </c>
      <c r="DL76" s="315">
        <f>IFERROR(IF(DL$7&gt;$D$3,"",IF(BD76="Missed","Missed",IF(BD76="OD","OD",IF(BD76="TBC","TBC",IF(BD76="Undefined","Undefined",
IF(_xlfn.XLOOKUP(DL$8,Engineering!$M$5:$BM$5,Engineering!$M$8:$BM$8)="Undefined",_xlfn.XLOOKUP(DL$8,Engineering!$M$5:$BM$5,Engineering!$M$9:$BM$9),
_xlfn.XLOOKUP(DL$8,Engineering!$M$5:$BM$5,Engineering!$M$8:$BM$8)/_xlfn.XLOOKUP(DL$8,Engineering!$M$5:$BM$5,Engineering!$M$9:$BM$9))))))),"")</f>
        <v>2</v>
      </c>
      <c r="DM76" s="315">
        <f>IFERROR(IF(DM$7&gt;$D$3,"",IF(BE76="Missed","Missed",IF(BE76="OD","OD",IF(BE76="TBC","TBC",IF(BE76="Undefined","Undefined",
IF(_xlfn.XLOOKUP(DM$8,Engineering!$M$5:$BM$5,Engineering!$M$8:$BM$8)="Undefined",_xlfn.XLOOKUP(DM$8,Engineering!$M$5:$BM$5,Engineering!$M$9:$BM$9),
_xlfn.XLOOKUP(DM$8,Engineering!$M$5:$BM$5,Engineering!$M$8:$BM$8)/_xlfn.XLOOKUP(DM$8,Engineering!$M$5:$BM$5,Engineering!$M$9:$BM$9))))))),"")</f>
        <v>2</v>
      </c>
      <c r="DN76" s="315">
        <f>IFERROR(IF(DN$7&gt;$D$3,"",IF(BF76="Missed","Missed",IF(BF76="OD","OD",IF(BF76="TBC","TBC",IF(BF76="Undefined","Undefined",
IF(_xlfn.XLOOKUP(DN$8,Engineering!$M$5:$BM$5,Engineering!$M$8:$BM$8)="Undefined",_xlfn.XLOOKUP(DN$8,Engineering!$M$5:$BM$5,Engineering!$M$9:$BM$9),
_xlfn.XLOOKUP(DN$8,Engineering!$M$5:$BM$5,Engineering!$M$8:$BM$8)/_xlfn.XLOOKUP(DN$8,Engineering!$M$5:$BM$5,Engineering!$M$9:$BM$9))))))),"")</f>
        <v>2</v>
      </c>
      <c r="DO76" s="315">
        <f>IFERROR(IF(DO$7&gt;$D$3,"",IF(BG76="Missed","Missed",IF(BG76="OD","OD",IF(BG76="TBC","TBC",IF(BG76="Undefined","Undefined",
IF(_xlfn.XLOOKUP(DO$8,Engineering!$M$5:$BM$5,Engineering!$M$8:$BM$8)="Undefined",_xlfn.XLOOKUP(DO$8,Engineering!$M$5:$BM$5,Engineering!$M$9:$BM$9),
_xlfn.XLOOKUP(DO$8,Engineering!$M$5:$BM$5,Engineering!$M$8:$BM$8)/_xlfn.XLOOKUP(DO$8,Engineering!$M$5:$BM$5,Engineering!$M$9:$BM$9))))))),"")</f>
        <v>2</v>
      </c>
      <c r="DP76" s="315">
        <f>IFERROR(IF(DP$7&gt;$D$3,"",IF(BH76="Missed","Missed",IF(BH76="OD","OD",IF(BH76="TBC","TBC",IF(BH76="Undefined","Undefined",
IF(_xlfn.XLOOKUP(DP$8,Engineering!$M$5:$BM$5,Engineering!$M$8:$BM$8)="Undefined",_xlfn.XLOOKUP(DP$8,Engineering!$M$5:$BM$5,Engineering!$M$9:$BM$9),
_xlfn.XLOOKUP(DP$8,Engineering!$M$5:$BM$5,Engineering!$M$8:$BM$8)/_xlfn.XLOOKUP(DP$8,Engineering!$M$5:$BM$5,Engineering!$M$9:$BM$9))))))),"")</f>
        <v>2</v>
      </c>
      <c r="DQ76" s="315">
        <f>IFERROR(IF(DQ$7&gt;$D$3,"",IF(BI76="Missed","Missed",IF(BI76="OD","OD",IF(BI76="TBC","TBC",IF(BI76="Undefined","Undefined",
IF(_xlfn.XLOOKUP(DQ$8,Engineering!$M$5:$BM$5,Engineering!$M$8:$BM$8)="Undefined",_xlfn.XLOOKUP(DQ$8,Engineering!$M$5:$BM$5,Engineering!$M$9:$BM$9),
_xlfn.XLOOKUP(DQ$8,Engineering!$M$5:$BM$5,Engineering!$M$8:$BM$8)/_xlfn.XLOOKUP(DQ$8,Engineering!$M$5:$BM$5,Engineering!$M$9:$BM$9))))))),"")</f>
        <v>2</v>
      </c>
      <c r="DR76" s="315">
        <f>IFERROR(IF(DR$7&gt;$D$3,"",IF(BJ76="Missed","Missed",IF(BJ76="OD","OD",IF(BJ76="TBC","TBC",IF(BJ76="Undefined","Undefined",
IF(_xlfn.XLOOKUP(DR$8,Engineering!$M$5:$BM$5,Engineering!$M$8:$BM$8)="Undefined",_xlfn.XLOOKUP(DR$8,Engineering!$M$5:$BM$5,Engineering!$M$9:$BM$9),
_xlfn.XLOOKUP(DR$8,Engineering!$M$5:$BM$5,Engineering!$M$8:$BM$8)/_xlfn.XLOOKUP(DR$8,Engineering!$M$5:$BM$5,Engineering!$M$9:$BM$9))))))),"")</f>
        <v>2</v>
      </c>
      <c r="DS76" s="315">
        <f>IFERROR(IF(DS$7&gt;$D$3,"",IF(BK76="Missed","Missed",IF(BK76="OD","OD",IF(BK76="TBC","TBC",IF(BK76="Undefined","Undefined",
IF(_xlfn.XLOOKUP(DS$8,Engineering!$M$5:$BM$5,Engineering!$M$8:$BM$8)="Undefined",_xlfn.XLOOKUP(DS$8,Engineering!$M$5:$BM$5,Engineering!$M$9:$BM$9),
_xlfn.XLOOKUP(DS$8,Engineering!$M$5:$BM$5,Engineering!$M$8:$BM$8)/_xlfn.XLOOKUP(DS$8,Engineering!$M$5:$BM$5,Engineering!$M$9:$BM$9))))))),"")</f>
        <v>2</v>
      </c>
      <c r="DT76" s="315">
        <f>IFERROR(IF(DT$7&gt;$D$3,"",IF(BL76="Missed","Missed",IF(BL76="OD","OD",IF(BL76="TBC","TBC",IF(BL76="Undefined","Undefined",
IF(_xlfn.XLOOKUP(DT$8,Engineering!$M$5:$BM$5,Engineering!$M$8:$BM$8)="Undefined",_xlfn.XLOOKUP(DT$8,Engineering!$M$5:$BM$5,Engineering!$M$9:$BM$9),
_xlfn.XLOOKUP(DT$8,Engineering!$M$5:$BM$5,Engineering!$M$8:$BM$8)/_xlfn.XLOOKUP(DT$8,Engineering!$M$5:$BM$5,Engineering!$M$9:$BM$9))))))),"")</f>
        <v>2</v>
      </c>
      <c r="DU76" s="315">
        <f>IFERROR(IF(DU$7&gt;$D$3,"",IF(BM76="Missed","Missed",IF(BM76="OD","OD",IF(BM76="TBC","TBC",IF(BM76="Undefined","Undefined",
IF(_xlfn.XLOOKUP(DU$8,Engineering!$M$5:$BM$5,Engineering!$M$8:$BM$8)="Undefined",_xlfn.XLOOKUP(DU$8,Engineering!$M$5:$BM$5,Engineering!$M$9:$BM$9),
_xlfn.XLOOKUP(DU$8,Engineering!$M$5:$BM$5,Engineering!$M$8:$BM$8)/_xlfn.XLOOKUP(DU$8,Engineering!$M$5:$BM$5,Engineering!$M$9:$BM$9))))))),"")</f>
        <v>0.33333333333333331</v>
      </c>
      <c r="DV76" s="315">
        <f>IFERROR(IF(DV$7&gt;$D$3,"",IF(BN76="Missed","Missed",IF(BN76="OD","OD",IF(BN76="TBC","TBC",IF(BN76="Undefined","Undefined",
IF(_xlfn.XLOOKUP(DV$8,Engineering!$M$5:$BM$5,Engineering!$M$8:$BM$8)="Undefined",_xlfn.XLOOKUP(DV$8,Engineering!$M$5:$BM$5,Engineering!$M$9:$BM$9),
_xlfn.XLOOKUP(DV$8,Engineering!$M$5:$BM$5,Engineering!$M$8:$BM$8)/_xlfn.XLOOKUP(DV$8,Engineering!$M$5:$BM$5,Engineering!$M$9:$BM$9))))))),"")</f>
        <v>0.33333333333333331</v>
      </c>
      <c r="DW76" s="315">
        <f>IFERROR(IF(DW$7&gt;$D$3,"",IF(BO76="Missed","Missed",IF(BO76="OD","OD",IF(BO76="TBC","TBC",IF(BO76="Undefined","Undefined",
IF(_xlfn.XLOOKUP(DW$8,Engineering!$M$5:$BM$5,Engineering!$M$8:$BM$8)="Undefined",_xlfn.XLOOKUP(DW$8,Engineering!$M$5:$BM$5,Engineering!$M$9:$BM$9),
_xlfn.XLOOKUP(DW$8,Engineering!$M$5:$BM$5,Engineering!$M$8:$BM$8)/_xlfn.XLOOKUP(DW$8,Engineering!$M$5:$BM$5,Engineering!$M$9:$BM$9))))))),"")</f>
        <v>0.33333333333333331</v>
      </c>
      <c r="DX76" s="315">
        <f>IFERROR(IF(DX$7&gt;$D$3,"",IF(BP76="Missed","Missed",IF(BP76="OD","OD",IF(BP76="TBC","TBC",IF(BP76="Undefined","Undefined",
IF(_xlfn.XLOOKUP(DX$8,Engineering!$M$5:$BM$5,Engineering!$M$8:$BM$8)="Undefined",_xlfn.XLOOKUP(DX$8,Engineering!$M$5:$BM$5,Engineering!$M$9:$BM$9),
_xlfn.XLOOKUP(DX$8,Engineering!$M$5:$BM$5,Engineering!$M$8:$BM$8)/_xlfn.XLOOKUP(DX$8,Engineering!$M$5:$BM$5,Engineering!$M$9:$BM$9))))))),"")</f>
        <v>0.33333333333333331</v>
      </c>
      <c r="DY76" s="315">
        <f>IFERROR(IF(DY$7&gt;$D$3,"",IF(BQ76="Missed","Missed",IF(BQ76="OD","OD",IF(BQ76="TBC","TBC",IF(BQ76="Undefined","Undefined",
IF(_xlfn.XLOOKUP(DY$8,Engineering!$M$5:$BM$5,Engineering!$M$8:$BM$8)="Undefined",_xlfn.XLOOKUP(DY$8,Engineering!$M$5:$BM$5,Engineering!$M$9:$BM$9),
_xlfn.XLOOKUP(DY$8,Engineering!$M$5:$BM$5,Engineering!$M$8:$BM$8)/_xlfn.XLOOKUP(DY$8,Engineering!$M$5:$BM$5,Engineering!$M$9:$BM$9))))))),"")</f>
        <v>0.33333333333333331</v>
      </c>
      <c r="DZ76" s="315" t="str">
        <f>IFERROR(IF(DZ$7&gt;$D$3,"",IF(BR76="Missed","Missed",IF(BR76="OD","OD",IF(BR76="TBC","TBC",IF(BR76="Undefined","Undefined",
IF(_xlfn.XLOOKUP(DZ$8,Engineering!$M$5:$BM$5,Engineering!$M$8:$BM$8)="Undefined",_xlfn.XLOOKUP(DZ$8,Engineering!$M$5:$BM$5,Engineering!$M$9:$BM$9),
_xlfn.XLOOKUP(DZ$8,Engineering!$M$5:$BM$5,Engineering!$M$8:$BM$8)/_xlfn.XLOOKUP(DZ$8,Engineering!$M$5:$BM$5,Engineering!$M$9:$BM$9))))))),"")</f>
        <v>OD</v>
      </c>
      <c r="EA76" s="315" t="str">
        <f>IFERROR(IF(EA$7&gt;$D$3,"",IF(BS76="Missed","Missed",IF(BS76="OD","OD",IF(BS76="TBC","TBC",IF(BS76="Undefined","Undefined",
IF(_xlfn.XLOOKUP(EA$8,Engineering!$M$5:$BM$5,Engineering!$M$8:$BM$8)="Undefined",_xlfn.XLOOKUP(EA$8,Engineering!$M$5:$BM$5,Engineering!$M$9:$BM$9),
_xlfn.XLOOKUP(EA$8,Engineering!$M$5:$BM$5,Engineering!$M$8:$BM$8)/_xlfn.XLOOKUP(EA$8,Engineering!$M$5:$BM$5,Engineering!$M$9:$BM$9))))))),"")</f>
        <v>OD</v>
      </c>
      <c r="EB76" s="315" t="str">
        <f>IFERROR(IF(EB$7&gt;$D$3,"",IF(BT76="Missed","Missed",IF(BT76="OD","OD",IF(BT76="TBC","TBC",IF(BT76="Undefined","Undefined",
IF(_xlfn.XLOOKUP(EB$8,Engineering!$M$5:$BM$5,Engineering!$M$8:$BM$8)="Undefined",_xlfn.XLOOKUP(EB$8,Engineering!$M$5:$BM$5,Engineering!$M$9:$BM$9),
_xlfn.XLOOKUP(EB$8,Engineering!$M$5:$BM$5,Engineering!$M$8:$BM$8)/_xlfn.XLOOKUP(EB$8,Engineering!$M$5:$BM$5,Engineering!$M$9:$BM$9))))))),"")</f>
        <v>OD</v>
      </c>
      <c r="EC76" s="315" t="str">
        <f>IFERROR(IF(EC$7&gt;$D$3,"",IF(BU76="Missed","Missed",IF(BU76="OD","OD",IF(BU76="TBC","TBC",IF(BU76="Undefined","Undefined",
IF(_xlfn.XLOOKUP(EC$8,Engineering!$M$5:$BM$5,Engineering!$M$8:$BM$8)="Undefined",_xlfn.XLOOKUP(EC$8,Engineering!$M$5:$BM$5,Engineering!$M$9:$BM$9),
_xlfn.XLOOKUP(EC$8,Engineering!$M$5:$BM$5,Engineering!$M$8:$BM$8)/_xlfn.XLOOKUP(EC$8,Engineering!$M$5:$BM$5,Engineering!$M$9:$BM$9))))))),"")</f>
        <v>OD</v>
      </c>
      <c r="ED76" s="315" t="str">
        <f>IFERROR(IF(ED$7&gt;$D$3,"",IF(BV76="Missed","Missed",IF(BV76="OD","OD",IF(BV76="TBC","TBC",IF(BV76="Undefined","Undefined",
IF(_xlfn.XLOOKUP(ED$8,Engineering!$M$5:$BM$5,Engineering!$M$8:$BM$8)="Undefined",_xlfn.XLOOKUP(ED$8,Engineering!$M$5:$BM$5,Engineering!$M$9:$BM$9),
_xlfn.XLOOKUP(ED$8,Engineering!$M$5:$BM$5,Engineering!$M$8:$BM$8)/_xlfn.XLOOKUP(ED$8,Engineering!$M$5:$BM$5,Engineering!$M$9:$BM$9))))))),"")</f>
        <v>OD</v>
      </c>
      <c r="EE76" s="315" t="str">
        <f>IFERROR(IF(EE$7&gt;$D$3,"",IF(BW76="Missed","Missed",IF(BW76="OD","OD",IF(BW76="TBC","TBC",IF(BW76="Undefined","Undefined",
IF(_xlfn.XLOOKUP(EE$8,Engineering!$M$5:$BM$5,Engineering!$M$8:$BM$8)="Undefined",_xlfn.XLOOKUP(EE$8,Engineering!$M$5:$BM$5,Engineering!$M$9:$BM$9),
_xlfn.XLOOKUP(EE$8,Engineering!$M$5:$BM$5,Engineering!$M$8:$BM$8)/_xlfn.XLOOKUP(EE$8,Engineering!$M$5:$BM$5,Engineering!$M$9:$BM$9))))))),"")</f>
        <v>OD</v>
      </c>
      <c r="EF76" s="315" t="str">
        <f>IFERROR(IF(EF$7&gt;$D$3,"",IF(BX76="Missed","Missed",IF(BX76="OD","OD",IF(BX76="TBC","TBC",IF(BX76="Undefined","Undefined",
IF(_xlfn.XLOOKUP(EF$8,Engineering!$M$5:$BM$5,Engineering!$M$8:$BM$8)="Undefined",_xlfn.XLOOKUP(EF$8,Engineering!$M$5:$BM$5,Engineering!$M$9:$BM$9),
_xlfn.XLOOKUP(EF$8,Engineering!$M$5:$BM$5,Engineering!$M$8:$BM$8)/_xlfn.XLOOKUP(EF$8,Engineering!$M$5:$BM$5,Engineering!$M$9:$BM$9))))))),"")</f>
        <v>OD</v>
      </c>
      <c r="EG76" s="315" t="str">
        <f>IFERROR(IF(EG$7&gt;$D$3,"",IF(BY76="Missed","Missed",IF(BY76="OD","OD",IF(BY76="TBC","TBC",IF(BY76="Undefined","Undefined",
IF(_xlfn.XLOOKUP(EG$8,Engineering!$M$5:$BM$5,Engineering!$M$8:$BM$8)="Undefined",_xlfn.XLOOKUP(EG$8,Engineering!$M$5:$BM$5,Engineering!$M$9:$BM$9),
_xlfn.XLOOKUP(EG$8,Engineering!$M$5:$BM$5,Engineering!$M$8:$BM$8)/_xlfn.XLOOKUP(EG$8,Engineering!$M$5:$BM$5,Engineering!$M$9:$BM$9))))))),"")</f>
        <v>OD</v>
      </c>
      <c r="EH76" s="315" t="str">
        <f>IFERROR(IF(EH$7&gt;$D$3,"",IF(BZ76="Missed","Missed",IF(BZ76="OD","OD",IF(BZ76="TBC","TBC",IF(BZ76="Undefined","Undefined",
IF(_xlfn.XLOOKUP(EH$8,Engineering!$M$5:$BM$5,Engineering!$M$8:$BM$8)="Undefined",_xlfn.XLOOKUP(EH$8,Engineering!$M$5:$BM$5,Engineering!$M$9:$BM$9),
_xlfn.XLOOKUP(EH$8,Engineering!$M$5:$BM$5,Engineering!$M$8:$BM$8)/_xlfn.XLOOKUP(EH$8,Engineering!$M$5:$BM$5,Engineering!$M$9:$BM$9))))))),"")</f>
        <v>OD</v>
      </c>
      <c r="EI76" s="315" t="str">
        <f>IFERROR(IF(EI$7&gt;$D$3,"",IF(CA76="Missed","Missed",IF(CA76="OD","OD",IF(CA76="TBC","TBC",IF(CA76="Undefined","Undefined",
IF(_xlfn.XLOOKUP(EI$8,Engineering!$M$5:$BM$5,Engineering!$M$8:$BM$8)="Undefined",_xlfn.XLOOKUP(EI$8,Engineering!$M$5:$BM$5,Engineering!$M$9:$BM$9),
_xlfn.XLOOKUP(EI$8,Engineering!$M$5:$BM$5,Engineering!$M$8:$BM$8)/_xlfn.XLOOKUP(EI$8,Engineering!$M$5:$BM$5,Engineering!$M$9:$BM$9))))))),"")</f>
        <v>OD</v>
      </c>
      <c r="EJ76" s="315" t="str">
        <f>IFERROR(IF(EJ$7&gt;$D$3,"",IF(CB76="Missed","Missed",IF(CB76="OD","OD",IF(CB76="TBC","TBC",IF(CB76="Undefined","Undefined",
IF(_xlfn.XLOOKUP(EJ$8,Engineering!$M$5:$BM$5,Engineering!$M$8:$BM$8)="Undefined",_xlfn.XLOOKUP(EJ$8,Engineering!$M$5:$BM$5,Engineering!$M$9:$BM$9),
_xlfn.XLOOKUP(EJ$8,Engineering!$M$5:$BM$5,Engineering!$M$8:$BM$8)/_xlfn.XLOOKUP(EJ$8,Engineering!$M$5:$BM$5,Engineering!$M$9:$BM$9))))))),"")</f>
        <v>OD</v>
      </c>
      <c r="EK76" s="315" t="str">
        <f>IFERROR(IF(EK$7&gt;$D$3,"",IF(CC76="Missed","Missed",IF(CC76="OD","OD",IF(CC76="TBC","TBC",IF(CC76="Undefined","Undefined",
IF(_xlfn.XLOOKUP(EK$8,Engineering!$M$5:$BM$5,Engineering!$M$8:$BM$8)="Undefined",_xlfn.XLOOKUP(EK$8,Engineering!$M$5:$BM$5,Engineering!$M$9:$BM$9),
_xlfn.XLOOKUP(EK$8,Engineering!$M$5:$BM$5,Engineering!$M$8:$BM$8)/_xlfn.XLOOKUP(EK$8,Engineering!$M$5:$BM$5,Engineering!$M$9:$BM$9))))))),"")</f>
        <v/>
      </c>
      <c r="EL76" s="315" t="str">
        <f>IFERROR(IF(EL$7&gt;$D$3,"",IF(CD76="Missed","Missed",IF(CD76="OD","OD",IF(CD76="TBC","TBC",IF(CD76="Undefined","Undefined",
IF(_xlfn.XLOOKUP(EL$8,Engineering!$M$5:$BM$5,Engineering!$M$8:$BM$8)="Undefined",_xlfn.XLOOKUP(EL$8,Engineering!$M$5:$BM$5,Engineering!$M$9:$BM$9),
_xlfn.XLOOKUP(EL$8,Engineering!$M$5:$BM$5,Engineering!$M$8:$BM$8)/_xlfn.XLOOKUP(EL$8,Engineering!$M$5:$BM$5,Engineering!$M$9:$BM$9))))))),"")</f>
        <v/>
      </c>
      <c r="EM76" s="315" t="str">
        <f>IFERROR(IF(EM$7&gt;$D$3,"",IF(CE76="Missed","Missed",IF(CE76="OD","OD",IF(CE76="TBC","TBC",IF(CE76="Undefined","Undefined",
IF(_xlfn.XLOOKUP(EM$8,Engineering!$M$5:$BM$5,Engineering!$M$8:$BM$8)="Undefined",_xlfn.XLOOKUP(EM$8,Engineering!$M$5:$BM$5,Engineering!$M$9:$BM$9),
_xlfn.XLOOKUP(EM$8,Engineering!$M$5:$BM$5,Engineering!$M$8:$BM$8)/_xlfn.XLOOKUP(EM$8,Engineering!$M$5:$BM$5,Engineering!$M$9:$BM$9))))))),"")</f>
        <v/>
      </c>
      <c r="EN76" s="315" t="str">
        <f>IFERROR(IF(EN$7&gt;$D$3,"",IF(CF76="Missed","Missed",IF(CF76="OD","OD",IF(CF76="TBC","TBC",IF(CF76="Undefined","Undefined",
IF(_xlfn.XLOOKUP(EN$8,Engineering!$M$5:$BM$5,Engineering!$M$8:$BM$8)="Undefined",_xlfn.XLOOKUP(EN$8,Engineering!$M$5:$BM$5,Engineering!$M$9:$BM$9),
_xlfn.XLOOKUP(EN$8,Engineering!$M$5:$BM$5,Engineering!$M$8:$BM$8)/_xlfn.XLOOKUP(EN$8,Engineering!$M$5:$BM$5,Engineering!$M$9:$BM$9))))))),"")</f>
        <v/>
      </c>
      <c r="EO76" s="315" t="str">
        <f>IFERROR(IF(EO$7&gt;$D$3,"",IF(CG76="Missed","Missed",IF(CG76="OD","OD",IF(CG76="TBC","TBC",IF(CG76="Undefined","Undefined",
IF(_xlfn.XLOOKUP(EO$8,Engineering!$M$5:$BM$5,Engineering!$M$8:$BM$8)="Undefined",_xlfn.XLOOKUP(EO$8,Engineering!$M$5:$BM$5,Engineering!$M$9:$BM$9),
_xlfn.XLOOKUP(EO$8,Engineering!$M$5:$BM$5,Engineering!$M$8:$BM$8)/_xlfn.XLOOKUP(EO$8,Engineering!$M$5:$BM$5,Engineering!$M$9:$BM$9))))))),"")</f>
        <v/>
      </c>
      <c r="EP76" s="315" t="str">
        <f>IFERROR(IF(EP$7&gt;$D$3,"",IF(CH76="Missed","Missed",IF(CH76="OD","OD",IF(CH76="TBC","TBC",IF(CH76="Undefined","Undefined",
IF(_xlfn.XLOOKUP(EP$8,Engineering!$M$5:$BM$5,Engineering!$M$8:$BM$8)="Undefined",_xlfn.XLOOKUP(EP$8,Engineering!$M$5:$BM$5,Engineering!$M$9:$BM$9),
_xlfn.XLOOKUP(EP$8,Engineering!$M$5:$BM$5,Engineering!$M$8:$BM$8)/_xlfn.XLOOKUP(EP$8,Engineering!$M$5:$BM$5,Engineering!$M$9:$BM$9))))))),"")</f>
        <v/>
      </c>
      <c r="EQ76" s="315" t="str">
        <f>IFERROR(IF(EQ$7&gt;$D$3,"",IF(CI76="Missed","Missed",IF(CI76="OD","OD",IF(CI76="TBC","TBC",IF(CI76="Undefined","Undefined",
IF(_xlfn.XLOOKUP(EQ$8,Engineering!$M$5:$BM$5,Engineering!$M$8:$BM$8)="Undefined",_xlfn.XLOOKUP(EQ$8,Engineering!$M$5:$BM$5,Engineering!$M$9:$BM$9),
_xlfn.XLOOKUP(EQ$8,Engineering!$M$5:$BM$5,Engineering!$M$8:$BM$8)/_xlfn.XLOOKUP(EQ$8,Engineering!$M$5:$BM$5,Engineering!$M$9:$BM$9))))))),"")</f>
        <v/>
      </c>
      <c r="ER76" s="315" t="str">
        <f>IFERROR(IF(ER$7&gt;$D$3,"",IF(CJ76="Missed","Missed",IF(CJ76="OD","OD",IF(CJ76="TBC","TBC",IF(CJ76="Undefined","Undefined",
IF(_xlfn.XLOOKUP(ER$8,Engineering!$M$5:$BM$5,Engineering!$M$8:$BM$8)="Undefined",_xlfn.XLOOKUP(ER$8,Engineering!$M$5:$BM$5,Engineering!$M$9:$BM$9),
_xlfn.XLOOKUP(ER$8,Engineering!$M$5:$BM$5,Engineering!$M$8:$BM$8)/_xlfn.XLOOKUP(ER$8,Engineering!$M$5:$BM$5,Engineering!$M$9:$BM$9))))))),"")</f>
        <v/>
      </c>
      <c r="ES76" s="315" t="str">
        <f>IFERROR(IF(ES$7&gt;$D$3,"",IF(CK76="Missed","Missed",IF(CK76="OD","OD",IF(CK76="TBC","TBC",IF(CK76="Undefined","Undefined",
IF(_xlfn.XLOOKUP(ES$8,Engineering!$M$5:$BM$5,Engineering!$M$8:$BM$8)="Undefined",_xlfn.XLOOKUP(ES$8,Engineering!$M$5:$BM$5,Engineering!$M$9:$BM$9),
_xlfn.XLOOKUP(ES$8,Engineering!$M$5:$BM$5,Engineering!$M$8:$BM$8)/_xlfn.XLOOKUP(ES$8,Engineering!$M$5:$BM$5,Engineering!$M$9:$BM$9))))))),"")</f>
        <v/>
      </c>
      <c r="ET76" s="315" t="str">
        <f>IFERROR(IF(ET$7&gt;$D$3,"",IF(CL76="Missed","Missed",IF(CL76="OD","OD",IF(CL76="TBC","TBC",IF(CL76="Undefined","Undefined",
IF(_xlfn.XLOOKUP(ET$8,Engineering!$M$5:$BM$5,Engineering!$M$8:$BM$8)="Undefined",_xlfn.XLOOKUP(ET$8,Engineering!$M$5:$BM$5,Engineering!$M$9:$BM$9),
_xlfn.XLOOKUP(ET$8,Engineering!$M$5:$BM$5,Engineering!$M$8:$BM$8)/_xlfn.XLOOKUP(ET$8,Engineering!$M$5:$BM$5,Engineering!$M$9:$BM$9))))))),"")</f>
        <v/>
      </c>
      <c r="EU76" s="315" t="str">
        <f>IFERROR(IF(EU$7&gt;$D$3,"",IF(CM76="Missed","Missed",IF(CM76="OD","OD",IF(CM76="TBC","TBC",IF(CM76="Undefined","Undefined",
IF(_xlfn.XLOOKUP(EU$8,Engineering!$M$5:$BM$5,Engineering!$M$8:$BM$8)="Undefined",_xlfn.XLOOKUP(EU$8,Engineering!$M$5:$BM$5,Engineering!$M$9:$BM$9),
_xlfn.XLOOKUP(EU$8,Engineering!$M$5:$BM$5,Engineering!$M$8:$BM$8)/_xlfn.XLOOKUP(EU$8,Engineering!$M$5:$BM$5,Engineering!$M$9:$BM$9))))))),"")</f>
        <v/>
      </c>
      <c r="EW76" s="465" t="str">
        <f>+$A76</f>
        <v>Engineering-KPI P1</v>
      </c>
      <c r="EX76" s="133" t="str">
        <f>+$C76</f>
        <v>KPI P1</v>
      </c>
      <c r="EY76" s="142" t="str">
        <f>+$D76</f>
        <v>Productivity</v>
      </c>
      <c r="EZ76" s="142" t="str">
        <f>+$E76</f>
        <v>Mean Time to Allocate MTTA</v>
      </c>
      <c r="FA76" s="143" t="str">
        <f>+$F76</f>
        <v>Days</v>
      </c>
      <c r="FB76" s="143" t="s">
        <v>251</v>
      </c>
      <c r="FC76" s="198" t="str">
        <f>IF(FC$7&gt;$D$3,"",IF($FA72&lt;FC$8,"OD",_xlfn.XLOOKUP(FC$8,Engineering!$M$5:$BM$5,Engineering!$M$9:$BM$9)))</f>
        <v>TBC</v>
      </c>
      <c r="FD76" s="198" t="str">
        <f>IF(FD$7&gt;$D$3,"",IF($FA72&lt;FD$8,"OD",_xlfn.XLOOKUP(FD$8,Engineering!$M$5:$BM$5,Engineering!$M$9:$BM$9)))</f>
        <v>TBC</v>
      </c>
      <c r="FE76" s="198" t="str">
        <f>IF(FE$7&gt;$D$3,"",IF($FA72&lt;FE$8,"OD",_xlfn.XLOOKUP(FE$8,Engineering!$M$5:$BM$5,Engineering!$M$9:$BM$9)))</f>
        <v>TBC</v>
      </c>
      <c r="FF76" s="198" t="str">
        <f>IF(FF$7&gt;$D$3,"",IF($FA72&lt;FF$8,"OD",_xlfn.XLOOKUP(FF$8,Engineering!$M$5:$BM$5,Engineering!$M$9:$BM$9)))</f>
        <v>TBC</v>
      </c>
      <c r="FG76" s="198" t="str">
        <f>IF(FG$7&gt;$D$3,"",IF($FA72&lt;FG$8,"OD",_xlfn.XLOOKUP(FG$8,Engineering!$M$5:$BM$5,Engineering!$M$9:$BM$9)))</f>
        <v>TBC</v>
      </c>
      <c r="FH76" s="198" t="str">
        <f>IF(FH$7&gt;$D$3,"",IF($FA72&lt;FH$8,"OD",_xlfn.XLOOKUP(FH$8,Engineering!$M$5:$BM$5,Engineering!$M$9:$BM$9)))</f>
        <v>TBC</v>
      </c>
      <c r="FI76" s="198" t="str">
        <f>IF(FI$7&gt;$D$3,"",IF($FA72&lt;FI$8,"OD",_xlfn.XLOOKUP(FI$8,Engineering!$M$5:$BM$5,Engineering!$M$9:$BM$9)))</f>
        <v>TBC</v>
      </c>
      <c r="FJ76" s="198" t="str">
        <f>IF(FJ$7&gt;$D$3,"",IF($FA72&lt;FJ$8,"OD",_xlfn.XLOOKUP(FJ$8,Engineering!$M$5:$BM$5,Engineering!$M$9:$BM$9)))</f>
        <v>TBC</v>
      </c>
      <c r="FK76" s="198" t="str">
        <f>IF(FK$7&gt;$D$3,"",IF($FA72&lt;FK$8,"OD",_xlfn.XLOOKUP(FK$8,Engineering!$M$5:$BM$5,Engineering!$M$9:$BM$9)))</f>
        <v>TBC</v>
      </c>
      <c r="FL76" s="198" t="str">
        <f>IF(FL$7&gt;$D$3,"",IF($FA72&lt;FL$8,"OD",_xlfn.XLOOKUP(FL$8,Engineering!$M$5:$BM$5,Engineering!$M$9:$BM$9)))</f>
        <v>TBC</v>
      </c>
      <c r="FM76" s="198" t="str">
        <f>IF(FM$7&gt;$D$3,"",IF($FA72&lt;FM$8,"OD",_xlfn.XLOOKUP(FM$8,Engineering!$M$5:$BM$5,Engineering!$M$9:$BM$9)))</f>
        <v>TBC</v>
      </c>
      <c r="FN76" s="198" t="str">
        <f>IF(FN$7&gt;$D$3,"",IF($FA72&lt;FN$8,"OD",_xlfn.XLOOKUP(FN$8,Engineering!$M$5:$BM$5,Engineering!$M$9:$BM$9)))</f>
        <v>TBC</v>
      </c>
      <c r="FO76" s="198" t="str">
        <f>IF(FO$7&gt;$D$3,"",IF($FA72&lt;FO$8,"OD",_xlfn.XLOOKUP(FO$8,Engineering!$M$5:$BM$5,Engineering!$M$9:$BM$9)))</f>
        <v>TBC</v>
      </c>
      <c r="FP76" s="198" t="str">
        <f>IF(FP$7&gt;$D$3,"",IF($FA72&lt;FP$8,"OD",_xlfn.XLOOKUP(FP$8,Engineering!$M$5:$BM$5,Engineering!$M$9:$BM$9)))</f>
        <v>TBC</v>
      </c>
      <c r="FQ76" s="198" t="str">
        <f>IF(FQ$7&gt;$D$3,"",IF($FA72&lt;FQ$8,"OD",_xlfn.XLOOKUP(FQ$8,Engineering!$M$5:$BM$5,Engineering!$M$9:$BM$9)))</f>
        <v>TBC</v>
      </c>
      <c r="FR76" s="198" t="str">
        <f>IF(FR$7&gt;$D$3,"",IF($FA72&lt;FR$8,"OD",_xlfn.XLOOKUP(FR$8,Engineering!$M$5:$BM$5,Engineering!$M$9:$BM$9)))</f>
        <v>TBC</v>
      </c>
      <c r="FS76" s="198" t="str">
        <f>IF(FS$7&gt;$D$3,"",IF($FA72&lt;FS$8,"OD",_xlfn.XLOOKUP(FS$8,Engineering!$M$5:$BM$5,Engineering!$M$9:$BM$9)))</f>
        <v>TBC</v>
      </c>
      <c r="FT76" s="198">
        <f>IF(FT$7&gt;$D$3,"",IF($FA72&lt;FT$8,"OD",_xlfn.XLOOKUP(FT$8,Engineering!$M$5:$BM$5,Engineering!$M$9:$BM$9)))</f>
        <v>1</v>
      </c>
      <c r="FU76" s="198">
        <f>IF(FU$7&gt;$D$3,"",IF($FA72&lt;FU$8,"OD",_xlfn.XLOOKUP(FU$8,Engineering!$M$5:$BM$5,Engineering!$M$9:$BM$9)))</f>
        <v>1</v>
      </c>
      <c r="FV76" s="198">
        <f>IF(FV$7&gt;$D$3,"",IF($FA72&lt;FV$8,"OD",_xlfn.XLOOKUP(FV$8,Engineering!$M$5:$BM$5,Engineering!$M$9:$BM$9)))</f>
        <v>1</v>
      </c>
      <c r="FW76" s="198">
        <f>IF(FW$7&gt;$D$3,"",IF($FA72&lt;FW$8,"OD",_xlfn.XLOOKUP(FW$8,Engineering!$M$5:$BM$5,Engineering!$M$9:$BM$9)))</f>
        <v>1</v>
      </c>
      <c r="FX76" s="198">
        <f>IF(FX$7&gt;$D$3,"",IF($FA72&lt;FX$8,"OD",_xlfn.XLOOKUP(FX$8,Engineering!$M$5:$BM$5,Engineering!$M$9:$BM$9)))</f>
        <v>1</v>
      </c>
      <c r="FY76" s="198">
        <f>IF(FY$7&gt;$D$3,"",IF($FA72&lt;FY$8,"OD",_xlfn.XLOOKUP(FY$8,Engineering!$M$5:$BM$5,Engineering!$M$9:$BM$9)))</f>
        <v>1</v>
      </c>
      <c r="FZ76" s="198">
        <f>IF(FZ$7&gt;$D$3,"",IF($FA72&lt;FZ$8,"OD",_xlfn.XLOOKUP(FZ$8,Engineering!$M$5:$BM$5,Engineering!$M$9:$BM$9)))</f>
        <v>1</v>
      </c>
      <c r="GA76" s="198">
        <f>IF(GA$7&gt;$D$3,"",IF($FA72&lt;GA$8,"OD",_xlfn.XLOOKUP(GA$8,Engineering!$M$5:$BM$5,Engineering!$M$9:$BM$9)))</f>
        <v>1</v>
      </c>
      <c r="GB76" s="198">
        <f>IF(GB$7&gt;$D$3,"",IF($FA72&lt;GB$8,"OD",_xlfn.XLOOKUP(GB$8,Engineering!$M$5:$BM$5,Engineering!$M$9:$BM$9)))</f>
        <v>1</v>
      </c>
      <c r="GC76" s="198">
        <f>IF(GC$7&gt;$D$3,"",IF($FA72&lt;GC$8,"OD",_xlfn.XLOOKUP(GC$8,Engineering!$M$5:$BM$5,Engineering!$M$9:$BM$9)))</f>
        <v>6</v>
      </c>
      <c r="GD76" s="198">
        <f>IF(GD$7&gt;$D$3,"",IF($FA72&lt;GD$8,"OD",_xlfn.XLOOKUP(GD$8,Engineering!$M$5:$BM$5,Engineering!$M$9:$BM$9)))</f>
        <v>6</v>
      </c>
      <c r="GE76" s="198">
        <f>IF(GE$7&gt;$D$3,"",IF($FA72&lt;GE$8,"OD",_xlfn.XLOOKUP(GE$8,Engineering!$M$5:$BM$5,Engineering!$M$9:$BM$9)))</f>
        <v>6</v>
      </c>
      <c r="GF76" s="198">
        <f>IF(GF$7&gt;$D$3,"",IF($FA72&lt;GF$8,"OD",_xlfn.XLOOKUP(GF$8,Engineering!$M$5:$BM$5,Engineering!$M$9:$BM$9)))</f>
        <v>6</v>
      </c>
      <c r="GG76" s="198">
        <f>IF(GG$7&gt;$D$3,"",IF($FA72&lt;GG$8,"OD",_xlfn.XLOOKUP(GG$8,Engineering!$M$5:$BM$5,Engineering!$M$9:$BM$9)))</f>
        <v>6</v>
      </c>
      <c r="GH76" s="198">
        <f>IF(GH$7&gt;$D$3,"",IF($FA72&lt;GH$8,"OD",_xlfn.XLOOKUP(GH$8,Engineering!$M$5:$BM$5,Engineering!$M$9:$BM$9)))</f>
        <v>0</v>
      </c>
      <c r="GI76" s="198">
        <f>IF(GI$7&gt;$D$3,"",IF($FA72&lt;GI$8,"OD",_xlfn.XLOOKUP(GI$8,Engineering!$M$5:$BM$5,Engineering!$M$9:$BM$9)))</f>
        <v>0</v>
      </c>
      <c r="GJ76" s="198">
        <f>IF(GJ$7&gt;$D$3,"",IF($FA72&lt;GJ$8,"OD",_xlfn.XLOOKUP(GJ$8,Engineering!$M$5:$BM$5,Engineering!$M$9:$BM$9)))</f>
        <v>0</v>
      </c>
      <c r="GK76" s="198">
        <f>IF(GK$7&gt;$D$3,"",IF($FA72&lt;GK$8,"OD",_xlfn.XLOOKUP(GK$8,Engineering!$M$5:$BM$5,Engineering!$M$9:$BM$9)))</f>
        <v>0</v>
      </c>
      <c r="GL76" s="198">
        <f>IF(GL$7&gt;$D$3,"",IF($FA72&lt;GL$8,"OD",_xlfn.XLOOKUP(GL$8,Engineering!$M$5:$BM$5,Engineering!$M$9:$BM$9)))</f>
        <v>0</v>
      </c>
      <c r="GM76" s="198">
        <f>IF(GM$7&gt;$D$3,"",IF($FA72&lt;GM$8,"OD",_xlfn.XLOOKUP(GM$8,Engineering!$M$5:$BM$5,Engineering!$M$9:$BM$9)))</f>
        <v>0</v>
      </c>
      <c r="GN76" s="198">
        <f>IF(GN$7&gt;$D$3,"",IF($FA72&lt;GN$8,"OD",_xlfn.XLOOKUP(GN$8,Engineering!$M$5:$BM$5,Engineering!$M$9:$BM$9)))</f>
        <v>0</v>
      </c>
      <c r="GO76" s="198">
        <f>IF(GO$7&gt;$D$3,"",IF($FA72&lt;GO$8,"OD",_xlfn.XLOOKUP(GO$8,Engineering!$M$5:$BM$5,Engineering!$M$9:$BM$9)))</f>
        <v>0</v>
      </c>
      <c r="GP76" s="198">
        <f>IF(GP$7&gt;$D$3,"",IF($FA72&lt;GP$8,"OD",_xlfn.XLOOKUP(GP$8,Engineering!$M$5:$BM$5,Engineering!$M$9:$BM$9)))</f>
        <v>0</v>
      </c>
      <c r="GQ76" s="198">
        <f>IF(GQ$7&gt;$D$3,"",IF($FA72&lt;GQ$8,"OD",_xlfn.XLOOKUP(GQ$8,Engineering!$M$5:$BM$5,Engineering!$M$9:$BM$9)))</f>
        <v>0</v>
      </c>
      <c r="GR76" s="198">
        <f>IF(GR$7&gt;$D$3,"",IF($FA72&lt;GR$8,"OD",_xlfn.XLOOKUP(GR$8,Engineering!$M$5:$BM$5,Engineering!$M$9:$BM$9)))</f>
        <v>0</v>
      </c>
      <c r="GS76" s="198" t="str">
        <f>IF(GS$7&gt;$D$3,"",IF($FA72&lt;GS$8,"OD",_xlfn.XLOOKUP(GS$8,Engineering!$M$5:$BM$5,Engineering!$M$9:$BM$9)))</f>
        <v/>
      </c>
      <c r="GT76" s="198" t="str">
        <f>IF(GT$7&gt;$D$3,"",IF($FA72&lt;GT$8,"OD",_xlfn.XLOOKUP(GT$8,Engineering!$M$5:$BM$5,Engineering!$M$9:$BM$9)))</f>
        <v/>
      </c>
      <c r="GU76" s="198" t="str">
        <f>IF(GU$7&gt;$D$3,"",IF($FA72&lt;GU$8,"OD",_xlfn.XLOOKUP(GU$8,Engineering!$M$5:$BM$5,Engineering!$M$9:$BM$9)))</f>
        <v/>
      </c>
      <c r="GV76" s="198" t="str">
        <f>IF(GV$7&gt;$D$3,"",IF($FA72&lt;GV$8,"OD",_xlfn.XLOOKUP(GV$8,Engineering!$M$5:$BM$5,Engineering!$M$9:$BM$9)))</f>
        <v/>
      </c>
      <c r="GW76" s="198" t="str">
        <f>IF(GW$7&gt;$D$3,"",IF($FA72&lt;GW$8,"OD",_xlfn.XLOOKUP(GW$8,Engineering!$M$5:$BM$5,Engineering!$M$9:$BM$9)))</f>
        <v/>
      </c>
      <c r="GX76" s="198" t="str">
        <f>IF(GX$7&gt;$D$3,"",IF($FA72&lt;GX$8,"OD",_xlfn.XLOOKUP(GX$8,Engineering!$M$5:$BM$5,Engineering!$M$9:$BM$9)))</f>
        <v/>
      </c>
      <c r="GY76" s="198" t="str">
        <f>IF(GY$7&gt;$D$3,"",IF($FA72&lt;GY$8,"OD",_xlfn.XLOOKUP(GY$8,Engineering!$M$5:$BM$5,Engineering!$M$9:$BM$9)))</f>
        <v/>
      </c>
      <c r="GZ76" s="198" t="str">
        <f>IF(GZ$7&gt;$D$3,"",IF($FA72&lt;GZ$8,"OD",_xlfn.XLOOKUP(GZ$8,Engineering!$M$5:$BM$5,Engineering!$M$9:$BM$9)))</f>
        <v/>
      </c>
      <c r="HA76" s="198" t="str">
        <f>IF(HA$7&gt;$D$3,"",IF($FA72&lt;HA$8,"OD",_xlfn.XLOOKUP(HA$8,Engineering!$M$5:$BM$5,Engineering!$M$9:$BM$9)))</f>
        <v/>
      </c>
      <c r="HB76" s="198" t="str">
        <f>IF(HB$7&gt;$D$3,"",IF($FA72&lt;HB$8,"OD",_xlfn.XLOOKUP(HB$8,Engineering!$M$5:$BM$5,Engineering!$M$9:$BM$9)))</f>
        <v/>
      </c>
      <c r="HC76" s="624" t="str">
        <f>IF(HC$7&gt;$D$3,"",IF($FA72&lt;HC$8,"OD",_xlfn.XLOOKUP(HC$8,Engineering!$M$5:$BM$5,Engineering!$M$9:$BM$9)))</f>
        <v/>
      </c>
      <c r="HE76" s="133" t="str">
        <f>+$C76</f>
        <v>KPI P1</v>
      </c>
      <c r="HF76" s="142" t="str">
        <f>+$D76</f>
        <v>Productivity</v>
      </c>
      <c r="HG76" s="142" t="str">
        <f>+$E76</f>
        <v>Mean Time to Allocate MTTA</v>
      </c>
      <c r="HH76" s="143" t="str">
        <f>+$F76</f>
        <v>Days</v>
      </c>
      <c r="HI76" s="143" t="s">
        <v>44</v>
      </c>
      <c r="HJ76" s="198" t="str">
        <f>IF(HJ$7&gt;$D$3,"",IF($FA75&lt;HJ$8,"OD",_xlfn.XLOOKUP(HJ$8,Engineering!$M$5:$BM$5,Engineering!$M$8:$BM$8)))</f>
        <v>TBC</v>
      </c>
      <c r="HK76" s="199" t="str">
        <f>IF(HK$7&gt;$D$3,"",IF($FA75&lt;HK$8,"OD",_xlfn.XLOOKUP(HK$8,Engineering!$M$5:$BM$5,Engineering!$M$8:$BM$8)))</f>
        <v>TBC</v>
      </c>
      <c r="HL76" s="198" t="str">
        <f>IF(HL$7&gt;$D$3,"",IF($FA75&lt;HL$8,"OD",_xlfn.XLOOKUP(HL$8,Engineering!$M$5:$BM$5,Engineering!$M$8:$BM$8)))</f>
        <v>TBC</v>
      </c>
      <c r="HM76" s="198" t="str">
        <f>IF(HM$7&gt;$D$3,"",IF($FA75&lt;HM$8,"OD",_xlfn.XLOOKUP(HM$8,Engineering!$M$5:$BM$5,Engineering!$M$8:$BM$8)))</f>
        <v>TBC</v>
      </c>
      <c r="HN76" s="198" t="str">
        <f>IF(HN$7&gt;$D$3,"",IF($FA75&lt;HN$8,"OD",_xlfn.XLOOKUP(HN$8,Engineering!$M$5:$BM$5,Engineering!$M$8:$BM$8)))</f>
        <v>TBC</v>
      </c>
      <c r="HO76" s="198" t="str">
        <f>IF(HO$7&gt;$D$3,"",IF($FA75&lt;HO$8,"OD",_xlfn.XLOOKUP(HO$8,Engineering!$M$5:$BM$5,Engineering!$M$8:$BM$8)))</f>
        <v>TBC</v>
      </c>
      <c r="HP76" s="198" t="str">
        <f>IF(HP$7&gt;$D$3,"",IF($FA75&lt;HP$8,"OD",_xlfn.XLOOKUP(HP$8,Engineering!$M$5:$BM$5,Engineering!$M$8:$BM$8)))</f>
        <v>TBC</v>
      </c>
      <c r="HQ76" s="198" t="str">
        <f>IF(HQ$7&gt;$D$3,"",IF($FA75&lt;HQ$8,"OD",_xlfn.XLOOKUP(HQ$8,Engineering!$M$5:$BM$5,Engineering!$M$8:$BM$8)))</f>
        <v>TBC</v>
      </c>
      <c r="HR76" s="198" t="str">
        <f>IF(HR$7&gt;$D$3,"",IF($FA75&lt;HR$8,"OD",_xlfn.XLOOKUP(HR$8,Engineering!$M$5:$BM$5,Engineering!$M$8:$BM$8)))</f>
        <v>TBC</v>
      </c>
      <c r="HS76" s="198" t="str">
        <f>IF(HS$7&gt;$D$3,"",IF($FA75&lt;HS$8,"OD",_xlfn.XLOOKUP(HS$8,Engineering!$M$5:$BM$5,Engineering!$M$8:$BM$8)))</f>
        <v>TBC</v>
      </c>
      <c r="HT76" s="198" t="str">
        <f>IF(HT$7&gt;$D$3,"",IF($FA75&lt;HT$8,"OD",_xlfn.XLOOKUP(HT$8,Engineering!$M$5:$BM$5,Engineering!$M$8:$BM$8)))</f>
        <v>TBC</v>
      </c>
      <c r="HU76" s="198" t="str">
        <f>IF(HU$7&gt;$D$3,"",IF($FA75&lt;HU$8,"OD",_xlfn.XLOOKUP(HU$8,Engineering!$M$5:$BM$5,Engineering!$M$8:$BM$8)))</f>
        <v>TBC</v>
      </c>
      <c r="HV76" s="198" t="str">
        <f>IF(HV$7&gt;$D$3,"",IF($FA75&lt;HV$8,"OD",_xlfn.XLOOKUP(HV$8,Engineering!$M$5:$BM$5,Engineering!$M$8:$BM$8)))</f>
        <v>TBC</v>
      </c>
      <c r="HW76" s="198" t="str">
        <f>IF(HW$7&gt;$D$3,"",IF($FA75&lt;HW$8,"OD",_xlfn.XLOOKUP(HW$8,Engineering!$M$5:$BM$5,Engineering!$M$8:$BM$8)))</f>
        <v>TBC</v>
      </c>
      <c r="HX76" s="198" t="str">
        <f>IF(HX$7&gt;$D$3,"",IF($FA75&lt;HX$8,"OD",_xlfn.XLOOKUP(HX$8,Engineering!$M$5:$BM$5,Engineering!$M$8:$BM$8)))</f>
        <v>TBC</v>
      </c>
      <c r="HY76" s="198" t="str">
        <f>IF(HY$7&gt;$D$3,"",IF($FA75&lt;HY$8,"OD",_xlfn.XLOOKUP(HY$8,Engineering!$M$5:$BM$5,Engineering!$M$8:$BM$8)))</f>
        <v>TBC</v>
      </c>
      <c r="HZ76" s="198" t="str">
        <f>IF(HZ$7&gt;$D$3,"",IF($FA75&lt;HZ$8,"OD",_xlfn.XLOOKUP(HZ$8,Engineering!$M$5:$BM$5,Engineering!$M$8:$BM$8)))</f>
        <v>TBC</v>
      </c>
      <c r="IA76" s="198">
        <f>IF(IA$7&gt;$D$3,"",IF($FA75&lt;IA$8,"OD",_xlfn.XLOOKUP(IA$8,Engineering!$M$5:$BM$5,Engineering!$M$8:$BM$8)))</f>
        <v>2</v>
      </c>
      <c r="IB76" s="198">
        <f>IF(IB$7&gt;$D$3,"",IF($FA75&lt;IB$8,"OD",_xlfn.XLOOKUP(IB$8,Engineering!$M$5:$BM$5,Engineering!$M$8:$BM$8)))</f>
        <v>2</v>
      </c>
      <c r="IC76" s="198">
        <f>IF(IC$7&gt;$D$3,"",IF($FA75&lt;IC$8,"OD",_xlfn.XLOOKUP(IC$8,Engineering!$M$5:$BM$5,Engineering!$M$8:$BM$8)))</f>
        <v>2</v>
      </c>
      <c r="ID76" s="198">
        <f>IF(ID$7&gt;$D$3,"",IF($FA75&lt;ID$8,"OD",_xlfn.XLOOKUP(ID$8,Engineering!$M$5:$BM$5,Engineering!$M$8:$BM$8)))</f>
        <v>2</v>
      </c>
      <c r="IE76" s="198">
        <f>IF(IE$7&gt;$D$3,"",IF($FA75&lt;IE$8,"OD",_xlfn.XLOOKUP(IE$8,Engineering!$M$5:$BM$5,Engineering!$M$8:$BM$8)))</f>
        <v>2</v>
      </c>
      <c r="IF76" s="198">
        <f>IF(IF$7&gt;$D$3,"",IF($FA75&lt;IF$8,"OD",_xlfn.XLOOKUP(IF$8,Engineering!$M$5:$BM$5,Engineering!$M$8:$BM$8)))</f>
        <v>2</v>
      </c>
      <c r="IG76" s="198">
        <f>IF(IG$7&gt;$D$3,"",IF($FA75&lt;IG$8,"OD",_xlfn.XLOOKUP(IG$8,Engineering!$M$5:$BM$5,Engineering!$M$8:$BM$8)))</f>
        <v>2</v>
      </c>
      <c r="IH76" s="198">
        <f>IF(IH$7&gt;$D$3,"",IF($FA75&lt;IH$8,"OD",_xlfn.XLOOKUP(IH$8,Engineering!$M$5:$BM$5,Engineering!$M$8:$BM$8)))</f>
        <v>2</v>
      </c>
      <c r="II76" s="198">
        <f>IF(II$7&gt;$D$3,"",IF($FA75&lt;II$8,"OD",_xlfn.XLOOKUP(II$8,Engineering!$M$5:$BM$5,Engineering!$M$8:$BM$8)))</f>
        <v>2</v>
      </c>
      <c r="IJ76" s="198">
        <f>IF(IJ$7&gt;$D$3,"",IF($FA75&lt;IJ$8,"OD",_xlfn.XLOOKUP(IJ$8,Engineering!$M$5:$BM$5,Engineering!$M$8:$BM$8)))</f>
        <v>2</v>
      </c>
      <c r="IK76" s="198">
        <f>IF(IK$7&gt;$D$3,"",IF($FA75&lt;IK$8,"OD",_xlfn.XLOOKUP(IK$8,Engineering!$M$5:$BM$5,Engineering!$M$8:$BM$8)))</f>
        <v>2</v>
      </c>
      <c r="IL76" s="198">
        <f>IF(IL$7&gt;$D$3,"",IF($FA75&lt;IL$8,"OD",_xlfn.XLOOKUP(IL$8,Engineering!$M$5:$BM$5,Engineering!$M$8:$BM$8)))</f>
        <v>2</v>
      </c>
      <c r="IM76" s="198">
        <f>IF(IM$7&gt;$D$3,"",IF($FA75&lt;IM$8,"OD",_xlfn.XLOOKUP(IM$8,Engineering!$M$5:$BM$5,Engineering!$M$8:$BM$8)))</f>
        <v>2</v>
      </c>
      <c r="IN76" s="198">
        <f>IF(IN$7&gt;$D$3,"",IF($FA75&lt;IN$8,"OD",_xlfn.XLOOKUP(IN$8,Engineering!$M$5:$BM$5,Engineering!$M$8:$BM$8)))</f>
        <v>2</v>
      </c>
      <c r="IO76" s="198">
        <f>IF(IO$7&gt;$D$3,"",IF($FA75&lt;IO$8,"OD",_xlfn.XLOOKUP(IO$8,Engineering!$M$5:$BM$5,Engineering!$M$8:$BM$8)))</f>
        <v>2</v>
      </c>
      <c r="IP76" s="198">
        <f>IF(IP$7&gt;$D$3,"",IF($FA75&lt;IP$8,"OD",_xlfn.XLOOKUP(IP$8,Engineering!$M$5:$BM$5,Engineering!$M$8:$BM$8)))</f>
        <v>2</v>
      </c>
      <c r="IQ76" s="198">
        <f>IF(IQ$7&gt;$D$3,"",IF($FA75&lt;IQ$8,"OD",_xlfn.XLOOKUP(IQ$8,Engineering!$M$5:$BM$5,Engineering!$M$8:$BM$8)))</f>
        <v>2</v>
      </c>
      <c r="IR76" s="198">
        <f>IF(IR$7&gt;$D$3,"",IF($FA75&lt;IR$8,"OD",_xlfn.XLOOKUP(IR$8,Engineering!$M$5:$BM$5,Engineering!$M$8:$BM$8)))</f>
        <v>2</v>
      </c>
      <c r="IS76" s="198">
        <f>IF(IS$7&gt;$D$3,"",IF($FA75&lt;IS$8,"OD",_xlfn.XLOOKUP(IS$8,Engineering!$M$5:$BM$5,Engineering!$M$8:$BM$8)))</f>
        <v>2</v>
      </c>
      <c r="IT76" s="198">
        <f>IF(IT$7&gt;$D$3,"",IF($FA75&lt;IT$8,"OD",_xlfn.XLOOKUP(IT$8,Engineering!$M$5:$BM$5,Engineering!$M$8:$BM$8)))</f>
        <v>2</v>
      </c>
      <c r="IU76" s="198">
        <f>IF(IU$7&gt;$D$3,"",IF($FA75&lt;IU$8,"OD",_xlfn.XLOOKUP(IU$8,Engineering!$M$5:$BM$5,Engineering!$M$8:$BM$8)))</f>
        <v>2</v>
      </c>
      <c r="IV76" s="198">
        <f>IF(IV$7&gt;$D$3,"",IF($FA75&lt;IV$8,"OD",_xlfn.XLOOKUP(IV$8,Engineering!$M$5:$BM$5,Engineering!$M$8:$BM$8)))</f>
        <v>2</v>
      </c>
      <c r="IW76" s="198">
        <f>IF(IW$7&gt;$D$3,"",IF($FA75&lt;IW$8,"OD",_xlfn.XLOOKUP(IW$8,Engineering!$M$5:$BM$5,Engineering!$M$8:$BM$8)))</f>
        <v>2</v>
      </c>
      <c r="IX76" s="198">
        <f>IF(IX$7&gt;$D$3,"",IF($FA75&lt;IX$8,"OD",_xlfn.XLOOKUP(IX$8,Engineering!$M$5:$BM$5,Engineering!$M$8:$BM$8)))</f>
        <v>2</v>
      </c>
      <c r="IY76" s="198">
        <f>IF(IY$7&gt;$D$3,"",IF($FA75&lt;IY$8,"OD",_xlfn.XLOOKUP(IY$8,Engineering!$M$5:$BM$5,Engineering!$M$8:$BM$8)))</f>
        <v>2</v>
      </c>
      <c r="IZ76" s="198" t="str">
        <f>IF(IZ$7&gt;$D$3,"",IF($FA75&lt;IZ$8,"OD",_xlfn.XLOOKUP(IZ$8,Engineering!$M$5:$BM$5,Engineering!$M$8:$BM$8)))</f>
        <v/>
      </c>
      <c r="JA76" s="198" t="str">
        <f>IF(JA$7&gt;$D$3,"",IF($FA75&lt;JA$8,"OD",_xlfn.XLOOKUP(JA$8,Engineering!$M$5:$BM$5,Engineering!$M$8:$BM$8)))</f>
        <v/>
      </c>
      <c r="JB76" s="198" t="str">
        <f>IF(JB$7&gt;$D$3,"",IF($FA75&lt;JB$8,"OD",_xlfn.XLOOKUP(JB$8,Engineering!$M$5:$BM$5,Engineering!$M$8:$BM$8)))</f>
        <v/>
      </c>
      <c r="JC76" s="198" t="str">
        <f>IF(JC$7&gt;$D$3,"",IF($FA75&lt;JC$8,"OD",_xlfn.XLOOKUP(JC$8,Engineering!$M$5:$BM$5,Engineering!$M$8:$BM$8)))</f>
        <v/>
      </c>
      <c r="JD76" s="198" t="str">
        <f>IF(JD$7&gt;$D$3,"",IF($FA75&lt;JD$8,"OD",_xlfn.XLOOKUP(JD$8,Engineering!$M$5:$BM$5,Engineering!$M$8:$BM$8)))</f>
        <v/>
      </c>
      <c r="JE76" s="198" t="str">
        <f>IF(JE$7&gt;$D$3,"",IF($FA75&lt;JE$8,"OD",_xlfn.XLOOKUP(JE$8,Engineering!$M$5:$BM$5,Engineering!$M$8:$BM$8)))</f>
        <v/>
      </c>
      <c r="JF76" s="198" t="str">
        <f>IF(JF$7&gt;$D$3,"",IF($FA75&lt;JF$8,"OD",_xlfn.XLOOKUP(JF$8,Engineering!$M$5:$BM$5,Engineering!$M$8:$BM$8)))</f>
        <v/>
      </c>
      <c r="JG76" s="198" t="str">
        <f>IF(JG$7&gt;$D$3,"",IF($FA75&lt;JG$8,"OD",_xlfn.XLOOKUP(JG$8,Engineering!$M$5:$BM$5,Engineering!$M$8:$BM$8)))</f>
        <v/>
      </c>
      <c r="JH76" s="198" t="str">
        <f>IF(JH$7&gt;$D$3,"",IF($FA75&lt;JH$8,"OD",_xlfn.XLOOKUP(JH$8,Engineering!$M$5:$BM$5,Engineering!$M$8:$BM$8)))</f>
        <v/>
      </c>
      <c r="JI76" s="198" t="str">
        <f>IF(JI$7&gt;$D$3,"",IF($FA75&lt;JI$8,"OD",_xlfn.XLOOKUP(JI$8,Engineering!$M$5:$BM$5,Engineering!$M$8:$BM$8)))</f>
        <v/>
      </c>
      <c r="JJ76" s="624" t="str">
        <f>IF(JJ$7&gt;$D$3,"",IF($FA75&lt;JJ$8,"OD",_xlfn.XLOOKUP(JJ$8,Engineering!$M$5:$BM$5,Engineering!$M$8:$BM$8)))</f>
        <v/>
      </c>
      <c r="JM76" s="133" t="str">
        <f>+$C76</f>
        <v>KPI P1</v>
      </c>
      <c r="JN76" s="142" t="str">
        <f>+$D76</f>
        <v>Productivity</v>
      </c>
      <c r="JO76" s="142" t="str">
        <f>+$E76</f>
        <v>Mean Time to Allocate MTTA</v>
      </c>
      <c r="JP76" s="143" t="str">
        <f>+$F76</f>
        <v>Days</v>
      </c>
      <c r="JQ76" s="143" t="s">
        <v>284</v>
      </c>
      <c r="JR76" s="246" t="str">
        <f>IFERROR(AVERAGE(FC76:$FC76),"")</f>
        <v/>
      </c>
      <c r="JS76" s="246" t="str">
        <f>IFERROR(AVERAGE($FC76:FD76),"")</f>
        <v/>
      </c>
      <c r="JT76" s="246" t="str">
        <f>IFERROR(AVERAGE($FC76:FE76),"")</f>
        <v/>
      </c>
      <c r="JU76" s="246" t="str">
        <f>IFERROR(AVERAGE($FC76:FF76),"")</f>
        <v/>
      </c>
      <c r="JV76" s="246" t="str">
        <f>IFERROR(AVERAGE($FC76:FG76),"")</f>
        <v/>
      </c>
      <c r="JW76" s="246" t="str">
        <f>IFERROR(AVERAGE($FC76:FH76),"")</f>
        <v/>
      </c>
      <c r="JX76" s="246" t="str">
        <f>IFERROR(AVERAGE($FC76:FI76),"")</f>
        <v/>
      </c>
      <c r="JY76" s="246" t="str">
        <f>IFERROR(AVERAGE($FC76:FJ76),"")</f>
        <v/>
      </c>
      <c r="JZ76" s="246" t="str">
        <f>IFERROR(AVERAGE($FC76:FK76),"")</f>
        <v/>
      </c>
      <c r="KA76" s="246" t="str">
        <f>IFERROR(AVERAGE($FC76:FL76),"")</f>
        <v/>
      </c>
      <c r="KB76" s="246" t="str">
        <f>IFERROR(AVERAGE($FC76:FM76),"")</f>
        <v/>
      </c>
      <c r="KC76" s="246" t="str">
        <f>IFERROR(AVERAGE($FC76:FN76),"")</f>
        <v/>
      </c>
      <c r="KD76" s="246" t="str">
        <f>IFERROR(AVERAGE($FC76:FO76),"")</f>
        <v/>
      </c>
      <c r="KE76" s="246" t="str">
        <f>IFERROR(AVERAGE($FC76:FP76),"")</f>
        <v/>
      </c>
      <c r="KF76" s="246" t="str">
        <f>IFERROR(AVERAGE($FC76:FQ76),"")</f>
        <v/>
      </c>
      <c r="KG76" s="246" t="str">
        <f>IFERROR(AVERAGE($FC76:FR76),"")</f>
        <v/>
      </c>
      <c r="KH76" s="246" t="str">
        <f>IFERROR(AVERAGE($FC76:FS76),"")</f>
        <v/>
      </c>
      <c r="KI76" s="246">
        <f>IFERROR(AVERAGE($FC76:FT76),"")</f>
        <v>1</v>
      </c>
      <c r="KJ76" s="246">
        <f>IFERROR(AVERAGE($FC76:FU76),"")</f>
        <v>1</v>
      </c>
      <c r="KK76" s="246">
        <f>IFERROR(AVERAGE($FC76:FV76),"")</f>
        <v>1</v>
      </c>
      <c r="KL76" s="246">
        <f>IFERROR(AVERAGE($FC76:FW76),"")</f>
        <v>1</v>
      </c>
      <c r="KM76" s="246">
        <f>IFERROR(AVERAGE($FC76:FX76),"")</f>
        <v>1</v>
      </c>
      <c r="KN76" s="246">
        <f>IFERROR(AVERAGE($FC76:FY76),"")</f>
        <v>1</v>
      </c>
      <c r="KO76" s="246">
        <f>IFERROR(AVERAGE($FC76:FZ76),"")</f>
        <v>1</v>
      </c>
      <c r="KP76" s="246">
        <f>IFERROR(AVERAGE($FC76:GA76),"")</f>
        <v>1</v>
      </c>
      <c r="KQ76" s="246">
        <f>IFERROR(AVERAGE($FC76:GB76),"")</f>
        <v>1</v>
      </c>
      <c r="KR76" s="246">
        <f>IFERROR(AVERAGE($FC76:GC76),"")</f>
        <v>1.5</v>
      </c>
      <c r="KS76" s="246">
        <f>IFERROR(AVERAGE($FC76:GD76),"")</f>
        <v>1.9090909090909092</v>
      </c>
      <c r="KT76" s="246">
        <f>IFERROR(AVERAGE($FC76:GE76),"")</f>
        <v>2.25</v>
      </c>
      <c r="KU76" s="246">
        <f>IFERROR(AVERAGE($FC76:GF76),"")</f>
        <v>2.5384615384615383</v>
      </c>
      <c r="KV76" s="246">
        <f>IFERROR(AVERAGE($FC76:GG76),"")</f>
        <v>2.7857142857142856</v>
      </c>
      <c r="KW76" s="246">
        <f>IFERROR(AVERAGE($FC76:GH76),"")</f>
        <v>2.6</v>
      </c>
      <c r="KX76" s="246">
        <f>IFERROR(AVERAGE($FC76:GI76),"")</f>
        <v>2.4375</v>
      </c>
      <c r="KY76" s="246">
        <f>IFERROR(AVERAGE($FC76:GJ76),"")</f>
        <v>2.2941176470588234</v>
      </c>
      <c r="KZ76" s="246">
        <f>IFERROR(AVERAGE($FC76:GK76),"")</f>
        <v>2.1666666666666665</v>
      </c>
      <c r="LA76" s="246">
        <f>IFERROR(AVERAGE($FC76:GL76),"")</f>
        <v>2.0526315789473686</v>
      </c>
      <c r="LB76" s="246">
        <f>IFERROR(AVERAGE($FC76:GM76),"")</f>
        <v>1.95</v>
      </c>
      <c r="LC76" s="246">
        <f>IFERROR(AVERAGE($FC76:GN76),"")</f>
        <v>1.8571428571428572</v>
      </c>
      <c r="LD76" s="246">
        <f>IFERROR(AVERAGE($FC76:GO76),"")</f>
        <v>1.7727272727272727</v>
      </c>
      <c r="LE76" s="246">
        <f>IFERROR(AVERAGE($FC76:GP76),"")</f>
        <v>1.6956521739130435</v>
      </c>
      <c r="LF76" s="246">
        <f>IFERROR(AVERAGE($FC76:GQ76),"")</f>
        <v>1.625</v>
      </c>
      <c r="LG76" s="246">
        <f>IFERROR(AVERAGE($FC76:GR76),"")</f>
        <v>1.56</v>
      </c>
      <c r="LH76" s="246">
        <f>IFERROR(AVERAGE($FC76:GS76),"")</f>
        <v>1.56</v>
      </c>
      <c r="LI76" s="246">
        <f>IFERROR(AVERAGE($FC76:GT76),"")</f>
        <v>1.56</v>
      </c>
      <c r="LJ76" s="246">
        <f>IFERROR(AVERAGE($FC76:GU76),"")</f>
        <v>1.56</v>
      </c>
      <c r="LK76" s="246">
        <f>IFERROR(AVERAGE($FC76:GV76),"")</f>
        <v>1.56</v>
      </c>
      <c r="LL76" s="246">
        <f>IFERROR(AVERAGE($FC76:GW76),"")</f>
        <v>1.56</v>
      </c>
      <c r="LM76" s="246">
        <f>IFERROR(AVERAGE($FC76:GX76),"")</f>
        <v>1.56</v>
      </c>
      <c r="LN76" s="246">
        <f>IFERROR(AVERAGE($FC76:GY76),"")</f>
        <v>1.56</v>
      </c>
      <c r="LO76" s="246">
        <f>IFERROR(AVERAGE($FC76:GZ76),"")</f>
        <v>1.56</v>
      </c>
      <c r="LP76" s="246">
        <f>IFERROR(AVERAGE($FC76:HA76),"")</f>
        <v>1.56</v>
      </c>
      <c r="LQ76" s="246">
        <f>IFERROR(AVERAGE($FC76:HB76),"")</f>
        <v>1.56</v>
      </c>
      <c r="LR76" s="246">
        <f>IFERROR(AVERAGE($FC76:HC76),"")</f>
        <v>1.56</v>
      </c>
      <c r="LT76" s="133" t="str">
        <f>+$C76</f>
        <v>KPI P1</v>
      </c>
      <c r="LU76" s="142" t="str">
        <f>+$D76</f>
        <v>Productivity</v>
      </c>
      <c r="LV76" s="142" t="str">
        <f>+$E76</f>
        <v>Mean Time to Allocate MTTA</v>
      </c>
      <c r="LW76" s="143" t="str">
        <f>+$F76</f>
        <v>Days</v>
      </c>
      <c r="LX76" s="143" t="s">
        <v>285</v>
      </c>
      <c r="LY76" s="198" t="str">
        <f>IFERROR(AVERAGE($HJ76:HJ76),"")</f>
        <v/>
      </c>
      <c r="LZ76" s="198" t="str">
        <f>IFERROR(IF(LAD$7&gt;$D$3,"",AVERAGE($HJ76:HK76)),"")</f>
        <v/>
      </c>
      <c r="MA76" s="198" t="str">
        <f>IFERROR(IF(MA$7&gt;$D$3,"",AVERAGE($HJ76:HL76)),"")</f>
        <v/>
      </c>
      <c r="MB76" s="198" t="str">
        <f>IFERROR(IF(MB$7&gt;$D$3,"",AVERAGE($HJ76:HM76)),"")</f>
        <v/>
      </c>
      <c r="MC76" s="198" t="str">
        <f>IFERROR(IF(MC$7&gt;$D$3,"",AVERAGE($HJ76:HN76)),"")</f>
        <v/>
      </c>
      <c r="MD76" s="198" t="str">
        <f>IFERROR(IF(MD$7&gt;$D$3,"",AVERAGE($HJ76:HO76)),"")</f>
        <v/>
      </c>
      <c r="ME76" s="198" t="str">
        <f>IFERROR(IF(ME$7&gt;$D$3,"",AVERAGE($HJ76:HP76)),"")</f>
        <v/>
      </c>
      <c r="MF76" s="198" t="str">
        <f>IFERROR(IF(MF$7&gt;$D$3,"",AVERAGE($HJ76:HQ76)),"")</f>
        <v/>
      </c>
      <c r="MG76" s="198" t="str">
        <f>IFERROR(IF(MG$7&gt;$D$3,"",AVERAGE($HJ76:HR76)),"")</f>
        <v/>
      </c>
      <c r="MH76" s="198" t="str">
        <f>IFERROR(IF(MH$7&gt;$D$3,"",AVERAGE($HJ76:HS76)),"")</f>
        <v/>
      </c>
      <c r="MI76" s="198" t="str">
        <f>IFERROR(IF(MI$7&gt;$D$3,"",AVERAGE($HJ76:HT76)),"")</f>
        <v/>
      </c>
      <c r="MJ76" s="198" t="str">
        <f>IFERROR(IF(MJ$7&gt;$D$3,"",AVERAGE($HJ76:HU76)),"")</f>
        <v/>
      </c>
      <c r="MK76" s="198" t="str">
        <f>IFERROR(IF(MK$7&gt;$D$3,"",AVERAGE($HJ76:HV76)),"")</f>
        <v/>
      </c>
      <c r="ML76" s="198" t="str">
        <f>IFERROR(IF(ML$7&gt;$D$3,"",AVERAGE($HJ76:HW76)),"")</f>
        <v/>
      </c>
      <c r="MM76" s="198" t="str">
        <f>IFERROR(IF(MM$7&gt;$D$3,"",AVERAGE($HJ76:HX76)),"")</f>
        <v/>
      </c>
      <c r="MN76" s="198" t="str">
        <f>IFERROR(IF(MN$7&gt;$D$3,"",AVERAGE($HJ76:HY76)),"")</f>
        <v/>
      </c>
      <c r="MO76" s="198" t="str">
        <f>IFERROR(IF(MO$7&gt;$D$3,"",AVERAGE($HJ76:HZ76)),"")</f>
        <v/>
      </c>
      <c r="MP76" s="198">
        <f>IFERROR(IF(MP$7&gt;$D$3,"",AVERAGE($HJ76:IA76)),"")</f>
        <v>2</v>
      </c>
      <c r="MQ76" s="198">
        <f>IFERROR(IF(MQ$7&gt;$D$3,"",AVERAGE($HJ76:IB76)),"")</f>
        <v>2</v>
      </c>
      <c r="MR76" s="198">
        <f>IFERROR(IF(MR$7&gt;$D$3,"",AVERAGE($HJ76:IC76)),"")</f>
        <v>2</v>
      </c>
      <c r="MS76" s="198">
        <f>IFERROR(IF(MS$7&gt;$D$3,"",AVERAGE($HJ76:ID76)),"")</f>
        <v>2</v>
      </c>
      <c r="MT76" s="198">
        <f>IFERROR(IF(MT$7&gt;$D$3,"",AVERAGE($HJ76:IE76)),"")</f>
        <v>2</v>
      </c>
      <c r="MU76" s="198">
        <f>IFERROR(IF(MU$7&gt;$D$3,"",AVERAGE($HJ76:IF76)),"")</f>
        <v>2</v>
      </c>
      <c r="MV76" s="198">
        <f>IFERROR(IF(MV$7&gt;$D$3,"",AVERAGE($HJ76:IG76)),"")</f>
        <v>2</v>
      </c>
      <c r="MW76" s="198">
        <f>IFERROR(IF(MW$7&gt;$D$3,"",AVERAGE($HJ76:IH76)),"")</f>
        <v>2</v>
      </c>
      <c r="MX76" s="198">
        <f>IFERROR(IF(MX$7&gt;$D$3,"",AVERAGE($HJ76:II76)),"")</f>
        <v>2</v>
      </c>
      <c r="MY76" s="198">
        <f>IFERROR(IF(MY$7&gt;$D$3,"",AVERAGE($HJ76:IJ76)),"")</f>
        <v>2</v>
      </c>
      <c r="MZ76" s="198">
        <f>IFERROR(IF(MZ$7&gt;$D$3,"",AVERAGE($HJ76:IK76)),"")</f>
        <v>2</v>
      </c>
      <c r="NA76" s="198">
        <f>IFERROR(IF(NA$7&gt;$D$3,"",AVERAGE($HJ76:IL76)),"")</f>
        <v>2</v>
      </c>
      <c r="NB76" s="198">
        <f>IFERROR(IF(NB$7&gt;$D$3,"",AVERAGE($HJ76:IM76)),"")</f>
        <v>2</v>
      </c>
      <c r="NC76" s="198">
        <f>IFERROR(IF(NC$7&gt;$D$3,"",AVERAGE($HJ76:IN76)),"")</f>
        <v>2</v>
      </c>
      <c r="ND76" s="198">
        <f>IFERROR(IF(ND$7&gt;$D$3,"",AVERAGE($HJ76:IO76)),"")</f>
        <v>2</v>
      </c>
      <c r="NE76" s="198">
        <f>IFERROR(IF(NE$7&gt;$D$3,"",AVERAGE($HJ76:IP76)),"")</f>
        <v>2</v>
      </c>
      <c r="NF76" s="198">
        <f>IFERROR(IF(NF$7&gt;$D$3,"",AVERAGE($HJ76:IQ76)),"")</f>
        <v>2</v>
      </c>
      <c r="NG76" s="198">
        <f>IFERROR(IF(NG$7&gt;$D$3,"",AVERAGE($HJ76:IR76)),"")</f>
        <v>2</v>
      </c>
      <c r="NH76" s="198">
        <f>IFERROR(IF(NH$7&gt;$D$3,"",AVERAGE($HJ76:IS76)),"")</f>
        <v>2</v>
      </c>
      <c r="NI76" s="198">
        <f>IFERROR(IF(NI$7&gt;$D$3,"",AVERAGE($HJ76:IT76)),"")</f>
        <v>2</v>
      </c>
      <c r="NJ76" s="198">
        <f>IFERROR(IF(NJ$7&gt;$D$3,"",AVERAGE($HJ76:IU76)),"")</f>
        <v>2</v>
      </c>
      <c r="NK76" s="198">
        <f>IFERROR(IF(NK$7&gt;$D$3,"",AVERAGE($HJ76:IV76)),"")</f>
        <v>2</v>
      </c>
      <c r="NL76" s="198">
        <f>IFERROR(IF(NL$7&gt;$D$3,"",AVERAGE($HJ76:IW76)),"")</f>
        <v>2</v>
      </c>
      <c r="NM76" s="198">
        <f>IFERROR(IF(NM$7&gt;$D$3,"",AVERAGE($HJ76:IX76)),"")</f>
        <v>2</v>
      </c>
      <c r="NN76" s="198">
        <f>IFERROR(IF(NN$7&gt;$D$3,"",AVERAGE($HJ76:IY76)),"")</f>
        <v>2</v>
      </c>
      <c r="NO76" s="198" t="str">
        <f>IFERROR(IF(NO$7&gt;$D$3,"",AVERAGE($HJ76:IZ76)),"")</f>
        <v/>
      </c>
      <c r="NP76" s="198" t="str">
        <f>IFERROR(IF(NP$7&gt;$D$3,"",AVERAGE($HJ76:JA76)),"")</f>
        <v/>
      </c>
      <c r="NQ76" s="198" t="str">
        <f>IFERROR(IF(NQ$7&gt;$D$3,"",AVERAGE($HJ76:JB76)),"")</f>
        <v/>
      </c>
      <c r="NR76" s="198" t="str">
        <f>IFERROR(IF(NR$7&gt;$D$3,"",AVERAGE($HJ76:JC76)),"")</f>
        <v/>
      </c>
      <c r="NS76" s="198" t="str">
        <f>IFERROR(IF(NS$7&gt;$D$3,"",AVERAGE($HJ76:JD76)),"")</f>
        <v/>
      </c>
      <c r="NT76" s="198" t="str">
        <f>IFERROR(IF(NT$7&gt;$D$3,"",AVERAGE($HJ76:JE76)),"")</f>
        <v/>
      </c>
      <c r="NU76" s="198" t="str">
        <f>IFERROR(IF(NU$7&gt;$D$3,"",AVERAGE($HJ76:JF76)),"")</f>
        <v/>
      </c>
      <c r="NV76" s="198" t="str">
        <f>IFERROR(IF(NV$7&gt;$D$3,"",AVERAGE($HJ76:JG76)),"")</f>
        <v/>
      </c>
      <c r="NW76" s="198" t="str">
        <f>IFERROR(IF(NW$7&gt;$D$3,"",AVERAGE($HJ76:JH76)),"")</f>
        <v/>
      </c>
      <c r="NX76" s="198" t="str">
        <f>IFERROR(IF(NX$7&gt;$D$3,"",AVERAGE($HJ76:JI76)),"")</f>
        <v/>
      </c>
      <c r="NY76" s="198" t="str">
        <f>IFERROR(IF(NY$7&gt;$D$3,"",AVERAGE($HJ76:JJ76)),"")</f>
        <v/>
      </c>
    </row>
    <row r="77" spans="1:389" x14ac:dyDescent="0.3">
      <c r="A77" t="str">
        <f>$B$75&amp;"-"&amp;C77</f>
        <v>Engineering-KPI D1</v>
      </c>
      <c r="B77" s="421"/>
      <c r="C77" s="136" t="str">
        <f>+'KPI Stats'!C76</f>
        <v>KPI D1</v>
      </c>
      <c r="D77" s="144" t="str">
        <f>+'KPI Stats'!D76</f>
        <v>Delivery</v>
      </c>
      <c r="E77" s="144" t="str">
        <f>+'KPI Stats'!E76</f>
        <v>Conversion Ratio - Jobs complete / Jobs Picked Up</v>
      </c>
      <c r="F77" s="145" t="str">
        <f>+'KPI Stats'!F76</f>
        <v>%</v>
      </c>
      <c r="G77" s="169" t="str">
        <f>+'KPI Stats'!G76</f>
        <v>Under</v>
      </c>
      <c r="J77" s="69" t="str">
        <f>_xlfn.XLOOKUP(J$7,$AM$7:$CM$7,$AM77:$CM77,,FALSE)</f>
        <v>OD</v>
      </c>
      <c r="K77" s="264">
        <f>_xlfn.XLOOKUP(K$7,$FC$7:$HC$7,$FC77:$HC77,,FALSE)</f>
        <v>0</v>
      </c>
      <c r="L77" s="278">
        <f>_xlfn.XLOOKUP(L$7,$HJ$7:$JJ$7,$HJ77:$JJ77,,FALSE)</f>
        <v>1</v>
      </c>
      <c r="M77" s="275" t="str">
        <f>_xlfn.XLOOKUP(M$7,$CU$7:$EU$7,$CU77:$EU77,,FALSE)</f>
        <v>OD</v>
      </c>
      <c r="P77" s="69" t="str">
        <f>_xlfn.XLOOKUP(P$7,$AM$7:$CM$7,$AM77:$CM77,,FALSE)</f>
        <v>OD</v>
      </c>
      <c r="Q77" s="264">
        <f>_xlfn.XLOOKUP(Q$7,$FC$7:$HC$7,$FC77:$HC77,FALSE)</f>
        <v>0</v>
      </c>
      <c r="R77" s="278">
        <f>_xlfn.XLOOKUP(R$7,$FC$7:$HC$7,$FC77:$HC77,FALSE)</f>
        <v>0</v>
      </c>
      <c r="S77" s="288" t="str">
        <f>_xlfn.XLOOKUP(S$7,$CU$7:$EU$7,$CU77:$EU77,,FALSE)</f>
        <v>OD</v>
      </c>
      <c r="T77" s="265" t="str">
        <f>_xlfn.XLOOKUP(T$7,$CU$7:$EU$7,$CU77:$EU77,,FALSE)</f>
        <v>OD</v>
      </c>
      <c r="U77" s="295" t="str">
        <f>IF(F75&lt;$Q$4,"Not Complete",IF(Q77=R77,"Same −",IF($G77="Over",IF(Q77&lt;R77,"Better ↑","Worse ↓"),IF($G77="Under",IF(Q77&gt;R77,"Better ↑","Worse ↓"),"err"))))</f>
        <v>Same −</v>
      </c>
      <c r="W77" s="724"/>
      <c r="X77" s="69" t="str">
        <f>IF(Y77="","",IF(Y77="Blank","",IF(AND(G77="above zero",Y77&gt;0),"R",IF(AA77&gt;1,"G",IF(AA77&gt;0.95,"A","R")))))</f>
        <v>R</v>
      </c>
      <c r="Y77" s="114">
        <f>_xlfn.XLOOKUP(Y$7,$JR$7:$LR$7,$JR77:$LR77,FALSE)</f>
        <v>0.82879999999999998</v>
      </c>
      <c r="Z77" s="114">
        <f>_xlfn.XLOOKUP(Z$7,$LY$7:$NY$7,$LY77:$NY77,FALSE)</f>
        <v>1</v>
      </c>
      <c r="AA77" s="252">
        <f>IF(G77="Undefined","",IF(G77="under",Y77/Z77,IF(G77="over",Z77/Y77,"err")))</f>
        <v>0.82879999999999998</v>
      </c>
      <c r="AB77" s="295" t="str">
        <f>IF(F75&lt;$Y$8,"TBC",IF(Y77=Z77,"Same −",IF($G77="Over",IF(Z77&lt;Y77,"Better ↑ ","Worse ↓ "),IF($G77="Under",IF(Y77&gt;Z77,"Better ↑ ","Worse ↓ "),"err"))))</f>
        <v xml:space="preserve">Worse ↓ </v>
      </c>
      <c r="AC77" s="69" t="str">
        <f>IF(AND(G77="above adero",AD77&gt;0),"R",IF(AF77&gt;1,"G",IF(AF77&gt;0.95,"A","R")))</f>
        <v>R</v>
      </c>
      <c r="AD77" s="114">
        <f>_xlfn.XLOOKUP(AD$7,$JR$7:$LR$7,$JR77:$LR77,FALSE)</f>
        <v>0.86333333333333329</v>
      </c>
      <c r="AE77" s="114">
        <f>_xlfn.XLOOKUP(AE$7,$LY$7:$NY$7,$LY77:$NY77,FALSE)</f>
        <v>1</v>
      </c>
      <c r="AF77" s="252">
        <f>IF(G77="Undefined","",IF(G77="under",AD77/AE77,IF(G77="over",AE77/AD77,"err")))</f>
        <v>0.86333333333333329</v>
      </c>
      <c r="AH77" s="465" t="str">
        <f>+$A77</f>
        <v>Engineering-KPI D1</v>
      </c>
      <c r="AI77" s="136" t="str">
        <f t="shared" si="248"/>
        <v>KPI D1</v>
      </c>
      <c r="AJ77" s="144" t="str">
        <f t="shared" si="248"/>
        <v>Delivery</v>
      </c>
      <c r="AK77" s="144" t="str">
        <f t="shared" si="248"/>
        <v>Conversion Ratio - Jobs complete / Jobs Picked Up</v>
      </c>
      <c r="AL77" s="145" t="str">
        <f t="shared" si="248"/>
        <v>%</v>
      </c>
      <c r="AM77" s="69" t="str">
        <f>IF(AM$7&gt;$D$3,"",_xlfn.XLOOKUP(AM$8,Engineering!$M$5:$BM$5,Engineering!$M$13:$BM$13))</f>
        <v>TBC</v>
      </c>
      <c r="AN77" s="199" t="str">
        <f>IF(AN$7&gt;$D$3,"",_xlfn.XLOOKUP(AN$8,Engineering!$M$5:$BM$5,Engineering!$M$13:$BM$13))</f>
        <v>TBC</v>
      </c>
      <c r="AO77" s="69" t="str">
        <f>IF(AO$7&gt;$D$3,"",_xlfn.XLOOKUP(AO$8,Engineering!$M$5:$BM$5,Engineering!$M$13:$BM$13))</f>
        <v>TBC</v>
      </c>
      <c r="AP77" s="69" t="str">
        <f>IF(AP$7&gt;$D$3,"",_xlfn.XLOOKUP(AP$8,Engineering!$M$5:$BM$5,Engineering!$M$13:$BM$13))</f>
        <v>TBC</v>
      </c>
      <c r="AQ77" s="69" t="str">
        <f>IF(AQ$7&gt;$D$3,"",_xlfn.XLOOKUP(AQ$8,Engineering!$M$5:$BM$5,Engineering!$M$13:$BM$13))</f>
        <v>TBC</v>
      </c>
      <c r="AR77" s="69" t="str">
        <f>IF(AR$7&gt;$D$3,"",_xlfn.XLOOKUP(AR$8,Engineering!$M$5:$BM$5,Engineering!$M$13:$BM$13))</f>
        <v>TBC</v>
      </c>
      <c r="AS77" s="69" t="str">
        <f>IF(AS$7&gt;$D$3,"",_xlfn.XLOOKUP(AS$8,Engineering!$M$5:$BM$5,Engineering!$M$13:$BM$13))</f>
        <v>TBC</v>
      </c>
      <c r="AT77" s="69" t="str">
        <f>IF(AT$7&gt;$D$3,"",_xlfn.XLOOKUP(AT$8,Engineering!$M$5:$BM$5,Engineering!$M$13:$BM$13))</f>
        <v>TBC</v>
      </c>
      <c r="AU77" s="69" t="str">
        <f>IF(AU$7&gt;$D$3,"",_xlfn.XLOOKUP(AU$8,Engineering!$M$5:$BM$5,Engineering!$M$13:$BM$13))</f>
        <v>TBC</v>
      </c>
      <c r="AV77" s="69" t="str">
        <f>IF(AV$7&gt;$D$3,"",_xlfn.XLOOKUP(AV$8,Engineering!$M$5:$BM$5,Engineering!$M$13:$BM$13))</f>
        <v>TBC</v>
      </c>
      <c r="AW77" s="69" t="str">
        <f>IF(AW$7&gt;$D$3,"",_xlfn.XLOOKUP(AW$8,Engineering!$M$5:$BM$5,Engineering!$M$13:$BM$13))</f>
        <v>TBC</v>
      </c>
      <c r="AX77" s="69" t="str">
        <f>IF(AX$7&gt;$D$3,"",_xlfn.XLOOKUP(AX$8,Engineering!$M$5:$BM$5,Engineering!$M$13:$BM$13))</f>
        <v>TBC</v>
      </c>
      <c r="AY77" s="69" t="str">
        <f>IF(AY$7&gt;$D$3,"",_xlfn.XLOOKUP(AY$8,Engineering!$M$5:$BM$5,Engineering!$M$13:$BM$13))</f>
        <v>TBC</v>
      </c>
      <c r="AZ77" s="69" t="str">
        <f>IF(AZ$7&gt;$D$3,"",_xlfn.XLOOKUP(AZ$8,Engineering!$M$5:$BM$5,Engineering!$M$13:$BM$13))</f>
        <v>TBC</v>
      </c>
      <c r="BA77" s="69" t="str">
        <f>IF(BA$7&gt;$D$3,"",_xlfn.XLOOKUP(BA$8,Engineering!$M$5:$BM$5,Engineering!$M$13:$BM$13))</f>
        <v>TBC</v>
      </c>
      <c r="BB77" s="69" t="str">
        <f>IF(BB$7&gt;$D$3,"",_xlfn.XLOOKUP(BB$8,Engineering!$M$5:$BM$5,Engineering!$M$13:$BM$13))</f>
        <v>TBC</v>
      </c>
      <c r="BC77" s="69" t="str">
        <f>IF(BC$7&gt;$D$3,"",_xlfn.XLOOKUP(BC$8,Engineering!$M$5:$BM$5,Engineering!$M$13:$BM$13))</f>
        <v>TBC</v>
      </c>
      <c r="BD77" s="69" t="str">
        <f>IF(BD$7&gt;$D$3,"",_xlfn.XLOOKUP(BD$8,Engineering!$M$5:$BM$5,Engineering!$M$13:$BM$13))</f>
        <v>R</v>
      </c>
      <c r="BE77" s="69" t="str">
        <f>IF(BE$7&gt;$D$3,"",_xlfn.XLOOKUP(BE$8,Engineering!$M$5:$BM$5,Engineering!$M$13:$BM$13))</f>
        <v>R</v>
      </c>
      <c r="BF77" s="69" t="str">
        <f>IF(BF$7&gt;$D$3,"",_xlfn.XLOOKUP(BF$8,Engineering!$M$5:$BM$5,Engineering!$M$13:$BM$13))</f>
        <v>R</v>
      </c>
      <c r="BG77" s="69" t="str">
        <f>IF(BG$7&gt;$D$3,"",_xlfn.XLOOKUP(BG$8,Engineering!$M$5:$BM$5,Engineering!$M$13:$BM$13))</f>
        <v>R</v>
      </c>
      <c r="BH77" s="69" t="str">
        <f>IF(BH$7&gt;$D$3,"",_xlfn.XLOOKUP(BH$8,Engineering!$M$5:$BM$5,Engineering!$M$13:$BM$13))</f>
        <v>R</v>
      </c>
      <c r="BI77" s="69" t="str">
        <f>IF(BI$7&gt;$D$3,"",_xlfn.XLOOKUP(BI$8,Engineering!$M$5:$BM$5,Engineering!$M$13:$BM$13))</f>
        <v>R</v>
      </c>
      <c r="BJ77" s="69" t="str">
        <f>IF(BJ$7&gt;$D$3,"",_xlfn.XLOOKUP(BJ$8,Engineering!$M$5:$BM$5,Engineering!$M$13:$BM$13))</f>
        <v>R</v>
      </c>
      <c r="BK77" s="69" t="str">
        <f>IF(BK$7&gt;$D$3,"",_xlfn.XLOOKUP(BK$8,Engineering!$M$5:$BM$5,Engineering!$M$13:$BM$13))</f>
        <v>R</v>
      </c>
      <c r="BL77" s="69" t="str">
        <f>IF(BL$7&gt;$D$3,"",_xlfn.XLOOKUP(BL$8,Engineering!$M$5:$BM$5,Engineering!$M$13:$BM$13))</f>
        <v>R</v>
      </c>
      <c r="BM77" s="69" t="str">
        <f>IF(BM$7&gt;$D$3,"",_xlfn.XLOOKUP(BM$8,Engineering!$M$5:$BM$5,Engineering!$M$13:$BM$13))</f>
        <v>G</v>
      </c>
      <c r="BN77" s="69" t="str">
        <f>IF(BN$7&gt;$D$3,"",_xlfn.XLOOKUP(BN$8,Engineering!$M$5:$BM$5,Engineering!$M$13:$BM$13))</f>
        <v>G</v>
      </c>
      <c r="BO77" s="69" t="str">
        <f>IF(BO$7&gt;$D$3,"",_xlfn.XLOOKUP(BO$8,Engineering!$M$5:$BM$5,Engineering!$M$13:$BM$13))</f>
        <v>G</v>
      </c>
      <c r="BP77" s="69" t="str">
        <f>IF(BP$7&gt;$D$3,"",_xlfn.XLOOKUP(BP$8,Engineering!$M$5:$BM$5,Engineering!$M$13:$BM$13))</f>
        <v>G</v>
      </c>
      <c r="BQ77" s="69" t="str">
        <f>IF(BQ$7&gt;$D$3,"",_xlfn.XLOOKUP(BQ$8,Engineering!$M$5:$BM$5,Engineering!$M$13:$BM$13))</f>
        <v>G</v>
      </c>
      <c r="BR77" s="69" t="str">
        <f>IF(BR$7&gt;$D$3,"",_xlfn.XLOOKUP(BR$8,Engineering!$M$5:$BM$5,Engineering!$M$13:$BM$13))</f>
        <v>OD</v>
      </c>
      <c r="BS77" s="69" t="str">
        <f>IF(BS$7&gt;$D$3,"",_xlfn.XLOOKUP(BS$8,Engineering!$M$5:$BM$5,Engineering!$M$13:$BM$13))</f>
        <v>OD</v>
      </c>
      <c r="BT77" s="69" t="str">
        <f>IF(BT$7&gt;$D$3,"",_xlfn.XLOOKUP(BT$8,Engineering!$M$5:$BM$5,Engineering!$M$13:$BM$13))</f>
        <v>OD</v>
      </c>
      <c r="BU77" s="69" t="str">
        <f>IF(BU$7&gt;$D$3,"",_xlfn.XLOOKUP(BU$8,Engineering!$M$5:$BM$5,Engineering!$M$13:$BM$13))</f>
        <v>OD</v>
      </c>
      <c r="BV77" s="69" t="str">
        <f>IF(BV$7&gt;$D$3,"",_xlfn.XLOOKUP(BV$8,Engineering!$M$5:$BM$5,Engineering!$M$13:$BM$13))</f>
        <v>OD</v>
      </c>
      <c r="BW77" s="69" t="str">
        <f>IF(BW$7&gt;$D$3,"",_xlfn.XLOOKUP(BW$8,Engineering!$M$5:$BM$5,Engineering!$M$13:$BM$13))</f>
        <v>OD</v>
      </c>
      <c r="BX77" s="69" t="str">
        <f>IF(BX$7&gt;$D$3,"",_xlfn.XLOOKUP(BX$8,Engineering!$M$5:$BM$5,Engineering!$M$13:$BM$13))</f>
        <v>OD</v>
      </c>
      <c r="BY77" s="69" t="str">
        <f>IF(BY$7&gt;$D$3,"",_xlfn.XLOOKUP(BY$8,Engineering!$M$5:$BM$5,Engineering!$M$13:$BM$13))</f>
        <v>OD</v>
      </c>
      <c r="BZ77" s="69" t="str">
        <f>IF(BZ$7&gt;$D$3,"",_xlfn.XLOOKUP(BZ$8,Engineering!$M$5:$BM$5,Engineering!$M$13:$BM$13))</f>
        <v>OD</v>
      </c>
      <c r="CA77" s="69" t="str">
        <f>IF(CA$7&gt;$D$3,"",_xlfn.XLOOKUP(CA$8,Engineering!$M$5:$BM$5,Engineering!$M$13:$BM$13))</f>
        <v>OD</v>
      </c>
      <c r="CB77" s="69" t="str">
        <f>IF(CB$7&gt;$D$3,"",_xlfn.XLOOKUP(CB$8,Engineering!$M$5:$BM$5,Engineering!$M$13:$BM$13))</f>
        <v>OD</v>
      </c>
      <c r="CC77" s="69" t="str">
        <f>IF(CC$7&gt;$D$3,"",_xlfn.XLOOKUP(CC$8,Engineering!$M$5:$BM$5,Engineering!$M$13:$BM$13))</f>
        <v/>
      </c>
      <c r="CD77" s="69" t="str">
        <f>IF(CD$7&gt;$D$3,"",_xlfn.XLOOKUP(CD$8,Engineering!$M$5:$BM$5,Engineering!$M$13:$BM$13))</f>
        <v/>
      </c>
      <c r="CE77" s="69" t="str">
        <f>IF(CE$7&gt;$D$3,"",_xlfn.XLOOKUP(CE$8,Engineering!$M$5:$BM$5,Engineering!$M$13:$BM$13))</f>
        <v/>
      </c>
      <c r="CF77" s="69" t="str">
        <f>IF(CF$7&gt;$D$3,"",_xlfn.XLOOKUP(CF$8,Engineering!$M$5:$BM$5,Engineering!$M$13:$BM$13))</f>
        <v/>
      </c>
      <c r="CG77" s="69" t="str">
        <f>IF(CG$7&gt;$D$3,"",_xlfn.XLOOKUP(CG$8,Engineering!$M$5:$BM$5,Engineering!$M$13:$BM$13))</f>
        <v/>
      </c>
      <c r="CH77" s="69" t="str">
        <f>IF(CH$7&gt;$D$3,"",_xlfn.XLOOKUP(CH$8,Engineering!$M$5:$BM$5,Engineering!$M$13:$BM$13))</f>
        <v/>
      </c>
      <c r="CI77" s="69" t="str">
        <f>IF(CI$7&gt;$D$3,"",_xlfn.XLOOKUP(CI$8,Engineering!$M$5:$BM$5,Engineering!$M$13:$BM$13))</f>
        <v/>
      </c>
      <c r="CJ77" s="69" t="str">
        <f>IF(CJ$7&gt;$D$3,"",_xlfn.XLOOKUP(CJ$8,Engineering!$M$5:$BM$5,Engineering!$M$13:$BM$13))</f>
        <v/>
      </c>
      <c r="CK77" s="69" t="str">
        <f>IF(CK$7&gt;$D$3,"",_xlfn.XLOOKUP(CK$8,Engineering!$M$5:$BM$5,Engineering!$M$13:$BM$13))</f>
        <v/>
      </c>
      <c r="CL77" s="69" t="str">
        <f>IF(CL$7&gt;$D$3,"",_xlfn.XLOOKUP(CL$8,Engineering!$M$5:$BM$5,Engineering!$M$13:$BM$13))</f>
        <v/>
      </c>
      <c r="CM77" s="423" t="str">
        <f>IF(CM$7&gt;$D$3,"",_xlfn.XLOOKUP(CM$8,Engineering!$M$5:$BM$5,Engineering!$M$13:$BM$13))</f>
        <v/>
      </c>
      <c r="CO77" s="465" t="str">
        <f>+$A77</f>
        <v>Engineering-KPI D1</v>
      </c>
      <c r="CP77" s="136" t="str">
        <f t="shared" si="249"/>
        <v>KPI D1</v>
      </c>
      <c r="CQ77" s="678" t="str">
        <f t="shared" si="249"/>
        <v>Delivery</v>
      </c>
      <c r="CR77" s="144" t="str">
        <f t="shared" si="249"/>
        <v>Conversion Ratio - Jobs complete / Jobs Picked Up</v>
      </c>
      <c r="CS77" s="145" t="str">
        <f t="shared" si="249"/>
        <v>%</v>
      </c>
      <c r="CT77" s="207" t="s">
        <v>246</v>
      </c>
      <c r="CU77" s="315" t="str">
        <f>IFERROR(IF(CU$7&gt;$D$3,"",IF(AM77="Missed","Missed",IF(AM77="OD","OD",IF(AM77="TBC","TBC",IF(AM77="Undefined","Undefined",
IF(_xlfn.XLOOKUP(CU$8,Engineering!$M$5:$BM$5,Engineering!$M$11:$BM$11)="Undefined",_xlfn.XLOOKUP(CU$8,Engineering!$M$5:$BM$5,Engineering!$M$12:$BM$12),
_xlfn.XLOOKUP(CU$8,Engineering!$M$5:$BM$5,Engineering!$M$12:$BM$12)/_xlfn.XLOOKUP(CU$8,Engineering!$M$5:$BM$5,Engineering!$M$11:$BM$11))))))),"")</f>
        <v>TBC</v>
      </c>
      <c r="CV77" s="315" t="str">
        <f>IFERROR(IF(CV$7&gt;$D$3,"",IF(AN77="Missed","Missed",IF(AN77="OD","OD",IF(AN77="TBC","TBC",IF(AN77="Undefined","Undefined",
IF(_xlfn.XLOOKUP(CV$8,Engineering!$M$5:$BM$5,Engineering!$M$11:$BM$11)="Undefined",_xlfn.XLOOKUP(CV$8,Engineering!$M$5:$BM$5,Engineering!$M$12:$BM$12),
_xlfn.XLOOKUP(CV$8,Engineering!$M$5:$BM$5,Engineering!$M$12:$BM$12)/_xlfn.XLOOKUP(CV$8,Engineering!$M$5:$BM$5,Engineering!$M$11:$BM$11))))))),"")</f>
        <v>TBC</v>
      </c>
      <c r="CW77" s="315" t="str">
        <f>IFERROR(IF(CW$7&gt;$D$3,"",IF(AO77="Missed","Missed",IF(AO77="OD","OD",IF(AO77="TBC","TBC",IF(AO77="Undefined","Undefined",
IF(_xlfn.XLOOKUP(CW$8,Engineering!$M$5:$BM$5,Engineering!$M$11:$BM$11)="Undefined",_xlfn.XLOOKUP(CW$8,Engineering!$M$5:$BM$5,Engineering!$M$12:$BM$12),
_xlfn.XLOOKUP(CW$8,Engineering!$M$5:$BM$5,Engineering!$M$12:$BM$12)/_xlfn.XLOOKUP(CW$8,Engineering!$M$5:$BM$5,Engineering!$M$11:$BM$11))))))),"")</f>
        <v>TBC</v>
      </c>
      <c r="CX77" s="315" t="str">
        <f>IFERROR(IF(CX$7&gt;$D$3,"",IF(AP77="Missed","Missed",IF(AP77="OD","OD",IF(AP77="TBC","TBC",IF(AP77="Undefined","Undefined",
IF(_xlfn.XLOOKUP(CX$8,Engineering!$M$5:$BM$5,Engineering!$M$11:$BM$11)="Undefined",_xlfn.XLOOKUP(CX$8,Engineering!$M$5:$BM$5,Engineering!$M$12:$BM$12),
_xlfn.XLOOKUP(CX$8,Engineering!$M$5:$BM$5,Engineering!$M$12:$BM$12)/_xlfn.XLOOKUP(CX$8,Engineering!$M$5:$BM$5,Engineering!$M$11:$BM$11))))))),"")</f>
        <v>TBC</v>
      </c>
      <c r="CY77" s="315" t="str">
        <f>IFERROR(IF(CY$7&gt;$D$3,"",IF(AQ77="Missed","Missed",IF(AQ77="OD","OD",IF(AQ77="TBC","TBC",IF(AQ77="Undefined","Undefined",
IF(_xlfn.XLOOKUP(CY$8,Engineering!$M$5:$BM$5,Engineering!$M$11:$BM$11)="Undefined",_xlfn.XLOOKUP(CY$8,Engineering!$M$5:$BM$5,Engineering!$M$12:$BM$12),
_xlfn.XLOOKUP(CY$8,Engineering!$M$5:$BM$5,Engineering!$M$12:$BM$12)/_xlfn.XLOOKUP(CY$8,Engineering!$M$5:$BM$5,Engineering!$M$11:$BM$11))))))),"")</f>
        <v>TBC</v>
      </c>
      <c r="CZ77" s="315" t="str">
        <f>IFERROR(IF(CZ$7&gt;$D$3,"",IF(AR77="Missed","Missed",IF(AR77="OD","OD",IF(AR77="TBC","TBC",IF(AR77="Undefined","Undefined",
IF(_xlfn.XLOOKUP(CZ$8,Engineering!$M$5:$BM$5,Engineering!$M$11:$BM$11)="Undefined",_xlfn.XLOOKUP(CZ$8,Engineering!$M$5:$BM$5,Engineering!$M$12:$BM$12),
_xlfn.XLOOKUP(CZ$8,Engineering!$M$5:$BM$5,Engineering!$M$12:$BM$12)/_xlfn.XLOOKUP(CZ$8,Engineering!$M$5:$BM$5,Engineering!$M$11:$BM$11))))))),"")</f>
        <v>TBC</v>
      </c>
      <c r="DA77" s="315" t="str">
        <f>IFERROR(IF(DA$7&gt;$D$3,"",IF(AS77="Missed","Missed",IF(AS77="OD","OD",IF(AS77="TBC","TBC",IF(AS77="Undefined","Undefined",
IF(_xlfn.XLOOKUP(DA$8,Engineering!$M$5:$BM$5,Engineering!$M$11:$BM$11)="Undefined",_xlfn.XLOOKUP(DA$8,Engineering!$M$5:$BM$5,Engineering!$M$12:$BM$12),
_xlfn.XLOOKUP(DA$8,Engineering!$M$5:$BM$5,Engineering!$M$12:$BM$12)/_xlfn.XLOOKUP(DA$8,Engineering!$M$5:$BM$5,Engineering!$M$11:$BM$11))))))),"")</f>
        <v>TBC</v>
      </c>
      <c r="DB77" s="315" t="str">
        <f>IFERROR(IF(DB$7&gt;$D$3,"",IF(AT77="Missed","Missed",IF(AT77="OD","OD",IF(AT77="TBC","TBC",IF(AT77="Undefined","Undefined",
IF(_xlfn.XLOOKUP(DB$8,Engineering!$M$5:$BM$5,Engineering!$M$11:$BM$11)="Undefined",_xlfn.XLOOKUP(DB$8,Engineering!$M$5:$BM$5,Engineering!$M$12:$BM$12),
_xlfn.XLOOKUP(DB$8,Engineering!$M$5:$BM$5,Engineering!$M$12:$BM$12)/_xlfn.XLOOKUP(DB$8,Engineering!$M$5:$BM$5,Engineering!$M$11:$BM$11))))))),"")</f>
        <v>TBC</v>
      </c>
      <c r="DC77" s="315" t="str">
        <f>IFERROR(IF(DC$7&gt;$D$3,"",IF(AU77="Missed","Missed",IF(AU77="OD","OD",IF(AU77="TBC","TBC",IF(AU77="Undefined","Undefined",
IF(_xlfn.XLOOKUP(DC$8,Engineering!$M$5:$BM$5,Engineering!$M$11:$BM$11)="Undefined",_xlfn.XLOOKUP(DC$8,Engineering!$M$5:$BM$5,Engineering!$M$12:$BM$12),
_xlfn.XLOOKUP(DC$8,Engineering!$M$5:$BM$5,Engineering!$M$12:$BM$12)/_xlfn.XLOOKUP(DC$8,Engineering!$M$5:$BM$5,Engineering!$M$11:$BM$11))))))),"")</f>
        <v>TBC</v>
      </c>
      <c r="DD77" s="315" t="str">
        <f>IFERROR(IF(DD$7&gt;$D$3,"",IF(AV77="Missed","Missed",IF(AV77="OD","OD",IF(AV77="TBC","TBC",IF(AV77="Undefined","Undefined",
IF(_xlfn.XLOOKUP(DD$8,Engineering!$M$5:$BM$5,Engineering!$M$11:$BM$11)="Undefined",_xlfn.XLOOKUP(DD$8,Engineering!$M$5:$BM$5,Engineering!$M$12:$BM$12),
_xlfn.XLOOKUP(DD$8,Engineering!$M$5:$BM$5,Engineering!$M$12:$BM$12)/_xlfn.XLOOKUP(DD$8,Engineering!$M$5:$BM$5,Engineering!$M$11:$BM$11))))))),"")</f>
        <v>TBC</v>
      </c>
      <c r="DE77" s="315" t="str">
        <f>IFERROR(IF(DE$7&gt;$D$3,"",IF(AW77="Missed","Missed",IF(AW77="OD","OD",IF(AW77="TBC","TBC",IF(AW77="Undefined","Undefined",
IF(_xlfn.XLOOKUP(DE$8,Engineering!$M$5:$BM$5,Engineering!$M$11:$BM$11)="Undefined",_xlfn.XLOOKUP(DE$8,Engineering!$M$5:$BM$5,Engineering!$M$12:$BM$12),
_xlfn.XLOOKUP(DE$8,Engineering!$M$5:$BM$5,Engineering!$M$12:$BM$12)/_xlfn.XLOOKUP(DE$8,Engineering!$M$5:$BM$5,Engineering!$M$11:$BM$11))))))),"")</f>
        <v>TBC</v>
      </c>
      <c r="DF77" s="315" t="str">
        <f>IFERROR(IF(DF$7&gt;$D$3,"",IF(AX77="Missed","Missed",IF(AX77="OD","OD",IF(AX77="TBC","TBC",IF(AX77="Undefined","Undefined",
IF(_xlfn.XLOOKUP(DF$8,Engineering!$M$5:$BM$5,Engineering!$M$11:$BM$11)="Undefined",_xlfn.XLOOKUP(DF$8,Engineering!$M$5:$BM$5,Engineering!$M$12:$BM$12),
_xlfn.XLOOKUP(DF$8,Engineering!$M$5:$BM$5,Engineering!$M$12:$BM$12)/_xlfn.XLOOKUP(DF$8,Engineering!$M$5:$BM$5,Engineering!$M$11:$BM$11))))))),"")</f>
        <v>TBC</v>
      </c>
      <c r="DG77" s="315" t="str">
        <f>IFERROR(IF(DG$7&gt;$D$3,"",IF(AY77="Missed","Missed",IF(AY77="OD","OD",IF(AY77="TBC","TBC",IF(AY77="Undefined","Undefined",
IF(_xlfn.XLOOKUP(DG$8,Engineering!$M$5:$BM$5,Engineering!$M$11:$BM$11)="Undefined",_xlfn.XLOOKUP(DG$8,Engineering!$M$5:$BM$5,Engineering!$M$12:$BM$12),
_xlfn.XLOOKUP(DG$8,Engineering!$M$5:$BM$5,Engineering!$M$12:$BM$12)/_xlfn.XLOOKUP(DG$8,Engineering!$M$5:$BM$5,Engineering!$M$11:$BM$11))))))),"")</f>
        <v>TBC</v>
      </c>
      <c r="DH77" s="315" t="str">
        <f>IFERROR(IF(DH$7&gt;$D$3,"",IF(AZ77="Missed","Missed",IF(AZ77="OD","OD",IF(AZ77="TBC","TBC",IF(AZ77="Undefined","Undefined",
IF(_xlfn.XLOOKUP(DH$8,Engineering!$M$5:$BM$5,Engineering!$M$11:$BM$11)="Undefined",_xlfn.XLOOKUP(DH$8,Engineering!$M$5:$BM$5,Engineering!$M$12:$BM$12),
_xlfn.XLOOKUP(DH$8,Engineering!$M$5:$BM$5,Engineering!$M$12:$BM$12)/_xlfn.XLOOKUP(DH$8,Engineering!$M$5:$BM$5,Engineering!$M$11:$BM$11))))))),"")</f>
        <v>TBC</v>
      </c>
      <c r="DI77" s="315" t="str">
        <f>IFERROR(IF(DI$7&gt;$D$3,"",IF(BA77="Missed","Missed",IF(BA77="OD","OD",IF(BA77="TBC","TBC",IF(BA77="Undefined","Undefined",
IF(_xlfn.XLOOKUP(DI$8,Engineering!$M$5:$BM$5,Engineering!$M$11:$BM$11)="Undefined",_xlfn.XLOOKUP(DI$8,Engineering!$M$5:$BM$5,Engineering!$M$12:$BM$12),
_xlfn.XLOOKUP(DI$8,Engineering!$M$5:$BM$5,Engineering!$M$12:$BM$12)/_xlfn.XLOOKUP(DI$8,Engineering!$M$5:$BM$5,Engineering!$M$11:$BM$11))))))),"")</f>
        <v>TBC</v>
      </c>
      <c r="DJ77" s="315" t="str">
        <f>IFERROR(IF(DJ$7&gt;$D$3,"",IF(BB77="Missed","Missed",IF(BB77="OD","OD",IF(BB77="TBC","TBC",IF(BB77="Undefined","Undefined",
IF(_xlfn.XLOOKUP(DJ$8,Engineering!$M$5:$BM$5,Engineering!$M$11:$BM$11)="Undefined",_xlfn.XLOOKUP(DJ$8,Engineering!$M$5:$BM$5,Engineering!$M$12:$BM$12),
_xlfn.XLOOKUP(DJ$8,Engineering!$M$5:$BM$5,Engineering!$M$12:$BM$12)/_xlfn.XLOOKUP(DJ$8,Engineering!$M$5:$BM$5,Engineering!$M$11:$BM$11))))))),"")</f>
        <v>TBC</v>
      </c>
      <c r="DK77" s="315" t="str">
        <f>IFERROR(IF(DK$7&gt;$D$3,"",IF(BC77="Missed","Missed",IF(BC77="OD","OD",IF(BC77="TBC","TBC",IF(BC77="Undefined","Undefined",
IF(_xlfn.XLOOKUP(DK$8,Engineering!$M$5:$BM$5,Engineering!$M$11:$BM$11)="Undefined",_xlfn.XLOOKUP(DK$8,Engineering!$M$5:$BM$5,Engineering!$M$12:$BM$12),
_xlfn.XLOOKUP(DK$8,Engineering!$M$5:$BM$5,Engineering!$M$12:$BM$12)/_xlfn.XLOOKUP(DK$8,Engineering!$M$5:$BM$5,Engineering!$M$11:$BM$11))))))),"")</f>
        <v>TBC</v>
      </c>
      <c r="DL77" s="315">
        <f>IFERROR(IF(DL$7&gt;$D$3,"",IF(BD77="Missed","Missed",IF(BD77="OD","OD",IF(BD77="TBC","TBC",IF(BD77="Undefined","Undefined",
IF(_xlfn.XLOOKUP(DL$8,Engineering!$M$5:$BM$5,Engineering!$M$11:$BM$11)="Undefined",_xlfn.XLOOKUP(DL$8,Engineering!$M$5:$BM$5,Engineering!$M$12:$BM$12),
_xlfn.XLOOKUP(DL$8,Engineering!$M$5:$BM$5,Engineering!$M$12:$BM$12)/_xlfn.XLOOKUP(DL$8,Engineering!$M$5:$BM$5,Engineering!$M$11:$BM$11))))))),"")</f>
        <v>0.4</v>
      </c>
      <c r="DM77" s="315">
        <f>IFERROR(IF(DM$7&gt;$D$3,"",IF(BE77="Missed","Missed",IF(BE77="OD","OD",IF(BE77="TBC","TBC",IF(BE77="Undefined","Undefined",
IF(_xlfn.XLOOKUP(DM$8,Engineering!$M$5:$BM$5,Engineering!$M$11:$BM$11)="Undefined",_xlfn.XLOOKUP(DM$8,Engineering!$M$5:$BM$5,Engineering!$M$12:$BM$12),
_xlfn.XLOOKUP(DM$8,Engineering!$M$5:$BM$5,Engineering!$M$12:$BM$12)/_xlfn.XLOOKUP(DM$8,Engineering!$M$5:$BM$5,Engineering!$M$11:$BM$11))))))),"")</f>
        <v>0.4</v>
      </c>
      <c r="DN77" s="315">
        <f>IFERROR(IF(DN$7&gt;$D$3,"",IF(BF77="Missed","Missed",IF(BF77="OD","OD",IF(BF77="TBC","TBC",IF(BF77="Undefined","Undefined",
IF(_xlfn.XLOOKUP(DN$8,Engineering!$M$5:$BM$5,Engineering!$M$11:$BM$11)="Undefined",_xlfn.XLOOKUP(DN$8,Engineering!$M$5:$BM$5,Engineering!$M$12:$BM$12),
_xlfn.XLOOKUP(DN$8,Engineering!$M$5:$BM$5,Engineering!$M$12:$BM$12)/_xlfn.XLOOKUP(DN$8,Engineering!$M$5:$BM$5,Engineering!$M$11:$BM$11))))))),"")</f>
        <v>0.4</v>
      </c>
      <c r="DO77" s="315">
        <f>IFERROR(IF(DO$7&gt;$D$3,"",IF(BG77="Missed","Missed",IF(BG77="OD","OD",IF(BG77="TBC","TBC",IF(BG77="Undefined","Undefined",
IF(_xlfn.XLOOKUP(DO$8,Engineering!$M$5:$BM$5,Engineering!$M$11:$BM$11)="Undefined",_xlfn.XLOOKUP(DO$8,Engineering!$M$5:$BM$5,Engineering!$M$12:$BM$12),
_xlfn.XLOOKUP(DO$8,Engineering!$M$5:$BM$5,Engineering!$M$12:$BM$12)/_xlfn.XLOOKUP(DO$8,Engineering!$M$5:$BM$5,Engineering!$M$11:$BM$11))))))),"")</f>
        <v>0.4</v>
      </c>
      <c r="DP77" s="315">
        <f>IFERROR(IF(DP$7&gt;$D$3,"",IF(BH77="Missed","Missed",IF(BH77="OD","OD",IF(BH77="TBC","TBC",IF(BH77="Undefined","Undefined",
IF(_xlfn.XLOOKUP(DP$8,Engineering!$M$5:$BM$5,Engineering!$M$11:$BM$11)="Undefined",_xlfn.XLOOKUP(DP$8,Engineering!$M$5:$BM$5,Engineering!$M$12:$BM$12),
_xlfn.XLOOKUP(DP$8,Engineering!$M$5:$BM$5,Engineering!$M$12:$BM$12)/_xlfn.XLOOKUP(DP$8,Engineering!$M$5:$BM$5,Engineering!$M$11:$BM$11))))))),"")</f>
        <v>0.4</v>
      </c>
      <c r="DQ77" s="315">
        <f>IFERROR(IF(DQ$7&gt;$D$3,"",IF(BI77="Missed","Missed",IF(BI77="OD","OD",IF(BI77="TBC","TBC",IF(BI77="Undefined","Undefined",
IF(_xlfn.XLOOKUP(DQ$8,Engineering!$M$5:$BM$5,Engineering!$M$11:$BM$11)="Undefined",_xlfn.XLOOKUP(DQ$8,Engineering!$M$5:$BM$5,Engineering!$M$12:$BM$12),
_xlfn.XLOOKUP(DQ$8,Engineering!$M$5:$BM$5,Engineering!$M$12:$BM$12)/_xlfn.XLOOKUP(DQ$8,Engineering!$M$5:$BM$5,Engineering!$M$11:$BM$11))))))),"")</f>
        <v>0.93</v>
      </c>
      <c r="DR77" s="315">
        <f>IFERROR(IF(DR$7&gt;$D$3,"",IF(BJ77="Missed","Missed",IF(BJ77="OD","OD",IF(BJ77="TBC","TBC",IF(BJ77="Undefined","Undefined",
IF(_xlfn.XLOOKUP(DR$8,Engineering!$M$5:$BM$5,Engineering!$M$11:$BM$11)="Undefined",_xlfn.XLOOKUP(DR$8,Engineering!$M$5:$BM$5,Engineering!$M$12:$BM$12),
_xlfn.XLOOKUP(DR$8,Engineering!$M$5:$BM$5,Engineering!$M$12:$BM$12)/_xlfn.XLOOKUP(DR$8,Engineering!$M$5:$BM$5,Engineering!$M$11:$BM$11))))))),"")</f>
        <v>0.93</v>
      </c>
      <c r="DS77" s="315">
        <f>IFERROR(IF(DS$7&gt;$D$3,"",IF(BK77="Missed","Missed",IF(BK77="OD","OD",IF(BK77="TBC","TBC",IF(BK77="Undefined","Undefined",
IF(_xlfn.XLOOKUP(DS$8,Engineering!$M$5:$BM$5,Engineering!$M$11:$BM$11)="Undefined",_xlfn.XLOOKUP(DS$8,Engineering!$M$5:$BM$5,Engineering!$M$12:$BM$12),
_xlfn.XLOOKUP(DS$8,Engineering!$M$5:$BM$5,Engineering!$M$12:$BM$12)/_xlfn.XLOOKUP(DS$8,Engineering!$M$5:$BM$5,Engineering!$M$11:$BM$11))))))),"")</f>
        <v>0.93</v>
      </c>
      <c r="DT77" s="315">
        <f>IFERROR(IF(DT$7&gt;$D$3,"",IF(BL77="Missed","Missed",IF(BL77="OD","OD",IF(BL77="TBC","TBC",IF(BL77="Undefined","Undefined",
IF(_xlfn.XLOOKUP(DT$8,Engineering!$M$5:$BM$5,Engineering!$M$11:$BM$11)="Undefined",_xlfn.XLOOKUP(DT$8,Engineering!$M$5:$BM$5,Engineering!$M$12:$BM$12),
_xlfn.XLOOKUP(DT$8,Engineering!$M$5:$BM$5,Engineering!$M$12:$BM$12)/_xlfn.XLOOKUP(DT$8,Engineering!$M$5:$BM$5,Engineering!$M$11:$BM$11))))))),"")</f>
        <v>0.93</v>
      </c>
      <c r="DU77" s="315">
        <f>IFERROR(IF(DU$7&gt;$D$3,"",IF(BM77="Missed","Missed",IF(BM77="OD","OD",IF(BM77="TBC","TBC",IF(BM77="Undefined","Undefined",
IF(_xlfn.XLOOKUP(DU$8,Engineering!$M$5:$BM$5,Engineering!$M$11:$BM$11)="Undefined",_xlfn.XLOOKUP(DU$8,Engineering!$M$5:$BM$5,Engineering!$M$12:$BM$12),
_xlfn.XLOOKUP(DU$8,Engineering!$M$5:$BM$5,Engineering!$M$12:$BM$12)/_xlfn.XLOOKUP(DU$8,Engineering!$M$5:$BM$5,Engineering!$M$11:$BM$11))))))),"")</f>
        <v>3</v>
      </c>
      <c r="DV77" s="315">
        <f>IFERROR(IF(DV$7&gt;$D$3,"",IF(BN77="Missed","Missed",IF(BN77="OD","OD",IF(BN77="TBC","TBC",IF(BN77="Undefined","Undefined",
IF(_xlfn.XLOOKUP(DV$8,Engineering!$M$5:$BM$5,Engineering!$M$11:$BM$11)="Undefined",_xlfn.XLOOKUP(DV$8,Engineering!$M$5:$BM$5,Engineering!$M$12:$BM$12),
_xlfn.XLOOKUP(DV$8,Engineering!$M$5:$BM$5,Engineering!$M$12:$BM$12)/_xlfn.XLOOKUP(DV$8,Engineering!$M$5:$BM$5,Engineering!$M$11:$BM$11))))))),"")</f>
        <v>3</v>
      </c>
      <c r="DW77" s="315">
        <f>IFERROR(IF(DW$7&gt;$D$3,"",IF(BO77="Missed","Missed",IF(BO77="OD","OD",IF(BO77="TBC","TBC",IF(BO77="Undefined","Undefined",
IF(_xlfn.XLOOKUP(DW$8,Engineering!$M$5:$BM$5,Engineering!$M$11:$BM$11)="Undefined",_xlfn.XLOOKUP(DW$8,Engineering!$M$5:$BM$5,Engineering!$M$12:$BM$12),
_xlfn.XLOOKUP(DW$8,Engineering!$M$5:$BM$5,Engineering!$M$12:$BM$12)/_xlfn.XLOOKUP(DW$8,Engineering!$M$5:$BM$5,Engineering!$M$11:$BM$11))))))),"")</f>
        <v>3</v>
      </c>
      <c r="DX77" s="315">
        <f>IFERROR(IF(DX$7&gt;$D$3,"",IF(BP77="Missed","Missed",IF(BP77="OD","OD",IF(BP77="TBC","TBC",IF(BP77="Undefined","Undefined",
IF(_xlfn.XLOOKUP(DX$8,Engineering!$M$5:$BM$5,Engineering!$M$11:$BM$11)="Undefined",_xlfn.XLOOKUP(DX$8,Engineering!$M$5:$BM$5,Engineering!$M$12:$BM$12),
_xlfn.XLOOKUP(DX$8,Engineering!$M$5:$BM$5,Engineering!$M$12:$BM$12)/_xlfn.XLOOKUP(DX$8,Engineering!$M$5:$BM$5,Engineering!$M$11:$BM$11))))))),"")</f>
        <v>3</v>
      </c>
      <c r="DY77" s="315">
        <f>IFERROR(IF(DY$7&gt;$D$3,"",IF(BQ77="Missed","Missed",IF(BQ77="OD","OD",IF(BQ77="TBC","TBC",IF(BQ77="Undefined","Undefined",
IF(_xlfn.XLOOKUP(DY$8,Engineering!$M$5:$BM$5,Engineering!$M$11:$BM$11)="Undefined",_xlfn.XLOOKUP(DY$8,Engineering!$M$5:$BM$5,Engineering!$M$12:$BM$12),
_xlfn.XLOOKUP(DY$8,Engineering!$M$5:$BM$5,Engineering!$M$12:$BM$12)/_xlfn.XLOOKUP(DY$8,Engineering!$M$5:$BM$5,Engineering!$M$11:$BM$11))))))),"")</f>
        <v>3</v>
      </c>
      <c r="DZ77" s="315" t="str">
        <f>IFERROR(IF(DZ$7&gt;$D$3,"",IF(BR77="Missed","Missed",IF(BR77="OD","OD",IF(BR77="TBC","TBC",IF(BR77="Undefined","Undefined",
IF(_xlfn.XLOOKUP(DZ$8,Engineering!$M$5:$BM$5,Engineering!$M$11:$BM$11)="Undefined",_xlfn.XLOOKUP(DZ$8,Engineering!$M$5:$BM$5,Engineering!$M$12:$BM$12),
_xlfn.XLOOKUP(DZ$8,Engineering!$M$5:$BM$5,Engineering!$M$12:$BM$12)/_xlfn.XLOOKUP(DZ$8,Engineering!$M$5:$BM$5,Engineering!$M$11:$BM$11))))))),"")</f>
        <v>OD</v>
      </c>
      <c r="EA77" s="315" t="str">
        <f>IFERROR(IF(EA$7&gt;$D$3,"",IF(BS77="Missed","Missed",IF(BS77="OD","OD",IF(BS77="TBC","TBC",IF(BS77="Undefined","Undefined",
IF(_xlfn.XLOOKUP(EA$8,Engineering!$M$5:$BM$5,Engineering!$M$11:$BM$11)="Undefined",_xlfn.XLOOKUP(EA$8,Engineering!$M$5:$BM$5,Engineering!$M$12:$BM$12),
_xlfn.XLOOKUP(EA$8,Engineering!$M$5:$BM$5,Engineering!$M$12:$BM$12)/_xlfn.XLOOKUP(EA$8,Engineering!$M$5:$BM$5,Engineering!$M$11:$BM$11))))))),"")</f>
        <v>OD</v>
      </c>
      <c r="EB77" s="315" t="str">
        <f>IFERROR(IF(EB$7&gt;$D$3,"",IF(BT77="Missed","Missed",IF(BT77="OD","OD",IF(BT77="TBC","TBC",IF(BT77="Undefined","Undefined",
IF(_xlfn.XLOOKUP(EB$8,Engineering!$M$5:$BM$5,Engineering!$M$11:$BM$11)="Undefined",_xlfn.XLOOKUP(EB$8,Engineering!$M$5:$BM$5,Engineering!$M$12:$BM$12),
_xlfn.XLOOKUP(EB$8,Engineering!$M$5:$BM$5,Engineering!$M$12:$BM$12)/_xlfn.XLOOKUP(EB$8,Engineering!$M$5:$BM$5,Engineering!$M$11:$BM$11))))))),"")</f>
        <v>OD</v>
      </c>
      <c r="EC77" s="315" t="str">
        <f>IFERROR(IF(EC$7&gt;$D$3,"",IF(BU77="Missed","Missed",IF(BU77="OD","OD",IF(BU77="TBC","TBC",IF(BU77="Undefined","Undefined",
IF(_xlfn.XLOOKUP(EC$8,Engineering!$M$5:$BM$5,Engineering!$M$11:$BM$11)="Undefined",_xlfn.XLOOKUP(EC$8,Engineering!$M$5:$BM$5,Engineering!$M$12:$BM$12),
_xlfn.XLOOKUP(EC$8,Engineering!$M$5:$BM$5,Engineering!$M$12:$BM$12)/_xlfn.XLOOKUP(EC$8,Engineering!$M$5:$BM$5,Engineering!$M$11:$BM$11))))))),"")</f>
        <v>OD</v>
      </c>
      <c r="ED77" s="315" t="str">
        <f>IFERROR(IF(ED$7&gt;$D$3,"",IF(BV77="Missed","Missed",IF(BV77="OD","OD",IF(BV77="TBC","TBC",IF(BV77="Undefined","Undefined",
IF(_xlfn.XLOOKUP(ED$8,Engineering!$M$5:$BM$5,Engineering!$M$11:$BM$11)="Undefined",_xlfn.XLOOKUP(ED$8,Engineering!$M$5:$BM$5,Engineering!$M$12:$BM$12),
_xlfn.XLOOKUP(ED$8,Engineering!$M$5:$BM$5,Engineering!$M$12:$BM$12)/_xlfn.XLOOKUP(ED$8,Engineering!$M$5:$BM$5,Engineering!$M$11:$BM$11))))))),"")</f>
        <v>OD</v>
      </c>
      <c r="EE77" s="315" t="str">
        <f>IFERROR(IF(EE$7&gt;$D$3,"",IF(BW77="Missed","Missed",IF(BW77="OD","OD",IF(BW77="TBC","TBC",IF(BW77="Undefined","Undefined",
IF(_xlfn.XLOOKUP(EE$8,Engineering!$M$5:$BM$5,Engineering!$M$11:$BM$11)="Undefined",_xlfn.XLOOKUP(EE$8,Engineering!$M$5:$BM$5,Engineering!$M$12:$BM$12),
_xlfn.XLOOKUP(EE$8,Engineering!$M$5:$BM$5,Engineering!$M$12:$BM$12)/_xlfn.XLOOKUP(EE$8,Engineering!$M$5:$BM$5,Engineering!$M$11:$BM$11))))))),"")</f>
        <v>OD</v>
      </c>
      <c r="EF77" s="315" t="str">
        <f>IFERROR(IF(EF$7&gt;$D$3,"",IF(BX77="Missed","Missed",IF(BX77="OD","OD",IF(BX77="TBC","TBC",IF(BX77="Undefined","Undefined",
IF(_xlfn.XLOOKUP(EF$8,Engineering!$M$5:$BM$5,Engineering!$M$11:$BM$11)="Undefined",_xlfn.XLOOKUP(EF$8,Engineering!$M$5:$BM$5,Engineering!$M$12:$BM$12),
_xlfn.XLOOKUP(EF$8,Engineering!$M$5:$BM$5,Engineering!$M$12:$BM$12)/_xlfn.XLOOKUP(EF$8,Engineering!$M$5:$BM$5,Engineering!$M$11:$BM$11))))))),"")</f>
        <v>OD</v>
      </c>
      <c r="EG77" s="315" t="str">
        <f>IFERROR(IF(EG$7&gt;$D$3,"",IF(BY77="Missed","Missed",IF(BY77="OD","OD",IF(BY77="TBC","TBC",IF(BY77="Undefined","Undefined",
IF(_xlfn.XLOOKUP(EG$8,Engineering!$M$5:$BM$5,Engineering!$M$11:$BM$11)="Undefined",_xlfn.XLOOKUP(EG$8,Engineering!$M$5:$BM$5,Engineering!$M$12:$BM$12),
_xlfn.XLOOKUP(EG$8,Engineering!$M$5:$BM$5,Engineering!$M$12:$BM$12)/_xlfn.XLOOKUP(EG$8,Engineering!$M$5:$BM$5,Engineering!$M$11:$BM$11))))))),"")</f>
        <v>OD</v>
      </c>
      <c r="EH77" s="315" t="str">
        <f>IFERROR(IF(EH$7&gt;$D$3,"",IF(BZ77="Missed","Missed",IF(BZ77="OD","OD",IF(BZ77="TBC","TBC",IF(BZ77="Undefined","Undefined",
IF(_xlfn.XLOOKUP(EH$8,Engineering!$M$5:$BM$5,Engineering!$M$11:$BM$11)="Undefined",_xlfn.XLOOKUP(EH$8,Engineering!$M$5:$BM$5,Engineering!$M$12:$BM$12),
_xlfn.XLOOKUP(EH$8,Engineering!$M$5:$BM$5,Engineering!$M$12:$BM$12)/_xlfn.XLOOKUP(EH$8,Engineering!$M$5:$BM$5,Engineering!$M$11:$BM$11))))))),"")</f>
        <v>OD</v>
      </c>
      <c r="EI77" s="315" t="str">
        <f>IFERROR(IF(EI$7&gt;$D$3,"",IF(CA77="Missed","Missed",IF(CA77="OD","OD",IF(CA77="TBC","TBC",IF(CA77="Undefined","Undefined",
IF(_xlfn.XLOOKUP(EI$8,Engineering!$M$5:$BM$5,Engineering!$M$11:$BM$11)="Undefined",_xlfn.XLOOKUP(EI$8,Engineering!$M$5:$BM$5,Engineering!$M$12:$BM$12),
_xlfn.XLOOKUP(EI$8,Engineering!$M$5:$BM$5,Engineering!$M$12:$BM$12)/_xlfn.XLOOKUP(EI$8,Engineering!$M$5:$BM$5,Engineering!$M$11:$BM$11))))))),"")</f>
        <v>OD</v>
      </c>
      <c r="EJ77" s="315" t="str">
        <f>IFERROR(IF(EJ$7&gt;$D$3,"",IF(CB77="Missed","Missed",IF(CB77="OD","OD",IF(CB77="TBC","TBC",IF(CB77="Undefined","Undefined",
IF(_xlfn.XLOOKUP(EJ$8,Engineering!$M$5:$BM$5,Engineering!$M$11:$BM$11)="Undefined",_xlfn.XLOOKUP(EJ$8,Engineering!$M$5:$BM$5,Engineering!$M$12:$BM$12),
_xlfn.XLOOKUP(EJ$8,Engineering!$M$5:$BM$5,Engineering!$M$12:$BM$12)/_xlfn.XLOOKUP(EJ$8,Engineering!$M$5:$BM$5,Engineering!$M$11:$BM$11))))))),"")</f>
        <v>OD</v>
      </c>
      <c r="EK77" s="315" t="str">
        <f>IFERROR(IF(EK$7&gt;$D$3,"",IF(CC77="Missed","Missed",IF(CC77="OD","OD",IF(CC77="TBC","TBC",IF(CC77="Undefined","Undefined",
IF(_xlfn.XLOOKUP(EK$8,Engineering!$M$5:$BM$5,Engineering!$M$11:$BM$11)="Undefined",_xlfn.XLOOKUP(EK$8,Engineering!$M$5:$BM$5,Engineering!$M$12:$BM$12),
_xlfn.XLOOKUP(EK$8,Engineering!$M$5:$BM$5,Engineering!$M$12:$BM$12)/_xlfn.XLOOKUP(EK$8,Engineering!$M$5:$BM$5,Engineering!$M$11:$BM$11))))))),"")</f>
        <v/>
      </c>
      <c r="EL77" s="315" t="str">
        <f>IFERROR(IF(EL$7&gt;$D$3,"",IF(CD77="Missed","Missed",IF(CD77="OD","OD",IF(CD77="TBC","TBC",IF(CD77="Undefined","Undefined",
IF(_xlfn.XLOOKUP(EL$8,Engineering!$M$5:$BM$5,Engineering!$M$11:$BM$11)="Undefined",_xlfn.XLOOKUP(EL$8,Engineering!$M$5:$BM$5,Engineering!$M$12:$BM$12),
_xlfn.XLOOKUP(EL$8,Engineering!$M$5:$BM$5,Engineering!$M$12:$BM$12)/_xlfn.XLOOKUP(EL$8,Engineering!$M$5:$BM$5,Engineering!$M$11:$BM$11))))))),"")</f>
        <v/>
      </c>
      <c r="EM77" s="315" t="str">
        <f>IFERROR(IF(EM$7&gt;$D$3,"",IF(CE77="Missed","Missed",IF(CE77="OD","OD",IF(CE77="TBC","TBC",IF(CE77="Undefined","Undefined",
IF(_xlfn.XLOOKUP(EM$8,Engineering!$M$5:$BM$5,Engineering!$M$11:$BM$11)="Undefined",_xlfn.XLOOKUP(EM$8,Engineering!$M$5:$BM$5,Engineering!$M$12:$BM$12),
_xlfn.XLOOKUP(EM$8,Engineering!$M$5:$BM$5,Engineering!$M$12:$BM$12)/_xlfn.XLOOKUP(EM$8,Engineering!$M$5:$BM$5,Engineering!$M$11:$BM$11))))))),"")</f>
        <v/>
      </c>
      <c r="EN77" s="315" t="str">
        <f>IFERROR(IF(EN$7&gt;$D$3,"",IF(CF77="Missed","Missed",IF(CF77="OD","OD",IF(CF77="TBC","TBC",IF(CF77="Undefined","Undefined",
IF(_xlfn.XLOOKUP(EN$8,Engineering!$M$5:$BM$5,Engineering!$M$11:$BM$11)="Undefined",_xlfn.XLOOKUP(EN$8,Engineering!$M$5:$BM$5,Engineering!$M$12:$BM$12),
_xlfn.XLOOKUP(EN$8,Engineering!$M$5:$BM$5,Engineering!$M$12:$BM$12)/_xlfn.XLOOKUP(EN$8,Engineering!$M$5:$BM$5,Engineering!$M$11:$BM$11))))))),"")</f>
        <v/>
      </c>
      <c r="EO77" s="315" t="str">
        <f>IFERROR(IF(EO$7&gt;$D$3,"",IF(CG77="Missed","Missed",IF(CG77="OD","OD",IF(CG77="TBC","TBC",IF(CG77="Undefined","Undefined",
IF(_xlfn.XLOOKUP(EO$8,Engineering!$M$5:$BM$5,Engineering!$M$11:$BM$11)="Undefined",_xlfn.XLOOKUP(EO$8,Engineering!$M$5:$BM$5,Engineering!$M$12:$BM$12),
_xlfn.XLOOKUP(EO$8,Engineering!$M$5:$BM$5,Engineering!$M$12:$BM$12)/_xlfn.XLOOKUP(EO$8,Engineering!$M$5:$BM$5,Engineering!$M$11:$BM$11))))))),"")</f>
        <v/>
      </c>
      <c r="EP77" s="315" t="str">
        <f>IFERROR(IF(EP$7&gt;$D$3,"",IF(CH77="Missed","Missed",IF(CH77="OD","OD",IF(CH77="TBC","TBC",IF(CH77="Undefined","Undefined",
IF(_xlfn.XLOOKUP(EP$8,Engineering!$M$5:$BM$5,Engineering!$M$11:$BM$11)="Undefined",_xlfn.XLOOKUP(EP$8,Engineering!$M$5:$BM$5,Engineering!$M$12:$BM$12),
_xlfn.XLOOKUP(EP$8,Engineering!$M$5:$BM$5,Engineering!$M$12:$BM$12)/_xlfn.XLOOKUP(EP$8,Engineering!$M$5:$BM$5,Engineering!$M$11:$BM$11))))))),"")</f>
        <v/>
      </c>
      <c r="EQ77" s="315" t="str">
        <f>IFERROR(IF(EQ$7&gt;$D$3,"",IF(CI77="Missed","Missed",IF(CI77="OD","OD",IF(CI77="TBC","TBC",IF(CI77="Undefined","Undefined",
IF(_xlfn.XLOOKUP(EQ$8,Engineering!$M$5:$BM$5,Engineering!$M$11:$BM$11)="Undefined",_xlfn.XLOOKUP(EQ$8,Engineering!$M$5:$BM$5,Engineering!$M$12:$BM$12),
_xlfn.XLOOKUP(EQ$8,Engineering!$M$5:$BM$5,Engineering!$M$12:$BM$12)/_xlfn.XLOOKUP(EQ$8,Engineering!$M$5:$BM$5,Engineering!$M$11:$BM$11))))))),"")</f>
        <v/>
      </c>
      <c r="ER77" s="315" t="str">
        <f>IFERROR(IF(ER$7&gt;$D$3,"",IF(CJ77="Missed","Missed",IF(CJ77="OD","OD",IF(CJ77="TBC","TBC",IF(CJ77="Undefined","Undefined",
IF(_xlfn.XLOOKUP(ER$8,Engineering!$M$5:$BM$5,Engineering!$M$11:$BM$11)="Undefined",_xlfn.XLOOKUP(ER$8,Engineering!$M$5:$BM$5,Engineering!$M$12:$BM$12),
_xlfn.XLOOKUP(ER$8,Engineering!$M$5:$BM$5,Engineering!$M$12:$BM$12)/_xlfn.XLOOKUP(ER$8,Engineering!$M$5:$BM$5,Engineering!$M$11:$BM$11))))))),"")</f>
        <v/>
      </c>
      <c r="ES77" s="315" t="str">
        <f>IFERROR(IF(ES$7&gt;$D$3,"",IF(CK77="Missed","Missed",IF(CK77="OD","OD",IF(CK77="TBC","TBC",IF(CK77="Undefined","Undefined",
IF(_xlfn.XLOOKUP(ES$8,Engineering!$M$5:$BM$5,Engineering!$M$11:$BM$11)="Undefined",_xlfn.XLOOKUP(ES$8,Engineering!$M$5:$BM$5,Engineering!$M$12:$BM$12),
_xlfn.XLOOKUP(ES$8,Engineering!$M$5:$BM$5,Engineering!$M$12:$BM$12)/_xlfn.XLOOKUP(ES$8,Engineering!$M$5:$BM$5,Engineering!$M$11:$BM$11))))))),"")</f>
        <v/>
      </c>
      <c r="ET77" s="315" t="str">
        <f>IFERROR(IF(ET$7&gt;$D$3,"",IF(CL77="Missed","Missed",IF(CL77="OD","OD",IF(CL77="TBC","TBC",IF(CL77="Undefined","Undefined",
IF(_xlfn.XLOOKUP(ET$8,Engineering!$M$5:$BM$5,Engineering!$M$11:$BM$11)="Undefined",_xlfn.XLOOKUP(ET$8,Engineering!$M$5:$BM$5,Engineering!$M$12:$BM$12),
_xlfn.XLOOKUP(ET$8,Engineering!$M$5:$BM$5,Engineering!$M$12:$BM$12)/_xlfn.XLOOKUP(ET$8,Engineering!$M$5:$BM$5,Engineering!$M$11:$BM$11))))))),"")</f>
        <v/>
      </c>
      <c r="EU77" s="315" t="str">
        <f>IFERROR(IF(EU$7&gt;$D$3,"",IF(CM77="Missed","Missed",IF(CM77="OD","OD",IF(CM77="TBC","TBC",IF(CM77="Undefined","Undefined",
IF(_xlfn.XLOOKUP(EU$8,Engineering!$M$5:$BM$5,Engineering!$M$11:$BM$11)="Undefined",_xlfn.XLOOKUP(EU$8,Engineering!$M$5:$BM$5,Engineering!$M$12:$BM$12),
_xlfn.XLOOKUP(EU$8,Engineering!$M$5:$BM$5,Engineering!$M$12:$BM$12)/_xlfn.XLOOKUP(EU$8,Engineering!$M$5:$BM$5,Engineering!$M$11:$BM$11))))))),"")</f>
        <v/>
      </c>
      <c r="EW77" s="465" t="str">
        <f>+$A77</f>
        <v>Engineering-KPI D1</v>
      </c>
      <c r="EX77" s="136" t="str">
        <f>+$C77</f>
        <v>KPI D1</v>
      </c>
      <c r="EY77" s="144" t="str">
        <f>+$D77</f>
        <v>Delivery</v>
      </c>
      <c r="EZ77" s="144" t="str">
        <f>+$E77</f>
        <v>Conversion Ratio - Jobs complete / Jobs Picked Up</v>
      </c>
      <c r="FA77" s="145" t="str">
        <f>+$F77</f>
        <v>%</v>
      </c>
      <c r="FB77" s="145" t="s">
        <v>251</v>
      </c>
      <c r="FC77" s="199" t="str">
        <f>IF(FC$7&gt;$D$3,"",IF($FA73&lt;FC$8,"OD",_xlfn.XLOOKUP(FC$8,Engineering!$M$5:$BM$5,Engineering!$M$12:$BM$12)))</f>
        <v>TBC</v>
      </c>
      <c r="FD77" s="199" t="str">
        <f>IF(FD$7&gt;$D$3,"",IF($FA73&lt;FD$8,"OD",_xlfn.XLOOKUP(FD$8,Engineering!$M$5:$BM$5,Engineering!$M$12:$BM$12)))</f>
        <v>TBC</v>
      </c>
      <c r="FE77" s="199" t="str">
        <f>IF(FE$7&gt;$D$3,"",IF($FA73&lt;FE$8,"OD",_xlfn.XLOOKUP(FE$8,Engineering!$M$5:$BM$5,Engineering!$M$12:$BM$12)))</f>
        <v>TBC</v>
      </c>
      <c r="FF77" s="199" t="str">
        <f>IF(FF$7&gt;$D$3,"",IF($FA73&lt;FF$8,"OD",_xlfn.XLOOKUP(FF$8,Engineering!$M$5:$BM$5,Engineering!$M$12:$BM$12)))</f>
        <v>TBC</v>
      </c>
      <c r="FG77" s="199" t="str">
        <f>IF(FG$7&gt;$D$3,"",IF($FA73&lt;FG$8,"OD",_xlfn.XLOOKUP(FG$8,Engineering!$M$5:$BM$5,Engineering!$M$12:$BM$12)))</f>
        <v>TBC</v>
      </c>
      <c r="FH77" s="199" t="str">
        <f>IF(FH$7&gt;$D$3,"",IF($FA73&lt;FH$8,"OD",_xlfn.XLOOKUP(FH$8,Engineering!$M$5:$BM$5,Engineering!$M$12:$BM$12)))</f>
        <v>TBC</v>
      </c>
      <c r="FI77" s="199" t="str">
        <f>IF(FI$7&gt;$D$3,"",IF($FA73&lt;FI$8,"OD",_xlfn.XLOOKUP(FI$8,Engineering!$M$5:$BM$5,Engineering!$M$12:$BM$12)))</f>
        <v>TBC</v>
      </c>
      <c r="FJ77" s="199" t="str">
        <f>IF(FJ$7&gt;$D$3,"",IF($FA73&lt;FJ$8,"OD",_xlfn.XLOOKUP(FJ$8,Engineering!$M$5:$BM$5,Engineering!$M$12:$BM$12)))</f>
        <v>TBC</v>
      </c>
      <c r="FK77" s="199" t="str">
        <f>IF(FK$7&gt;$D$3,"",IF($FA73&lt;FK$8,"OD",_xlfn.XLOOKUP(FK$8,Engineering!$M$5:$BM$5,Engineering!$M$12:$BM$12)))</f>
        <v>TBC</v>
      </c>
      <c r="FL77" s="199" t="str">
        <f>IF(FL$7&gt;$D$3,"",IF($FA73&lt;FL$8,"OD",_xlfn.XLOOKUP(FL$8,Engineering!$M$5:$BM$5,Engineering!$M$12:$BM$12)))</f>
        <v>TBC</v>
      </c>
      <c r="FM77" s="199" t="str">
        <f>IF(FM$7&gt;$D$3,"",IF($FA73&lt;FM$8,"OD",_xlfn.XLOOKUP(FM$8,Engineering!$M$5:$BM$5,Engineering!$M$12:$BM$12)))</f>
        <v>TBC</v>
      </c>
      <c r="FN77" s="199" t="str">
        <f>IF(FN$7&gt;$D$3,"",IF($FA73&lt;FN$8,"OD",_xlfn.XLOOKUP(FN$8,Engineering!$M$5:$BM$5,Engineering!$M$12:$BM$12)))</f>
        <v>TBC</v>
      </c>
      <c r="FO77" s="199" t="str">
        <f>IF(FO$7&gt;$D$3,"",IF($FA73&lt;FO$8,"OD",_xlfn.XLOOKUP(FO$8,Engineering!$M$5:$BM$5,Engineering!$M$12:$BM$12)))</f>
        <v>TBC</v>
      </c>
      <c r="FP77" s="199" t="str">
        <f>IF(FP$7&gt;$D$3,"",IF($FA73&lt;FP$8,"OD",_xlfn.XLOOKUP(FP$8,Engineering!$M$5:$BM$5,Engineering!$M$12:$BM$12)))</f>
        <v>TBC</v>
      </c>
      <c r="FQ77" s="199" t="str">
        <f>IF(FQ$7&gt;$D$3,"",IF($FA73&lt;FQ$8,"OD",_xlfn.XLOOKUP(FQ$8,Engineering!$M$5:$BM$5,Engineering!$M$12:$BM$12)))</f>
        <v>TBC</v>
      </c>
      <c r="FR77" s="199" t="str">
        <f>IF(FR$7&gt;$D$3,"",IF($FA73&lt;FR$8,"OD",_xlfn.XLOOKUP(FR$8,Engineering!$M$5:$BM$5,Engineering!$M$12:$BM$12)))</f>
        <v>TBC</v>
      </c>
      <c r="FS77" s="199" t="str">
        <f>IF(FS$7&gt;$D$3,"",IF($FA73&lt;FS$8,"OD",_xlfn.XLOOKUP(FS$8,Engineering!$M$5:$BM$5,Engineering!$M$12:$BM$12)))</f>
        <v>TBC</v>
      </c>
      <c r="FT77" s="199">
        <f>IF(FT$7&gt;$D$3,"",IF($FA73&lt;FT$8,"OD",_xlfn.XLOOKUP(FT$8,Engineering!$M$5:$BM$5,Engineering!$M$12:$BM$12)))</f>
        <v>0.4</v>
      </c>
      <c r="FU77" s="199">
        <f>IF(FU$7&gt;$D$3,"",IF($FA73&lt;FU$8,"OD",_xlfn.XLOOKUP(FU$8,Engineering!$M$5:$BM$5,Engineering!$M$12:$BM$12)))</f>
        <v>0.4</v>
      </c>
      <c r="FV77" s="199">
        <f>IF(FV$7&gt;$D$3,"",IF($FA73&lt;FV$8,"OD",_xlfn.XLOOKUP(FV$8,Engineering!$M$5:$BM$5,Engineering!$M$12:$BM$12)))</f>
        <v>0.4</v>
      </c>
      <c r="FW77" s="199">
        <f>IF(FW$7&gt;$D$3,"",IF($FA73&lt;FW$8,"OD",_xlfn.XLOOKUP(FW$8,Engineering!$M$5:$BM$5,Engineering!$M$12:$BM$12)))</f>
        <v>0.4</v>
      </c>
      <c r="FX77" s="199">
        <f>IF(FX$7&gt;$D$3,"",IF($FA73&lt;FX$8,"OD",_xlfn.XLOOKUP(FX$8,Engineering!$M$5:$BM$5,Engineering!$M$12:$BM$12)))</f>
        <v>0.4</v>
      </c>
      <c r="FY77" s="199">
        <f>IF(FY$7&gt;$D$3,"",IF($FA73&lt;FY$8,"OD",_xlfn.XLOOKUP(FY$8,Engineering!$M$5:$BM$5,Engineering!$M$12:$BM$12)))</f>
        <v>0.93</v>
      </c>
      <c r="FZ77" s="199">
        <f>IF(FZ$7&gt;$D$3,"",IF($FA73&lt;FZ$8,"OD",_xlfn.XLOOKUP(FZ$8,Engineering!$M$5:$BM$5,Engineering!$M$12:$BM$12)))</f>
        <v>0.93</v>
      </c>
      <c r="GA77" s="199">
        <f>IF(GA$7&gt;$D$3,"",IF($FA73&lt;GA$8,"OD",_xlfn.XLOOKUP(GA$8,Engineering!$M$5:$BM$5,Engineering!$M$12:$BM$12)))</f>
        <v>0.93</v>
      </c>
      <c r="GB77" s="199">
        <f>IF(GB$7&gt;$D$3,"",IF($FA73&lt;GB$8,"OD",_xlfn.XLOOKUP(GB$8,Engineering!$M$5:$BM$5,Engineering!$M$12:$BM$12)))</f>
        <v>0.93</v>
      </c>
      <c r="GC77" s="199">
        <f>IF(GC$7&gt;$D$3,"",IF($FA73&lt;GC$8,"OD",_xlfn.XLOOKUP(GC$8,Engineering!$M$5:$BM$5,Engineering!$M$12:$BM$12)))</f>
        <v>3</v>
      </c>
      <c r="GD77" s="199">
        <f>IF(GD$7&gt;$D$3,"",IF($FA73&lt;GD$8,"OD",_xlfn.XLOOKUP(GD$8,Engineering!$M$5:$BM$5,Engineering!$M$12:$BM$12)))</f>
        <v>3</v>
      </c>
      <c r="GE77" s="199">
        <f>IF(GE$7&gt;$D$3,"",IF($FA73&lt;GE$8,"OD",_xlfn.XLOOKUP(GE$8,Engineering!$M$5:$BM$5,Engineering!$M$12:$BM$12)))</f>
        <v>3</v>
      </c>
      <c r="GF77" s="199">
        <f>IF(GF$7&gt;$D$3,"",IF($FA73&lt;GF$8,"OD",_xlfn.XLOOKUP(GF$8,Engineering!$M$5:$BM$5,Engineering!$M$12:$BM$12)))</f>
        <v>3</v>
      </c>
      <c r="GG77" s="199">
        <f>IF(GG$7&gt;$D$3,"",IF($FA73&lt;GG$8,"OD",_xlfn.XLOOKUP(GG$8,Engineering!$M$5:$BM$5,Engineering!$M$12:$BM$12)))</f>
        <v>3</v>
      </c>
      <c r="GH77" s="199">
        <f>IF(GH$7&gt;$D$3,"",IF($FA73&lt;GH$8,"OD",_xlfn.XLOOKUP(GH$8,Engineering!$M$5:$BM$5,Engineering!$M$12:$BM$12)))</f>
        <v>0</v>
      </c>
      <c r="GI77" s="199">
        <f>IF(GI$7&gt;$D$3,"",IF($FA73&lt;GI$8,"OD",_xlfn.XLOOKUP(GI$8,Engineering!$M$5:$BM$5,Engineering!$M$12:$BM$12)))</f>
        <v>0</v>
      </c>
      <c r="GJ77" s="199">
        <f>IF(GJ$7&gt;$D$3,"",IF($FA73&lt;GJ$8,"OD",_xlfn.XLOOKUP(GJ$8,Engineering!$M$5:$BM$5,Engineering!$M$12:$BM$12)))</f>
        <v>0</v>
      </c>
      <c r="GK77" s="199">
        <f>IF(GK$7&gt;$D$3,"",IF($FA73&lt;GK$8,"OD",_xlfn.XLOOKUP(GK$8,Engineering!$M$5:$BM$5,Engineering!$M$12:$BM$12)))</f>
        <v>0</v>
      </c>
      <c r="GL77" s="199">
        <f>IF(GL$7&gt;$D$3,"",IF($FA73&lt;GL$8,"OD",_xlfn.XLOOKUP(GL$8,Engineering!$M$5:$BM$5,Engineering!$M$12:$BM$12)))</f>
        <v>0</v>
      </c>
      <c r="GM77" s="199">
        <f>IF(GM$7&gt;$D$3,"",IF($FA73&lt;GM$8,"OD",_xlfn.XLOOKUP(GM$8,Engineering!$M$5:$BM$5,Engineering!$M$12:$BM$12)))</f>
        <v>0</v>
      </c>
      <c r="GN77" s="199">
        <f>IF(GN$7&gt;$D$3,"",IF($FA73&lt;GN$8,"OD",_xlfn.XLOOKUP(GN$8,Engineering!$M$5:$BM$5,Engineering!$M$12:$BM$12)))</f>
        <v>0</v>
      </c>
      <c r="GO77" s="199">
        <f>IF(GO$7&gt;$D$3,"",IF($FA73&lt;GO$8,"OD",_xlfn.XLOOKUP(GO$8,Engineering!$M$5:$BM$5,Engineering!$M$12:$BM$12)))</f>
        <v>0</v>
      </c>
      <c r="GP77" s="199">
        <f>IF(GP$7&gt;$D$3,"",IF($FA73&lt;GP$8,"OD",_xlfn.XLOOKUP(GP$8,Engineering!$M$5:$BM$5,Engineering!$M$12:$BM$12)))</f>
        <v>0</v>
      </c>
      <c r="GQ77" s="199">
        <f>IF(GQ$7&gt;$D$3,"",IF($FA73&lt;GQ$8,"OD",_xlfn.XLOOKUP(GQ$8,Engineering!$M$5:$BM$5,Engineering!$M$12:$BM$12)))</f>
        <v>0</v>
      </c>
      <c r="GR77" s="199">
        <f>IF(GR$7&gt;$D$3,"",IF($FA73&lt;GR$8,"OD",_xlfn.XLOOKUP(GR$8,Engineering!$M$5:$BM$5,Engineering!$M$12:$BM$12)))</f>
        <v>0</v>
      </c>
      <c r="GS77" s="199" t="str">
        <f>IF(GS$7&gt;$D$3,"",IF($FA73&lt;GS$8,"OD",_xlfn.XLOOKUP(GS$8,Engineering!$M$5:$BM$5,Engineering!$M$12:$BM$12)))</f>
        <v/>
      </c>
      <c r="GT77" s="199" t="str">
        <f>IF(GT$7&gt;$D$3,"",IF($FA73&lt;GT$8,"OD",_xlfn.XLOOKUP(GT$8,Engineering!$M$5:$BM$5,Engineering!$M$12:$BM$12)))</f>
        <v/>
      </c>
      <c r="GU77" s="199" t="str">
        <f>IF(GU$7&gt;$D$3,"",IF($FA73&lt;GU$8,"OD",_xlfn.XLOOKUP(GU$8,Engineering!$M$5:$BM$5,Engineering!$M$12:$BM$12)))</f>
        <v/>
      </c>
      <c r="GV77" s="199" t="str">
        <f>IF(GV$7&gt;$D$3,"",IF($FA73&lt;GV$8,"OD",_xlfn.XLOOKUP(GV$8,Engineering!$M$5:$BM$5,Engineering!$M$12:$BM$12)))</f>
        <v/>
      </c>
      <c r="GW77" s="199" t="str">
        <f>IF(GW$7&gt;$D$3,"",IF($FA73&lt;GW$8,"OD",_xlfn.XLOOKUP(GW$8,Engineering!$M$5:$BM$5,Engineering!$M$12:$BM$12)))</f>
        <v/>
      </c>
      <c r="GX77" s="199" t="str">
        <f>IF(GX$7&gt;$D$3,"",IF($FA73&lt;GX$8,"OD",_xlfn.XLOOKUP(GX$8,Engineering!$M$5:$BM$5,Engineering!$M$12:$BM$12)))</f>
        <v/>
      </c>
      <c r="GY77" s="199" t="str">
        <f>IF(GY$7&gt;$D$3,"",IF($FA73&lt;GY$8,"OD",_xlfn.XLOOKUP(GY$8,Engineering!$M$5:$BM$5,Engineering!$M$12:$BM$12)))</f>
        <v/>
      </c>
      <c r="GZ77" s="199" t="str">
        <f>IF(GZ$7&gt;$D$3,"",IF($FA73&lt;GZ$8,"OD",_xlfn.XLOOKUP(GZ$8,Engineering!$M$5:$BM$5,Engineering!$M$12:$BM$12)))</f>
        <v/>
      </c>
      <c r="HA77" s="199" t="str">
        <f>IF(HA$7&gt;$D$3,"",IF($FA73&lt;HA$8,"OD",_xlfn.XLOOKUP(HA$8,Engineering!$M$5:$BM$5,Engineering!$M$12:$BM$12)))</f>
        <v/>
      </c>
      <c r="HB77" s="199" t="str">
        <f>IF(HB$7&gt;$D$3,"",IF($FA73&lt;HB$8,"OD",_xlfn.XLOOKUP(HB$8,Engineering!$M$5:$BM$5,Engineering!$M$12:$BM$12)))</f>
        <v/>
      </c>
      <c r="HC77" s="423" t="str">
        <f>IF(HC$7&gt;$D$3,"",IF($FA73&lt;HC$8,"OD",_xlfn.XLOOKUP(HC$8,Engineering!$M$5:$BM$5,Engineering!$M$12:$BM$12)))</f>
        <v/>
      </c>
      <c r="HE77" s="136" t="str">
        <f>+$C77</f>
        <v>KPI D1</v>
      </c>
      <c r="HF77" s="144" t="str">
        <f>+$D77</f>
        <v>Delivery</v>
      </c>
      <c r="HG77" s="144" t="str">
        <f>+$E77</f>
        <v>Conversion Ratio - Jobs complete / Jobs Picked Up</v>
      </c>
      <c r="HH77" s="145" t="str">
        <f>+$F77</f>
        <v>%</v>
      </c>
      <c r="HI77" s="145" t="s">
        <v>44</v>
      </c>
      <c r="HJ77" s="199" t="str">
        <f>IF(HJ$7&gt;$D$3,"",IF($FA75&lt;HJ$8,"OD",_xlfn.XLOOKUP(HJ$8,Engineering!$M$5:$BM$5,Engineering!$M$11:$BM$11)))</f>
        <v>TBC</v>
      </c>
      <c r="HK77" s="199" t="str">
        <f>IF(HK$7&gt;$D$3,"",IF($FA75&lt;HK$8,"OD",_xlfn.XLOOKUP(HK$8,Engineering!$M$5:$BM$5,Engineering!$M$11:$BM$11)))</f>
        <v>TBC</v>
      </c>
      <c r="HL77" s="199" t="str">
        <f>IF(HL$7&gt;$D$3,"",IF($FA75&lt;HL$8,"OD",_xlfn.XLOOKUP(HL$8,Engineering!$M$5:$BM$5,Engineering!$M$11:$BM$11)))</f>
        <v>TBC</v>
      </c>
      <c r="HM77" s="199" t="str">
        <f>IF(HM$7&gt;$D$3,"",IF($FA75&lt;HM$8,"OD",_xlfn.XLOOKUP(HM$8,Engineering!$M$5:$BM$5,Engineering!$M$11:$BM$11)))</f>
        <v>TBC</v>
      </c>
      <c r="HN77" s="199" t="str">
        <f>IF(HN$7&gt;$D$3,"",IF($FA75&lt;HN$8,"OD",_xlfn.XLOOKUP(HN$8,Engineering!$M$5:$BM$5,Engineering!$M$11:$BM$11)))</f>
        <v>TBC</v>
      </c>
      <c r="HO77" s="199" t="str">
        <f>IF(HO$7&gt;$D$3,"",IF($FA75&lt;HO$8,"OD",_xlfn.XLOOKUP(HO$8,Engineering!$M$5:$BM$5,Engineering!$M$11:$BM$11)))</f>
        <v>TBC</v>
      </c>
      <c r="HP77" s="199" t="str">
        <f>IF(HP$7&gt;$D$3,"",IF($FA75&lt;HP$8,"OD",_xlfn.XLOOKUP(HP$8,Engineering!$M$5:$BM$5,Engineering!$M$11:$BM$11)))</f>
        <v>TBC</v>
      </c>
      <c r="HQ77" s="199" t="str">
        <f>IF(HQ$7&gt;$D$3,"",IF($FA75&lt;HQ$8,"OD",_xlfn.XLOOKUP(HQ$8,Engineering!$M$5:$BM$5,Engineering!$M$11:$BM$11)))</f>
        <v>TBC</v>
      </c>
      <c r="HR77" s="199" t="str">
        <f>IF(HR$7&gt;$D$3,"",IF($FA75&lt;HR$8,"OD",_xlfn.XLOOKUP(HR$8,Engineering!$M$5:$BM$5,Engineering!$M$11:$BM$11)))</f>
        <v>TBC</v>
      </c>
      <c r="HS77" s="199" t="str">
        <f>IF(HS$7&gt;$D$3,"",IF($FA75&lt;HS$8,"OD",_xlfn.XLOOKUP(HS$8,Engineering!$M$5:$BM$5,Engineering!$M$11:$BM$11)))</f>
        <v>TBC</v>
      </c>
      <c r="HT77" s="199" t="str">
        <f>IF(HT$7&gt;$D$3,"",IF($FA75&lt;HT$8,"OD",_xlfn.XLOOKUP(HT$8,Engineering!$M$5:$BM$5,Engineering!$M$11:$BM$11)))</f>
        <v>TBC</v>
      </c>
      <c r="HU77" s="199" t="str">
        <f>IF(HU$7&gt;$D$3,"",IF($FA75&lt;HU$8,"OD",_xlfn.XLOOKUP(HU$8,Engineering!$M$5:$BM$5,Engineering!$M$11:$BM$11)))</f>
        <v>TBC</v>
      </c>
      <c r="HV77" s="199" t="str">
        <f>IF(HV$7&gt;$D$3,"",IF($FA75&lt;HV$8,"OD",_xlfn.XLOOKUP(HV$8,Engineering!$M$5:$BM$5,Engineering!$M$11:$BM$11)))</f>
        <v>TBC</v>
      </c>
      <c r="HW77" s="199" t="str">
        <f>IF(HW$7&gt;$D$3,"",IF($FA75&lt;HW$8,"OD",_xlfn.XLOOKUP(HW$8,Engineering!$M$5:$BM$5,Engineering!$M$11:$BM$11)))</f>
        <v>TBC</v>
      </c>
      <c r="HX77" s="199" t="str">
        <f>IF(HX$7&gt;$D$3,"",IF($FA75&lt;HX$8,"OD",_xlfn.XLOOKUP(HX$8,Engineering!$M$5:$BM$5,Engineering!$M$11:$BM$11)))</f>
        <v>TBC</v>
      </c>
      <c r="HY77" s="199" t="str">
        <f>IF(HY$7&gt;$D$3,"",IF($FA75&lt;HY$8,"OD",_xlfn.XLOOKUP(HY$8,Engineering!$M$5:$BM$5,Engineering!$M$11:$BM$11)))</f>
        <v>TBC</v>
      </c>
      <c r="HZ77" s="199" t="str">
        <f>IF(HZ$7&gt;$D$3,"",IF($FA75&lt;HZ$8,"OD",_xlfn.XLOOKUP(HZ$8,Engineering!$M$5:$BM$5,Engineering!$M$11:$BM$11)))</f>
        <v>TBC</v>
      </c>
      <c r="IA77" s="199">
        <f>IF(IA$7&gt;$D$3,"",IF($FA75&lt;IA$8,"OD",_xlfn.XLOOKUP(IA$8,Engineering!$M$5:$BM$5,Engineering!$M$11:$BM$11)))</f>
        <v>1</v>
      </c>
      <c r="IB77" s="199">
        <f>IF(IB$7&gt;$D$3,"",IF($FA75&lt;IB$8,"OD",_xlfn.XLOOKUP(IB$8,Engineering!$M$5:$BM$5,Engineering!$M$11:$BM$11)))</f>
        <v>1</v>
      </c>
      <c r="IC77" s="199">
        <f>IF(IC$7&gt;$D$3,"",IF($FA75&lt;IC$8,"OD",_xlfn.XLOOKUP(IC$8,Engineering!$M$5:$BM$5,Engineering!$M$11:$BM$11)))</f>
        <v>1</v>
      </c>
      <c r="ID77" s="199">
        <f>IF(ID$7&gt;$D$3,"",IF($FA75&lt;ID$8,"OD",_xlfn.XLOOKUP(ID$8,Engineering!$M$5:$BM$5,Engineering!$M$11:$BM$11)))</f>
        <v>1</v>
      </c>
      <c r="IE77" s="199">
        <f>IF(IE$7&gt;$D$3,"",IF($FA75&lt;IE$8,"OD",_xlfn.XLOOKUP(IE$8,Engineering!$M$5:$BM$5,Engineering!$M$11:$BM$11)))</f>
        <v>1</v>
      </c>
      <c r="IF77" s="199">
        <f>IF(IF$7&gt;$D$3,"",IF($FA75&lt;IF$8,"OD",_xlfn.XLOOKUP(IF$8,Engineering!$M$5:$BM$5,Engineering!$M$11:$BM$11)))</f>
        <v>1</v>
      </c>
      <c r="IG77" s="199">
        <f>IF(IG$7&gt;$D$3,"",IF($FA75&lt;IG$8,"OD",_xlfn.XLOOKUP(IG$8,Engineering!$M$5:$BM$5,Engineering!$M$11:$BM$11)))</f>
        <v>1</v>
      </c>
      <c r="IH77" s="199">
        <f>IF(IH$7&gt;$D$3,"",IF($FA75&lt;IH$8,"OD",_xlfn.XLOOKUP(IH$8,Engineering!$M$5:$BM$5,Engineering!$M$11:$BM$11)))</f>
        <v>1</v>
      </c>
      <c r="II77" s="199">
        <f>IF(II$7&gt;$D$3,"",IF($FA75&lt;II$8,"OD",_xlfn.XLOOKUP(II$8,Engineering!$M$5:$BM$5,Engineering!$M$11:$BM$11)))</f>
        <v>1</v>
      </c>
      <c r="IJ77" s="199">
        <f>IF(IJ$7&gt;$D$3,"",IF($FA75&lt;IJ$8,"OD",_xlfn.XLOOKUP(IJ$8,Engineering!$M$5:$BM$5,Engineering!$M$11:$BM$11)))</f>
        <v>1</v>
      </c>
      <c r="IK77" s="199">
        <f>IF(IK$7&gt;$D$3,"",IF($FA75&lt;IK$8,"OD",_xlfn.XLOOKUP(IK$8,Engineering!$M$5:$BM$5,Engineering!$M$11:$BM$11)))</f>
        <v>1</v>
      </c>
      <c r="IL77" s="199">
        <f>IF(IL$7&gt;$D$3,"",IF($FA75&lt;IL$8,"OD",_xlfn.XLOOKUP(IL$8,Engineering!$M$5:$BM$5,Engineering!$M$11:$BM$11)))</f>
        <v>1</v>
      </c>
      <c r="IM77" s="199">
        <f>IF(IM$7&gt;$D$3,"",IF($FA75&lt;IM$8,"OD",_xlfn.XLOOKUP(IM$8,Engineering!$M$5:$BM$5,Engineering!$M$11:$BM$11)))</f>
        <v>1</v>
      </c>
      <c r="IN77" s="199">
        <f>IF(IN$7&gt;$D$3,"",IF($FA75&lt;IN$8,"OD",_xlfn.XLOOKUP(IN$8,Engineering!$M$5:$BM$5,Engineering!$M$11:$BM$11)))</f>
        <v>1</v>
      </c>
      <c r="IO77" s="199">
        <f>IF(IO$7&gt;$D$3,"",IF($FA75&lt;IO$8,"OD",_xlfn.XLOOKUP(IO$8,Engineering!$M$5:$BM$5,Engineering!$M$11:$BM$11)))</f>
        <v>1</v>
      </c>
      <c r="IP77" s="199">
        <f>IF(IP$7&gt;$D$3,"",IF($FA75&lt;IP$8,"OD",_xlfn.XLOOKUP(IP$8,Engineering!$M$5:$BM$5,Engineering!$M$11:$BM$11)))</f>
        <v>1</v>
      </c>
      <c r="IQ77" s="199">
        <f>IF(IQ$7&gt;$D$3,"",IF($FA75&lt;IQ$8,"OD",_xlfn.XLOOKUP(IQ$8,Engineering!$M$5:$BM$5,Engineering!$M$11:$BM$11)))</f>
        <v>1</v>
      </c>
      <c r="IR77" s="199">
        <f>IF(IR$7&gt;$D$3,"",IF($FA75&lt;IR$8,"OD",_xlfn.XLOOKUP(IR$8,Engineering!$M$5:$BM$5,Engineering!$M$11:$BM$11)))</f>
        <v>1</v>
      </c>
      <c r="IS77" s="199">
        <f>IF(IS$7&gt;$D$3,"",IF($FA75&lt;IS$8,"OD",_xlfn.XLOOKUP(IS$8,Engineering!$M$5:$BM$5,Engineering!$M$11:$BM$11)))</f>
        <v>1</v>
      </c>
      <c r="IT77" s="199">
        <f>IF(IT$7&gt;$D$3,"",IF($FA75&lt;IT$8,"OD",_xlfn.XLOOKUP(IT$8,Engineering!$M$5:$BM$5,Engineering!$M$11:$BM$11)))</f>
        <v>1</v>
      </c>
      <c r="IU77" s="199">
        <f>IF(IU$7&gt;$D$3,"",IF($FA75&lt;IU$8,"OD",_xlfn.XLOOKUP(IU$8,Engineering!$M$5:$BM$5,Engineering!$M$11:$BM$11)))</f>
        <v>1</v>
      </c>
      <c r="IV77" s="199">
        <f>IF(IV$7&gt;$D$3,"",IF($FA75&lt;IV$8,"OD",_xlfn.XLOOKUP(IV$8,Engineering!$M$5:$BM$5,Engineering!$M$11:$BM$11)))</f>
        <v>1</v>
      </c>
      <c r="IW77" s="199">
        <f>IF(IW$7&gt;$D$3,"",IF($FA75&lt;IW$8,"OD",_xlfn.XLOOKUP(IW$8,Engineering!$M$5:$BM$5,Engineering!$M$11:$BM$11)))</f>
        <v>1</v>
      </c>
      <c r="IX77" s="199">
        <f>IF(IX$7&gt;$D$3,"",IF($FA75&lt;IX$8,"OD",_xlfn.XLOOKUP(IX$8,Engineering!$M$5:$BM$5,Engineering!$M$11:$BM$11)))</f>
        <v>1</v>
      </c>
      <c r="IY77" s="199">
        <f>IF(IY$7&gt;$D$3,"",IF($FA75&lt;IY$8,"OD",_xlfn.XLOOKUP(IY$8,Engineering!$M$5:$BM$5,Engineering!$M$11:$BM$11)))</f>
        <v>1</v>
      </c>
      <c r="IZ77" s="199" t="str">
        <f>IF(IZ$7&gt;$D$3,"",IF($FA75&lt;IZ$8,"OD",_xlfn.XLOOKUP(IZ$8,Engineering!$M$5:$BM$5,Engineering!$M$11:$BM$11)))</f>
        <v/>
      </c>
      <c r="JA77" s="199" t="str">
        <f>IF(JA$7&gt;$D$3,"",IF($FA75&lt;JA$8,"OD",_xlfn.XLOOKUP(JA$8,Engineering!$M$5:$BM$5,Engineering!$M$11:$BM$11)))</f>
        <v/>
      </c>
      <c r="JB77" s="199" t="str">
        <f>IF(JB$7&gt;$D$3,"",IF($FA75&lt;JB$8,"OD",_xlfn.XLOOKUP(JB$8,Engineering!$M$5:$BM$5,Engineering!$M$11:$BM$11)))</f>
        <v/>
      </c>
      <c r="JC77" s="199" t="str">
        <f>IF(JC$7&gt;$D$3,"",IF($FA75&lt;JC$8,"OD",_xlfn.XLOOKUP(JC$8,Engineering!$M$5:$BM$5,Engineering!$M$11:$BM$11)))</f>
        <v/>
      </c>
      <c r="JD77" s="199" t="str">
        <f>IF(JD$7&gt;$D$3,"",IF($FA75&lt;JD$8,"OD",_xlfn.XLOOKUP(JD$8,Engineering!$M$5:$BM$5,Engineering!$M$11:$BM$11)))</f>
        <v/>
      </c>
      <c r="JE77" s="199" t="str">
        <f>IF(JE$7&gt;$D$3,"",IF($FA75&lt;JE$8,"OD",_xlfn.XLOOKUP(JE$8,Engineering!$M$5:$BM$5,Engineering!$M$11:$BM$11)))</f>
        <v/>
      </c>
      <c r="JF77" s="199" t="str">
        <f>IF(JF$7&gt;$D$3,"",IF($FA75&lt;JF$8,"OD",_xlfn.XLOOKUP(JF$8,Engineering!$M$5:$BM$5,Engineering!$M$11:$BM$11)))</f>
        <v/>
      </c>
      <c r="JG77" s="199" t="str">
        <f>IF(JG$7&gt;$D$3,"",IF($FA75&lt;JG$8,"OD",_xlfn.XLOOKUP(JG$8,Engineering!$M$5:$BM$5,Engineering!$M$11:$BM$11)))</f>
        <v/>
      </c>
      <c r="JH77" s="199" t="str">
        <f>IF(JH$7&gt;$D$3,"",IF($FA75&lt;JH$8,"OD",_xlfn.XLOOKUP(JH$8,Engineering!$M$5:$BM$5,Engineering!$M$11:$BM$11)))</f>
        <v/>
      </c>
      <c r="JI77" s="199" t="str">
        <f>IF(JI$7&gt;$D$3,"",IF($FA75&lt;JI$8,"OD",_xlfn.XLOOKUP(JI$8,Engineering!$M$5:$BM$5,Engineering!$M$11:$BM$11)))</f>
        <v/>
      </c>
      <c r="JJ77" s="423" t="str">
        <f>IF(JJ$7&gt;$D$3,"",IF($FA75&lt;JJ$8,"OD",_xlfn.XLOOKUP(JJ$8,Engineering!$M$5:$BM$5,Engineering!$M$11:$BM$11)))</f>
        <v/>
      </c>
      <c r="JM77" s="136" t="str">
        <f>+$C77</f>
        <v>KPI D1</v>
      </c>
      <c r="JN77" s="144" t="str">
        <f>+$D77</f>
        <v>Delivery</v>
      </c>
      <c r="JO77" s="144" t="str">
        <f>+$E77</f>
        <v>Conversion Ratio - Jobs complete / Jobs Picked Up</v>
      </c>
      <c r="JP77" s="145" t="str">
        <f>+$F77</f>
        <v>%</v>
      </c>
      <c r="JQ77" s="145" t="s">
        <v>284</v>
      </c>
      <c r="JR77" s="247" t="str">
        <f>IFERROR(AVERAGE(FC77:$FC77),"")</f>
        <v/>
      </c>
      <c r="JS77" s="247" t="str">
        <f>IFERROR(AVERAGE($FC77:FD77),"")</f>
        <v/>
      </c>
      <c r="JT77" s="247" t="str">
        <f>IFERROR(AVERAGE($FC77:FE77),"")</f>
        <v/>
      </c>
      <c r="JU77" s="247" t="str">
        <f>IFERROR(AVERAGE($FC77:FF77),"")</f>
        <v/>
      </c>
      <c r="JV77" s="247" t="str">
        <f>IFERROR(AVERAGE($FC77:FG77),"")</f>
        <v/>
      </c>
      <c r="JW77" s="247" t="str">
        <f>IFERROR(AVERAGE($FC77:FH77),"")</f>
        <v/>
      </c>
      <c r="JX77" s="247" t="str">
        <f>IFERROR(AVERAGE($FC77:FI77),"")</f>
        <v/>
      </c>
      <c r="JY77" s="247" t="str">
        <f>IFERROR(AVERAGE($FC77:FJ77),"")</f>
        <v/>
      </c>
      <c r="JZ77" s="247" t="str">
        <f>IFERROR(AVERAGE($FC77:FK77),"")</f>
        <v/>
      </c>
      <c r="KA77" s="247" t="str">
        <f>IFERROR(AVERAGE($FC77:FL77),"")</f>
        <v/>
      </c>
      <c r="KB77" s="247" t="str">
        <f>IFERROR(AVERAGE($FC77:FM77),"")</f>
        <v/>
      </c>
      <c r="KC77" s="247" t="str">
        <f>IFERROR(AVERAGE($FC77:FN77),"")</f>
        <v/>
      </c>
      <c r="KD77" s="247" t="str">
        <f>IFERROR(AVERAGE($FC77:FO77),"")</f>
        <v/>
      </c>
      <c r="KE77" s="247" t="str">
        <f>IFERROR(AVERAGE($FC77:FP77),"")</f>
        <v/>
      </c>
      <c r="KF77" s="247" t="str">
        <f>IFERROR(AVERAGE($FC77:FQ77),"")</f>
        <v/>
      </c>
      <c r="KG77" s="247" t="str">
        <f>IFERROR(AVERAGE($FC77:FR77),"")</f>
        <v/>
      </c>
      <c r="KH77" s="247" t="str">
        <f>IFERROR(AVERAGE($FC77:FS77),"")</f>
        <v/>
      </c>
      <c r="KI77" s="247">
        <f>IFERROR(AVERAGE($FC77:FT77),"")</f>
        <v>0.4</v>
      </c>
      <c r="KJ77" s="247">
        <f>IFERROR(AVERAGE($FC77:FU77),"")</f>
        <v>0.4</v>
      </c>
      <c r="KK77" s="247">
        <f>IFERROR(AVERAGE($FC77:FV77),"")</f>
        <v>0.40000000000000008</v>
      </c>
      <c r="KL77" s="247">
        <f>IFERROR(AVERAGE($FC77:FW77),"")</f>
        <v>0.4</v>
      </c>
      <c r="KM77" s="247">
        <f>IFERROR(AVERAGE($FC77:FX77),"")</f>
        <v>0.4</v>
      </c>
      <c r="KN77" s="247">
        <f>IFERROR(AVERAGE($FC77:FY77),"")</f>
        <v>0.48833333333333334</v>
      </c>
      <c r="KO77" s="247">
        <f>IFERROR(AVERAGE($FC77:FZ77),"")</f>
        <v>0.55142857142857149</v>
      </c>
      <c r="KP77" s="247">
        <f>IFERROR(AVERAGE($FC77:GA77),"")</f>
        <v>0.59875</v>
      </c>
      <c r="KQ77" s="247">
        <f>IFERROR(AVERAGE($FC77:GB77),"")</f>
        <v>0.63555555555555554</v>
      </c>
      <c r="KR77" s="247">
        <f>IFERROR(AVERAGE($FC77:GC77),"")</f>
        <v>0.87199999999999989</v>
      </c>
      <c r="KS77" s="247">
        <f>IFERROR(AVERAGE($FC77:GD77),"")</f>
        <v>1.0654545454545454</v>
      </c>
      <c r="KT77" s="247">
        <f>IFERROR(AVERAGE($FC77:GE77),"")</f>
        <v>1.2266666666666666</v>
      </c>
      <c r="KU77" s="247">
        <f>IFERROR(AVERAGE($FC77:GF77),"")</f>
        <v>1.3630769230769231</v>
      </c>
      <c r="KV77" s="247">
        <f>IFERROR(AVERAGE($FC77:GG77),"")</f>
        <v>1.48</v>
      </c>
      <c r="KW77" s="247">
        <f>IFERROR(AVERAGE($FC77:GH77),"")</f>
        <v>1.3813333333333333</v>
      </c>
      <c r="KX77" s="247">
        <f>IFERROR(AVERAGE($FC77:GI77),"")</f>
        <v>1.2949999999999999</v>
      </c>
      <c r="KY77" s="247">
        <f>IFERROR(AVERAGE($FC77:GJ77),"")</f>
        <v>1.2188235294117646</v>
      </c>
      <c r="KZ77" s="247">
        <f>IFERROR(AVERAGE($FC77:GK77),"")</f>
        <v>1.151111111111111</v>
      </c>
      <c r="LA77" s="247">
        <f>IFERROR(AVERAGE($FC77:GL77),"")</f>
        <v>1.0905263157894736</v>
      </c>
      <c r="LB77" s="247">
        <f>IFERROR(AVERAGE($FC77:GM77),"")</f>
        <v>1.036</v>
      </c>
      <c r="LC77" s="247">
        <f>IFERROR(AVERAGE($FC77:GN77),"")</f>
        <v>0.98666666666666658</v>
      </c>
      <c r="LD77" s="247">
        <f>IFERROR(AVERAGE($FC77:GO77),"")</f>
        <v>0.94181818181818178</v>
      </c>
      <c r="LE77" s="247">
        <f>IFERROR(AVERAGE($FC77:GP77),"")</f>
        <v>0.90086956521739125</v>
      </c>
      <c r="LF77" s="247">
        <f>IFERROR(AVERAGE($FC77:GQ77),"")</f>
        <v>0.86333333333333329</v>
      </c>
      <c r="LG77" s="247">
        <f>IFERROR(AVERAGE($FC77:GR77),"")</f>
        <v>0.82879999999999998</v>
      </c>
      <c r="LH77" s="247">
        <f>IFERROR(AVERAGE($FC77:GS77),"")</f>
        <v>0.82879999999999998</v>
      </c>
      <c r="LI77" s="247">
        <f>IFERROR(AVERAGE($FC77:GT77),"")</f>
        <v>0.82879999999999998</v>
      </c>
      <c r="LJ77" s="247">
        <f>IFERROR(AVERAGE($FC77:GU77),"")</f>
        <v>0.82879999999999998</v>
      </c>
      <c r="LK77" s="247">
        <f>IFERROR(AVERAGE($FC77:GV77),"")</f>
        <v>0.82879999999999998</v>
      </c>
      <c r="LL77" s="247">
        <f>IFERROR(AVERAGE($FC77:GW77),"")</f>
        <v>0.82879999999999998</v>
      </c>
      <c r="LM77" s="247">
        <f>IFERROR(AVERAGE($FC77:GX77),"")</f>
        <v>0.82879999999999998</v>
      </c>
      <c r="LN77" s="247">
        <f>IFERROR(AVERAGE($FC77:GY77),"")</f>
        <v>0.82879999999999998</v>
      </c>
      <c r="LO77" s="247">
        <f>IFERROR(AVERAGE($FC77:GZ77),"")</f>
        <v>0.82879999999999998</v>
      </c>
      <c r="LP77" s="247">
        <f>IFERROR(AVERAGE($FC77:HA77),"")</f>
        <v>0.82879999999999998</v>
      </c>
      <c r="LQ77" s="247">
        <f>IFERROR(AVERAGE($FC77:HB77),"")</f>
        <v>0.82879999999999998</v>
      </c>
      <c r="LR77" s="247">
        <f>IFERROR(AVERAGE($FC77:HC77),"")</f>
        <v>0.82879999999999998</v>
      </c>
      <c r="LT77" s="136" t="str">
        <f>+$C77</f>
        <v>KPI D1</v>
      </c>
      <c r="LU77" s="144" t="str">
        <f>+$D77</f>
        <v>Delivery</v>
      </c>
      <c r="LV77" s="144" t="str">
        <f>+$E77</f>
        <v>Conversion Ratio - Jobs complete / Jobs Picked Up</v>
      </c>
      <c r="LW77" s="145" t="str">
        <f>+$F77</f>
        <v>%</v>
      </c>
      <c r="LX77" s="145" t="s">
        <v>285</v>
      </c>
      <c r="LY77" s="199" t="str">
        <f>IFERROR(AVERAGE($HJ77:HJ77),"")</f>
        <v/>
      </c>
      <c r="LZ77" s="199" t="str">
        <f>IFERROR(IF(LAD$7&gt;$D$3,"",AVERAGE($HJ77:HK77)),"")</f>
        <v/>
      </c>
      <c r="MA77" s="199" t="str">
        <f>IFERROR(IF(MA$7&gt;$D$3,"",AVERAGE($HJ77:HL77)),"")</f>
        <v/>
      </c>
      <c r="MB77" s="199" t="str">
        <f>IFERROR(IF(MB$7&gt;$D$3,"",AVERAGE($HJ77:HM77)),"")</f>
        <v/>
      </c>
      <c r="MC77" s="199" t="str">
        <f>IFERROR(IF(MC$7&gt;$D$3,"",AVERAGE($HJ77:HN77)),"")</f>
        <v/>
      </c>
      <c r="MD77" s="199" t="str">
        <f>IFERROR(IF(MD$7&gt;$D$3,"",AVERAGE($HJ77:HO77)),"")</f>
        <v/>
      </c>
      <c r="ME77" s="199" t="str">
        <f>IFERROR(IF(ME$7&gt;$D$3,"",AVERAGE($HJ77:HP77)),"")</f>
        <v/>
      </c>
      <c r="MF77" s="199" t="str">
        <f>IFERROR(IF(MF$7&gt;$D$3,"",AVERAGE($HJ77:HQ77)),"")</f>
        <v/>
      </c>
      <c r="MG77" s="199" t="str">
        <f>IFERROR(IF(MG$7&gt;$D$3,"",AVERAGE($HJ77:HR77)),"")</f>
        <v/>
      </c>
      <c r="MH77" s="199" t="str">
        <f>IFERROR(IF(MH$7&gt;$D$3,"",AVERAGE($HJ77:HS77)),"")</f>
        <v/>
      </c>
      <c r="MI77" s="199" t="str">
        <f>IFERROR(IF(MI$7&gt;$D$3,"",AVERAGE($HJ77:HT77)),"")</f>
        <v/>
      </c>
      <c r="MJ77" s="199" t="str">
        <f>IFERROR(IF(MJ$7&gt;$D$3,"",AVERAGE($HJ77:HU77)),"")</f>
        <v/>
      </c>
      <c r="MK77" s="199" t="str">
        <f>IFERROR(IF(MK$7&gt;$D$3,"",AVERAGE($HJ77:HV77)),"")</f>
        <v/>
      </c>
      <c r="ML77" s="199" t="str">
        <f>IFERROR(IF(ML$7&gt;$D$3,"",AVERAGE($HJ77:HW77)),"")</f>
        <v/>
      </c>
      <c r="MM77" s="199" t="str">
        <f>IFERROR(IF(MM$7&gt;$D$3,"",AVERAGE($HJ77:HX77)),"")</f>
        <v/>
      </c>
      <c r="MN77" s="199" t="str">
        <f>IFERROR(IF(MN$7&gt;$D$3,"",AVERAGE($HJ77:HY77)),"")</f>
        <v/>
      </c>
      <c r="MO77" s="199" t="str">
        <f>IFERROR(IF(MO$7&gt;$D$3,"",AVERAGE($HJ77:HZ77)),"")</f>
        <v/>
      </c>
      <c r="MP77" s="199">
        <f>IFERROR(IF(MP$7&gt;$D$3,"",AVERAGE($HJ77:IA77)),"")</f>
        <v>1</v>
      </c>
      <c r="MQ77" s="199">
        <f>IFERROR(IF(MQ$7&gt;$D$3,"",AVERAGE($HJ77:IB77)),"")</f>
        <v>1</v>
      </c>
      <c r="MR77" s="199">
        <f>IFERROR(IF(MR$7&gt;$D$3,"",AVERAGE($HJ77:IC77)),"")</f>
        <v>1</v>
      </c>
      <c r="MS77" s="199">
        <f>IFERROR(IF(MS$7&gt;$D$3,"",AVERAGE($HJ77:ID77)),"")</f>
        <v>1</v>
      </c>
      <c r="MT77" s="199">
        <f>IFERROR(IF(MT$7&gt;$D$3,"",AVERAGE($HJ77:IE77)),"")</f>
        <v>1</v>
      </c>
      <c r="MU77" s="199">
        <f>IFERROR(IF(MU$7&gt;$D$3,"",AVERAGE($HJ77:IF77)),"")</f>
        <v>1</v>
      </c>
      <c r="MV77" s="199">
        <f>IFERROR(IF(MV$7&gt;$D$3,"",AVERAGE($HJ77:IG77)),"")</f>
        <v>1</v>
      </c>
      <c r="MW77" s="199">
        <f>IFERROR(IF(MW$7&gt;$D$3,"",AVERAGE($HJ77:IH77)),"")</f>
        <v>1</v>
      </c>
      <c r="MX77" s="199">
        <f>IFERROR(IF(MX$7&gt;$D$3,"",AVERAGE($HJ77:II77)),"")</f>
        <v>1</v>
      </c>
      <c r="MY77" s="199">
        <f>IFERROR(IF(MY$7&gt;$D$3,"",AVERAGE($HJ77:IJ77)),"")</f>
        <v>1</v>
      </c>
      <c r="MZ77" s="199">
        <f>IFERROR(IF(MZ$7&gt;$D$3,"",AVERAGE($HJ77:IK77)),"")</f>
        <v>1</v>
      </c>
      <c r="NA77" s="199">
        <f>IFERROR(IF(NA$7&gt;$D$3,"",AVERAGE($HJ77:IL77)),"")</f>
        <v>1</v>
      </c>
      <c r="NB77" s="199">
        <f>IFERROR(IF(NB$7&gt;$D$3,"",AVERAGE($HJ77:IM77)),"")</f>
        <v>1</v>
      </c>
      <c r="NC77" s="199">
        <f>IFERROR(IF(NC$7&gt;$D$3,"",AVERAGE($HJ77:IN77)),"")</f>
        <v>1</v>
      </c>
      <c r="ND77" s="199">
        <f>IFERROR(IF(ND$7&gt;$D$3,"",AVERAGE($HJ77:IO77)),"")</f>
        <v>1</v>
      </c>
      <c r="NE77" s="199">
        <f>IFERROR(IF(NE$7&gt;$D$3,"",AVERAGE($HJ77:IP77)),"")</f>
        <v>1</v>
      </c>
      <c r="NF77" s="199">
        <f>IFERROR(IF(NF$7&gt;$D$3,"",AVERAGE($HJ77:IQ77)),"")</f>
        <v>1</v>
      </c>
      <c r="NG77" s="199">
        <f>IFERROR(IF(NG$7&gt;$D$3,"",AVERAGE($HJ77:IR77)),"")</f>
        <v>1</v>
      </c>
      <c r="NH77" s="199">
        <f>IFERROR(IF(NH$7&gt;$D$3,"",AVERAGE($HJ77:IS77)),"")</f>
        <v>1</v>
      </c>
      <c r="NI77" s="199">
        <f>IFERROR(IF(NI$7&gt;$D$3,"",AVERAGE($HJ77:IT77)),"")</f>
        <v>1</v>
      </c>
      <c r="NJ77" s="199">
        <f>IFERROR(IF(NJ$7&gt;$D$3,"",AVERAGE($HJ77:IU77)),"")</f>
        <v>1</v>
      </c>
      <c r="NK77" s="199">
        <f>IFERROR(IF(NK$7&gt;$D$3,"",AVERAGE($HJ77:IV77)),"")</f>
        <v>1</v>
      </c>
      <c r="NL77" s="199">
        <f>IFERROR(IF(NL$7&gt;$D$3,"",AVERAGE($HJ77:IW77)),"")</f>
        <v>1</v>
      </c>
      <c r="NM77" s="199">
        <f>IFERROR(IF(NM$7&gt;$D$3,"",AVERAGE($HJ77:IX77)),"")</f>
        <v>1</v>
      </c>
      <c r="NN77" s="199">
        <f>IFERROR(IF(NN$7&gt;$D$3,"",AVERAGE($HJ77:IY77)),"")</f>
        <v>1</v>
      </c>
      <c r="NO77" s="199" t="str">
        <f>IFERROR(IF(NO$7&gt;$D$3,"",AVERAGE($HJ77:IZ77)),"")</f>
        <v/>
      </c>
      <c r="NP77" s="199" t="str">
        <f>IFERROR(IF(NP$7&gt;$D$3,"",AVERAGE($HJ77:JA77)),"")</f>
        <v/>
      </c>
      <c r="NQ77" s="199" t="str">
        <f>IFERROR(IF(NQ$7&gt;$D$3,"",AVERAGE($HJ77:JB77)),"")</f>
        <v/>
      </c>
      <c r="NR77" s="199" t="str">
        <f>IFERROR(IF(NR$7&gt;$D$3,"",AVERAGE($HJ77:JC77)),"")</f>
        <v/>
      </c>
      <c r="NS77" s="199" t="str">
        <f>IFERROR(IF(NS$7&gt;$D$3,"",AVERAGE($HJ77:JD77)),"")</f>
        <v/>
      </c>
      <c r="NT77" s="199" t="str">
        <f>IFERROR(IF(NT$7&gt;$D$3,"",AVERAGE($HJ77:JE77)),"")</f>
        <v/>
      </c>
      <c r="NU77" s="199" t="str">
        <f>IFERROR(IF(NU$7&gt;$D$3,"",AVERAGE($HJ77:JF77)),"")</f>
        <v/>
      </c>
      <c r="NV77" s="199" t="str">
        <f>IFERROR(IF(NV$7&gt;$D$3,"",AVERAGE($HJ77:JG77)),"")</f>
        <v/>
      </c>
      <c r="NW77" s="199" t="str">
        <f>IFERROR(IF(NW$7&gt;$D$3,"",AVERAGE($HJ77:JH77)),"")</f>
        <v/>
      </c>
      <c r="NX77" s="199" t="str">
        <f>IFERROR(IF(NX$7&gt;$D$3,"",AVERAGE($HJ77:JI77)),"")</f>
        <v/>
      </c>
      <c r="NY77" s="199" t="str">
        <f>IFERROR(IF(NY$7&gt;$D$3,"",AVERAGE($HJ77:JJ77)),"")</f>
        <v/>
      </c>
    </row>
    <row r="78" spans="1:389" ht="15" thickBot="1" x14ac:dyDescent="0.35">
      <c r="A78" t="str">
        <f t="shared" ref="A78" si="250">$B$75&amp;"-"&amp;C78</f>
        <v>Engineering-KPI C1</v>
      </c>
      <c r="B78" s="138"/>
      <c r="C78" s="138" t="str">
        <f>+'KPI Stats'!C77</f>
        <v>KPI C1</v>
      </c>
      <c r="D78" s="146" t="str">
        <f>+'KPI Stats'!D77</f>
        <v>Cost</v>
      </c>
      <c r="E78" s="146" t="str">
        <f>+'KPI Stats'!E77</f>
        <v>Department Spend</v>
      </c>
      <c r="F78" s="147" t="str">
        <f>+'KPI Stats'!F77</f>
        <v>£'s</v>
      </c>
      <c r="G78" s="170" t="str">
        <f>+'KPI Stats'!G77</f>
        <v>Over</v>
      </c>
      <c r="J78" s="160" t="str">
        <f>_xlfn.XLOOKUP(J$8,$AM$8:$CM$8,$AM78:$CM78,,FALSE)</f>
        <v>OD</v>
      </c>
      <c r="K78" s="266">
        <f>_xlfn.XLOOKUP(K$8,$FC$8:$HC$8,$FC78:$HC78,,FALSE)</f>
        <v>0</v>
      </c>
      <c r="L78" s="279">
        <f>_xlfn.XLOOKUP(L$8,$HJ$8:$JJ$8,$HJ78:$JJ78,,FALSE)</f>
        <v>69241</v>
      </c>
      <c r="M78" s="276" t="str">
        <f>_xlfn.XLOOKUP(M$8,$CU$8:$EU$8,$CU78:$EU78,,FALSE)</f>
        <v>OD</v>
      </c>
      <c r="P78" s="160" t="str">
        <f>_xlfn.XLOOKUP(P$8,$AM$8:$CM$8,$AM78:$CM78,,FALSE)</f>
        <v>OD</v>
      </c>
      <c r="Q78" s="266">
        <f>_xlfn.XLOOKUP(Q$8,$FC$8:$HC$8,$FC78:$HC78,FALSE)</f>
        <v>0</v>
      </c>
      <c r="R78" s="279">
        <f>_xlfn.XLOOKUP(R$8,$FC$8:$HC$8,$FC78:$HC78,FALSE)</f>
        <v>0</v>
      </c>
      <c r="S78" s="289" t="str">
        <f>_xlfn.XLOOKUP(S$8,$CU$8:$EU$8,$CU78:$EU78,,FALSE)</f>
        <v>OD</v>
      </c>
      <c r="T78" s="267" t="str">
        <f>_xlfn.XLOOKUP(T$8,$CU$8:$EU$8,$CU78:$EU78,,FALSE)</f>
        <v>OD</v>
      </c>
      <c r="U78" s="296" t="str">
        <f>IF(F75&lt;$Q$4,"Not Complete",IF(Q78=R78,"Same −",IF($G78="Over",IF(Q78&lt;R78,"Better ↑","Worse ↓"),IF($G78="Under",IF(Q78&gt;R78,"Better ↑","Worse ↓"),"err"))))</f>
        <v>Same −</v>
      </c>
      <c r="W78" s="724"/>
      <c r="X78" s="160" t="str">
        <f t="shared" ref="X78" si="251">IF(Y78="","",IF(Y78="Blank","",IF(AND(G78="above zero",Y78&gt;0),"R",IF(AA78&gt;1,"G",IF(AA78&gt;0.95,"A","R")))))</f>
        <v>G</v>
      </c>
      <c r="Y78" s="164">
        <f>_xlfn.XLOOKUP(Y$8,$JR$8:$LR$8,$JR78:$LR78,FALSE)</f>
        <v>42592.34375</v>
      </c>
      <c r="Z78" s="164">
        <f>_xlfn.XLOOKUP(Z$8,$LY$8:$NY$8,$LY78:$NY78,FALSE)</f>
        <v>53587.324999999997</v>
      </c>
      <c r="AA78" s="255">
        <f>IF(G78="Undefined","",IF(G78="under",Y78/Z78,IF(G78="over",Z78/Y78,"err")))</f>
        <v>1.2581445462249303</v>
      </c>
      <c r="AB78" s="296" t="str">
        <f>IF(F75&lt;$Y$8,"TBC",IF(Y78=Z78,"Same −",IF($G78="Over",IF(Z78&lt;Y78,"Better ↑ ","Worse ↓ "),IF($G78="Under",IF(Y78&gt;Z78,"Better ↑ ","Worse ↓ "),"err"))))</f>
        <v xml:space="preserve">Worse ↓ </v>
      </c>
      <c r="AC78" s="160" t="e">
        <f>IF(AND(G78="above adero",AD78&gt;0),"R",IF(AF78&gt;1,"G",IF(AF78&gt;0.95,"A","R")))</f>
        <v>#DIV/0!</v>
      </c>
      <c r="AD78" s="164" t="b">
        <f>_xlfn.XLOOKUP(AD$8,$JR$8:$LR$8,$JR78:$LR78,FALSE)</f>
        <v>0</v>
      </c>
      <c r="AE78" s="164" t="b">
        <f>_xlfn.XLOOKUP(AE$8,$LY$8:$NY$8,$LY78:$NY78,FALSE)</f>
        <v>0</v>
      </c>
      <c r="AF78" s="255" t="e">
        <f t="shared" ref="AF78" si="252">IF(G78="Undefined","",IF(G78="under",AD78/AE78,IF(G78="over",AE78/AD78,"err")))</f>
        <v>#DIV/0!</v>
      </c>
      <c r="AH78" s="465" t="str">
        <f>+$A78</f>
        <v>Engineering-KPI C1</v>
      </c>
      <c r="AI78" s="138" t="str">
        <f t="shared" ref="AI78:AJ78" si="253">+C78</f>
        <v>KPI C1</v>
      </c>
      <c r="AJ78" s="146" t="str">
        <f t="shared" si="253"/>
        <v>Cost</v>
      </c>
      <c r="AK78" s="146" t="str">
        <f t="shared" ref="AK78:AL79" si="254">+E78</f>
        <v>Department Spend</v>
      </c>
      <c r="AL78" s="147" t="str">
        <f t="shared" si="254"/>
        <v>£'s</v>
      </c>
      <c r="AM78" s="160" t="str">
        <f>IF(AM$7&gt;$D$3,"",_xlfn.XLOOKUP(AM$8,Engineering!$M$5:$BM$5,Engineering!$M$16:$BM$16))</f>
        <v>R</v>
      </c>
      <c r="AN78" s="200" t="str">
        <f>IF(AN$7&gt;$D$3,"",_xlfn.XLOOKUP(AN$8,Engineering!$M$5:$BM$5,Engineering!$M$16:$BM$16))</f>
        <v>R</v>
      </c>
      <c r="AO78" s="160" t="str">
        <f>IF(AO$7&gt;$D$3,"",_xlfn.XLOOKUP(AO$8,Engineering!$M$5:$BM$5,Engineering!$M$16:$BM$16))</f>
        <v>R</v>
      </c>
      <c r="AP78" s="160" t="str">
        <f>IF(AP$7&gt;$D$3,"",_xlfn.XLOOKUP(AP$8,Engineering!$M$5:$BM$5,Engineering!$M$16:$BM$16))</f>
        <v>R</v>
      </c>
      <c r="AQ78" s="160" t="str">
        <f>IF(AQ$7&gt;$D$3,"",_xlfn.XLOOKUP(AQ$8,Engineering!$M$5:$BM$5,Engineering!$M$16:$BM$16))</f>
        <v>R</v>
      </c>
      <c r="AR78" s="160" t="str">
        <f>IF(AR$7&gt;$D$3,"",_xlfn.XLOOKUP(AR$8,Engineering!$M$5:$BM$5,Engineering!$M$16:$BM$16))</f>
        <v>R</v>
      </c>
      <c r="AS78" s="160" t="str">
        <f>IF(AS$7&gt;$D$3,"",_xlfn.XLOOKUP(AS$8,Engineering!$M$5:$BM$5,Engineering!$M$16:$BM$16))</f>
        <v>R</v>
      </c>
      <c r="AT78" s="160" t="str">
        <f>IF(AT$7&gt;$D$3,"",_xlfn.XLOOKUP(AT$8,Engineering!$M$5:$BM$5,Engineering!$M$16:$BM$16))</f>
        <v>R</v>
      </c>
      <c r="AU78" s="160" t="str">
        <f>IF(AU$7&gt;$D$3,"",_xlfn.XLOOKUP(AU$8,Engineering!$M$5:$BM$5,Engineering!$M$16:$BM$16))</f>
        <v>R</v>
      </c>
      <c r="AV78" s="160" t="str">
        <f>IF(AV$7&gt;$D$3,"",_xlfn.XLOOKUP(AV$8,Engineering!$M$5:$BM$5,Engineering!$M$16:$BM$16))</f>
        <v>A</v>
      </c>
      <c r="AW78" s="160" t="str">
        <f>IF(AW$7&gt;$D$3,"",_xlfn.XLOOKUP(AW$8,Engineering!$M$5:$BM$5,Engineering!$M$16:$BM$16))</f>
        <v>A</v>
      </c>
      <c r="AX78" s="160" t="str">
        <f>IF(AX$7&gt;$D$3,"",_xlfn.XLOOKUP(AX$8,Engineering!$M$5:$BM$5,Engineering!$M$16:$BM$16))</f>
        <v>A</v>
      </c>
      <c r="AY78" s="160" t="str">
        <f>IF(AY$7&gt;$D$3,"",_xlfn.XLOOKUP(AY$8,Engineering!$M$5:$BM$5,Engineering!$M$16:$BM$16))</f>
        <v>A</v>
      </c>
      <c r="AZ78" s="160" t="str">
        <f>IF(AZ$7&gt;$D$3,"",_xlfn.XLOOKUP(AZ$8,Engineering!$M$5:$BM$5,Engineering!$M$16:$BM$16))</f>
        <v>A</v>
      </c>
      <c r="BA78" s="160" t="str">
        <f>IF(BA$7&gt;$D$3,"",_xlfn.XLOOKUP(BA$8,Engineering!$M$5:$BM$5,Engineering!$M$16:$BM$16))</f>
        <v>A</v>
      </c>
      <c r="BB78" s="160" t="str">
        <f>IF(BB$7&gt;$D$3,"",_xlfn.XLOOKUP(BB$8,Engineering!$M$5:$BM$5,Engineering!$M$16:$BM$16))</f>
        <v>A</v>
      </c>
      <c r="BC78" s="160" t="str">
        <f>IF(BC$7&gt;$D$3,"",_xlfn.XLOOKUP(BC$8,Engineering!$M$5:$BM$5,Engineering!$M$16:$BM$16))</f>
        <v>A</v>
      </c>
      <c r="BD78" s="160" t="str">
        <f>IF(BD$7&gt;$D$3,"",_xlfn.XLOOKUP(BD$8,Engineering!$M$5:$BM$5,Engineering!$M$16:$BM$16))</f>
        <v>R</v>
      </c>
      <c r="BE78" s="160" t="str">
        <f>IF(BE$7&gt;$D$3,"",_xlfn.XLOOKUP(BE$8,Engineering!$M$5:$BM$5,Engineering!$M$16:$BM$16))</f>
        <v>R</v>
      </c>
      <c r="BF78" s="160" t="str">
        <f>IF(BF$7&gt;$D$3,"",_xlfn.XLOOKUP(BF$8,Engineering!$M$5:$BM$5,Engineering!$M$16:$BM$16))</f>
        <v>R</v>
      </c>
      <c r="BG78" s="160" t="str">
        <f>IF(BG$7&gt;$D$3,"",_xlfn.XLOOKUP(BG$8,Engineering!$M$5:$BM$5,Engineering!$M$16:$BM$16))</f>
        <v>R</v>
      </c>
      <c r="BH78" s="160" t="str">
        <f>IF(BH$7&gt;$D$3,"",_xlfn.XLOOKUP(BH$8,Engineering!$M$5:$BM$5,Engineering!$M$16:$BM$16))</f>
        <v>R</v>
      </c>
      <c r="BI78" s="160" t="str">
        <f>IF(BI$7&gt;$D$3,"",_xlfn.XLOOKUP(BI$8,Engineering!$M$5:$BM$5,Engineering!$M$16:$BM$16))</f>
        <v>G</v>
      </c>
      <c r="BJ78" s="160" t="str">
        <f>IF(BJ$7&gt;$D$3,"",_xlfn.XLOOKUP(BJ$8,Engineering!$M$5:$BM$5,Engineering!$M$16:$BM$16))</f>
        <v>G</v>
      </c>
      <c r="BK78" s="160" t="str">
        <f>IF(BK$7&gt;$D$3,"",_xlfn.XLOOKUP(BK$8,Engineering!$M$5:$BM$5,Engineering!$M$16:$BM$16))</f>
        <v>G</v>
      </c>
      <c r="BL78" s="160" t="str">
        <f>IF(BL$7&gt;$D$3,"",_xlfn.XLOOKUP(BL$8,Engineering!$M$5:$BM$5,Engineering!$M$16:$BM$16))</f>
        <v>G</v>
      </c>
      <c r="BM78" s="160" t="str">
        <f>IF(BM$7&gt;$D$3,"",_xlfn.XLOOKUP(BM$8,Engineering!$M$5:$BM$5,Engineering!$M$16:$BM$16))</f>
        <v>G</v>
      </c>
      <c r="BN78" s="160" t="str">
        <f>IF(BN$7&gt;$D$3,"",_xlfn.XLOOKUP(BN$8,Engineering!$M$5:$BM$5,Engineering!$M$16:$BM$16))</f>
        <v>G</v>
      </c>
      <c r="BO78" s="160" t="str">
        <f>IF(BO$7&gt;$D$3,"",_xlfn.XLOOKUP(BO$8,Engineering!$M$5:$BM$5,Engineering!$M$16:$BM$16))</f>
        <v>G</v>
      </c>
      <c r="BP78" s="160" t="str">
        <f>IF(BP$7&gt;$D$3,"",_xlfn.XLOOKUP(BP$8,Engineering!$M$5:$BM$5,Engineering!$M$16:$BM$16))</f>
        <v>G</v>
      </c>
      <c r="BQ78" s="160" t="str">
        <f>IF(BQ$7&gt;$D$3,"",_xlfn.XLOOKUP(BQ$8,Engineering!$M$5:$BM$5,Engineering!$M$16:$BM$16))</f>
        <v>G</v>
      </c>
      <c r="BR78" s="160" t="str">
        <f>IF(BR$7&gt;$D$3,"",_xlfn.XLOOKUP(BR$8,Engineering!$M$5:$BM$5,Engineering!$M$16:$BM$16))</f>
        <v>OD</v>
      </c>
      <c r="BS78" s="160" t="str">
        <f>IF(BS$7&gt;$D$3,"",_xlfn.XLOOKUP(BS$8,Engineering!$M$5:$BM$5,Engineering!$M$16:$BM$16))</f>
        <v>OD</v>
      </c>
      <c r="BT78" s="160" t="str">
        <f>IF(BT$7&gt;$D$3,"",_xlfn.XLOOKUP(BT$8,Engineering!$M$5:$BM$5,Engineering!$M$16:$BM$16))</f>
        <v>OD</v>
      </c>
      <c r="BU78" s="160" t="str">
        <f>IF(BU$7&gt;$D$3,"",_xlfn.XLOOKUP(BU$8,Engineering!$M$5:$BM$5,Engineering!$M$16:$BM$16))</f>
        <v>OD</v>
      </c>
      <c r="BV78" s="160" t="str">
        <f>IF(BV$7&gt;$D$3,"",_xlfn.XLOOKUP(BV$8,Engineering!$M$5:$BM$5,Engineering!$M$16:$BM$16))</f>
        <v>OD</v>
      </c>
      <c r="BW78" s="160" t="str">
        <f>IF(BW$7&gt;$D$3,"",_xlfn.XLOOKUP(BW$8,Engineering!$M$5:$BM$5,Engineering!$M$16:$BM$16))</f>
        <v>OD</v>
      </c>
      <c r="BX78" s="160" t="str">
        <f>IF(BX$7&gt;$D$3,"",_xlfn.XLOOKUP(BX$8,Engineering!$M$5:$BM$5,Engineering!$M$16:$BM$16))</f>
        <v>OD</v>
      </c>
      <c r="BY78" s="160" t="str">
        <f>IF(BY$7&gt;$D$3,"",_xlfn.XLOOKUP(BY$8,Engineering!$M$5:$BM$5,Engineering!$M$16:$BM$16))</f>
        <v>OD</v>
      </c>
      <c r="BZ78" s="160" t="str">
        <f>IF(BZ$7&gt;$D$3,"",_xlfn.XLOOKUP(BZ$8,Engineering!$M$5:$BM$5,Engineering!$M$16:$BM$16))</f>
        <v>OD</v>
      </c>
      <c r="CA78" s="160" t="str">
        <f>IF(CA$7&gt;$D$3,"",_xlfn.XLOOKUP(CA$8,Engineering!$M$5:$BM$5,Engineering!$M$16:$BM$16))</f>
        <v>OD</v>
      </c>
      <c r="CB78" s="160" t="str">
        <f>IF(CB$7&gt;$D$3,"",_xlfn.XLOOKUP(CB$8,Engineering!$M$5:$BM$5,Engineering!$M$16:$BM$16))</f>
        <v>OD</v>
      </c>
      <c r="CC78" s="160" t="str">
        <f>IF(CC$7&gt;$D$3,"",_xlfn.XLOOKUP(CC$8,Engineering!$M$5:$BM$5,Engineering!$M$16:$BM$16))</f>
        <v/>
      </c>
      <c r="CD78" s="160" t="str">
        <f>IF(CD$7&gt;$D$3,"",_xlfn.XLOOKUP(CD$8,Engineering!$M$5:$BM$5,Engineering!$M$16:$BM$16))</f>
        <v/>
      </c>
      <c r="CE78" s="160" t="str">
        <f>IF(CE$7&gt;$D$3,"",_xlfn.XLOOKUP(CE$8,Engineering!$M$5:$BM$5,Engineering!$M$16:$BM$16))</f>
        <v/>
      </c>
      <c r="CF78" s="160" t="str">
        <f>IF(CF$7&gt;$D$3,"",_xlfn.XLOOKUP(CF$8,Engineering!$M$5:$BM$5,Engineering!$M$16:$BM$16))</f>
        <v/>
      </c>
      <c r="CG78" s="160" t="str">
        <f>IF(CG$7&gt;$D$3,"",_xlfn.XLOOKUP(CG$8,Engineering!$M$5:$BM$5,Engineering!$M$16:$BM$16))</f>
        <v/>
      </c>
      <c r="CH78" s="160" t="str">
        <f>IF(CH$7&gt;$D$3,"",_xlfn.XLOOKUP(CH$8,Engineering!$M$5:$BM$5,Engineering!$M$16:$BM$16))</f>
        <v/>
      </c>
      <c r="CI78" s="160" t="str">
        <f>IF(CI$7&gt;$D$3,"",_xlfn.XLOOKUP(CI$8,Engineering!$M$5:$BM$5,Engineering!$M$16:$BM$16))</f>
        <v/>
      </c>
      <c r="CJ78" s="160" t="str">
        <f>IF(CJ$7&gt;$D$3,"",_xlfn.XLOOKUP(CJ$8,Engineering!$M$5:$BM$5,Engineering!$M$16:$BM$16))</f>
        <v/>
      </c>
      <c r="CK78" s="160" t="str">
        <f>IF(CK$7&gt;$D$3,"",_xlfn.XLOOKUP(CK$8,Engineering!$M$5:$BM$5,Engineering!$M$16:$BM$16))</f>
        <v/>
      </c>
      <c r="CL78" s="160" t="str">
        <f>IF(CL$7&gt;$D$3,"",_xlfn.XLOOKUP(CL$8,Engineering!$M$5:$BM$5,Engineering!$M$16:$BM$16))</f>
        <v/>
      </c>
      <c r="CM78" s="424" t="str">
        <f>IF(CM$7&gt;$D$3,"",_xlfn.XLOOKUP(CM$8,Engineering!$M$5:$BM$5,Engineering!$M$16:$BM$16))</f>
        <v/>
      </c>
      <c r="CO78" s="465" t="str">
        <f>+$A78</f>
        <v>Engineering-KPI C1</v>
      </c>
      <c r="CP78" s="138" t="str">
        <f t="shared" ref="CP78:CQ78" si="255">+C78</f>
        <v>KPI C1</v>
      </c>
      <c r="CQ78" s="679" t="str">
        <f t="shared" si="255"/>
        <v>Cost</v>
      </c>
      <c r="CR78" s="515" t="str">
        <f t="shared" ref="CR78:CS78" si="256">+E78</f>
        <v>Department Spend</v>
      </c>
      <c r="CS78" s="147" t="str">
        <f t="shared" si="256"/>
        <v>£'s</v>
      </c>
      <c r="CT78" s="208" t="s">
        <v>246</v>
      </c>
      <c r="CU78" s="160" t="str">
        <f>IF(CU$7&gt;$D$3,"",_xlfn.XLOOKUP(CU$8,Engineering!$M$5:$BM$5,Engineering!$M$16:$BM$16))</f>
        <v>R</v>
      </c>
      <c r="CV78" s="325">
        <f>IFERROR(IF(CV$7&gt;$D$3,"",IF(AN78="Missed","Missed",IF(AN78="OD","OD",IF(AN78="TBC","TBC",IF(AN78="Undefined","Undefined",
IF(_xlfn.XLOOKUP(CV$8,Engineering!$M$5:$BM$5,Engineering!$M$14:$BM$14)="Undefined",_xlfn.XLOOKUP(CV$8,Engineering!$M$5:$BM$5,Engineering!$M$15:$BM$15),
_xlfn.XLOOKUP(CV$8,Engineering!$M$5:$BM$5,Engineering!$M$14:$BM$14)/_xlfn.XLOOKUP(CV$8,Engineering!$M$5:$BM$5,Engineering!$M$15:$BM$15))))))),"")</f>
        <v>0.89911205275311257</v>
      </c>
      <c r="CW78" s="325">
        <f>IFERROR(IF(CW$7&gt;$D$3,"",IF(AO78="Missed","Missed",IF(AO78="OD","OD",IF(AO78="TBC","TBC",IF(AO78="Undefined","Undefined",
IF(_xlfn.XLOOKUP(CW$8,Engineering!$M$5:$BM$5,Engineering!$M$14:$BM$14)="Undefined",_xlfn.XLOOKUP(CW$8,Engineering!$M$5:$BM$5,Engineering!$M$15:$BM$15),
_xlfn.XLOOKUP(CW$8,Engineering!$M$5:$BM$5,Engineering!$M$14:$BM$14)/_xlfn.XLOOKUP(CW$8,Engineering!$M$5:$BM$5,Engineering!$M$15:$BM$15))))))),"")</f>
        <v>0.89911205275311257</v>
      </c>
      <c r="CX78" s="325">
        <f>IFERROR(IF(CX$7&gt;$D$3,"",IF(AP78="Missed","Missed",IF(AP78="OD","OD",IF(AP78="TBC","TBC",IF(AP78="Undefined","Undefined",
IF(_xlfn.XLOOKUP(CX$8,Engineering!$M$5:$BM$5,Engineering!$M$14:$BM$14)="Undefined",_xlfn.XLOOKUP(CX$8,Engineering!$M$5:$BM$5,Engineering!$M$15:$BM$15),
_xlfn.XLOOKUP(CX$8,Engineering!$M$5:$BM$5,Engineering!$M$14:$BM$14)/_xlfn.XLOOKUP(CX$8,Engineering!$M$5:$BM$5,Engineering!$M$15:$BM$15))))))),"")</f>
        <v>0.89911205275311257</v>
      </c>
      <c r="CY78" s="325">
        <f>IFERROR(IF(CY$7&gt;$D$3,"",IF(AQ78="Missed","Missed",IF(AQ78="OD","OD",IF(AQ78="TBC","TBC",IF(AQ78="Undefined","Undefined",
IF(_xlfn.XLOOKUP(CY$8,Engineering!$M$5:$BM$5,Engineering!$M$14:$BM$14)="Undefined",_xlfn.XLOOKUP(CY$8,Engineering!$M$5:$BM$5,Engineering!$M$15:$BM$15),
_xlfn.XLOOKUP(CY$8,Engineering!$M$5:$BM$5,Engineering!$M$14:$BM$14)/_xlfn.XLOOKUP(CY$8,Engineering!$M$5:$BM$5,Engineering!$M$15:$BM$15))))))),"")</f>
        <v>0.89911205275311257</v>
      </c>
      <c r="CZ78" s="325">
        <f>IFERROR(IF(CZ$7&gt;$D$3,"",IF(AR78="Missed","Missed",IF(AR78="OD","OD",IF(AR78="TBC","TBC",IF(AR78="Undefined","Undefined",
IF(_xlfn.XLOOKUP(CZ$8,Engineering!$M$5:$BM$5,Engineering!$M$14:$BM$14)="Undefined",_xlfn.XLOOKUP(CZ$8,Engineering!$M$5:$BM$5,Engineering!$M$15:$BM$15),
_xlfn.XLOOKUP(CZ$8,Engineering!$M$5:$BM$5,Engineering!$M$14:$BM$14)/_xlfn.XLOOKUP(CZ$8,Engineering!$M$5:$BM$5,Engineering!$M$15:$BM$15))))))),"")</f>
        <v>0.64650587910032686</v>
      </c>
      <c r="DA78" s="325">
        <f>IFERROR(IF(DA$7&gt;$D$3,"",IF(AS78="Missed","Missed",IF(AS78="OD","OD",IF(AS78="TBC","TBC",IF(AS78="Undefined","Undefined",
IF(_xlfn.XLOOKUP(DA$8,Engineering!$M$5:$BM$5,Engineering!$M$14:$BM$14)="Undefined",_xlfn.XLOOKUP(DA$8,Engineering!$M$5:$BM$5,Engineering!$M$15:$BM$15),
_xlfn.XLOOKUP(DA$8,Engineering!$M$5:$BM$5,Engineering!$M$14:$BM$14)/_xlfn.XLOOKUP(DA$8,Engineering!$M$5:$BM$5,Engineering!$M$15:$BM$15))))))),"")</f>
        <v>0.64650587910032686</v>
      </c>
      <c r="DB78" s="325">
        <f>IFERROR(IF(DB$7&gt;$D$3,"",IF(AT78="Missed","Missed",IF(AT78="OD","OD",IF(AT78="TBC","TBC",IF(AT78="Undefined","Undefined",
IF(_xlfn.XLOOKUP(DB$8,Engineering!$M$5:$BM$5,Engineering!$M$14:$BM$14)="Undefined",_xlfn.XLOOKUP(DB$8,Engineering!$M$5:$BM$5,Engineering!$M$15:$BM$15),
_xlfn.XLOOKUP(DB$8,Engineering!$M$5:$BM$5,Engineering!$M$14:$BM$14)/_xlfn.XLOOKUP(DB$8,Engineering!$M$5:$BM$5,Engineering!$M$15:$BM$15))))))),"")</f>
        <v>0.64650587910032686</v>
      </c>
      <c r="DC78" s="325">
        <f>IFERROR(IF(DC$7&gt;$D$3,"",IF(AU78="Missed","Missed",IF(AU78="OD","OD",IF(AU78="TBC","TBC",IF(AU78="Undefined","Undefined",
IF(_xlfn.XLOOKUP(DC$8,Engineering!$M$5:$BM$5,Engineering!$M$14:$BM$14)="Undefined",_xlfn.XLOOKUP(DC$8,Engineering!$M$5:$BM$5,Engineering!$M$15:$BM$15),
_xlfn.XLOOKUP(DC$8,Engineering!$M$5:$BM$5,Engineering!$M$14:$BM$14)/_xlfn.XLOOKUP(DC$8,Engineering!$M$5:$BM$5,Engineering!$M$15:$BM$15))))))),"")</f>
        <v>0.64650587910032686</v>
      </c>
      <c r="DD78" s="325">
        <f>IFERROR(IF(DD$7&gt;$D$3,"",IF(AV78="Missed","Missed",IF(AV78="OD","OD",IF(AV78="TBC","TBC",IF(AV78="Undefined","Undefined",
IF(_xlfn.XLOOKUP(DD$8,Engineering!$M$5:$BM$5,Engineering!$M$14:$BM$14)="Undefined",_xlfn.XLOOKUP(DD$8,Engineering!$M$5:$BM$5,Engineering!$M$15:$BM$15),
_xlfn.XLOOKUP(DD$8,Engineering!$M$5:$BM$5,Engineering!$M$14:$BM$14)/_xlfn.XLOOKUP(DD$8,Engineering!$M$5:$BM$5,Engineering!$M$15:$BM$15))))))),"")</f>
        <v>0.98256589539537242</v>
      </c>
      <c r="DE78" s="325">
        <f>IFERROR(IF(DE$7&gt;$D$3,"",IF(AW78="Missed","Missed",IF(AW78="OD","OD",IF(AW78="TBC","TBC",IF(AW78="Undefined","Undefined",
IF(_xlfn.XLOOKUP(DE$8,Engineering!$M$5:$BM$5,Engineering!$M$14:$BM$14)="Undefined",_xlfn.XLOOKUP(DE$8,Engineering!$M$5:$BM$5,Engineering!$M$15:$BM$15),
_xlfn.XLOOKUP(DE$8,Engineering!$M$5:$BM$5,Engineering!$M$14:$BM$14)/_xlfn.XLOOKUP(DE$8,Engineering!$M$5:$BM$5,Engineering!$M$15:$BM$15))))))),"")</f>
        <v>0.98256589539537242</v>
      </c>
      <c r="DF78" s="325">
        <f>IFERROR(IF(DF$7&gt;$D$3,"",IF(AX78="Missed","Missed",IF(AX78="OD","OD",IF(AX78="TBC","TBC",IF(AX78="Undefined","Undefined",
IF(_xlfn.XLOOKUP(DF$8,Engineering!$M$5:$BM$5,Engineering!$M$14:$BM$14)="Undefined",_xlfn.XLOOKUP(DF$8,Engineering!$M$5:$BM$5,Engineering!$M$15:$BM$15),
_xlfn.XLOOKUP(DF$8,Engineering!$M$5:$BM$5,Engineering!$M$14:$BM$14)/_xlfn.XLOOKUP(DF$8,Engineering!$M$5:$BM$5,Engineering!$M$15:$BM$15))))))),"")</f>
        <v>0.98256589539537242</v>
      </c>
      <c r="DG78" s="325">
        <f>IFERROR(IF(DG$7&gt;$D$3,"",IF(AY78="Missed","Missed",IF(AY78="OD","OD",IF(AY78="TBC","TBC",IF(AY78="Undefined","Undefined",
IF(_xlfn.XLOOKUP(DG$8,Engineering!$M$5:$BM$5,Engineering!$M$14:$BM$14)="Undefined",_xlfn.XLOOKUP(DG$8,Engineering!$M$5:$BM$5,Engineering!$M$15:$BM$15),
_xlfn.XLOOKUP(DG$8,Engineering!$M$5:$BM$5,Engineering!$M$14:$BM$14)/_xlfn.XLOOKUP(DG$8,Engineering!$M$5:$BM$5,Engineering!$M$15:$BM$15))))))),"")</f>
        <v>0.98256589539537242</v>
      </c>
      <c r="DH78" s="325">
        <f>IFERROR(IF(DH$7&gt;$D$3,"",IF(AZ78="Missed","Missed",IF(AZ78="OD","OD",IF(AZ78="TBC","TBC",IF(AZ78="Undefined","Undefined",
IF(_xlfn.XLOOKUP(DH$8,Engineering!$M$5:$BM$5,Engineering!$M$14:$BM$14)="Undefined",_xlfn.XLOOKUP(DH$8,Engineering!$M$5:$BM$5,Engineering!$M$15:$BM$15),
_xlfn.XLOOKUP(DH$8,Engineering!$M$5:$BM$5,Engineering!$M$14:$BM$14)/_xlfn.XLOOKUP(DH$8,Engineering!$M$5:$BM$5,Engineering!$M$15:$BM$15))))))),"")</f>
        <v>0.98256589539537242</v>
      </c>
      <c r="DI78" s="325">
        <f>IFERROR(IF(DI$7&gt;$D$3,"",IF(BA78="Missed","Missed",IF(BA78="OD","OD",IF(BA78="TBC","TBC",IF(BA78="Undefined","Undefined",
IF(_xlfn.XLOOKUP(DI$8,Engineering!$M$5:$BM$5,Engineering!$M$14:$BM$14)="Undefined",_xlfn.XLOOKUP(DI$8,Engineering!$M$5:$BM$5,Engineering!$M$15:$BM$15),
_xlfn.XLOOKUP(DI$8,Engineering!$M$5:$BM$5,Engineering!$M$14:$BM$14)/_xlfn.XLOOKUP(DI$8,Engineering!$M$5:$BM$5,Engineering!$M$15:$BM$15))))))),"")</f>
        <v>0.98256589539537242</v>
      </c>
      <c r="DJ78" s="325">
        <f>IFERROR(IF(DJ$7&gt;$D$3,"",IF(BB78="Missed","Missed",IF(BB78="OD","OD",IF(BB78="TBC","TBC",IF(BB78="Undefined","Undefined",
IF(_xlfn.XLOOKUP(DJ$8,Engineering!$M$5:$BM$5,Engineering!$M$14:$BM$14)="Undefined",_xlfn.XLOOKUP(DJ$8,Engineering!$M$5:$BM$5,Engineering!$M$15:$BM$15),
_xlfn.XLOOKUP(DJ$8,Engineering!$M$5:$BM$5,Engineering!$M$14:$BM$14)/_xlfn.XLOOKUP(DJ$8,Engineering!$M$5:$BM$5,Engineering!$M$15:$BM$15))))))),"")</f>
        <v>0.98256589539537242</v>
      </c>
      <c r="DK78" s="325">
        <f>IFERROR(IF(DK$7&gt;$D$3,"",IF(BC78="Missed","Missed",IF(BC78="OD","OD",IF(BC78="TBC","TBC",IF(BC78="Undefined","Undefined",
IF(_xlfn.XLOOKUP(DK$8,Engineering!$M$5:$BM$5,Engineering!$M$14:$BM$14)="Undefined",_xlfn.XLOOKUP(DK$8,Engineering!$M$5:$BM$5,Engineering!$M$15:$BM$15),
_xlfn.XLOOKUP(DK$8,Engineering!$M$5:$BM$5,Engineering!$M$14:$BM$14)/_xlfn.XLOOKUP(DK$8,Engineering!$M$5:$BM$5,Engineering!$M$15:$BM$15))))))),"")</f>
        <v>0.98256589539537242</v>
      </c>
      <c r="DL78" s="325">
        <f>IFERROR(IF(DL$7&gt;$D$3,"",IF(BD78="Missed","Missed",IF(BD78="OD","OD",IF(BD78="TBC","TBC",IF(BD78="Undefined","Undefined",
IF(_xlfn.XLOOKUP(DL$8,Engineering!$M$5:$BM$5,Engineering!$M$14:$BM$14)="Undefined",_xlfn.XLOOKUP(DL$8,Engineering!$M$5:$BM$5,Engineering!$M$15:$BM$15),
_xlfn.XLOOKUP(DL$8,Engineering!$M$5:$BM$5,Engineering!$M$14:$BM$14)/_xlfn.XLOOKUP(DL$8,Engineering!$M$5:$BM$5,Engineering!$M$15:$BM$15))))))),"")</f>
        <v>0.85892620755472093</v>
      </c>
      <c r="DM78" s="325">
        <f>IFERROR(IF(DM$7&gt;$D$3,"",IF(BE78="Missed","Missed",IF(BE78="OD","OD",IF(BE78="TBC","TBC",IF(BE78="Undefined","Undefined",
IF(_xlfn.XLOOKUP(DM$8,Engineering!$M$5:$BM$5,Engineering!$M$14:$BM$14)="Undefined",_xlfn.XLOOKUP(DM$8,Engineering!$M$5:$BM$5,Engineering!$M$15:$BM$15),
_xlfn.XLOOKUP(DM$8,Engineering!$M$5:$BM$5,Engineering!$M$14:$BM$14)/_xlfn.XLOOKUP(DM$8,Engineering!$M$5:$BM$5,Engineering!$M$15:$BM$15))))))),"")</f>
        <v>0.85892620755472093</v>
      </c>
      <c r="DN78" s="325">
        <f>IFERROR(IF(DN$7&gt;$D$3,"",IF(BF78="Missed","Missed",IF(BF78="OD","OD",IF(BF78="TBC","TBC",IF(BF78="Undefined","Undefined",
IF(_xlfn.XLOOKUP(DN$8,Engineering!$M$5:$BM$5,Engineering!$M$14:$BM$14)="Undefined",_xlfn.XLOOKUP(DN$8,Engineering!$M$5:$BM$5,Engineering!$M$15:$BM$15),
_xlfn.XLOOKUP(DN$8,Engineering!$M$5:$BM$5,Engineering!$M$14:$BM$14)/_xlfn.XLOOKUP(DN$8,Engineering!$M$5:$BM$5,Engineering!$M$15:$BM$15))))))),"")</f>
        <v>0.85892620755472093</v>
      </c>
      <c r="DO78" s="325">
        <f>IFERROR(IF(DO$7&gt;$D$3,"",IF(BG78="Missed","Missed",IF(BG78="OD","OD",IF(BG78="TBC","TBC",IF(BG78="Undefined","Undefined",
IF(_xlfn.XLOOKUP(DO$8,Engineering!$M$5:$BM$5,Engineering!$M$14:$BM$14)="Undefined",_xlfn.XLOOKUP(DO$8,Engineering!$M$5:$BM$5,Engineering!$M$15:$BM$15),
_xlfn.XLOOKUP(DO$8,Engineering!$M$5:$BM$5,Engineering!$M$14:$BM$14)/_xlfn.XLOOKUP(DO$8,Engineering!$M$5:$BM$5,Engineering!$M$15:$BM$15))))))),"")</f>
        <v>0.85892620755472093</v>
      </c>
      <c r="DP78" s="325">
        <f>IFERROR(IF(DP$7&gt;$D$3,"",IF(BH78="Missed","Missed",IF(BH78="OD","OD",IF(BH78="TBC","TBC",IF(BH78="Undefined","Undefined",
IF(_xlfn.XLOOKUP(DP$8,Engineering!$M$5:$BM$5,Engineering!$M$14:$BM$14)="Undefined",_xlfn.XLOOKUP(DP$8,Engineering!$M$5:$BM$5,Engineering!$M$15:$BM$15),
_xlfn.XLOOKUP(DP$8,Engineering!$M$5:$BM$5,Engineering!$M$14:$BM$14)/_xlfn.XLOOKUP(DP$8,Engineering!$M$5:$BM$5,Engineering!$M$15:$BM$15))))))),"")</f>
        <v>0.85892620755472093</v>
      </c>
      <c r="DQ78" s="325">
        <f>IFERROR(IF(DQ$7&gt;$D$3,"",IF(BI78="Missed","Missed",IF(BI78="OD","OD",IF(BI78="TBC","TBC",IF(BI78="Undefined","Undefined",
IF(_xlfn.XLOOKUP(DQ$8,Engineering!$M$5:$BM$5,Engineering!$M$14:$BM$14)="Undefined",_xlfn.XLOOKUP(DQ$8,Engineering!$M$5:$BM$5,Engineering!$M$15:$BM$15),
_xlfn.XLOOKUP(DQ$8,Engineering!$M$5:$BM$5,Engineering!$M$14:$BM$14)/_xlfn.XLOOKUP(DQ$8,Engineering!$M$5:$BM$5,Engineering!$M$15:$BM$15))))))),"")</f>
        <v>1.0207767819035425</v>
      </c>
      <c r="DR78" s="325">
        <f>IFERROR(IF(DR$7&gt;$D$3,"",IF(BJ78="Missed","Missed",IF(BJ78="OD","OD",IF(BJ78="TBC","TBC",IF(BJ78="Undefined","Undefined",
IF(_xlfn.XLOOKUP(DR$8,Engineering!$M$5:$BM$5,Engineering!$M$14:$BM$14)="Undefined",_xlfn.XLOOKUP(DR$8,Engineering!$M$5:$BM$5,Engineering!$M$15:$BM$15),
_xlfn.XLOOKUP(DR$8,Engineering!$M$5:$BM$5,Engineering!$M$14:$BM$14)/_xlfn.XLOOKUP(DR$8,Engineering!$M$5:$BM$5,Engineering!$M$15:$BM$15))))))),"")</f>
        <v>1.0207767819035425</v>
      </c>
      <c r="DS78" s="325">
        <f>IFERROR(IF(DS$7&gt;$D$3,"",IF(BK78="Missed","Missed",IF(BK78="OD","OD",IF(BK78="TBC","TBC",IF(BK78="Undefined","Undefined",
IF(_xlfn.XLOOKUP(DS$8,Engineering!$M$5:$BM$5,Engineering!$M$14:$BM$14)="Undefined",_xlfn.XLOOKUP(DS$8,Engineering!$M$5:$BM$5,Engineering!$M$15:$BM$15),
_xlfn.XLOOKUP(DS$8,Engineering!$M$5:$BM$5,Engineering!$M$14:$BM$14)/_xlfn.XLOOKUP(DS$8,Engineering!$M$5:$BM$5,Engineering!$M$15:$BM$15))))))),"")</f>
        <v>1.0207767819035425</v>
      </c>
      <c r="DT78" s="325">
        <f>IFERROR(IF(DT$7&gt;$D$3,"",IF(BL78="Missed","Missed",IF(BL78="OD","OD",IF(BL78="TBC","TBC",IF(BL78="Undefined","Undefined",
IF(_xlfn.XLOOKUP(DT$8,Engineering!$M$5:$BM$5,Engineering!$M$14:$BM$14)="Undefined",_xlfn.XLOOKUP(DT$8,Engineering!$M$5:$BM$5,Engineering!$M$15:$BM$15),
_xlfn.XLOOKUP(DT$8,Engineering!$M$5:$BM$5,Engineering!$M$14:$BM$14)/_xlfn.XLOOKUP(DT$8,Engineering!$M$5:$BM$5,Engineering!$M$15:$BM$15))))))),"")</f>
        <v>1.0207767819035425</v>
      </c>
      <c r="DU78" s="325">
        <f>IFERROR(IF(DU$7&gt;$D$3,"",IF(BM78="Missed","Missed",IF(BM78="OD","OD",IF(BM78="TBC","TBC",IF(BM78="Undefined","Undefined",
IF(_xlfn.XLOOKUP(DU$8,Engineering!$M$5:$BM$5,Engineering!$M$14:$BM$14)="Undefined",_xlfn.XLOOKUP(DU$8,Engineering!$M$5:$BM$5,Engineering!$M$15:$BM$15),
_xlfn.XLOOKUP(DU$8,Engineering!$M$5:$BM$5,Engineering!$M$14:$BM$14)/_xlfn.XLOOKUP(DU$8,Engineering!$M$5:$BM$5,Engineering!$M$15:$BM$15))))))),"")</f>
        <v>31255</v>
      </c>
      <c r="DV78" s="325">
        <f>IFERROR(IF(DV$7&gt;$D$3,"",IF(BN78="Missed","Missed",IF(BN78="OD","OD",IF(BN78="TBC","TBC",IF(BN78="Undefined","Undefined",
IF(_xlfn.XLOOKUP(DV$8,Engineering!$M$5:$BM$5,Engineering!$M$14:$BM$14)="Undefined",_xlfn.XLOOKUP(DV$8,Engineering!$M$5:$BM$5,Engineering!$M$15:$BM$15),
_xlfn.XLOOKUP(DV$8,Engineering!$M$5:$BM$5,Engineering!$M$14:$BM$14)/_xlfn.XLOOKUP(DV$8,Engineering!$M$5:$BM$5,Engineering!$M$15:$BM$15))))))),"")</f>
        <v>31255</v>
      </c>
      <c r="DW78" s="325">
        <f>IFERROR(IF(DW$7&gt;$D$3,"",IF(BO78="Missed","Missed",IF(BO78="OD","OD",IF(BO78="TBC","TBC",IF(BO78="Undefined","Undefined",
IF(_xlfn.XLOOKUP(DW$8,Engineering!$M$5:$BM$5,Engineering!$M$14:$BM$14)="Undefined",_xlfn.XLOOKUP(DW$8,Engineering!$M$5:$BM$5,Engineering!$M$15:$BM$15),
_xlfn.XLOOKUP(DW$8,Engineering!$M$5:$BM$5,Engineering!$M$14:$BM$14)/_xlfn.XLOOKUP(DW$8,Engineering!$M$5:$BM$5,Engineering!$M$15:$BM$15))))))),"")</f>
        <v>31255</v>
      </c>
      <c r="DX78" s="325">
        <f>IFERROR(IF(DX$7&gt;$D$3,"",IF(BP78="Missed","Missed",IF(BP78="OD","OD",IF(BP78="TBC","TBC",IF(BP78="Undefined","Undefined",
IF(_xlfn.XLOOKUP(DX$8,Engineering!$M$5:$BM$5,Engineering!$M$14:$BM$14)="Undefined",_xlfn.XLOOKUP(DX$8,Engineering!$M$5:$BM$5,Engineering!$M$15:$BM$15),
_xlfn.XLOOKUP(DX$8,Engineering!$M$5:$BM$5,Engineering!$M$14:$BM$14)/_xlfn.XLOOKUP(DX$8,Engineering!$M$5:$BM$5,Engineering!$M$15:$BM$15))))))),"")</f>
        <v>31255</v>
      </c>
      <c r="DY78" s="325">
        <f>IFERROR(IF(DY$7&gt;$D$3,"",IF(BQ78="Missed","Missed",IF(BQ78="OD","OD",IF(BQ78="TBC","TBC",IF(BQ78="Undefined","Undefined",
IF(_xlfn.XLOOKUP(DY$8,Engineering!$M$5:$BM$5,Engineering!$M$14:$BM$14)="Undefined",_xlfn.XLOOKUP(DY$8,Engineering!$M$5:$BM$5,Engineering!$M$15:$BM$15),
_xlfn.XLOOKUP(DY$8,Engineering!$M$5:$BM$5,Engineering!$M$14:$BM$14)/_xlfn.XLOOKUP(DY$8,Engineering!$M$5:$BM$5,Engineering!$M$15:$BM$15))))))),"")</f>
        <v>31255</v>
      </c>
      <c r="DZ78" s="325" t="str">
        <f>IFERROR(IF(DZ$7&gt;$D$3,"",IF(BR78="Missed","Missed",IF(BR78="OD","OD",IF(BR78="TBC","TBC",IF(BR78="Undefined","Undefined",
IF(_xlfn.XLOOKUP(DZ$8,Engineering!$M$5:$BM$5,Engineering!$M$14:$BM$14)="Undefined",_xlfn.XLOOKUP(DZ$8,Engineering!$M$5:$BM$5,Engineering!$M$15:$BM$15),
_xlfn.XLOOKUP(DZ$8,Engineering!$M$5:$BM$5,Engineering!$M$14:$BM$14)/_xlfn.XLOOKUP(DZ$8,Engineering!$M$5:$BM$5,Engineering!$M$15:$BM$15))))))),"")</f>
        <v>OD</v>
      </c>
      <c r="EA78" s="325" t="str">
        <f>IFERROR(IF(EA$7&gt;$D$3,"",IF(BS78="Missed","Missed",IF(BS78="OD","OD",IF(BS78="TBC","TBC",IF(BS78="Undefined","Undefined",
IF(_xlfn.XLOOKUP(EA$8,Engineering!$M$5:$BM$5,Engineering!$M$14:$BM$14)="Undefined",_xlfn.XLOOKUP(EA$8,Engineering!$M$5:$BM$5,Engineering!$M$15:$BM$15),
_xlfn.XLOOKUP(EA$8,Engineering!$M$5:$BM$5,Engineering!$M$14:$BM$14)/_xlfn.XLOOKUP(EA$8,Engineering!$M$5:$BM$5,Engineering!$M$15:$BM$15))))))),"")</f>
        <v>OD</v>
      </c>
      <c r="EB78" s="325" t="str">
        <f>IFERROR(IF(EB$7&gt;$D$3,"",IF(BT78="Missed","Missed",IF(BT78="OD","OD",IF(BT78="TBC","TBC",IF(BT78="Undefined","Undefined",
IF(_xlfn.XLOOKUP(EB$8,Engineering!$M$5:$BM$5,Engineering!$M$14:$BM$14)="Undefined",_xlfn.XLOOKUP(EB$8,Engineering!$M$5:$BM$5,Engineering!$M$15:$BM$15),
_xlfn.XLOOKUP(EB$8,Engineering!$M$5:$BM$5,Engineering!$M$14:$BM$14)/_xlfn.XLOOKUP(EB$8,Engineering!$M$5:$BM$5,Engineering!$M$15:$BM$15))))))),"")</f>
        <v>OD</v>
      </c>
      <c r="EC78" s="325" t="str">
        <f>IFERROR(IF(EC$7&gt;$D$3,"",IF(BU78="Missed","Missed",IF(BU78="OD","OD",IF(BU78="TBC","TBC",IF(BU78="Undefined","Undefined",
IF(_xlfn.XLOOKUP(EC$8,Engineering!$M$5:$BM$5,Engineering!$M$14:$BM$14)="Undefined",_xlfn.XLOOKUP(EC$8,Engineering!$M$5:$BM$5,Engineering!$M$15:$BM$15),
_xlfn.XLOOKUP(EC$8,Engineering!$M$5:$BM$5,Engineering!$M$14:$BM$14)/_xlfn.XLOOKUP(EC$8,Engineering!$M$5:$BM$5,Engineering!$M$15:$BM$15))))))),"")</f>
        <v>OD</v>
      </c>
      <c r="ED78" s="325" t="str">
        <f>IFERROR(IF(ED$7&gt;$D$3,"",IF(BV78="Missed","Missed",IF(BV78="OD","OD",IF(BV78="TBC","TBC",IF(BV78="Undefined","Undefined",
IF(_xlfn.XLOOKUP(ED$8,Engineering!$M$5:$BM$5,Engineering!$M$14:$BM$14)="Undefined",_xlfn.XLOOKUP(ED$8,Engineering!$M$5:$BM$5,Engineering!$M$15:$BM$15),
_xlfn.XLOOKUP(ED$8,Engineering!$M$5:$BM$5,Engineering!$M$14:$BM$14)/_xlfn.XLOOKUP(ED$8,Engineering!$M$5:$BM$5,Engineering!$M$15:$BM$15))))))),"")</f>
        <v>OD</v>
      </c>
      <c r="EE78" s="325" t="str">
        <f>IFERROR(IF(EE$7&gt;$D$3,"",IF(BW78="Missed","Missed",IF(BW78="OD","OD",IF(BW78="TBC","TBC",IF(BW78="Undefined","Undefined",
IF(_xlfn.XLOOKUP(EE$8,Engineering!$M$5:$BM$5,Engineering!$M$14:$BM$14)="Undefined",_xlfn.XLOOKUP(EE$8,Engineering!$M$5:$BM$5,Engineering!$M$15:$BM$15),
_xlfn.XLOOKUP(EE$8,Engineering!$M$5:$BM$5,Engineering!$M$14:$BM$14)/_xlfn.XLOOKUP(EE$8,Engineering!$M$5:$BM$5,Engineering!$M$15:$BM$15))))))),"")</f>
        <v>OD</v>
      </c>
      <c r="EF78" s="325" t="str">
        <f>IFERROR(IF(EF$7&gt;$D$3,"",IF(BX78="Missed","Missed",IF(BX78="OD","OD",IF(BX78="TBC","TBC",IF(BX78="Undefined","Undefined",
IF(_xlfn.XLOOKUP(EF$8,Engineering!$M$5:$BM$5,Engineering!$M$14:$BM$14)="Undefined",_xlfn.XLOOKUP(EF$8,Engineering!$M$5:$BM$5,Engineering!$M$15:$BM$15),
_xlfn.XLOOKUP(EF$8,Engineering!$M$5:$BM$5,Engineering!$M$14:$BM$14)/_xlfn.XLOOKUP(EF$8,Engineering!$M$5:$BM$5,Engineering!$M$15:$BM$15))))))),"")</f>
        <v>OD</v>
      </c>
      <c r="EG78" s="325" t="str">
        <f>IFERROR(IF(EG$7&gt;$D$3,"",IF(BY78="Missed","Missed",IF(BY78="OD","OD",IF(BY78="TBC","TBC",IF(BY78="Undefined","Undefined",
IF(_xlfn.XLOOKUP(EG$8,Engineering!$M$5:$BM$5,Engineering!$M$14:$BM$14)="Undefined",_xlfn.XLOOKUP(EG$8,Engineering!$M$5:$BM$5,Engineering!$M$15:$BM$15),
_xlfn.XLOOKUP(EG$8,Engineering!$M$5:$BM$5,Engineering!$M$14:$BM$14)/_xlfn.XLOOKUP(EG$8,Engineering!$M$5:$BM$5,Engineering!$M$15:$BM$15))))))),"")</f>
        <v>OD</v>
      </c>
      <c r="EH78" s="325" t="str">
        <f>IFERROR(IF(EH$7&gt;$D$3,"",IF(BZ78="Missed","Missed",IF(BZ78="OD","OD",IF(BZ78="TBC","TBC",IF(BZ78="Undefined","Undefined",
IF(_xlfn.XLOOKUP(EH$8,Engineering!$M$5:$BM$5,Engineering!$M$14:$BM$14)="Undefined",_xlfn.XLOOKUP(EH$8,Engineering!$M$5:$BM$5,Engineering!$M$15:$BM$15),
_xlfn.XLOOKUP(EH$8,Engineering!$M$5:$BM$5,Engineering!$M$14:$BM$14)/_xlfn.XLOOKUP(EH$8,Engineering!$M$5:$BM$5,Engineering!$M$15:$BM$15))))))),"")</f>
        <v>OD</v>
      </c>
      <c r="EI78" s="325" t="str">
        <f>IFERROR(IF(EI$7&gt;$D$3,"",IF(CA78="Missed","Missed",IF(CA78="OD","OD",IF(CA78="TBC","TBC",IF(CA78="Undefined","Undefined",
IF(_xlfn.XLOOKUP(EI$8,Engineering!$M$5:$BM$5,Engineering!$M$14:$BM$14)="Undefined",_xlfn.XLOOKUP(EI$8,Engineering!$M$5:$BM$5,Engineering!$M$15:$BM$15),
_xlfn.XLOOKUP(EI$8,Engineering!$M$5:$BM$5,Engineering!$M$14:$BM$14)/_xlfn.XLOOKUP(EI$8,Engineering!$M$5:$BM$5,Engineering!$M$15:$BM$15))))))),"")</f>
        <v>OD</v>
      </c>
      <c r="EJ78" s="325" t="str">
        <f>IFERROR(IF(EJ$7&gt;$D$3,"",IF(CB78="Missed","Missed",IF(CB78="OD","OD",IF(CB78="TBC","TBC",IF(CB78="Undefined","Undefined",
IF(_xlfn.XLOOKUP(EJ$8,Engineering!$M$5:$BM$5,Engineering!$M$14:$BM$14)="Undefined",_xlfn.XLOOKUP(EJ$8,Engineering!$M$5:$BM$5,Engineering!$M$15:$BM$15),
_xlfn.XLOOKUP(EJ$8,Engineering!$M$5:$BM$5,Engineering!$M$14:$BM$14)/_xlfn.XLOOKUP(EJ$8,Engineering!$M$5:$BM$5,Engineering!$M$15:$BM$15))))))),"")</f>
        <v>OD</v>
      </c>
      <c r="EK78" s="325" t="str">
        <f>IFERROR(IF(EK$7&gt;$D$3,"",IF(CC78="Missed","Missed",IF(CC78="OD","OD",IF(CC78="TBC","TBC",IF(CC78="Undefined","Undefined",
IF(_xlfn.XLOOKUP(EK$8,Engineering!$M$5:$BM$5,Engineering!$M$14:$BM$14)="Undefined",_xlfn.XLOOKUP(EK$8,Engineering!$M$5:$BM$5,Engineering!$M$15:$BM$15),
_xlfn.XLOOKUP(EK$8,Engineering!$M$5:$BM$5,Engineering!$M$14:$BM$14)/_xlfn.XLOOKUP(EK$8,Engineering!$M$5:$BM$5,Engineering!$M$15:$BM$15))))))),"")</f>
        <v/>
      </c>
      <c r="EL78" s="325" t="str">
        <f>IFERROR(IF(EL$7&gt;$D$3,"",IF(CD78="Missed","Missed",IF(CD78="OD","OD",IF(CD78="TBC","TBC",IF(CD78="Undefined","Undefined",
IF(_xlfn.XLOOKUP(EL$8,Engineering!$M$5:$BM$5,Engineering!$M$14:$BM$14)="Undefined",_xlfn.XLOOKUP(EL$8,Engineering!$M$5:$BM$5,Engineering!$M$15:$BM$15),
_xlfn.XLOOKUP(EL$8,Engineering!$M$5:$BM$5,Engineering!$M$14:$BM$14)/_xlfn.XLOOKUP(EL$8,Engineering!$M$5:$BM$5,Engineering!$M$15:$BM$15))))))),"")</f>
        <v/>
      </c>
      <c r="EM78" s="325" t="str">
        <f>IFERROR(IF(EM$7&gt;$D$3,"",IF(CE78="Missed","Missed",IF(CE78="OD","OD",IF(CE78="TBC","TBC",IF(CE78="Undefined","Undefined",
IF(_xlfn.XLOOKUP(EM$8,Engineering!$M$5:$BM$5,Engineering!$M$14:$BM$14)="Undefined",_xlfn.XLOOKUP(EM$8,Engineering!$M$5:$BM$5,Engineering!$M$15:$BM$15),
_xlfn.XLOOKUP(EM$8,Engineering!$M$5:$BM$5,Engineering!$M$14:$BM$14)/_xlfn.XLOOKUP(EM$8,Engineering!$M$5:$BM$5,Engineering!$M$15:$BM$15))))))),"")</f>
        <v/>
      </c>
      <c r="EN78" s="325" t="str">
        <f>IFERROR(IF(EN$7&gt;$D$3,"",IF(CF78="Missed","Missed",IF(CF78="OD","OD",IF(CF78="TBC","TBC",IF(CF78="Undefined","Undefined",
IF(_xlfn.XLOOKUP(EN$8,Engineering!$M$5:$BM$5,Engineering!$M$14:$BM$14)="Undefined",_xlfn.XLOOKUP(EN$8,Engineering!$M$5:$BM$5,Engineering!$M$15:$BM$15),
_xlfn.XLOOKUP(EN$8,Engineering!$M$5:$BM$5,Engineering!$M$14:$BM$14)/_xlfn.XLOOKUP(EN$8,Engineering!$M$5:$BM$5,Engineering!$M$15:$BM$15))))))),"")</f>
        <v/>
      </c>
      <c r="EO78" s="325" t="str">
        <f>IFERROR(IF(EO$7&gt;$D$3,"",IF(CG78="Missed","Missed",IF(CG78="OD","OD",IF(CG78="TBC","TBC",IF(CG78="Undefined","Undefined",
IF(_xlfn.XLOOKUP(EO$8,Engineering!$M$5:$BM$5,Engineering!$M$14:$BM$14)="Undefined",_xlfn.XLOOKUP(EO$8,Engineering!$M$5:$BM$5,Engineering!$M$15:$BM$15),
_xlfn.XLOOKUP(EO$8,Engineering!$M$5:$BM$5,Engineering!$M$14:$BM$14)/_xlfn.XLOOKUP(EO$8,Engineering!$M$5:$BM$5,Engineering!$M$15:$BM$15))))))),"")</f>
        <v/>
      </c>
      <c r="EP78" s="325" t="str">
        <f>IFERROR(IF(EP$7&gt;$D$3,"",IF(CH78="Missed","Missed",IF(CH78="OD","OD",IF(CH78="TBC","TBC",IF(CH78="Undefined","Undefined",
IF(_xlfn.XLOOKUP(EP$8,Engineering!$M$5:$BM$5,Engineering!$M$14:$BM$14)="Undefined",_xlfn.XLOOKUP(EP$8,Engineering!$M$5:$BM$5,Engineering!$M$15:$BM$15),
_xlfn.XLOOKUP(EP$8,Engineering!$M$5:$BM$5,Engineering!$M$14:$BM$14)/_xlfn.XLOOKUP(EP$8,Engineering!$M$5:$BM$5,Engineering!$M$15:$BM$15))))))),"")</f>
        <v/>
      </c>
      <c r="EQ78" s="325" t="str">
        <f>IFERROR(IF(EQ$7&gt;$D$3,"",IF(CI78="Missed","Missed",IF(CI78="OD","OD",IF(CI78="TBC","TBC",IF(CI78="Undefined","Undefined",
IF(_xlfn.XLOOKUP(EQ$8,Engineering!$M$5:$BM$5,Engineering!$M$14:$BM$14)="Undefined",_xlfn.XLOOKUP(EQ$8,Engineering!$M$5:$BM$5,Engineering!$M$15:$BM$15),
_xlfn.XLOOKUP(EQ$8,Engineering!$M$5:$BM$5,Engineering!$M$14:$BM$14)/_xlfn.XLOOKUP(EQ$8,Engineering!$M$5:$BM$5,Engineering!$M$15:$BM$15))))))),"")</f>
        <v/>
      </c>
      <c r="ER78" s="325" t="str">
        <f>IFERROR(IF(ER$7&gt;$D$3,"",IF(CJ78="Missed","Missed",IF(CJ78="OD","OD",IF(CJ78="TBC","TBC",IF(CJ78="Undefined","Undefined",
IF(_xlfn.XLOOKUP(ER$8,Engineering!$M$5:$BM$5,Engineering!$M$14:$BM$14)="Undefined",_xlfn.XLOOKUP(ER$8,Engineering!$M$5:$BM$5,Engineering!$M$15:$BM$15),
_xlfn.XLOOKUP(ER$8,Engineering!$M$5:$BM$5,Engineering!$M$14:$BM$14)/_xlfn.XLOOKUP(ER$8,Engineering!$M$5:$BM$5,Engineering!$M$15:$BM$15))))))),"")</f>
        <v/>
      </c>
      <c r="ES78" s="325" t="str">
        <f>IFERROR(IF(ES$7&gt;$D$3,"",IF(CK78="Missed","Missed",IF(CK78="OD","OD",IF(CK78="TBC","TBC",IF(CK78="Undefined","Undefined",
IF(_xlfn.XLOOKUP(ES$8,Engineering!$M$5:$BM$5,Engineering!$M$14:$BM$14)="Undefined",_xlfn.XLOOKUP(ES$8,Engineering!$M$5:$BM$5,Engineering!$M$15:$BM$15),
_xlfn.XLOOKUP(ES$8,Engineering!$M$5:$BM$5,Engineering!$M$14:$BM$14)/_xlfn.XLOOKUP(ES$8,Engineering!$M$5:$BM$5,Engineering!$M$15:$BM$15))))))),"")</f>
        <v/>
      </c>
      <c r="ET78" s="325" t="str">
        <f>IFERROR(IF(ET$7&gt;$D$3,"",IF(CL78="Missed","Missed",IF(CL78="OD","OD",IF(CL78="TBC","TBC",IF(CL78="Undefined","Undefined",
IF(_xlfn.XLOOKUP(ET$8,Engineering!$M$5:$BM$5,Engineering!$M$14:$BM$14)="Undefined",_xlfn.XLOOKUP(ET$8,Engineering!$M$5:$BM$5,Engineering!$M$15:$BM$15),
_xlfn.XLOOKUP(ET$8,Engineering!$M$5:$BM$5,Engineering!$M$14:$BM$14)/_xlfn.XLOOKUP(ET$8,Engineering!$M$5:$BM$5,Engineering!$M$15:$BM$15))))))),"")</f>
        <v/>
      </c>
      <c r="EU78" s="325" t="str">
        <f>IFERROR(IF(EU$7&gt;$D$3,"",IF(CM78="Missed","Missed",IF(CM78="OD","OD",IF(CM78="TBC","TBC",IF(CM78="Undefined","Undefined",
IF(_xlfn.XLOOKUP(EU$8,Engineering!$M$5:$BM$5,Engineering!$M$14:$BM$14)="Undefined",_xlfn.XLOOKUP(EU$8,Engineering!$M$5:$BM$5,Engineering!$M$15:$BM$15),
_xlfn.XLOOKUP(EU$8,Engineering!$M$5:$BM$5,Engineering!$M$14:$BM$14)/_xlfn.XLOOKUP(EU$8,Engineering!$M$5:$BM$5,Engineering!$M$15:$BM$15))))))),"")</f>
        <v/>
      </c>
      <c r="EW78" s="465" t="str">
        <f>+$A78</f>
        <v>Engineering-KPI C1</v>
      </c>
      <c r="EX78" s="138" t="str">
        <f>+$C78</f>
        <v>KPI C1</v>
      </c>
      <c r="EY78" s="146" t="str">
        <f>+$D78</f>
        <v>Cost</v>
      </c>
      <c r="EZ78" s="146" t="str">
        <f t="shared" ref="EZ78:EZ79" si="257">+$E78</f>
        <v>Department Spend</v>
      </c>
      <c r="FA78" s="147" t="str">
        <f t="shared" ref="FA78:FA79" si="258">+$F78</f>
        <v>£'s</v>
      </c>
      <c r="FB78" s="147" t="s">
        <v>251</v>
      </c>
      <c r="FC78" s="200">
        <f>IF(FC$7&gt;$D$3,"",IF($FA75&lt;FC$8,"OD",_xlfn.XLOOKUP(FC$8,Engineering!$M$5:$BM$5,Engineering!$M$15:$BM$15)))</f>
        <v>42007</v>
      </c>
      <c r="FD78" s="200">
        <f>IF(FD$7&gt;$D$3,"",IF($FA75&lt;FD$8,"OD",_xlfn.XLOOKUP(FD$8,Engineering!$M$5:$BM$5,Engineering!$M$15:$BM$15)))</f>
        <v>42007</v>
      </c>
      <c r="FE78" s="200">
        <f>IF(FE$7&gt;$D$3,"",IF($FA75&lt;FE$8,"OD",_xlfn.XLOOKUP(FE$8,Engineering!$M$5:$BM$5,Engineering!$M$15:$BM$15)))</f>
        <v>42007</v>
      </c>
      <c r="FF78" s="200">
        <f>IF(FF$7&gt;$D$3,"",IF($FA75&lt;FF$8,"OD",_xlfn.XLOOKUP(FF$8,Engineering!$M$5:$BM$5,Engineering!$M$15:$BM$15)))</f>
        <v>42007</v>
      </c>
      <c r="FG78" s="200">
        <f>IF(FG$7&gt;$D$3,"",IF($FA75&lt;FG$8,"OD",_xlfn.XLOOKUP(FG$8,Engineering!$M$5:$BM$5,Engineering!$M$15:$BM$15)))</f>
        <v>42007</v>
      </c>
      <c r="FH78" s="200">
        <f>IF(FH$7&gt;$D$3,"",IF($FA75&lt;FH$8,"OD",_xlfn.XLOOKUP(FH$8,Engineering!$M$5:$BM$5,Engineering!$M$15:$BM$15)))</f>
        <v>61489</v>
      </c>
      <c r="FI78" s="200">
        <f>IF(FI$7&gt;$D$3,"",IF($FA75&lt;FI$8,"OD",_xlfn.XLOOKUP(FI$8,Engineering!$M$5:$BM$5,Engineering!$M$15:$BM$15)))</f>
        <v>61489</v>
      </c>
      <c r="FJ78" s="200">
        <f>IF(FJ$7&gt;$D$3,"",IF($FA75&lt;FJ$8,"OD",_xlfn.XLOOKUP(FJ$8,Engineering!$M$5:$BM$5,Engineering!$M$15:$BM$15)))</f>
        <v>61489</v>
      </c>
      <c r="FK78" s="200">
        <f>IF(FK$7&gt;$D$3,"",IF($FA75&lt;FK$8,"OD",_xlfn.XLOOKUP(FK$8,Engineering!$M$5:$BM$5,Engineering!$M$15:$BM$15)))</f>
        <v>61489</v>
      </c>
      <c r="FL78" s="200">
        <f>IF(FL$7&gt;$D$3,"",IF($FA75&lt;FL$8,"OD",_xlfn.XLOOKUP(FL$8,Engineering!$M$5:$BM$5,Engineering!$M$15:$BM$15)))</f>
        <v>43478</v>
      </c>
      <c r="FM78" s="200">
        <f>IF(FM$7&gt;$D$3,"",IF($FA75&lt;FM$8,"OD",_xlfn.XLOOKUP(FM$8,Engineering!$M$5:$BM$5,Engineering!$M$15:$BM$15)))</f>
        <v>43478</v>
      </c>
      <c r="FN78" s="200">
        <f>IF(FN$7&gt;$D$3,"",IF($FA75&lt;FN$8,"OD",_xlfn.XLOOKUP(FN$8,Engineering!$M$5:$BM$5,Engineering!$M$15:$BM$15)))</f>
        <v>43478</v>
      </c>
      <c r="FO78" s="200">
        <f>IF(FO$7&gt;$D$3,"",IF($FA75&lt;FO$8,"OD",_xlfn.XLOOKUP(FO$8,Engineering!$M$5:$BM$5,Engineering!$M$15:$BM$15)))</f>
        <v>43478</v>
      </c>
      <c r="FP78" s="200">
        <f>IF(FP$7&gt;$D$3,"",IF($FA75&lt;FP$8,"OD",_xlfn.XLOOKUP(FP$8,Engineering!$M$5:$BM$5,Engineering!$M$15:$BM$15)))</f>
        <v>43478</v>
      </c>
      <c r="FQ78" s="200">
        <f>IF(FQ$7&gt;$D$3,"",IF($FA75&lt;FQ$8,"OD",_xlfn.XLOOKUP(FQ$8,Engineering!$M$5:$BM$5,Engineering!$M$15:$BM$15)))</f>
        <v>43478</v>
      </c>
      <c r="FR78" s="200">
        <f>IF(FR$7&gt;$D$3,"",IF($FA75&lt;FR$8,"OD",_xlfn.XLOOKUP(FR$8,Engineering!$M$5:$BM$5,Engineering!$M$15:$BM$15)))</f>
        <v>43478</v>
      </c>
      <c r="FS78" s="200">
        <f>IF(FS$7&gt;$D$3,"",IF($FA75&lt;FS$8,"OD",_xlfn.XLOOKUP(FS$8,Engineering!$M$5:$BM$5,Engineering!$M$15:$BM$15)))</f>
        <v>43478</v>
      </c>
      <c r="FT78" s="200">
        <f>IF(FT$7&gt;$D$3,"",IF($FA75&lt;FT$8,"OD",_xlfn.XLOOKUP(FT$8,Engineering!$M$5:$BM$5,Engineering!$M$15:$BM$15)))</f>
        <v>64966</v>
      </c>
      <c r="FU78" s="200">
        <f>IF(FU$7&gt;$D$3,"",IF($FA75&lt;FU$8,"OD",_xlfn.XLOOKUP(FU$8,Engineering!$M$5:$BM$5,Engineering!$M$15:$BM$15)))</f>
        <v>64966</v>
      </c>
      <c r="FV78" s="200">
        <f>IF(FV$7&gt;$D$3,"",IF($FA75&lt;FV$8,"OD",_xlfn.XLOOKUP(FV$8,Engineering!$M$5:$BM$5,Engineering!$M$15:$BM$15)))</f>
        <v>64966</v>
      </c>
      <c r="FW78" s="200">
        <f>IF(FW$7&gt;$D$3,"",IF($FA75&lt;FW$8,"OD",_xlfn.XLOOKUP(FW$8,Engineering!$M$5:$BM$5,Engineering!$M$15:$BM$15)))</f>
        <v>64966</v>
      </c>
      <c r="FX78" s="200">
        <f>IF(FX$7&gt;$D$3,"",IF($FA75&lt;FX$8,"OD",_xlfn.XLOOKUP(FX$8,Engineering!$M$5:$BM$5,Engineering!$M$15:$BM$15)))</f>
        <v>64966</v>
      </c>
      <c r="FY78" s="200">
        <f>IF(FY$7&gt;$D$3,"",IF($FA75&lt;FY$8,"OD",_xlfn.XLOOKUP(FY$8,Engineering!$M$5:$BM$5,Engineering!$M$15:$BM$15)))</f>
        <v>58575</v>
      </c>
      <c r="FZ78" s="200">
        <f>IF(FZ$7&gt;$D$3,"",IF($FA75&lt;FZ$8,"OD",_xlfn.XLOOKUP(FZ$8,Engineering!$M$5:$BM$5,Engineering!$M$15:$BM$15)))</f>
        <v>58575</v>
      </c>
      <c r="GA78" s="200">
        <f>IF(GA$7&gt;$D$3,"",IF($FA75&lt;GA$8,"OD",_xlfn.XLOOKUP(GA$8,Engineering!$M$5:$BM$5,Engineering!$M$15:$BM$15)))</f>
        <v>58575</v>
      </c>
      <c r="GB78" s="200">
        <f>IF(GB$7&gt;$D$3,"",IF($FA75&lt;GB$8,"OD",_xlfn.XLOOKUP(GB$8,Engineering!$M$5:$BM$5,Engineering!$M$15:$BM$15)))</f>
        <v>58575</v>
      </c>
      <c r="GC78" s="200">
        <f>IF(GC$7&gt;$D$3,"",IF($FA75&lt;GC$8,"OD",_xlfn.XLOOKUP(GC$8,Engineering!$M$5:$BM$5,Engineering!$M$15:$BM$15)))</f>
        <v>2</v>
      </c>
      <c r="GD78" s="200">
        <f>IF(GD$7&gt;$D$3,"",IF($FA75&lt;GD$8,"OD",_xlfn.XLOOKUP(GD$8,Engineering!$M$5:$BM$5,Engineering!$M$15:$BM$15)))</f>
        <v>2</v>
      </c>
      <c r="GE78" s="200">
        <f>IF(GE$7&gt;$D$3,"",IF($FA75&lt;GE$8,"OD",_xlfn.XLOOKUP(GE$8,Engineering!$M$5:$BM$5,Engineering!$M$15:$BM$15)))</f>
        <v>2</v>
      </c>
      <c r="GF78" s="200">
        <f>IF(GF$7&gt;$D$3,"",IF($FA75&lt;GF$8,"OD",_xlfn.XLOOKUP(GF$8,Engineering!$M$5:$BM$5,Engineering!$M$15:$BM$15)))</f>
        <v>2</v>
      </c>
      <c r="GG78" s="200">
        <f>IF(GG$7&gt;$D$3,"",IF($FA75&lt;GG$8,"OD",_xlfn.XLOOKUP(GG$8,Engineering!$M$5:$BM$5,Engineering!$M$15:$BM$15)))</f>
        <v>2</v>
      </c>
      <c r="GH78" s="200" t="str">
        <f>IF(GH$7&gt;$D$3,"",IF($FA75&lt;GH$8,"OD",_xlfn.XLOOKUP(GH$8,Engineering!$M$5:$BM$5,Engineering!$M$15:$BM$15)))</f>
        <v>OD</v>
      </c>
      <c r="GI78" s="200" t="str">
        <f>IF(GI$7&gt;$D$3,"",IF($FA75&lt;GI$8,"OD",_xlfn.XLOOKUP(GI$8,Engineering!$M$5:$BM$5,Engineering!$M$15:$BM$15)))</f>
        <v>OD</v>
      </c>
      <c r="GJ78" s="200" t="str">
        <f>IF(GJ$7&gt;$D$3,"",IF($FA75&lt;GJ$8,"OD",_xlfn.XLOOKUP(GJ$8,Engineering!$M$5:$BM$5,Engineering!$M$15:$BM$15)))</f>
        <v>OD</v>
      </c>
      <c r="GK78" s="200" t="str">
        <f>IF(GK$7&gt;$D$3,"",IF($FA75&lt;GK$8,"OD",_xlfn.XLOOKUP(GK$8,Engineering!$M$5:$BM$5,Engineering!$M$15:$BM$15)))</f>
        <v>OD</v>
      </c>
      <c r="GL78" s="200" t="str">
        <f>IF(GL$7&gt;$D$3,"",IF($FA75&lt;GL$8,"OD",_xlfn.XLOOKUP(GL$8,Engineering!$M$5:$BM$5,Engineering!$M$15:$BM$15)))</f>
        <v>OD</v>
      </c>
      <c r="GM78" s="200" t="str">
        <f>IF(GM$7&gt;$D$3,"",IF($FA75&lt;GM$8,"OD",_xlfn.XLOOKUP(GM$8,Engineering!$M$5:$BM$5,Engineering!$M$15:$BM$15)))</f>
        <v>OD</v>
      </c>
      <c r="GN78" s="200" t="str">
        <f>IF(GN$7&gt;$D$3,"",IF($FA75&lt;GN$8,"OD",_xlfn.XLOOKUP(GN$8,Engineering!$M$5:$BM$5,Engineering!$M$15:$BM$15)))</f>
        <v>OD</v>
      </c>
      <c r="GO78" s="200" t="str">
        <f>IF(GO$7&gt;$D$3,"",IF($FA75&lt;GO$8,"OD",_xlfn.XLOOKUP(GO$8,Engineering!$M$5:$BM$5,Engineering!$M$15:$BM$15)))</f>
        <v>OD</v>
      </c>
      <c r="GP78" s="200">
        <f>IF(GP$7&gt;$D$3,"",IF($FA75&lt;GP$8,"OD",_xlfn.XLOOKUP(GP$8,Engineering!$M$5:$BM$5,Engineering!$M$15:$BM$15)))</f>
        <v>0</v>
      </c>
      <c r="GQ78" s="200">
        <f>IF(GQ$7&gt;$D$3,"",IF($FA75&lt;GQ$8,"OD",_xlfn.XLOOKUP(GQ$8,Engineering!$M$5:$BM$5,Engineering!$M$15:$BM$15)))</f>
        <v>0</v>
      </c>
      <c r="GR78" s="200">
        <f>IF(GR$7&gt;$D$3,"",IF($FA75&lt;GR$8,"OD",_xlfn.XLOOKUP(GR$8,Engineering!$M$5:$BM$5,Engineering!$M$15:$BM$15)))</f>
        <v>0</v>
      </c>
      <c r="GS78" s="200" t="str">
        <f>IF(GS$7&gt;$D$3,"",IF($FA75&lt;GS$8,"OD",_xlfn.XLOOKUP(GS$8,Engineering!$M$5:$BM$5,Engineering!$M$15:$BM$15)))</f>
        <v/>
      </c>
      <c r="GT78" s="200" t="str">
        <f>IF(GT$7&gt;$D$3,"",IF($FA75&lt;GT$8,"OD",_xlfn.XLOOKUP(GT$8,Engineering!$M$5:$BM$5,Engineering!$M$15:$BM$15)))</f>
        <v/>
      </c>
      <c r="GU78" s="200" t="str">
        <f>IF(GU$7&gt;$D$3,"",IF($FA75&lt;GU$8,"OD",_xlfn.XLOOKUP(GU$8,Engineering!$M$5:$BM$5,Engineering!$M$15:$BM$15)))</f>
        <v/>
      </c>
      <c r="GV78" s="200" t="str">
        <f>IF(GV$7&gt;$D$3,"",IF($FA75&lt;GV$8,"OD",_xlfn.XLOOKUP(GV$8,Engineering!$M$5:$BM$5,Engineering!$M$15:$BM$15)))</f>
        <v/>
      </c>
      <c r="GW78" s="200" t="str">
        <f>IF(GW$7&gt;$D$3,"",IF($FA75&lt;GW$8,"OD",_xlfn.XLOOKUP(GW$8,Engineering!$M$5:$BM$5,Engineering!$M$15:$BM$15)))</f>
        <v/>
      </c>
      <c r="GX78" s="200" t="str">
        <f>IF(GX$7&gt;$D$3,"",IF($FA75&lt;GX$8,"OD",_xlfn.XLOOKUP(GX$8,Engineering!$M$5:$BM$5,Engineering!$M$15:$BM$15)))</f>
        <v/>
      </c>
      <c r="GY78" s="200" t="str">
        <f>IF(GY$7&gt;$D$3,"",IF($FA75&lt;GY$8,"OD",_xlfn.XLOOKUP(GY$8,Engineering!$M$5:$BM$5,Engineering!$M$15:$BM$15)))</f>
        <v/>
      </c>
      <c r="GZ78" s="200" t="str">
        <f>IF(GZ$7&gt;$D$3,"",IF($FA75&lt;GZ$8,"OD",_xlfn.XLOOKUP(GZ$8,Engineering!$M$5:$BM$5,Engineering!$M$15:$BM$15)))</f>
        <v/>
      </c>
      <c r="HA78" s="200" t="str">
        <f>IF(HA$7&gt;$D$3,"",IF($FA75&lt;HA$8,"OD",_xlfn.XLOOKUP(HA$8,Engineering!$M$5:$BM$5,Engineering!$M$15:$BM$15)))</f>
        <v/>
      </c>
      <c r="HB78" s="200" t="str">
        <f>IF(HB$7&gt;$D$3,"",IF($FA75&lt;HB$8,"OD",_xlfn.XLOOKUP(HB$8,Engineering!$M$5:$BM$5,Engineering!$M$15:$BM$15)))</f>
        <v/>
      </c>
      <c r="HC78" s="424" t="str">
        <f>IF(HC$7&gt;$D$3,"",IF($FA75&lt;HC$8,"OD",_xlfn.XLOOKUP(HC$8,Engineering!$M$5:$BM$5,Engineering!$M$15:$BM$15)))</f>
        <v/>
      </c>
      <c r="HE78" s="138" t="str">
        <f>+$C78</f>
        <v>KPI C1</v>
      </c>
      <c r="HF78" s="146" t="str">
        <f>+$D78</f>
        <v>Cost</v>
      </c>
      <c r="HG78" s="146" t="str">
        <f t="shared" ref="HG78:HG79" si="259">+$E78</f>
        <v>Department Spend</v>
      </c>
      <c r="HH78" s="147" t="str">
        <f t="shared" ref="HH78:HH79" si="260">+$F78</f>
        <v>£'s</v>
      </c>
      <c r="HI78" s="147" t="s">
        <v>44</v>
      </c>
      <c r="HJ78" s="200">
        <f>IF(HJ$7&gt;$D$3,"",IF($FA75&lt;HJ$8,"OD",_xlfn.XLOOKUP(HJ$8,Engineering!$M$5:$BM$5,Engineering!$M$14:$BM$14)))</f>
        <v>37769</v>
      </c>
      <c r="HK78" s="200">
        <f>IF(HK$7&gt;$D$3,"",IF($FA75&lt;HK$8,"OD",_xlfn.XLOOKUP(HK$8,Engineering!$M$5:$BM$5,Engineering!$M$14:$BM$14)))</f>
        <v>37769</v>
      </c>
      <c r="HL78" s="200">
        <f>IF(HL$7&gt;$D$3,"",IF($FA75&lt;HL$8,"OD",_xlfn.XLOOKUP(HL$8,Engineering!$M$5:$BM$5,Engineering!$M$14:$BM$14)))</f>
        <v>37769</v>
      </c>
      <c r="HM78" s="200">
        <f>IF(HM$7&gt;$D$3,"",IF($FA75&lt;HM$8,"OD",_xlfn.XLOOKUP(HM$8,Engineering!$M$5:$BM$5,Engineering!$M$14:$BM$14)))</f>
        <v>37769</v>
      </c>
      <c r="HN78" s="200">
        <f>IF(HN$7&gt;$D$3,"",IF($FA75&lt;HN$8,"OD",_xlfn.XLOOKUP(HN$8,Engineering!$M$5:$BM$5,Engineering!$M$14:$BM$14)))</f>
        <v>37769</v>
      </c>
      <c r="HO78" s="200">
        <f>IF(HO$7&gt;$D$3,"",IF($FA75&lt;HO$8,"OD",_xlfn.XLOOKUP(HO$8,Engineering!$M$5:$BM$5,Engineering!$M$14:$BM$14)))</f>
        <v>39753</v>
      </c>
      <c r="HP78" s="200">
        <f>IF(HP$7&gt;$D$3,"",IF($FA75&lt;HP$8,"OD",_xlfn.XLOOKUP(HP$8,Engineering!$M$5:$BM$5,Engineering!$M$14:$BM$14)))</f>
        <v>39753</v>
      </c>
      <c r="HQ78" s="200">
        <f>IF(HQ$7&gt;$D$3,"",IF($FA75&lt;HQ$8,"OD",_xlfn.XLOOKUP(HQ$8,Engineering!$M$5:$BM$5,Engineering!$M$14:$BM$14)))</f>
        <v>39753</v>
      </c>
      <c r="HR78" s="200">
        <f>IF(HR$7&gt;$D$3,"",IF($FA75&lt;HR$8,"OD",_xlfn.XLOOKUP(HR$8,Engineering!$M$5:$BM$5,Engineering!$M$14:$BM$14)))</f>
        <v>39753</v>
      </c>
      <c r="HS78" s="200">
        <f>IF(HS$7&gt;$D$3,"",IF($FA75&lt;HS$8,"OD",_xlfn.XLOOKUP(HS$8,Engineering!$M$5:$BM$5,Engineering!$M$14:$BM$14)))</f>
        <v>42720</v>
      </c>
      <c r="HT78" s="200">
        <f>IF(HT$7&gt;$D$3,"",IF($FA75&lt;HT$8,"OD",_xlfn.XLOOKUP(HT$8,Engineering!$M$5:$BM$5,Engineering!$M$14:$BM$14)))</f>
        <v>42720</v>
      </c>
      <c r="HU78" s="200">
        <f>IF(HU$7&gt;$D$3,"",IF($FA75&lt;HU$8,"OD",_xlfn.XLOOKUP(HU$8,Engineering!$M$5:$BM$5,Engineering!$M$14:$BM$14)))</f>
        <v>42720</v>
      </c>
      <c r="HV78" s="200">
        <f>IF(HV$7&gt;$D$3,"",IF($FA75&lt;HV$8,"OD",_xlfn.XLOOKUP(HV$8,Engineering!$M$5:$BM$5,Engineering!$M$14:$BM$14)))</f>
        <v>42720</v>
      </c>
      <c r="HW78" s="200">
        <f>IF(HW$7&gt;$D$3,"",IF($FA75&lt;HW$8,"OD",_xlfn.XLOOKUP(HW$8,Engineering!$M$5:$BM$5,Engineering!$M$14:$BM$14)))</f>
        <v>42720</v>
      </c>
      <c r="HX78" s="200">
        <f>IF(HX$7&gt;$D$3,"",IF($FA75&lt;HX$8,"OD",_xlfn.XLOOKUP(HX$8,Engineering!$M$5:$BM$5,Engineering!$M$14:$BM$14)))</f>
        <v>42720</v>
      </c>
      <c r="HY78" s="200">
        <f>IF(HY$7&gt;$D$3,"",IF($FA75&lt;HY$8,"OD",_xlfn.XLOOKUP(HY$8,Engineering!$M$5:$BM$5,Engineering!$M$14:$BM$14)))</f>
        <v>42720</v>
      </c>
      <c r="HZ78" s="200">
        <f>IF(HZ$7&gt;$D$3,"",IF($FA75&lt;HZ$8,"OD",_xlfn.XLOOKUP(HZ$8,Engineering!$M$5:$BM$5,Engineering!$M$14:$BM$14)))</f>
        <v>42720</v>
      </c>
      <c r="IA78" s="200">
        <f>IF(IA$7&gt;$D$3,"",IF($FA75&lt;IA$8,"OD",_xlfn.XLOOKUP(IA$8,Engineering!$M$5:$BM$5,Engineering!$M$14:$BM$14)))</f>
        <v>55801</v>
      </c>
      <c r="IB78" s="200">
        <f>IF(IB$7&gt;$D$3,"",IF($FA75&lt;IB$8,"OD",_xlfn.XLOOKUP(IB$8,Engineering!$M$5:$BM$5,Engineering!$M$14:$BM$14)))</f>
        <v>55801</v>
      </c>
      <c r="IC78" s="200">
        <f>IF(IC$7&gt;$D$3,"",IF($FA75&lt;IC$8,"OD",_xlfn.XLOOKUP(IC$8,Engineering!$M$5:$BM$5,Engineering!$M$14:$BM$14)))</f>
        <v>55801</v>
      </c>
      <c r="ID78" s="200">
        <f>IF(ID$7&gt;$D$3,"",IF($FA75&lt;ID$8,"OD",_xlfn.XLOOKUP(ID$8,Engineering!$M$5:$BM$5,Engineering!$M$14:$BM$14)))</f>
        <v>55801</v>
      </c>
      <c r="IE78" s="200">
        <f>IF(IE$7&gt;$D$3,"",IF($FA75&lt;IE$8,"OD",_xlfn.XLOOKUP(IE$8,Engineering!$M$5:$BM$5,Engineering!$M$14:$BM$14)))</f>
        <v>55801</v>
      </c>
      <c r="IF78" s="200">
        <f>IF(IF$7&gt;$D$3,"",IF($FA75&lt;IF$8,"OD",_xlfn.XLOOKUP(IF$8,Engineering!$M$5:$BM$5,Engineering!$M$14:$BM$14)))</f>
        <v>59792</v>
      </c>
      <c r="IG78" s="200">
        <f>IF(IG$7&gt;$D$3,"",IF($FA75&lt;IG$8,"OD",_xlfn.XLOOKUP(IG$8,Engineering!$M$5:$BM$5,Engineering!$M$14:$BM$14)))</f>
        <v>59792</v>
      </c>
      <c r="IH78" s="200">
        <f>IF(IH$7&gt;$D$3,"",IF($FA75&lt;IH$8,"OD",_xlfn.XLOOKUP(IH$8,Engineering!$M$5:$BM$5,Engineering!$M$14:$BM$14)))</f>
        <v>59792</v>
      </c>
      <c r="II78" s="200">
        <f>IF(II$7&gt;$D$3,"",IF($FA75&lt;II$8,"OD",_xlfn.XLOOKUP(II$8,Engineering!$M$5:$BM$5,Engineering!$M$14:$BM$14)))</f>
        <v>59792</v>
      </c>
      <c r="IJ78" s="200">
        <f>IF(IJ$7&gt;$D$3,"",IF($FA75&lt;IJ$8,"OD",_xlfn.XLOOKUP(IJ$8,Engineering!$M$5:$BM$5,Engineering!$M$14:$BM$14)))</f>
        <v>62510</v>
      </c>
      <c r="IK78" s="200">
        <f>IF(IK$7&gt;$D$3,"",IF($FA75&lt;IK$8,"OD",_xlfn.XLOOKUP(IK$8,Engineering!$M$5:$BM$5,Engineering!$M$14:$BM$14)))</f>
        <v>62510</v>
      </c>
      <c r="IL78" s="200">
        <f>IF(IL$7&gt;$D$3,"",IF($FA75&lt;IL$8,"OD",_xlfn.XLOOKUP(IL$8,Engineering!$M$5:$BM$5,Engineering!$M$14:$BM$14)))</f>
        <v>62510</v>
      </c>
      <c r="IM78" s="200">
        <f>IF(IM$7&gt;$D$3,"",IF($FA75&lt;IM$8,"OD",_xlfn.XLOOKUP(IM$8,Engineering!$M$5:$BM$5,Engineering!$M$14:$BM$14)))</f>
        <v>62510</v>
      </c>
      <c r="IN78" s="200">
        <f>IF(IN$7&gt;$D$3,"",IF($FA75&lt;IN$8,"OD",_xlfn.XLOOKUP(IN$8,Engineering!$M$5:$BM$5,Engineering!$M$14:$BM$14)))</f>
        <v>62510</v>
      </c>
      <c r="IO78" s="200">
        <f>IF(IO$7&gt;$D$3,"",IF($FA75&lt;IO$8,"OD",_xlfn.XLOOKUP(IO$8,Engineering!$M$5:$BM$5,Engineering!$M$14:$BM$14)))</f>
        <v>73033</v>
      </c>
      <c r="IP78" s="200">
        <f>IF(IP$7&gt;$D$3,"",IF($FA75&lt;IP$8,"OD",_xlfn.XLOOKUP(IP$8,Engineering!$M$5:$BM$5,Engineering!$M$14:$BM$14)))</f>
        <v>73033</v>
      </c>
      <c r="IQ78" s="200">
        <f>IF(IQ$7&gt;$D$3,"",IF($FA75&lt;IQ$8,"OD",_xlfn.XLOOKUP(IQ$8,Engineering!$M$5:$BM$5,Engineering!$M$14:$BM$14)))</f>
        <v>73033</v>
      </c>
      <c r="IR78" s="200">
        <f>IF(IR$7&gt;$D$3,"",IF($FA75&lt;IR$8,"OD",_xlfn.XLOOKUP(IR$8,Engineering!$M$5:$BM$5,Engineering!$M$14:$BM$14)))</f>
        <v>73033</v>
      </c>
      <c r="IS78" s="200">
        <f>IF(IS$7&gt;$D$3,"",IF($FA75&lt;IS$8,"OD",_xlfn.XLOOKUP(IS$8,Engineering!$M$5:$BM$5,Engineering!$M$14:$BM$14)))</f>
        <v>65445</v>
      </c>
      <c r="IT78" s="200">
        <f>IF(IT$7&gt;$D$3,"",IF($FA75&lt;IT$8,"OD",_xlfn.XLOOKUP(IT$8,Engineering!$M$5:$BM$5,Engineering!$M$14:$BM$14)))</f>
        <v>65445</v>
      </c>
      <c r="IU78" s="200">
        <f>IF(IU$7&gt;$D$3,"",IF($FA75&lt;IU$8,"OD",_xlfn.XLOOKUP(IU$8,Engineering!$M$5:$BM$5,Engineering!$M$14:$BM$14)))</f>
        <v>65445</v>
      </c>
      <c r="IV78" s="200">
        <f>IF(IV$7&gt;$D$3,"",IF($FA75&lt;IV$8,"OD",_xlfn.XLOOKUP(IV$8,Engineering!$M$5:$BM$5,Engineering!$M$14:$BM$14)))</f>
        <v>65445</v>
      </c>
      <c r="IW78" s="200">
        <f>IF(IW$7&gt;$D$3,"",IF($FA75&lt;IW$8,"OD",_xlfn.XLOOKUP(IW$8,Engineering!$M$5:$BM$5,Engineering!$M$14:$BM$14)))</f>
        <v>69241</v>
      </c>
      <c r="IX78" s="200">
        <f>IF(IX$7&gt;$D$3,"",IF($FA75&lt;IX$8,"OD",_xlfn.XLOOKUP(IX$8,Engineering!$M$5:$BM$5,Engineering!$M$14:$BM$14)))</f>
        <v>69241</v>
      </c>
      <c r="IY78" s="200">
        <f>IF(IY$7&gt;$D$3,"",IF($FA75&lt;IY$8,"OD",_xlfn.XLOOKUP(IY$8,Engineering!$M$5:$BM$5,Engineering!$M$14:$BM$14)))</f>
        <v>69241</v>
      </c>
      <c r="IZ78" s="200" t="str">
        <f>IF(IZ$7&gt;$D$3,"",IF($FA75&lt;IZ$8,"OD",_xlfn.XLOOKUP(IZ$8,Engineering!$M$5:$BM$5,Engineering!$M$14:$BM$14)))</f>
        <v/>
      </c>
      <c r="JA78" s="200" t="str">
        <f>IF(JA$7&gt;$D$3,"",IF($FA75&lt;JA$8,"OD",_xlfn.XLOOKUP(JA$8,Engineering!$M$5:$BM$5,Engineering!$M$14:$BM$14)))</f>
        <v/>
      </c>
      <c r="JB78" s="200" t="str">
        <f>IF(JB$7&gt;$D$3,"",IF($FA75&lt;JB$8,"OD",_xlfn.XLOOKUP(JB$8,Engineering!$M$5:$BM$5,Engineering!$M$14:$BM$14)))</f>
        <v/>
      </c>
      <c r="JC78" s="200" t="str">
        <f>IF(JC$7&gt;$D$3,"",IF($FA75&lt;JC$8,"OD",_xlfn.XLOOKUP(JC$8,Engineering!$M$5:$BM$5,Engineering!$M$14:$BM$14)))</f>
        <v/>
      </c>
      <c r="JD78" s="200" t="str">
        <f>IF(JD$7&gt;$D$3,"",IF($FA75&lt;JD$8,"OD",_xlfn.XLOOKUP(JD$8,Engineering!$M$5:$BM$5,Engineering!$M$14:$BM$14)))</f>
        <v/>
      </c>
      <c r="JE78" s="200" t="str">
        <f>IF(JE$7&gt;$D$3,"",IF($FA75&lt;JE$8,"OD",_xlfn.XLOOKUP(JE$8,Engineering!$M$5:$BM$5,Engineering!$M$14:$BM$14)))</f>
        <v/>
      </c>
      <c r="JF78" s="200" t="str">
        <f>IF(JF$7&gt;$D$3,"",IF($FA75&lt;JF$8,"OD",_xlfn.XLOOKUP(JF$8,Engineering!$M$5:$BM$5,Engineering!$M$14:$BM$14)))</f>
        <v/>
      </c>
      <c r="JG78" s="200" t="str">
        <f>IF(JG$7&gt;$D$3,"",IF($FA75&lt;JG$8,"OD",_xlfn.XLOOKUP(JG$8,Engineering!$M$5:$BM$5,Engineering!$M$14:$BM$14)))</f>
        <v/>
      </c>
      <c r="JH78" s="200" t="str">
        <f>IF(JH$7&gt;$D$3,"",IF($FA75&lt;JH$8,"OD",_xlfn.XLOOKUP(JH$8,Engineering!$M$5:$BM$5,Engineering!$M$14:$BM$14)))</f>
        <v/>
      </c>
      <c r="JI78" s="200" t="str">
        <f>IF(JI$7&gt;$D$3,"",IF($FA75&lt;JI$8,"OD",_xlfn.XLOOKUP(JI$8,Engineering!$M$5:$BM$5,Engineering!$M$14:$BM$14)))</f>
        <v/>
      </c>
      <c r="JJ78" s="424" t="str">
        <f>IF(JJ$7&gt;$D$3,"",IF($FA75&lt;JJ$8,"OD",_xlfn.XLOOKUP(JJ$8,Engineering!$M$5:$BM$5,Engineering!$M$14:$BM$14)))</f>
        <v/>
      </c>
      <c r="JM78" s="138" t="str">
        <f>+$C78</f>
        <v>KPI C1</v>
      </c>
      <c r="JN78" s="146" t="str">
        <f>+$D78</f>
        <v>Cost</v>
      </c>
      <c r="JO78" s="146" t="str">
        <f t="shared" ref="JO78:JO79" si="261">+$E78</f>
        <v>Department Spend</v>
      </c>
      <c r="JP78" s="147" t="str">
        <f t="shared" ref="JP78:JP79" si="262">+$F78</f>
        <v>£'s</v>
      </c>
      <c r="JQ78" s="147" t="s">
        <v>284</v>
      </c>
      <c r="JR78" s="248">
        <f>IFERROR(AVERAGE(FC78:$FC78),"")</f>
        <v>42007</v>
      </c>
      <c r="JS78" s="248">
        <f>IFERROR(AVERAGE($FC78:FD78),"")</f>
        <v>42007</v>
      </c>
      <c r="JT78" s="248">
        <f>IFERROR(AVERAGE($FC78:FE78),"")</f>
        <v>42007</v>
      </c>
      <c r="JU78" s="248">
        <f>IFERROR(AVERAGE($FC78:FF78),"")</f>
        <v>42007</v>
      </c>
      <c r="JV78" s="248">
        <f>IFERROR(AVERAGE($FC78:FG78),"")</f>
        <v>42007</v>
      </c>
      <c r="JW78" s="248">
        <f>IFERROR(AVERAGE($FC78:FH78),"")</f>
        <v>45254</v>
      </c>
      <c r="JX78" s="248">
        <f>IFERROR(AVERAGE($FC78:FI78),"")</f>
        <v>47573.285714285717</v>
      </c>
      <c r="JY78" s="248">
        <f>IFERROR(AVERAGE($FC78:FJ78),"")</f>
        <v>49312.75</v>
      </c>
      <c r="JZ78" s="248">
        <f>IFERROR(AVERAGE($FC78:FK78),"")</f>
        <v>50665.666666666664</v>
      </c>
      <c r="KA78" s="248">
        <f>IFERROR(AVERAGE($FC78:FL78),"")</f>
        <v>49946.9</v>
      </c>
      <c r="KB78" s="248">
        <f>IFERROR(AVERAGE($FC78:FM78),"")</f>
        <v>49358.818181818184</v>
      </c>
      <c r="KC78" s="248">
        <f>IFERROR(AVERAGE($FC78:FN78),"")</f>
        <v>48868.75</v>
      </c>
      <c r="KD78" s="248">
        <f>IFERROR(AVERAGE($FC78:FO78),"")</f>
        <v>48454.076923076922</v>
      </c>
      <c r="KE78" s="248">
        <f>IFERROR(AVERAGE($FC78:FP78),"")</f>
        <v>48098.642857142855</v>
      </c>
      <c r="KF78" s="248">
        <f>IFERROR(AVERAGE($FC78:FQ78),"")</f>
        <v>47790.6</v>
      </c>
      <c r="KG78" s="248">
        <f>IFERROR(AVERAGE($FC78:FR78),"")</f>
        <v>47521.0625</v>
      </c>
      <c r="KH78" s="248">
        <f>IFERROR(AVERAGE($FC78:FS78),"")</f>
        <v>47283.23529411765</v>
      </c>
      <c r="KI78" s="248">
        <f>IFERROR(AVERAGE($FC78:FT78),"")</f>
        <v>48265.611111111109</v>
      </c>
      <c r="KJ78" s="248">
        <f>IFERROR(AVERAGE($FC78:FU78),"")</f>
        <v>49144.57894736842</v>
      </c>
      <c r="KK78" s="248">
        <f>IFERROR(AVERAGE($FC78:FV78),"")</f>
        <v>49935.65</v>
      </c>
      <c r="KL78" s="248">
        <f>IFERROR(AVERAGE($FC78:FW78),"")</f>
        <v>50651.380952380954</v>
      </c>
      <c r="KM78" s="248">
        <f>IFERROR(AVERAGE($FC78:FX78),"")</f>
        <v>51302.045454545456</v>
      </c>
      <c r="KN78" s="248">
        <f>IFERROR(AVERAGE($FC78:FY78),"")</f>
        <v>51618.260869565216</v>
      </c>
      <c r="KO78" s="248">
        <f>IFERROR(AVERAGE($FC78:FZ78),"")</f>
        <v>51908.125</v>
      </c>
      <c r="KP78" s="248">
        <f>IFERROR(AVERAGE($FC78:GA78),"")</f>
        <v>52174.8</v>
      </c>
      <c r="KQ78" s="248">
        <f>IFERROR(AVERAGE($FC78:GB78),"")</f>
        <v>52420.961538461539</v>
      </c>
      <c r="KR78" s="248">
        <f>IFERROR(AVERAGE($FC78:GC78),"")</f>
        <v>50479.518518518518</v>
      </c>
      <c r="KS78" s="248">
        <f>IFERROR(AVERAGE($FC78:GD78),"")</f>
        <v>48676.75</v>
      </c>
      <c r="KT78" s="248">
        <f>IFERROR(AVERAGE($FC78:GE78),"")</f>
        <v>46998.310344827587</v>
      </c>
      <c r="KU78" s="248">
        <f>IFERROR(AVERAGE($FC78:GF78),"")</f>
        <v>45431.76666666667</v>
      </c>
      <c r="KV78" s="248">
        <f>IFERROR(AVERAGE($FC78:GG78),"")</f>
        <v>43966.290322580644</v>
      </c>
      <c r="KW78" s="248">
        <f>IFERROR(AVERAGE($FC78:GH78),"")</f>
        <v>43966.290322580644</v>
      </c>
      <c r="KX78" s="248">
        <f>IFERROR(AVERAGE($FC78:GI78),"")</f>
        <v>43966.290322580644</v>
      </c>
      <c r="KY78" s="248">
        <f>IFERROR(AVERAGE($FC78:GJ78),"")</f>
        <v>43966.290322580644</v>
      </c>
      <c r="KZ78" s="248">
        <f>IFERROR(AVERAGE($FC78:GK78),"")</f>
        <v>43966.290322580644</v>
      </c>
      <c r="LA78" s="248">
        <f>IFERROR(AVERAGE($FC78:GL78),"")</f>
        <v>43966.290322580644</v>
      </c>
      <c r="LB78" s="248">
        <f>IFERROR(AVERAGE($FC78:GM78),"")</f>
        <v>43966.290322580644</v>
      </c>
      <c r="LC78" s="248">
        <f>IFERROR(AVERAGE($FC78:GN78),"")</f>
        <v>43966.290322580644</v>
      </c>
      <c r="LD78" s="248">
        <f>IFERROR(AVERAGE($FC78:GO78),"")</f>
        <v>43966.290322580644</v>
      </c>
      <c r="LE78" s="248">
        <f>IFERROR(AVERAGE($FC78:GP78),"")</f>
        <v>42592.34375</v>
      </c>
      <c r="LF78" s="248">
        <f>IFERROR(AVERAGE($FC78:GQ78),"")</f>
        <v>41301.666666666664</v>
      </c>
      <c r="LG78" s="248">
        <f>IFERROR(AVERAGE($FC78:GR78),"")</f>
        <v>40086.911764705881</v>
      </c>
      <c r="LH78" s="248">
        <f>IFERROR(AVERAGE($FC78:GS78),"")</f>
        <v>40086.911764705881</v>
      </c>
      <c r="LI78" s="248">
        <f>IFERROR(AVERAGE($FC78:GT78),"")</f>
        <v>40086.911764705881</v>
      </c>
      <c r="LJ78" s="248">
        <f>IFERROR(AVERAGE($FC78:GU78),"")</f>
        <v>40086.911764705881</v>
      </c>
      <c r="LK78" s="248">
        <f>IFERROR(AVERAGE($FC78:GV78),"")</f>
        <v>40086.911764705881</v>
      </c>
      <c r="LL78" s="248">
        <f>IFERROR(AVERAGE($FC78:GW78),"")</f>
        <v>40086.911764705881</v>
      </c>
      <c r="LM78" s="248">
        <f>IFERROR(AVERAGE($FC78:GX78),"")</f>
        <v>40086.911764705881</v>
      </c>
      <c r="LN78" s="248">
        <f>IFERROR(AVERAGE($FC78:GY78),"")</f>
        <v>40086.911764705881</v>
      </c>
      <c r="LO78" s="248">
        <f>IFERROR(AVERAGE($FC78:GZ78),"")</f>
        <v>40086.911764705881</v>
      </c>
      <c r="LP78" s="248">
        <f>IFERROR(AVERAGE($FC78:HA78),"")</f>
        <v>40086.911764705881</v>
      </c>
      <c r="LQ78" s="248">
        <f>IFERROR(AVERAGE($FC78:HB78),"")</f>
        <v>40086.911764705881</v>
      </c>
      <c r="LR78" s="248">
        <f>IFERROR(AVERAGE($FC78:HC78),"")</f>
        <v>40086.911764705881</v>
      </c>
      <c r="LT78" s="138" t="str">
        <f>+$C78</f>
        <v>KPI C1</v>
      </c>
      <c r="LU78" s="146" t="str">
        <f>+$D78</f>
        <v>Cost</v>
      </c>
      <c r="LV78" s="146" t="str">
        <f t="shared" ref="LV78:LV79" si="263">+$E78</f>
        <v>Department Spend</v>
      </c>
      <c r="LW78" s="147" t="str">
        <f t="shared" ref="LW78:LW79" si="264">+$F78</f>
        <v>£'s</v>
      </c>
      <c r="LX78" s="147" t="s">
        <v>285</v>
      </c>
      <c r="LY78" s="200">
        <f>IFERROR(AVERAGE($HJ78:HJ78),"")</f>
        <v>37769</v>
      </c>
      <c r="LZ78" s="200">
        <f>IFERROR(IF(LAD$7&gt;$D$3,"",AVERAGE($HJ78:HK78)),"")</f>
        <v>37769</v>
      </c>
      <c r="MA78" s="200">
        <f>IFERROR(IF(MA$7&gt;$D$3,"",AVERAGE($HJ78:HL78)),"")</f>
        <v>37769</v>
      </c>
      <c r="MB78" s="200">
        <f>IFERROR(IF(MB$7&gt;$D$3,"",AVERAGE($HJ78:HM78)),"")</f>
        <v>37769</v>
      </c>
      <c r="MC78" s="200">
        <f>IFERROR(IF(MC$7&gt;$D$3,"",AVERAGE($HJ78:HN78)),"")</f>
        <v>37769</v>
      </c>
      <c r="MD78" s="200">
        <f>IFERROR(IF(MD$7&gt;$D$3,"",AVERAGE($HJ78:HO78)),"")</f>
        <v>38099.666666666664</v>
      </c>
      <c r="ME78" s="200">
        <f>IFERROR(IF(ME$7&gt;$D$3,"",AVERAGE($HJ78:HP78)),"")</f>
        <v>38335.857142857145</v>
      </c>
      <c r="MF78" s="200">
        <f>IFERROR(IF(MF$7&gt;$D$3,"",AVERAGE($HJ78:HQ78)),"")</f>
        <v>38513</v>
      </c>
      <c r="MG78" s="200">
        <f>IFERROR(IF(MG$7&gt;$D$3,"",AVERAGE($HJ78:HR78)),"")</f>
        <v>38650.777777777781</v>
      </c>
      <c r="MH78" s="200">
        <f>IFERROR(IF(MH$7&gt;$D$3,"",AVERAGE($HJ78:HS78)),"")</f>
        <v>39057.699999999997</v>
      </c>
      <c r="MI78" s="200">
        <f>IFERROR(IF(MI$7&gt;$D$3,"",AVERAGE($HJ78:HT78)),"")</f>
        <v>39390.63636363636</v>
      </c>
      <c r="MJ78" s="200">
        <f>IFERROR(IF(MJ$7&gt;$D$3,"",AVERAGE($HJ78:HU78)),"")</f>
        <v>39668.083333333336</v>
      </c>
      <c r="MK78" s="200">
        <f>IFERROR(IF(MK$7&gt;$D$3,"",AVERAGE($HJ78:HV78)),"")</f>
        <v>39902.846153846156</v>
      </c>
      <c r="ML78" s="200">
        <f>IFERROR(IF(ML$7&gt;$D$3,"",AVERAGE($HJ78:HW78)),"")</f>
        <v>40104.071428571428</v>
      </c>
      <c r="MM78" s="200">
        <f>IFERROR(IF(MM$7&gt;$D$3,"",AVERAGE($HJ78:HX78)),"")</f>
        <v>40278.466666666667</v>
      </c>
      <c r="MN78" s="200">
        <f>IFERROR(IF(MN$7&gt;$D$3,"",AVERAGE($HJ78:HY78)),"")</f>
        <v>40431.0625</v>
      </c>
      <c r="MO78" s="200">
        <f>IFERROR(IF(MO$7&gt;$D$3,"",AVERAGE($HJ78:HZ78)),"")</f>
        <v>40565.705882352944</v>
      </c>
      <c r="MP78" s="200">
        <f>IFERROR(IF(MP$7&gt;$D$3,"",AVERAGE($HJ78:IA78)),"")</f>
        <v>41412.111111111109</v>
      </c>
      <c r="MQ78" s="200">
        <f>IFERROR(IF(MQ$7&gt;$D$3,"",AVERAGE($HJ78:IB78)),"")</f>
        <v>42169.42105263158</v>
      </c>
      <c r="MR78" s="200">
        <f>IFERROR(IF(MR$7&gt;$D$3,"",AVERAGE($HJ78:IC78)),"")</f>
        <v>42851</v>
      </c>
      <c r="MS78" s="200">
        <f>IFERROR(IF(MS$7&gt;$D$3,"",AVERAGE($HJ78:ID78)),"")</f>
        <v>43467.666666666664</v>
      </c>
      <c r="MT78" s="200">
        <f>IFERROR(IF(MT$7&gt;$D$3,"",AVERAGE($HJ78:IE78)),"")</f>
        <v>44028.272727272728</v>
      </c>
      <c r="MU78" s="200">
        <f>IFERROR(IF(MU$7&gt;$D$3,"",AVERAGE($HJ78:IF78)),"")</f>
        <v>44713.65217391304</v>
      </c>
      <c r="MV78" s="200">
        <f>IFERROR(IF(MV$7&gt;$D$3,"",AVERAGE($HJ78:IG78)),"")</f>
        <v>45341.916666666664</v>
      </c>
      <c r="MW78" s="200">
        <f>IFERROR(IF(MW$7&gt;$D$3,"",AVERAGE($HJ78:IH78)),"")</f>
        <v>45919.92</v>
      </c>
      <c r="MX78" s="200">
        <f>IFERROR(IF(MX$7&gt;$D$3,"",AVERAGE($HJ78:II78)),"")</f>
        <v>46453.461538461539</v>
      </c>
      <c r="MY78" s="200">
        <f>IFERROR(IF(MY$7&gt;$D$3,"",AVERAGE($HJ78:IJ78)),"")</f>
        <v>47048.148148148146</v>
      </c>
      <c r="MZ78" s="200">
        <f>IFERROR(IF(MZ$7&gt;$D$3,"",AVERAGE($HJ78:IK78)),"")</f>
        <v>47600.357142857145</v>
      </c>
      <c r="NA78" s="200">
        <f>IFERROR(IF(NA$7&gt;$D$3,"",AVERAGE($HJ78:IL78)),"")</f>
        <v>48114.482758620688</v>
      </c>
      <c r="NB78" s="200">
        <f>IFERROR(IF(NB$7&gt;$D$3,"",AVERAGE($HJ78:IM78)),"")</f>
        <v>48594.333333333336</v>
      </c>
      <c r="NC78" s="200">
        <f>IFERROR(IF(NC$7&gt;$D$3,"",AVERAGE($HJ78:IN78)),"")</f>
        <v>49043.225806451614</v>
      </c>
      <c r="ND78" s="200">
        <f>IFERROR(IF(ND$7&gt;$D$3,"",AVERAGE($HJ78:IO78)),"")</f>
        <v>49792.90625</v>
      </c>
      <c r="NE78" s="200">
        <f>IFERROR(IF(NE$7&gt;$D$3,"",AVERAGE($HJ78:IP78)),"")</f>
        <v>50497.151515151512</v>
      </c>
      <c r="NF78" s="200">
        <f>IFERROR(IF(NF$7&gt;$D$3,"",AVERAGE($HJ78:IQ78)),"")</f>
        <v>51159.970588235294</v>
      </c>
      <c r="NG78" s="200">
        <f>IFERROR(IF(NG$7&gt;$D$3,"",AVERAGE($HJ78:IR78)),"")</f>
        <v>51784.914285714287</v>
      </c>
      <c r="NH78" s="200">
        <f>IFERROR(IF(NH$7&gt;$D$3,"",AVERAGE($HJ78:IS78)),"")</f>
        <v>52164.361111111109</v>
      </c>
      <c r="NI78" s="200">
        <f>IFERROR(IF(NI$7&gt;$D$3,"",AVERAGE($HJ78:IT78)),"")</f>
        <v>52523.2972972973</v>
      </c>
      <c r="NJ78" s="200">
        <f>IFERROR(IF(NJ$7&gt;$D$3,"",AVERAGE($HJ78:IU78)),"")</f>
        <v>52863.34210526316</v>
      </c>
      <c r="NK78" s="200">
        <f>IFERROR(IF(NK$7&gt;$D$3,"",AVERAGE($HJ78:IV78)),"")</f>
        <v>53185.948717948719</v>
      </c>
      <c r="NL78" s="200">
        <f>IFERROR(IF(NL$7&gt;$D$3,"",AVERAGE($HJ78:IW78)),"")</f>
        <v>53587.324999999997</v>
      </c>
      <c r="NM78" s="200">
        <f>IFERROR(IF(NM$7&gt;$D$3,"",AVERAGE($HJ78:IX78)),"")</f>
        <v>53969.121951219509</v>
      </c>
      <c r="NN78" s="200">
        <f>IFERROR(IF(NN$7&gt;$D$3,"",AVERAGE($HJ78:IY78)),"")</f>
        <v>54332.738095238092</v>
      </c>
      <c r="NO78" s="200" t="str">
        <f>IFERROR(IF(NO$7&gt;$D$3,"",AVERAGE($HJ78:IZ78)),"")</f>
        <v/>
      </c>
      <c r="NP78" s="200" t="str">
        <f>IFERROR(IF(NP$7&gt;$D$3,"",AVERAGE($HJ78:JA78)),"")</f>
        <v/>
      </c>
      <c r="NQ78" s="200" t="str">
        <f>IFERROR(IF(NQ$7&gt;$D$3,"",AVERAGE($HJ78:JB78)),"")</f>
        <v/>
      </c>
      <c r="NR78" s="200" t="str">
        <f>IFERROR(IF(NR$7&gt;$D$3,"",AVERAGE($HJ78:JC78)),"")</f>
        <v/>
      </c>
      <c r="NS78" s="200" t="str">
        <f>IFERROR(IF(NS$7&gt;$D$3,"",AVERAGE($HJ78:JD78)),"")</f>
        <v/>
      </c>
      <c r="NT78" s="200" t="str">
        <f>IFERROR(IF(NT$7&gt;$D$3,"",AVERAGE($HJ78:JE78)),"")</f>
        <v/>
      </c>
      <c r="NU78" s="200" t="str">
        <f>IFERROR(IF(NU$7&gt;$D$3,"",AVERAGE($HJ78:JF78)),"")</f>
        <v/>
      </c>
      <c r="NV78" s="200" t="str">
        <f>IFERROR(IF(NV$7&gt;$D$3,"",AVERAGE($HJ78:JG78)),"")</f>
        <v/>
      </c>
      <c r="NW78" s="200" t="str">
        <f>IFERROR(IF(NW$7&gt;$D$3,"",AVERAGE($HJ78:JH78)),"")</f>
        <v/>
      </c>
      <c r="NX78" s="200" t="str">
        <f>IFERROR(IF(NX$7&gt;$D$3,"",AVERAGE($HJ78:JI78)),"")</f>
        <v/>
      </c>
      <c r="NY78" s="200" t="str">
        <f>IFERROR(IF(NY$7&gt;$D$3,"",AVERAGE($HJ78:JJ78)),"")</f>
        <v/>
      </c>
    </row>
    <row r="79" spans="1:389" ht="23.4" customHeight="1" thickBot="1" x14ac:dyDescent="0.35">
      <c r="B79" s="675" t="str">
        <f>+B75</f>
        <v>Engineering</v>
      </c>
      <c r="C79" s="411" t="str">
        <f>+'KPI Stats'!C78</f>
        <v>Garin Bowen</v>
      </c>
      <c r="D79" s="676"/>
      <c r="E79" s="179" t="str">
        <f>+'KPI Stats'!E78</f>
        <v>Completed to Week</v>
      </c>
      <c r="F79" s="179">
        <f>+'KPI Stats'!F78</f>
        <v>42</v>
      </c>
      <c r="G79" s="181" t="str">
        <f>+'KPI Stats'!G78</f>
        <v>Weekly KPI</v>
      </c>
      <c r="J79" s="181" t="str">
        <f>+$B79</f>
        <v>Engineering</v>
      </c>
      <c r="K79" s="181"/>
      <c r="L79" s="182"/>
      <c r="M79" s="183"/>
      <c r="P79" s="181" t="str">
        <f>+$B79</f>
        <v>Engineering</v>
      </c>
      <c r="Q79" s="181"/>
      <c r="R79" s="181"/>
      <c r="S79" s="183"/>
      <c r="T79" s="183"/>
      <c r="U79" s="291"/>
      <c r="W79" s="724"/>
      <c r="X79" s="181" t="str">
        <f>+$B79</f>
        <v>Engineering</v>
      </c>
      <c r="Y79" s="181"/>
      <c r="Z79" s="181"/>
      <c r="AA79" s="183"/>
      <c r="AB79" s="291"/>
      <c r="AC79" s="181" t="str">
        <f>+$B79</f>
        <v>Engineering</v>
      </c>
      <c r="AD79" s="181"/>
      <c r="AE79" s="181"/>
      <c r="AF79" s="183"/>
      <c r="AH79" s="465"/>
      <c r="AI79" s="191">
        <f>+B80</f>
        <v>0</v>
      </c>
      <c r="AJ79" s="192"/>
      <c r="AK79" s="141" t="str">
        <f t="shared" si="254"/>
        <v>Completed to Week</v>
      </c>
      <c r="AL79" s="141">
        <f t="shared" si="254"/>
        <v>42</v>
      </c>
      <c r="AM79" s="701" t="str">
        <f t="shared" ref="AM79:CM79" si="265">+$B79</f>
        <v>Engineering</v>
      </c>
      <c r="AN79" s="702" t="str">
        <f t="shared" si="265"/>
        <v>Engineering</v>
      </c>
      <c r="AO79" s="701" t="str">
        <f t="shared" si="265"/>
        <v>Engineering</v>
      </c>
      <c r="AP79" s="701" t="str">
        <f t="shared" si="265"/>
        <v>Engineering</v>
      </c>
      <c r="AQ79" s="701" t="str">
        <f t="shared" si="265"/>
        <v>Engineering</v>
      </c>
      <c r="AR79" s="701" t="str">
        <f t="shared" si="265"/>
        <v>Engineering</v>
      </c>
      <c r="AS79" s="701" t="str">
        <f t="shared" si="265"/>
        <v>Engineering</v>
      </c>
      <c r="AT79" s="701" t="str">
        <f t="shared" si="265"/>
        <v>Engineering</v>
      </c>
      <c r="AU79" s="701" t="str">
        <f t="shared" si="265"/>
        <v>Engineering</v>
      </c>
      <c r="AV79" s="701" t="str">
        <f t="shared" si="265"/>
        <v>Engineering</v>
      </c>
      <c r="AW79" s="701" t="str">
        <f t="shared" si="265"/>
        <v>Engineering</v>
      </c>
      <c r="AX79" s="701" t="str">
        <f t="shared" si="265"/>
        <v>Engineering</v>
      </c>
      <c r="AY79" s="701" t="str">
        <f t="shared" si="265"/>
        <v>Engineering</v>
      </c>
      <c r="AZ79" s="701" t="str">
        <f t="shared" si="265"/>
        <v>Engineering</v>
      </c>
      <c r="BA79" s="701" t="str">
        <f t="shared" si="265"/>
        <v>Engineering</v>
      </c>
      <c r="BB79" s="701" t="str">
        <f t="shared" si="265"/>
        <v>Engineering</v>
      </c>
      <c r="BC79" s="701" t="str">
        <f t="shared" si="265"/>
        <v>Engineering</v>
      </c>
      <c r="BD79" s="701" t="str">
        <f t="shared" si="265"/>
        <v>Engineering</v>
      </c>
      <c r="BE79" s="701" t="str">
        <f t="shared" si="265"/>
        <v>Engineering</v>
      </c>
      <c r="BF79" s="701" t="str">
        <f t="shared" si="265"/>
        <v>Engineering</v>
      </c>
      <c r="BG79" s="701" t="str">
        <f t="shared" si="265"/>
        <v>Engineering</v>
      </c>
      <c r="BH79" s="701" t="str">
        <f t="shared" si="265"/>
        <v>Engineering</v>
      </c>
      <c r="BI79" s="701" t="str">
        <f t="shared" si="265"/>
        <v>Engineering</v>
      </c>
      <c r="BJ79" s="701" t="str">
        <f t="shared" si="265"/>
        <v>Engineering</v>
      </c>
      <c r="BK79" s="701" t="str">
        <f t="shared" si="265"/>
        <v>Engineering</v>
      </c>
      <c r="BL79" s="701" t="str">
        <f t="shared" si="265"/>
        <v>Engineering</v>
      </c>
      <c r="BM79" s="701" t="str">
        <f t="shared" si="265"/>
        <v>Engineering</v>
      </c>
      <c r="BN79" s="701" t="str">
        <f t="shared" si="265"/>
        <v>Engineering</v>
      </c>
      <c r="BO79" s="701" t="str">
        <f t="shared" si="265"/>
        <v>Engineering</v>
      </c>
      <c r="BP79" s="701" t="str">
        <f t="shared" si="265"/>
        <v>Engineering</v>
      </c>
      <c r="BQ79" s="701" t="str">
        <f t="shared" si="265"/>
        <v>Engineering</v>
      </c>
      <c r="BR79" s="701" t="str">
        <f t="shared" si="265"/>
        <v>Engineering</v>
      </c>
      <c r="BS79" s="701" t="str">
        <f t="shared" si="265"/>
        <v>Engineering</v>
      </c>
      <c r="BT79" s="701" t="str">
        <f t="shared" si="265"/>
        <v>Engineering</v>
      </c>
      <c r="BU79" s="701" t="str">
        <f t="shared" si="265"/>
        <v>Engineering</v>
      </c>
      <c r="BV79" s="701" t="str">
        <f t="shared" si="265"/>
        <v>Engineering</v>
      </c>
      <c r="BW79" s="701" t="str">
        <f t="shared" si="265"/>
        <v>Engineering</v>
      </c>
      <c r="BX79" s="701" t="str">
        <f t="shared" si="265"/>
        <v>Engineering</v>
      </c>
      <c r="BY79" s="701" t="str">
        <f t="shared" si="265"/>
        <v>Engineering</v>
      </c>
      <c r="BZ79" s="701" t="str">
        <f t="shared" si="265"/>
        <v>Engineering</v>
      </c>
      <c r="CA79" s="701" t="str">
        <f t="shared" si="265"/>
        <v>Engineering</v>
      </c>
      <c r="CB79" s="701" t="str">
        <f t="shared" si="265"/>
        <v>Engineering</v>
      </c>
      <c r="CC79" s="701" t="str">
        <f t="shared" si="265"/>
        <v>Engineering</v>
      </c>
      <c r="CD79" s="701" t="str">
        <f t="shared" si="265"/>
        <v>Engineering</v>
      </c>
      <c r="CE79" s="701" t="str">
        <f t="shared" si="265"/>
        <v>Engineering</v>
      </c>
      <c r="CF79" s="701" t="str">
        <f t="shared" si="265"/>
        <v>Engineering</v>
      </c>
      <c r="CG79" s="701" t="str">
        <f t="shared" si="265"/>
        <v>Engineering</v>
      </c>
      <c r="CH79" s="701" t="str">
        <f t="shared" si="265"/>
        <v>Engineering</v>
      </c>
      <c r="CI79" s="701" t="str">
        <f t="shared" si="265"/>
        <v>Engineering</v>
      </c>
      <c r="CJ79" s="701" t="str">
        <f t="shared" si="265"/>
        <v>Engineering</v>
      </c>
      <c r="CK79" s="701" t="str">
        <f t="shared" si="265"/>
        <v>Engineering</v>
      </c>
      <c r="CL79" s="701" t="str">
        <f t="shared" si="265"/>
        <v>Engineering</v>
      </c>
      <c r="CM79" s="701" t="str">
        <f t="shared" si="265"/>
        <v>Engineering</v>
      </c>
      <c r="CO79" s="465"/>
      <c r="CP79" s="191">
        <f>+B80</f>
        <v>0</v>
      </c>
      <c r="CQ79" s="191"/>
      <c r="CR79" s="141" t="str">
        <f>+E79</f>
        <v>Completed to Week</v>
      </c>
      <c r="CS79" s="141">
        <f>+F79</f>
        <v>42</v>
      </c>
      <c r="CT79" s="141" t="str">
        <f>+G79</f>
        <v>Weekly KPI</v>
      </c>
      <c r="CU79" s="701" t="str">
        <f t="shared" ref="CU79:EU79" si="266">+$B79</f>
        <v>Engineering</v>
      </c>
      <c r="CV79" s="703" t="str">
        <f t="shared" si="266"/>
        <v>Engineering</v>
      </c>
      <c r="CW79" s="703" t="str">
        <f t="shared" si="266"/>
        <v>Engineering</v>
      </c>
      <c r="CX79" s="703" t="str">
        <f t="shared" si="266"/>
        <v>Engineering</v>
      </c>
      <c r="CY79" s="703" t="str">
        <f t="shared" si="266"/>
        <v>Engineering</v>
      </c>
      <c r="CZ79" s="703" t="str">
        <f t="shared" si="266"/>
        <v>Engineering</v>
      </c>
      <c r="DA79" s="703" t="str">
        <f t="shared" si="266"/>
        <v>Engineering</v>
      </c>
      <c r="DB79" s="703" t="str">
        <f t="shared" si="266"/>
        <v>Engineering</v>
      </c>
      <c r="DC79" s="703" t="str">
        <f t="shared" si="266"/>
        <v>Engineering</v>
      </c>
      <c r="DD79" s="703" t="str">
        <f t="shared" si="266"/>
        <v>Engineering</v>
      </c>
      <c r="DE79" s="703" t="str">
        <f t="shared" si="266"/>
        <v>Engineering</v>
      </c>
      <c r="DF79" s="703" t="str">
        <f t="shared" si="266"/>
        <v>Engineering</v>
      </c>
      <c r="DG79" s="703" t="str">
        <f t="shared" si="266"/>
        <v>Engineering</v>
      </c>
      <c r="DH79" s="703" t="str">
        <f t="shared" si="266"/>
        <v>Engineering</v>
      </c>
      <c r="DI79" s="703" t="str">
        <f t="shared" si="266"/>
        <v>Engineering</v>
      </c>
      <c r="DJ79" s="703" t="str">
        <f t="shared" si="266"/>
        <v>Engineering</v>
      </c>
      <c r="DK79" s="703" t="str">
        <f t="shared" si="266"/>
        <v>Engineering</v>
      </c>
      <c r="DL79" s="703" t="str">
        <f t="shared" si="266"/>
        <v>Engineering</v>
      </c>
      <c r="DM79" s="703" t="str">
        <f t="shared" si="266"/>
        <v>Engineering</v>
      </c>
      <c r="DN79" s="703" t="str">
        <f t="shared" si="266"/>
        <v>Engineering</v>
      </c>
      <c r="DO79" s="703" t="str">
        <f t="shared" si="266"/>
        <v>Engineering</v>
      </c>
      <c r="DP79" s="703" t="str">
        <f t="shared" si="266"/>
        <v>Engineering</v>
      </c>
      <c r="DQ79" s="703" t="str">
        <f t="shared" si="266"/>
        <v>Engineering</v>
      </c>
      <c r="DR79" s="703" t="str">
        <f t="shared" si="266"/>
        <v>Engineering</v>
      </c>
      <c r="DS79" s="703" t="str">
        <f t="shared" si="266"/>
        <v>Engineering</v>
      </c>
      <c r="DT79" s="703" t="str">
        <f t="shared" si="266"/>
        <v>Engineering</v>
      </c>
      <c r="DU79" s="703" t="str">
        <f t="shared" si="266"/>
        <v>Engineering</v>
      </c>
      <c r="DV79" s="703" t="str">
        <f t="shared" si="266"/>
        <v>Engineering</v>
      </c>
      <c r="DW79" s="703" t="str">
        <f t="shared" si="266"/>
        <v>Engineering</v>
      </c>
      <c r="DX79" s="703" t="str">
        <f t="shared" si="266"/>
        <v>Engineering</v>
      </c>
      <c r="DY79" s="703" t="str">
        <f t="shared" si="266"/>
        <v>Engineering</v>
      </c>
      <c r="DZ79" s="703" t="str">
        <f t="shared" si="266"/>
        <v>Engineering</v>
      </c>
      <c r="EA79" s="703" t="str">
        <f t="shared" si="266"/>
        <v>Engineering</v>
      </c>
      <c r="EB79" s="703" t="str">
        <f t="shared" si="266"/>
        <v>Engineering</v>
      </c>
      <c r="EC79" s="703" t="str">
        <f t="shared" si="266"/>
        <v>Engineering</v>
      </c>
      <c r="ED79" s="703" t="str">
        <f t="shared" si="266"/>
        <v>Engineering</v>
      </c>
      <c r="EE79" s="703" t="str">
        <f t="shared" si="266"/>
        <v>Engineering</v>
      </c>
      <c r="EF79" s="703" t="str">
        <f t="shared" si="266"/>
        <v>Engineering</v>
      </c>
      <c r="EG79" s="703" t="str">
        <f t="shared" si="266"/>
        <v>Engineering</v>
      </c>
      <c r="EH79" s="703" t="str">
        <f t="shared" si="266"/>
        <v>Engineering</v>
      </c>
      <c r="EI79" s="703" t="str">
        <f t="shared" si="266"/>
        <v>Engineering</v>
      </c>
      <c r="EJ79" s="703" t="str">
        <f t="shared" si="266"/>
        <v>Engineering</v>
      </c>
      <c r="EK79" s="703" t="str">
        <f t="shared" si="266"/>
        <v>Engineering</v>
      </c>
      <c r="EL79" s="703" t="str">
        <f t="shared" si="266"/>
        <v>Engineering</v>
      </c>
      <c r="EM79" s="703" t="str">
        <f t="shared" si="266"/>
        <v>Engineering</v>
      </c>
      <c r="EN79" s="703" t="str">
        <f t="shared" si="266"/>
        <v>Engineering</v>
      </c>
      <c r="EO79" s="703" t="str">
        <f t="shared" si="266"/>
        <v>Engineering</v>
      </c>
      <c r="EP79" s="703" t="str">
        <f t="shared" si="266"/>
        <v>Engineering</v>
      </c>
      <c r="EQ79" s="703" t="str">
        <f t="shared" si="266"/>
        <v>Engineering</v>
      </c>
      <c r="ER79" s="703" t="str">
        <f t="shared" si="266"/>
        <v>Engineering</v>
      </c>
      <c r="ES79" s="703" t="str">
        <f t="shared" si="266"/>
        <v>Engineering</v>
      </c>
      <c r="ET79" s="703" t="str">
        <f t="shared" si="266"/>
        <v>Engineering</v>
      </c>
      <c r="EU79" s="703" t="str">
        <f t="shared" si="266"/>
        <v>Engineering</v>
      </c>
      <c r="EW79" s="465"/>
      <c r="EX79" s="680" t="str">
        <f>+$B79</f>
        <v>Engineering</v>
      </c>
      <c r="EY79" s="681"/>
      <c r="EZ79" s="179" t="str">
        <f t="shared" si="257"/>
        <v>Completed to Week</v>
      </c>
      <c r="FA79" s="179">
        <f t="shared" si="258"/>
        <v>42</v>
      </c>
      <c r="FB79" s="179"/>
      <c r="FC79" s="197" t="str">
        <f t="shared" ref="FC79:HC79" si="267">+$B79</f>
        <v>Engineering</v>
      </c>
      <c r="FD79" s="197" t="str">
        <f t="shared" si="267"/>
        <v>Engineering</v>
      </c>
      <c r="FE79" s="197" t="str">
        <f t="shared" si="267"/>
        <v>Engineering</v>
      </c>
      <c r="FF79" s="197" t="str">
        <f t="shared" si="267"/>
        <v>Engineering</v>
      </c>
      <c r="FG79" s="197" t="str">
        <f t="shared" si="267"/>
        <v>Engineering</v>
      </c>
      <c r="FH79" s="197" t="str">
        <f t="shared" si="267"/>
        <v>Engineering</v>
      </c>
      <c r="FI79" s="197" t="str">
        <f t="shared" si="267"/>
        <v>Engineering</v>
      </c>
      <c r="FJ79" s="197" t="str">
        <f t="shared" si="267"/>
        <v>Engineering</v>
      </c>
      <c r="FK79" s="197" t="str">
        <f t="shared" si="267"/>
        <v>Engineering</v>
      </c>
      <c r="FL79" s="197" t="str">
        <f t="shared" si="267"/>
        <v>Engineering</v>
      </c>
      <c r="FM79" s="197" t="str">
        <f t="shared" si="267"/>
        <v>Engineering</v>
      </c>
      <c r="FN79" s="197" t="str">
        <f t="shared" si="267"/>
        <v>Engineering</v>
      </c>
      <c r="FO79" s="197" t="str">
        <f t="shared" si="267"/>
        <v>Engineering</v>
      </c>
      <c r="FP79" s="197" t="str">
        <f t="shared" si="267"/>
        <v>Engineering</v>
      </c>
      <c r="FQ79" s="197" t="str">
        <f t="shared" si="267"/>
        <v>Engineering</v>
      </c>
      <c r="FR79" s="197" t="str">
        <f t="shared" si="267"/>
        <v>Engineering</v>
      </c>
      <c r="FS79" s="197" t="str">
        <f t="shared" si="267"/>
        <v>Engineering</v>
      </c>
      <c r="FT79" s="197" t="str">
        <f t="shared" si="267"/>
        <v>Engineering</v>
      </c>
      <c r="FU79" s="197" t="str">
        <f t="shared" si="267"/>
        <v>Engineering</v>
      </c>
      <c r="FV79" s="197" t="str">
        <f t="shared" si="267"/>
        <v>Engineering</v>
      </c>
      <c r="FW79" s="197" t="str">
        <f t="shared" si="267"/>
        <v>Engineering</v>
      </c>
      <c r="FX79" s="197" t="str">
        <f t="shared" si="267"/>
        <v>Engineering</v>
      </c>
      <c r="FY79" s="197" t="str">
        <f t="shared" si="267"/>
        <v>Engineering</v>
      </c>
      <c r="FZ79" s="197" t="str">
        <f t="shared" si="267"/>
        <v>Engineering</v>
      </c>
      <c r="GA79" s="197" t="str">
        <f t="shared" si="267"/>
        <v>Engineering</v>
      </c>
      <c r="GB79" s="197" t="str">
        <f t="shared" si="267"/>
        <v>Engineering</v>
      </c>
      <c r="GC79" s="197" t="str">
        <f t="shared" si="267"/>
        <v>Engineering</v>
      </c>
      <c r="GD79" s="197" t="str">
        <f t="shared" si="267"/>
        <v>Engineering</v>
      </c>
      <c r="GE79" s="197" t="str">
        <f t="shared" si="267"/>
        <v>Engineering</v>
      </c>
      <c r="GF79" s="197" t="str">
        <f t="shared" si="267"/>
        <v>Engineering</v>
      </c>
      <c r="GG79" s="197" t="str">
        <f t="shared" si="267"/>
        <v>Engineering</v>
      </c>
      <c r="GH79" s="197" t="str">
        <f t="shared" si="267"/>
        <v>Engineering</v>
      </c>
      <c r="GI79" s="197" t="str">
        <f t="shared" si="267"/>
        <v>Engineering</v>
      </c>
      <c r="GJ79" s="197" t="str">
        <f t="shared" si="267"/>
        <v>Engineering</v>
      </c>
      <c r="GK79" s="197" t="str">
        <f t="shared" si="267"/>
        <v>Engineering</v>
      </c>
      <c r="GL79" s="197" t="str">
        <f t="shared" si="267"/>
        <v>Engineering</v>
      </c>
      <c r="GM79" s="197" t="str">
        <f t="shared" si="267"/>
        <v>Engineering</v>
      </c>
      <c r="GN79" s="197" t="str">
        <f t="shared" si="267"/>
        <v>Engineering</v>
      </c>
      <c r="GO79" s="197" t="str">
        <f t="shared" si="267"/>
        <v>Engineering</v>
      </c>
      <c r="GP79" s="197" t="str">
        <f t="shared" si="267"/>
        <v>Engineering</v>
      </c>
      <c r="GQ79" s="197" t="str">
        <f t="shared" si="267"/>
        <v>Engineering</v>
      </c>
      <c r="GR79" s="197" t="str">
        <f t="shared" si="267"/>
        <v>Engineering</v>
      </c>
      <c r="GS79" s="197" t="str">
        <f t="shared" si="267"/>
        <v>Engineering</v>
      </c>
      <c r="GT79" s="197" t="str">
        <f t="shared" si="267"/>
        <v>Engineering</v>
      </c>
      <c r="GU79" s="197" t="str">
        <f t="shared" si="267"/>
        <v>Engineering</v>
      </c>
      <c r="GV79" s="197" t="str">
        <f t="shared" si="267"/>
        <v>Engineering</v>
      </c>
      <c r="GW79" s="197" t="str">
        <f t="shared" si="267"/>
        <v>Engineering</v>
      </c>
      <c r="GX79" s="197" t="str">
        <f t="shared" si="267"/>
        <v>Engineering</v>
      </c>
      <c r="GY79" s="197" t="str">
        <f t="shared" si="267"/>
        <v>Engineering</v>
      </c>
      <c r="GZ79" s="197" t="str">
        <f t="shared" si="267"/>
        <v>Engineering</v>
      </c>
      <c r="HA79" s="197" t="str">
        <f t="shared" si="267"/>
        <v>Engineering</v>
      </c>
      <c r="HB79" s="197" t="str">
        <f t="shared" si="267"/>
        <v>Engineering</v>
      </c>
      <c r="HC79" s="181" t="str">
        <f t="shared" si="267"/>
        <v>Engineering</v>
      </c>
      <c r="HE79" s="680">
        <f>+DV80</f>
        <v>1.0249999999999999</v>
      </c>
      <c r="HF79" s="681" t="str">
        <f>+$B79</f>
        <v>Engineering</v>
      </c>
      <c r="HG79" s="179" t="str">
        <f t="shared" si="259"/>
        <v>Completed to Week</v>
      </c>
      <c r="HH79" s="179">
        <f t="shared" si="260"/>
        <v>42</v>
      </c>
      <c r="HI79" s="179" t="str">
        <f>+GJ79</f>
        <v>Engineering</v>
      </c>
      <c r="HJ79" s="197" t="str">
        <f t="shared" ref="HJ79:JJ79" si="268">+$B79</f>
        <v>Engineering</v>
      </c>
      <c r="HK79" s="197" t="str">
        <f t="shared" si="268"/>
        <v>Engineering</v>
      </c>
      <c r="HL79" s="250" t="str">
        <f t="shared" si="268"/>
        <v>Engineering</v>
      </c>
      <c r="HM79" s="250" t="str">
        <f t="shared" si="268"/>
        <v>Engineering</v>
      </c>
      <c r="HN79" s="250" t="str">
        <f t="shared" si="268"/>
        <v>Engineering</v>
      </c>
      <c r="HO79" s="250" t="str">
        <f t="shared" si="268"/>
        <v>Engineering</v>
      </c>
      <c r="HP79" s="250" t="str">
        <f t="shared" si="268"/>
        <v>Engineering</v>
      </c>
      <c r="HQ79" s="250" t="str">
        <f t="shared" si="268"/>
        <v>Engineering</v>
      </c>
      <c r="HR79" s="250" t="str">
        <f t="shared" si="268"/>
        <v>Engineering</v>
      </c>
      <c r="HS79" s="250" t="str">
        <f t="shared" si="268"/>
        <v>Engineering</v>
      </c>
      <c r="HT79" s="250" t="str">
        <f t="shared" si="268"/>
        <v>Engineering</v>
      </c>
      <c r="HU79" s="250" t="str">
        <f t="shared" si="268"/>
        <v>Engineering</v>
      </c>
      <c r="HV79" s="250" t="str">
        <f t="shared" si="268"/>
        <v>Engineering</v>
      </c>
      <c r="HW79" s="250" t="str">
        <f t="shared" si="268"/>
        <v>Engineering</v>
      </c>
      <c r="HX79" s="250" t="str">
        <f t="shared" si="268"/>
        <v>Engineering</v>
      </c>
      <c r="HY79" s="250" t="str">
        <f t="shared" si="268"/>
        <v>Engineering</v>
      </c>
      <c r="HZ79" s="250" t="str">
        <f t="shared" si="268"/>
        <v>Engineering</v>
      </c>
      <c r="IA79" s="250" t="str">
        <f t="shared" si="268"/>
        <v>Engineering</v>
      </c>
      <c r="IB79" s="250" t="str">
        <f t="shared" si="268"/>
        <v>Engineering</v>
      </c>
      <c r="IC79" s="250" t="str">
        <f t="shared" si="268"/>
        <v>Engineering</v>
      </c>
      <c r="ID79" s="250" t="str">
        <f t="shared" si="268"/>
        <v>Engineering</v>
      </c>
      <c r="IE79" s="250" t="str">
        <f t="shared" si="268"/>
        <v>Engineering</v>
      </c>
      <c r="IF79" s="250" t="str">
        <f t="shared" si="268"/>
        <v>Engineering</v>
      </c>
      <c r="IG79" s="250" t="str">
        <f t="shared" si="268"/>
        <v>Engineering</v>
      </c>
      <c r="IH79" s="250" t="str">
        <f t="shared" si="268"/>
        <v>Engineering</v>
      </c>
      <c r="II79" s="250" t="str">
        <f t="shared" si="268"/>
        <v>Engineering</v>
      </c>
      <c r="IJ79" s="250" t="str">
        <f t="shared" si="268"/>
        <v>Engineering</v>
      </c>
      <c r="IK79" s="250" t="str">
        <f t="shared" si="268"/>
        <v>Engineering</v>
      </c>
      <c r="IL79" s="250" t="str">
        <f t="shared" si="268"/>
        <v>Engineering</v>
      </c>
      <c r="IM79" s="250" t="str">
        <f t="shared" si="268"/>
        <v>Engineering</v>
      </c>
      <c r="IN79" s="250" t="str">
        <f t="shared" si="268"/>
        <v>Engineering</v>
      </c>
      <c r="IO79" s="250" t="str">
        <f t="shared" si="268"/>
        <v>Engineering</v>
      </c>
      <c r="IP79" s="250" t="str">
        <f t="shared" si="268"/>
        <v>Engineering</v>
      </c>
      <c r="IQ79" s="250" t="str">
        <f t="shared" si="268"/>
        <v>Engineering</v>
      </c>
      <c r="IR79" s="250" t="str">
        <f t="shared" si="268"/>
        <v>Engineering</v>
      </c>
      <c r="IS79" s="250" t="str">
        <f t="shared" si="268"/>
        <v>Engineering</v>
      </c>
      <c r="IT79" s="250" t="str">
        <f t="shared" si="268"/>
        <v>Engineering</v>
      </c>
      <c r="IU79" s="250" t="str">
        <f t="shared" si="268"/>
        <v>Engineering</v>
      </c>
      <c r="IV79" s="250" t="str">
        <f t="shared" si="268"/>
        <v>Engineering</v>
      </c>
      <c r="IW79" s="250" t="str">
        <f t="shared" si="268"/>
        <v>Engineering</v>
      </c>
      <c r="IX79" s="250" t="str">
        <f t="shared" si="268"/>
        <v>Engineering</v>
      </c>
      <c r="IY79" s="250" t="str">
        <f t="shared" si="268"/>
        <v>Engineering</v>
      </c>
      <c r="IZ79" s="250" t="str">
        <f t="shared" si="268"/>
        <v>Engineering</v>
      </c>
      <c r="JA79" s="250" t="str">
        <f t="shared" si="268"/>
        <v>Engineering</v>
      </c>
      <c r="JB79" s="250" t="str">
        <f t="shared" si="268"/>
        <v>Engineering</v>
      </c>
      <c r="JC79" s="250" t="str">
        <f t="shared" si="268"/>
        <v>Engineering</v>
      </c>
      <c r="JD79" s="250" t="str">
        <f t="shared" si="268"/>
        <v>Engineering</v>
      </c>
      <c r="JE79" s="250" t="str">
        <f t="shared" si="268"/>
        <v>Engineering</v>
      </c>
      <c r="JF79" s="250" t="str">
        <f t="shared" si="268"/>
        <v>Engineering</v>
      </c>
      <c r="JG79" s="250" t="str">
        <f t="shared" si="268"/>
        <v>Engineering</v>
      </c>
      <c r="JH79" s="250" t="str">
        <f t="shared" si="268"/>
        <v>Engineering</v>
      </c>
      <c r="JI79" s="250" t="str">
        <f t="shared" si="268"/>
        <v>Engineering</v>
      </c>
      <c r="JJ79" s="425" t="str">
        <f t="shared" si="268"/>
        <v>Engineering</v>
      </c>
      <c r="JM79" s="191" t="str">
        <f>+$B79</f>
        <v>Engineering</v>
      </c>
      <c r="JN79" s="192"/>
      <c r="JO79" s="141" t="str">
        <f t="shared" si="261"/>
        <v>Completed to Week</v>
      </c>
      <c r="JP79" s="141">
        <f t="shared" si="262"/>
        <v>42</v>
      </c>
      <c r="JQ79" s="141"/>
      <c r="JR79" s="727" t="str">
        <f t="shared" ref="JR79:LR79" si="269">+$B79</f>
        <v>Engineering</v>
      </c>
      <c r="JS79" s="727" t="str">
        <f t="shared" si="269"/>
        <v>Engineering</v>
      </c>
      <c r="JT79" s="727" t="str">
        <f t="shared" si="269"/>
        <v>Engineering</v>
      </c>
      <c r="JU79" s="727" t="str">
        <f t="shared" si="269"/>
        <v>Engineering</v>
      </c>
      <c r="JV79" s="727" t="str">
        <f t="shared" si="269"/>
        <v>Engineering</v>
      </c>
      <c r="JW79" s="727" t="str">
        <f t="shared" si="269"/>
        <v>Engineering</v>
      </c>
      <c r="JX79" s="727" t="str">
        <f t="shared" si="269"/>
        <v>Engineering</v>
      </c>
      <c r="JY79" s="727" t="str">
        <f t="shared" si="269"/>
        <v>Engineering</v>
      </c>
      <c r="JZ79" s="727" t="str">
        <f t="shared" si="269"/>
        <v>Engineering</v>
      </c>
      <c r="KA79" s="727" t="str">
        <f t="shared" si="269"/>
        <v>Engineering</v>
      </c>
      <c r="KB79" s="727" t="str">
        <f t="shared" si="269"/>
        <v>Engineering</v>
      </c>
      <c r="KC79" s="727" t="str">
        <f t="shared" si="269"/>
        <v>Engineering</v>
      </c>
      <c r="KD79" s="727" t="str">
        <f t="shared" si="269"/>
        <v>Engineering</v>
      </c>
      <c r="KE79" s="727" t="str">
        <f t="shared" si="269"/>
        <v>Engineering</v>
      </c>
      <c r="KF79" s="727" t="str">
        <f t="shared" si="269"/>
        <v>Engineering</v>
      </c>
      <c r="KG79" s="727" t="str">
        <f t="shared" si="269"/>
        <v>Engineering</v>
      </c>
      <c r="KH79" s="727" t="str">
        <f t="shared" si="269"/>
        <v>Engineering</v>
      </c>
      <c r="KI79" s="727" t="str">
        <f t="shared" si="269"/>
        <v>Engineering</v>
      </c>
      <c r="KJ79" s="727" t="str">
        <f t="shared" si="269"/>
        <v>Engineering</v>
      </c>
      <c r="KK79" s="727" t="str">
        <f t="shared" si="269"/>
        <v>Engineering</v>
      </c>
      <c r="KL79" s="727" t="str">
        <f t="shared" si="269"/>
        <v>Engineering</v>
      </c>
      <c r="KM79" s="727" t="str">
        <f t="shared" si="269"/>
        <v>Engineering</v>
      </c>
      <c r="KN79" s="727" t="str">
        <f t="shared" si="269"/>
        <v>Engineering</v>
      </c>
      <c r="KO79" s="727" t="str">
        <f t="shared" si="269"/>
        <v>Engineering</v>
      </c>
      <c r="KP79" s="727" t="str">
        <f t="shared" si="269"/>
        <v>Engineering</v>
      </c>
      <c r="KQ79" s="727" t="str">
        <f t="shared" si="269"/>
        <v>Engineering</v>
      </c>
      <c r="KR79" s="727" t="str">
        <f t="shared" si="269"/>
        <v>Engineering</v>
      </c>
      <c r="KS79" s="727" t="str">
        <f t="shared" si="269"/>
        <v>Engineering</v>
      </c>
      <c r="KT79" s="727" t="str">
        <f t="shared" si="269"/>
        <v>Engineering</v>
      </c>
      <c r="KU79" s="727" t="str">
        <f t="shared" si="269"/>
        <v>Engineering</v>
      </c>
      <c r="KV79" s="727" t="str">
        <f t="shared" si="269"/>
        <v>Engineering</v>
      </c>
      <c r="KW79" s="727" t="str">
        <f t="shared" si="269"/>
        <v>Engineering</v>
      </c>
      <c r="KX79" s="727" t="str">
        <f t="shared" si="269"/>
        <v>Engineering</v>
      </c>
      <c r="KY79" s="727" t="str">
        <f t="shared" si="269"/>
        <v>Engineering</v>
      </c>
      <c r="KZ79" s="727" t="str">
        <f t="shared" si="269"/>
        <v>Engineering</v>
      </c>
      <c r="LA79" s="727" t="str">
        <f t="shared" si="269"/>
        <v>Engineering</v>
      </c>
      <c r="LB79" s="727" t="str">
        <f t="shared" si="269"/>
        <v>Engineering</v>
      </c>
      <c r="LC79" s="727" t="str">
        <f t="shared" si="269"/>
        <v>Engineering</v>
      </c>
      <c r="LD79" s="727" t="str">
        <f t="shared" si="269"/>
        <v>Engineering</v>
      </c>
      <c r="LE79" s="727" t="str">
        <f t="shared" si="269"/>
        <v>Engineering</v>
      </c>
      <c r="LF79" s="727" t="str">
        <f t="shared" si="269"/>
        <v>Engineering</v>
      </c>
      <c r="LG79" s="727" t="str">
        <f t="shared" si="269"/>
        <v>Engineering</v>
      </c>
      <c r="LH79" s="727" t="str">
        <f t="shared" si="269"/>
        <v>Engineering</v>
      </c>
      <c r="LI79" s="727" t="str">
        <f t="shared" si="269"/>
        <v>Engineering</v>
      </c>
      <c r="LJ79" s="727" t="str">
        <f t="shared" si="269"/>
        <v>Engineering</v>
      </c>
      <c r="LK79" s="727" t="str">
        <f t="shared" si="269"/>
        <v>Engineering</v>
      </c>
      <c r="LL79" s="727" t="str">
        <f t="shared" si="269"/>
        <v>Engineering</v>
      </c>
      <c r="LM79" s="727" t="str">
        <f t="shared" si="269"/>
        <v>Engineering</v>
      </c>
      <c r="LN79" s="727" t="str">
        <f t="shared" si="269"/>
        <v>Engineering</v>
      </c>
      <c r="LO79" s="727" t="str">
        <f t="shared" si="269"/>
        <v>Engineering</v>
      </c>
      <c r="LP79" s="727" t="str">
        <f t="shared" si="269"/>
        <v>Engineering</v>
      </c>
      <c r="LQ79" s="727" t="str">
        <f t="shared" si="269"/>
        <v>Engineering</v>
      </c>
      <c r="LR79" s="727" t="str">
        <f t="shared" si="269"/>
        <v>Engineering</v>
      </c>
      <c r="LT79" s="191" t="str">
        <f>+$B79</f>
        <v>Engineering</v>
      </c>
      <c r="LU79" s="192"/>
      <c r="LV79" s="141" t="str">
        <f t="shared" si="263"/>
        <v>Completed to Week</v>
      </c>
      <c r="LW79" s="141">
        <f t="shared" si="264"/>
        <v>42</v>
      </c>
      <c r="LX79" s="141"/>
      <c r="LY79" s="702" t="str">
        <f t="shared" ref="LY79:NY79" si="270">+$B79</f>
        <v>Engineering</v>
      </c>
      <c r="LZ79" s="702" t="str">
        <f t="shared" si="270"/>
        <v>Engineering</v>
      </c>
      <c r="MA79" s="702" t="str">
        <f t="shared" si="270"/>
        <v>Engineering</v>
      </c>
      <c r="MB79" s="702" t="str">
        <f t="shared" si="270"/>
        <v>Engineering</v>
      </c>
      <c r="MC79" s="702" t="str">
        <f t="shared" si="270"/>
        <v>Engineering</v>
      </c>
      <c r="MD79" s="702" t="str">
        <f t="shared" si="270"/>
        <v>Engineering</v>
      </c>
      <c r="ME79" s="702" t="str">
        <f t="shared" si="270"/>
        <v>Engineering</v>
      </c>
      <c r="MF79" s="702" t="str">
        <f t="shared" si="270"/>
        <v>Engineering</v>
      </c>
      <c r="MG79" s="702" t="str">
        <f t="shared" si="270"/>
        <v>Engineering</v>
      </c>
      <c r="MH79" s="702" t="str">
        <f t="shared" si="270"/>
        <v>Engineering</v>
      </c>
      <c r="MI79" s="702" t="str">
        <f t="shared" si="270"/>
        <v>Engineering</v>
      </c>
      <c r="MJ79" s="702" t="str">
        <f t="shared" si="270"/>
        <v>Engineering</v>
      </c>
      <c r="MK79" s="702" t="str">
        <f t="shared" si="270"/>
        <v>Engineering</v>
      </c>
      <c r="ML79" s="702" t="str">
        <f t="shared" si="270"/>
        <v>Engineering</v>
      </c>
      <c r="MM79" s="702" t="str">
        <f t="shared" si="270"/>
        <v>Engineering</v>
      </c>
      <c r="MN79" s="702" t="str">
        <f t="shared" si="270"/>
        <v>Engineering</v>
      </c>
      <c r="MO79" s="702" t="str">
        <f t="shared" si="270"/>
        <v>Engineering</v>
      </c>
      <c r="MP79" s="702" t="str">
        <f t="shared" si="270"/>
        <v>Engineering</v>
      </c>
      <c r="MQ79" s="702" t="str">
        <f t="shared" si="270"/>
        <v>Engineering</v>
      </c>
      <c r="MR79" s="702" t="str">
        <f t="shared" si="270"/>
        <v>Engineering</v>
      </c>
      <c r="MS79" s="702" t="str">
        <f t="shared" si="270"/>
        <v>Engineering</v>
      </c>
      <c r="MT79" s="702" t="str">
        <f t="shared" si="270"/>
        <v>Engineering</v>
      </c>
      <c r="MU79" s="702" t="str">
        <f t="shared" si="270"/>
        <v>Engineering</v>
      </c>
      <c r="MV79" s="702" t="str">
        <f t="shared" si="270"/>
        <v>Engineering</v>
      </c>
      <c r="MW79" s="702" t="str">
        <f t="shared" si="270"/>
        <v>Engineering</v>
      </c>
      <c r="MX79" s="702" t="str">
        <f t="shared" si="270"/>
        <v>Engineering</v>
      </c>
      <c r="MY79" s="702" t="str">
        <f t="shared" si="270"/>
        <v>Engineering</v>
      </c>
      <c r="MZ79" s="702" t="str">
        <f t="shared" si="270"/>
        <v>Engineering</v>
      </c>
      <c r="NA79" s="702" t="str">
        <f t="shared" si="270"/>
        <v>Engineering</v>
      </c>
      <c r="NB79" s="702" t="str">
        <f t="shared" si="270"/>
        <v>Engineering</v>
      </c>
      <c r="NC79" s="702" t="str">
        <f t="shared" si="270"/>
        <v>Engineering</v>
      </c>
      <c r="ND79" s="702" t="str">
        <f t="shared" si="270"/>
        <v>Engineering</v>
      </c>
      <c r="NE79" s="702" t="str">
        <f t="shared" si="270"/>
        <v>Engineering</v>
      </c>
      <c r="NF79" s="702" t="str">
        <f t="shared" si="270"/>
        <v>Engineering</v>
      </c>
      <c r="NG79" s="702" t="str">
        <f t="shared" si="270"/>
        <v>Engineering</v>
      </c>
      <c r="NH79" s="702" t="str">
        <f t="shared" si="270"/>
        <v>Engineering</v>
      </c>
      <c r="NI79" s="702" t="str">
        <f t="shared" si="270"/>
        <v>Engineering</v>
      </c>
      <c r="NJ79" s="702" t="str">
        <f t="shared" si="270"/>
        <v>Engineering</v>
      </c>
      <c r="NK79" s="702" t="str">
        <f t="shared" si="270"/>
        <v>Engineering</v>
      </c>
      <c r="NL79" s="702" t="str">
        <f t="shared" si="270"/>
        <v>Engineering</v>
      </c>
      <c r="NM79" s="702" t="str">
        <f t="shared" si="270"/>
        <v>Engineering</v>
      </c>
      <c r="NN79" s="702" t="str">
        <f t="shared" si="270"/>
        <v>Engineering</v>
      </c>
      <c r="NO79" s="702" t="str">
        <f t="shared" si="270"/>
        <v>Engineering</v>
      </c>
      <c r="NP79" s="702" t="str">
        <f t="shared" si="270"/>
        <v>Engineering</v>
      </c>
      <c r="NQ79" s="702" t="str">
        <f t="shared" si="270"/>
        <v>Engineering</v>
      </c>
      <c r="NR79" s="702" t="str">
        <f t="shared" si="270"/>
        <v>Engineering</v>
      </c>
      <c r="NS79" s="702" t="str">
        <f t="shared" si="270"/>
        <v>Engineering</v>
      </c>
      <c r="NT79" s="702" t="str">
        <f t="shared" si="270"/>
        <v>Engineering</v>
      </c>
      <c r="NU79" s="702" t="str">
        <f t="shared" si="270"/>
        <v>Engineering</v>
      </c>
      <c r="NV79" s="702" t="str">
        <f t="shared" si="270"/>
        <v>Engineering</v>
      </c>
      <c r="NW79" s="702" t="str">
        <f t="shared" si="270"/>
        <v>Engineering</v>
      </c>
      <c r="NX79" s="702" t="str">
        <f t="shared" si="270"/>
        <v>Engineering</v>
      </c>
      <c r="NY79" s="702" t="str">
        <f t="shared" si="270"/>
        <v>Engineering</v>
      </c>
    </row>
    <row r="80" spans="1:389" s="704" customFormat="1" x14ac:dyDescent="0.3">
      <c r="A80" s="704" t="str">
        <f>$B$75&amp;"-"&amp;C80</f>
        <v>Engineering-KPI Q1</v>
      </c>
      <c r="B80" s="420"/>
      <c r="C80" s="133" t="str">
        <f>+'KPI Stats'!C79</f>
        <v>KPI Q1</v>
      </c>
      <c r="D80" s="142" t="str">
        <f>+'KPI Stats'!D79</f>
        <v>Quality</v>
      </c>
      <c r="E80" s="142" t="s">
        <v>663</v>
      </c>
      <c r="F80" s="143" t="str">
        <f>+'KPI Stats'!F79</f>
        <v>Days</v>
      </c>
      <c r="G80" s="168" t="s">
        <v>186</v>
      </c>
      <c r="J80" s="159" t="str">
        <f>_xlfn.XLOOKUP(J$8,$AM$8:$CM$8,$AM80:$CM80,,FALSE)</f>
        <v>OD</v>
      </c>
      <c r="K80" s="262" t="str">
        <f>_xlfn.XLOOKUP(K$8,$FC$8:$HC$8,$FC80:$HC80,,FALSE)</f>
        <v>OD</v>
      </c>
      <c r="L80" s="277">
        <f>_xlfn.XLOOKUP(L$8,$HJ$8:$JJ$8,$HJ80:$JJ80,,FALSE)</f>
        <v>0.8</v>
      </c>
      <c r="M80" s="274" t="str">
        <f>_xlfn.XLOOKUP(M$8,$CU$8:$EU$8,$CU80:$EU80,,FALSE)</f>
        <v>OD</v>
      </c>
      <c r="N80"/>
      <c r="O80"/>
      <c r="P80" s="159" t="str">
        <f>_xlfn.XLOOKUP(P$8,$AM$8:$CM$8,$AM80:$CM80,,FALSE)</f>
        <v>OD</v>
      </c>
      <c r="Q80" s="262" t="str">
        <f t="shared" ref="Q80:R82" si="271">_xlfn.XLOOKUP(Q$7,$FC$7:$HC$7,$FC80:$HC80,FALSE)</f>
        <v>OD</v>
      </c>
      <c r="R80" s="277" t="str">
        <f t="shared" si="271"/>
        <v>OD</v>
      </c>
      <c r="S80" s="262" t="str">
        <f t="shared" ref="S80:T82" si="272">_xlfn.XLOOKUP(S$7,$CU$7:$EU$7,$CU80:$EU80,,FALSE)</f>
        <v>OD</v>
      </c>
      <c r="T80" s="277" t="str">
        <f t="shared" si="272"/>
        <v>OD</v>
      </c>
      <c r="U80" s="294" t="str">
        <f>IF(F79&lt;$R$2,"Not Complete",IF(Q80=R80,"Same −",IF($G80="Over",IF(Q80&lt;R80,"Better ↑","Worse ↓"),IF($G80="Under",IF(Q80&gt;R80,"Better ↑","Worse ↓"),"err"))))</f>
        <v>Same −</v>
      </c>
      <c r="V80"/>
      <c r="W80" s="724"/>
      <c r="X80" s="159" t="str">
        <f>IF(Y80="","",IF(Y80="Blank","",IF(AND(G80="above zero",Y80&gt;0),"R",IF(AA80&gt;1,"G",IF(AA80&gt;0.95,"A","R")))))</f>
        <v>G</v>
      </c>
      <c r="Y80" s="161">
        <f>_xlfn.XLOOKUP(Y$8,$JR$8:$LR$8,$JR80:$LR80,FALSE)</f>
        <v>0.80806250000000002</v>
      </c>
      <c r="Z80" s="161">
        <f>_xlfn.XLOOKUP(Z$8,$LY$8:$NY$8,$LY80:$NY80,FALSE)</f>
        <v>0.80000000000000049</v>
      </c>
      <c r="AA80" s="162">
        <f>IF(G80="Undefined","",IF(G80="under",Y80/Z80,IF(G80="over",Z80/Y80,"err")))</f>
        <v>1.0100781249999995</v>
      </c>
      <c r="AB80" s="294" t="str">
        <f>IF(F79&lt;$Y$7,"TBC",IF(Y80=Z80,"Same −",IF($G80="Over",IF(Z80&lt;Y80,"Better ↑ ","Worse ↓ "),IF($G80="Under",IF(Y80&gt;Z80,"Better ↑ ","Worse ↓ "),"err"))))</f>
        <v xml:space="preserve">Better ↑ </v>
      </c>
      <c r="AC80" s="709" t="e">
        <f>IF(AND(G80="above adero",AD80&gt;0),"R",IF(AF80&gt;1,"G",IF(AF80&gt;0.95,"A","R")))</f>
        <v>#DIV/0!</v>
      </c>
      <c r="AD80" s="710" t="b">
        <f>_xlfn.XLOOKUP(AD$8,$JR$8:$LR$8,$JR80:$LR80,FALSE)</f>
        <v>0</v>
      </c>
      <c r="AE80" s="710" t="b">
        <f>_xlfn.XLOOKUP(AE$8,$LY$8:$NY$8,$LY80:$NY80,FALSE)</f>
        <v>0</v>
      </c>
      <c r="AF80" s="252" t="e">
        <f>IF(G80="Undefined","",IF(G80="under",AD80/AE80,IF(G80="over",AE80/AD80,"err")))</f>
        <v>#DIV/0!</v>
      </c>
      <c r="AH80" s="711" t="str">
        <f>+$A80</f>
        <v>Engineering-KPI Q1</v>
      </c>
      <c r="AI80" s="705" t="str">
        <f>+C80</f>
        <v>KPI Q1</v>
      </c>
      <c r="AJ80" s="706" t="str">
        <f>+D80</f>
        <v>Quality</v>
      </c>
      <c r="AK80" s="706" t="str">
        <f>+E80</f>
        <v>Proactive v Reactive Maintenance</v>
      </c>
      <c r="AL80" s="707" t="str">
        <f>+F80</f>
        <v>Days</v>
      </c>
      <c r="AM80" s="708" t="str">
        <f>IF(AM$7&gt;$D$3,"",_xlfn.XLOOKUP(AM$7,Engineering!$M$22:$BM$22,Engineering!$M$26:$BM$26))</f>
        <v>Blank</v>
      </c>
      <c r="AN80" s="712" t="str">
        <f>IF(AN$7&gt;$D$3,"",_xlfn.XLOOKUP(AN$7,Engineering!$M$22:$BM$22,Engineering!$M$26:$BM$26))</f>
        <v>Missed</v>
      </c>
      <c r="AO80" s="708" t="str">
        <f>IF(AO$7&gt;$D$3,"",_xlfn.XLOOKUP(AO$7,Engineering!$M$22:$BM$22,Engineering!$M$26:$BM$26))</f>
        <v>Missed</v>
      </c>
      <c r="AP80" s="708" t="str">
        <f>IF(AP$7&gt;$D$3,"",_xlfn.XLOOKUP(AP$7,Engineering!$M$22:$BM$22,Engineering!$M$26:$BM$26))</f>
        <v>Missed</v>
      </c>
      <c r="AQ80" s="708" t="str">
        <f>IF(AQ$7&gt;$D$3,"",_xlfn.XLOOKUP(AQ$7,Engineering!$M$22:$BM$22,Engineering!$M$26:$BM$26))</f>
        <v>Missed</v>
      </c>
      <c r="AR80" s="708" t="str">
        <f>IF(AR$7&gt;$D$3,"",_xlfn.XLOOKUP(AR$7,Engineering!$M$22:$BM$22,Engineering!$M$26:$BM$26))</f>
        <v>Missed</v>
      </c>
      <c r="AS80" s="708" t="str">
        <f>IF(AS$7&gt;$D$3,"",_xlfn.XLOOKUP(AS$7,Engineering!$M$22:$BM$22,Engineering!$M$26:$BM$26))</f>
        <v>Missed</v>
      </c>
      <c r="AT80" s="708" t="str">
        <f>IF(AT$7&gt;$D$3,"",_xlfn.XLOOKUP(AT$7,Engineering!$M$22:$BM$22,Engineering!$M$26:$BM$26))</f>
        <v>Missed</v>
      </c>
      <c r="AU80" s="708" t="str">
        <f>IF(AU$7&gt;$D$3,"",_xlfn.XLOOKUP(AU$7,Engineering!$M$22:$BM$22,Engineering!$M$26:$BM$26))</f>
        <v>Missed</v>
      </c>
      <c r="AV80" s="708" t="str">
        <f>IF(AV$7&gt;$D$3,"",_xlfn.XLOOKUP(AV$7,Engineering!$M$22:$BM$22,Engineering!$M$26:$BM$26))</f>
        <v>Missed</v>
      </c>
      <c r="AW80" s="708" t="str">
        <f>IF(AW$7&gt;$D$3,"",_xlfn.XLOOKUP(AW$7,Engineering!$M$22:$BM$22,Engineering!$M$26:$BM$26))</f>
        <v>Missed</v>
      </c>
      <c r="AX80" s="708" t="str">
        <f>IF(AX$7&gt;$D$3,"",_xlfn.XLOOKUP(AX$7,Engineering!$M$22:$BM$22,Engineering!$M$26:$BM$26))</f>
        <v>Missed</v>
      </c>
      <c r="AY80" s="708" t="str">
        <f>IF(AY$7&gt;$D$3,"",_xlfn.XLOOKUP(AY$7,Engineering!$M$22:$BM$22,Engineering!$M$26:$BM$26))</f>
        <v>Missed</v>
      </c>
      <c r="AZ80" s="708" t="str">
        <f>IF(AZ$7&gt;$D$3,"",_xlfn.XLOOKUP(AZ$7,Engineering!$M$22:$BM$22,Engineering!$M$26:$BM$26))</f>
        <v>Missed</v>
      </c>
      <c r="BA80" s="708" t="str">
        <f>IF(BA$7&gt;$D$3,"",_xlfn.XLOOKUP(BA$7,Engineering!$M$22:$BM$22,Engineering!$M$26:$BM$26))</f>
        <v>Missed</v>
      </c>
      <c r="BB80" s="708" t="str">
        <f>IF(BB$7&gt;$D$3,"",_xlfn.XLOOKUP(BB$7,Engineering!$M$22:$BM$22,Engineering!$M$26:$BM$26))</f>
        <v>Missed</v>
      </c>
      <c r="BC80" s="708" t="str">
        <f>IF(BC$7&gt;$D$3,"",_xlfn.XLOOKUP(BC$7,Engineering!$M$22:$BM$22,Engineering!$M$26:$BM$26))</f>
        <v>G</v>
      </c>
      <c r="BD80" s="708" t="str">
        <f>IF(BD$7&gt;$D$3,"",_xlfn.XLOOKUP(BD$7,Engineering!$M$22:$BM$22,Engineering!$M$26:$BM$26))</f>
        <v>OD</v>
      </c>
      <c r="BE80" s="708" t="str">
        <f>IF(BE$7&gt;$D$3,"",_xlfn.XLOOKUP(BE$7,Engineering!$M$22:$BM$22,Engineering!$M$26:$BM$26))</f>
        <v>OD</v>
      </c>
      <c r="BF80" s="708" t="str">
        <f>IF(BF$7&gt;$D$3,"",_xlfn.XLOOKUP(BF$7,Engineering!$M$22:$BM$22,Engineering!$M$26:$BM$26))</f>
        <v>OD</v>
      </c>
      <c r="BG80" s="708" t="str">
        <f>IF(BG$7&gt;$D$3,"",_xlfn.XLOOKUP(BG$7,Engineering!$M$22:$BM$22,Engineering!$M$26:$BM$26))</f>
        <v>TBC</v>
      </c>
      <c r="BH80" s="708" t="str">
        <f>IF(BH$7&gt;$D$3,"",_xlfn.XLOOKUP(BH$7,Engineering!$M$22:$BM$22,Engineering!$M$26:$BM$26))</f>
        <v>TBC</v>
      </c>
      <c r="BI80" s="708" t="str">
        <f>IF(BI$7&gt;$D$3,"",_xlfn.XLOOKUP(BI$7,Engineering!$M$22:$BM$22,Engineering!$M$26:$BM$26))</f>
        <v>TBC</v>
      </c>
      <c r="BJ80" s="708" t="str">
        <f>IF(BJ$7&gt;$D$3,"",_xlfn.XLOOKUP(BJ$7,Engineering!$M$22:$BM$22,Engineering!$M$26:$BM$26))</f>
        <v>R</v>
      </c>
      <c r="BK80" s="708" t="str">
        <f>IF(BK$7&gt;$D$3,"",_xlfn.XLOOKUP(BK$7,Engineering!$M$22:$BM$22,Engineering!$M$26:$BM$26))</f>
        <v>R</v>
      </c>
      <c r="BL80" s="708" t="str">
        <f>IF(BL$7&gt;$D$3,"",_xlfn.XLOOKUP(BL$7,Engineering!$M$22:$BM$22,Engineering!$M$26:$BM$26))</f>
        <v>G</v>
      </c>
      <c r="BM80" s="708" t="str">
        <f>IF(BM$7&gt;$D$3,"",_xlfn.XLOOKUP(BM$7,Engineering!$M$22:$BM$22,Engineering!$M$26:$BM$26))</f>
        <v>G</v>
      </c>
      <c r="BN80" s="708" t="str">
        <f>IF(BN$7&gt;$D$3,"",_xlfn.XLOOKUP(BN$7,Engineering!$M$22:$BM$22,Engineering!$M$26:$BM$26))</f>
        <v>G</v>
      </c>
      <c r="BO80" s="708" t="str">
        <f>IF(BO$7&gt;$D$3,"",_xlfn.XLOOKUP(BO$7,Engineering!$M$22:$BM$22,Engineering!$M$26:$BM$26))</f>
        <v>G</v>
      </c>
      <c r="BP80" s="708" t="str">
        <f>IF(BP$7&gt;$D$3,"",_xlfn.XLOOKUP(BP$7,Engineering!$M$22:$BM$22,Engineering!$M$26:$BM$26))</f>
        <v>A</v>
      </c>
      <c r="BQ80" s="708" t="str">
        <f>IF(BQ$7&gt;$D$3,"",_xlfn.XLOOKUP(BQ$7,Engineering!$M$22:$BM$22,Engineering!$M$26:$BM$26))</f>
        <v>A</v>
      </c>
      <c r="BR80" s="708" t="str">
        <f>IF(BR$7&gt;$D$3,"",_xlfn.XLOOKUP(BR$7,Engineering!$M$22:$BM$22,Engineering!$M$26:$BM$26))</f>
        <v>A</v>
      </c>
      <c r="BS80" s="708" t="str">
        <f>IF(BS$7&gt;$D$3,"",_xlfn.XLOOKUP(BS$7,Engineering!$M$22:$BM$22,Engineering!$M$26:$BM$26))</f>
        <v>A</v>
      </c>
      <c r="BT80" s="708" t="str">
        <f>IF(BT$7&gt;$D$3,"",_xlfn.XLOOKUP(BT$7,Engineering!$M$22:$BM$22,Engineering!$M$26:$BM$26))</f>
        <v>G</v>
      </c>
      <c r="BU80" s="708" t="str">
        <f>IF(BU$7&gt;$D$3,"",_xlfn.XLOOKUP(BU$7,Engineering!$M$22:$BM$22,Engineering!$M$26:$BM$26))</f>
        <v>R</v>
      </c>
      <c r="BV80" s="708" t="str">
        <f>IF(BV$7&gt;$D$3,"",_xlfn.XLOOKUP(BV$7,Engineering!$M$22:$BM$22,Engineering!$M$26:$BM$26))</f>
        <v>G</v>
      </c>
      <c r="BW80" s="708" t="str">
        <f>IF(BW$7&gt;$D$3,"",_xlfn.XLOOKUP(BW$7,Engineering!$M$22:$BM$22,Engineering!$M$26:$BM$26))</f>
        <v>A</v>
      </c>
      <c r="BX80" s="708" t="str">
        <f>IF(BX$7&gt;$D$3,"",_xlfn.XLOOKUP(BX$7,Engineering!$M$22:$BM$22,Engineering!$M$26:$BM$26))</f>
        <v>A</v>
      </c>
      <c r="BY80" s="708" t="str">
        <f>IF(BY$7&gt;$D$3,"",_xlfn.XLOOKUP(BY$7,Engineering!$M$22:$BM$22,Engineering!$M$26:$BM$26))</f>
        <v>OD</v>
      </c>
      <c r="BZ80" s="708" t="str">
        <f>IF(BZ$7&gt;$D$3,"",_xlfn.XLOOKUP(BZ$7,Engineering!$M$22:$BM$22,Engineering!$M$26:$BM$26))</f>
        <v>OD</v>
      </c>
      <c r="CA80" s="708" t="str">
        <f>IF(CA$7&gt;$D$3,"",_xlfn.XLOOKUP(CA$7,Engineering!$M$22:$BM$22,Engineering!$M$26:$BM$26))</f>
        <v>OD</v>
      </c>
      <c r="CB80" s="708" t="str">
        <f>IF(CB$7&gt;$D$3,"",_xlfn.XLOOKUP(CB$7,Engineering!$M$22:$BM$22,Engineering!$M$26:$BM$26))</f>
        <v>OD</v>
      </c>
      <c r="CC80" s="708" t="str">
        <f>IF(CC$7&gt;$D$3,"",_xlfn.XLOOKUP(CC$7,Engineering!$M$22:$BM$22,Engineering!$M$26:$BM$26))</f>
        <v/>
      </c>
      <c r="CD80" s="708" t="str">
        <f>IF(CD$7&gt;$D$3,"",_xlfn.XLOOKUP(CD$7,Engineering!$M$22:$BM$22,Engineering!$M$26:$BM$26))</f>
        <v/>
      </c>
      <c r="CE80" s="708" t="str">
        <f>IF(CE$7&gt;$D$3,"",_xlfn.XLOOKUP(CE$7,Engineering!$M$22:$BM$22,Engineering!$M$26:$BM$26))</f>
        <v/>
      </c>
      <c r="CF80" s="708" t="str">
        <f>IF(CF$7&gt;$D$3,"",_xlfn.XLOOKUP(CF$7,Engineering!$M$22:$BM$22,Engineering!$M$26:$BM$26))</f>
        <v/>
      </c>
      <c r="CG80" s="708" t="str">
        <f>IF(CG$7&gt;$D$3,"",_xlfn.XLOOKUP(CG$7,Engineering!$M$22:$BM$22,Engineering!$M$26:$BM$26))</f>
        <v/>
      </c>
      <c r="CH80" s="708" t="str">
        <f>IF(CH$7&gt;$D$3,"",_xlfn.XLOOKUP(CH$7,Engineering!$M$22:$BM$22,Engineering!$M$26:$BM$26))</f>
        <v/>
      </c>
      <c r="CI80" s="708" t="str">
        <f>IF(CI$7&gt;$D$3,"",_xlfn.XLOOKUP(CI$7,Engineering!$M$22:$BM$22,Engineering!$M$26:$BM$26))</f>
        <v/>
      </c>
      <c r="CJ80" s="708" t="str">
        <f>IF(CJ$7&gt;$D$3,"",_xlfn.XLOOKUP(CJ$7,Engineering!$M$22:$BM$22,Engineering!$M$26:$BM$26))</f>
        <v/>
      </c>
      <c r="CK80" s="708" t="str">
        <f>IF(CK$7&gt;$D$3,"",_xlfn.XLOOKUP(CK$7,Engineering!$M$22:$BM$22,Engineering!$M$26:$BM$26))</f>
        <v/>
      </c>
      <c r="CL80" s="708" t="str">
        <f>IF(CL$7&gt;$D$3,"",_xlfn.XLOOKUP(CL$7,Engineering!$M$22:$BM$22,Engineering!$M$26:$BM$26))</f>
        <v/>
      </c>
      <c r="CM80" s="713" t="str">
        <f>IF(CM$7&gt;$D$3,"",_xlfn.XLOOKUP(CM$7,Engineering!$M$22:$BM$22,Engineering!$M$26:$BM$26))</f>
        <v/>
      </c>
      <c r="CO80" s="711" t="str">
        <f>+$A80</f>
        <v>Engineering-KPI Q1</v>
      </c>
      <c r="CP80" s="705" t="str">
        <f t="shared" ref="CP80:CS82" si="273">+C80</f>
        <v>KPI Q1</v>
      </c>
      <c r="CQ80" s="706" t="str">
        <f t="shared" si="273"/>
        <v>Quality</v>
      </c>
      <c r="CR80" s="706" t="str">
        <f t="shared" si="273"/>
        <v>Proactive v Reactive Maintenance</v>
      </c>
      <c r="CS80" s="707" t="str">
        <f t="shared" si="273"/>
        <v>Days</v>
      </c>
      <c r="CT80" s="707" t="s">
        <v>246</v>
      </c>
      <c r="CU80" s="713" t="str">
        <f>IFERROR(IF(CU$8&gt;$F$4,"",IF(AM80="Undefined","Undefined",IF(AM80="Missed","Missed",IF(AM80="Blank","Blank",IF(AM80="OD","OD",
IF(_xlfn.XLOOKUP(CU$8,Engineering!$M$5:$BM$5,Engineering!#REF!)="Undefined",_xlfn.XLOOKUP(CU$8,Engineering!$M$5:$BM$5,Engineering!#REF!),
_xlfn.XLOOKUP(CU$8,Engineering!$M$5:$BM$5,Engineering!#REF!)/_xlfn.XLOOKUP(CU$8,Engineering!$M$5:$BM$5,Engineering!#REF!)
)))))),"")</f>
        <v>Blank</v>
      </c>
      <c r="CV80" s="328" t="str">
        <f>IFERROR(IF(CV$7&gt;$D$3,"",IF(AN80="Missed","Missed",IF(AN80="OD","OD",IF(AN80="TBC","TBC",IF(AN80="Undefined","Undefined",
IF(_xlfn.XLOOKUP(CV$7,Engineering!$M$22:$BM$22,Engineering!$M$24:$BM$24)="Undefined",_xlfn.XLOOKUP(CV$7,Engineering!$M$22:$BM$22,Engineering!$M$25:$BM$25),
_xlfn.XLOOKUP(CV$7,Engineering!$M$22:$BM$22,Engineering!$M$25:$BM$25)/_xlfn.XLOOKUP(CV$7,Engineering!$M$22:$BM$22,Engineering!$M$24:$BM$24))))))),"")</f>
        <v>Missed</v>
      </c>
      <c r="CW80" s="328" t="str">
        <f>IFERROR(IF(CW$7&gt;$D$3,"",IF(AO80="Missed","Missed",IF(AO80="OD","OD",IF(AO80="TBC","TBC",IF(AO80="Undefined","Undefined",
IF(_xlfn.XLOOKUP(CW$7,Engineering!$M$22:$BM$22,Engineering!$M$24:$BM$24)="Undefined",_xlfn.XLOOKUP(CW$7,Engineering!$M$22:$BM$22,Engineering!$M$25:$BM$25),
_xlfn.XLOOKUP(CW$7,Engineering!$M$22:$BM$22,Engineering!$M$25:$BM$25)/_xlfn.XLOOKUP(CW$7,Engineering!$M$22:$BM$22,Engineering!$M$24:$BM$24))))))),"")</f>
        <v>Missed</v>
      </c>
      <c r="CX80" s="328" t="str">
        <f>IFERROR(IF(CX$7&gt;$D$3,"",IF(AP80="Missed","Missed",IF(AP80="OD","OD",IF(AP80="TBC","TBC",IF(AP80="Undefined","Undefined",
IF(_xlfn.XLOOKUP(CX$7,Engineering!$M$22:$BM$22,Engineering!$M$24:$BM$24)="Undefined",_xlfn.XLOOKUP(CX$7,Engineering!$M$22:$BM$22,Engineering!$M$25:$BM$25),
_xlfn.XLOOKUP(CX$7,Engineering!$M$22:$BM$22,Engineering!$M$25:$BM$25)/_xlfn.XLOOKUP(CX$7,Engineering!$M$22:$BM$22,Engineering!$M$24:$BM$24))))))),"")</f>
        <v>Missed</v>
      </c>
      <c r="CY80" s="328" t="str">
        <f>IFERROR(IF(CY$7&gt;$D$3,"",IF(AQ80="Missed","Missed",IF(AQ80="OD","OD",IF(AQ80="TBC","TBC",IF(AQ80="Undefined","Undefined",
IF(_xlfn.XLOOKUP(CY$7,Engineering!$M$22:$BM$22,Engineering!$M$24:$BM$24)="Undefined",_xlfn.XLOOKUP(CY$7,Engineering!$M$22:$BM$22,Engineering!$M$25:$BM$25),
_xlfn.XLOOKUP(CY$7,Engineering!$M$22:$BM$22,Engineering!$M$25:$BM$25)/_xlfn.XLOOKUP(CY$7,Engineering!$M$22:$BM$22,Engineering!$M$24:$BM$24))))))),"")</f>
        <v>Missed</v>
      </c>
      <c r="CZ80" s="328" t="str">
        <f>IFERROR(IF(CZ$7&gt;$D$3,"",IF(AR80="Missed","Missed",IF(AR80="OD","OD",IF(AR80="TBC","TBC",IF(AR80="Undefined","Undefined",
IF(_xlfn.XLOOKUP(CZ$7,Engineering!$M$22:$BM$22,Engineering!$M$24:$BM$24)="Undefined",_xlfn.XLOOKUP(CZ$7,Engineering!$M$22:$BM$22,Engineering!$M$25:$BM$25),
_xlfn.XLOOKUP(CZ$7,Engineering!$M$22:$BM$22,Engineering!$M$25:$BM$25)/_xlfn.XLOOKUP(CZ$7,Engineering!$M$22:$BM$22,Engineering!$M$24:$BM$24))))))),"")</f>
        <v>Missed</v>
      </c>
      <c r="DA80" s="328" t="str">
        <f>IFERROR(IF(DA$7&gt;$D$3,"",IF(AS80="Missed","Missed",IF(AS80="OD","OD",IF(AS80="TBC","TBC",IF(AS80="Undefined","Undefined",
IF(_xlfn.XLOOKUP(DA$7,Engineering!$M$22:$BM$22,Engineering!$M$24:$BM$24)="Undefined",_xlfn.XLOOKUP(DA$7,Engineering!$M$22:$BM$22,Engineering!$M$25:$BM$25),
_xlfn.XLOOKUP(DA$7,Engineering!$M$22:$BM$22,Engineering!$M$25:$BM$25)/_xlfn.XLOOKUP(DA$7,Engineering!$M$22:$BM$22,Engineering!$M$24:$BM$24))))))),"")</f>
        <v>Missed</v>
      </c>
      <c r="DB80" s="328" t="str">
        <f>IFERROR(IF(DB$7&gt;$D$3,"",IF(AT80="Missed","Missed",IF(AT80="OD","OD",IF(AT80="TBC","TBC",IF(AT80="Undefined","Undefined",
IF(_xlfn.XLOOKUP(DB$7,Engineering!$M$22:$BM$22,Engineering!$M$24:$BM$24)="Undefined",_xlfn.XLOOKUP(DB$7,Engineering!$M$22:$BM$22,Engineering!$M$25:$BM$25),
_xlfn.XLOOKUP(DB$7,Engineering!$M$22:$BM$22,Engineering!$M$25:$BM$25)/_xlfn.XLOOKUP(DB$7,Engineering!$M$22:$BM$22,Engineering!$M$24:$BM$24))))))),"")</f>
        <v>Missed</v>
      </c>
      <c r="DC80" s="328" t="str">
        <f>IFERROR(IF(DC$7&gt;$D$3,"",IF(AU80="Missed","Missed",IF(AU80="OD","OD",IF(AU80="TBC","TBC",IF(AU80="Undefined","Undefined",
IF(_xlfn.XLOOKUP(DC$7,Engineering!$M$22:$BM$22,Engineering!$M$24:$BM$24)="Undefined",_xlfn.XLOOKUP(DC$7,Engineering!$M$22:$BM$22,Engineering!$M$25:$BM$25),
_xlfn.XLOOKUP(DC$7,Engineering!$M$22:$BM$22,Engineering!$M$25:$BM$25)/_xlfn.XLOOKUP(DC$7,Engineering!$M$22:$BM$22,Engineering!$M$24:$BM$24))))))),"")</f>
        <v>Missed</v>
      </c>
      <c r="DD80" s="328" t="str">
        <f>IFERROR(IF(DD$7&gt;$D$3,"",IF(AV80="Missed","Missed",IF(AV80="OD","OD",IF(AV80="TBC","TBC",IF(AV80="Undefined","Undefined",
IF(_xlfn.XLOOKUP(DD$7,Engineering!$M$22:$BM$22,Engineering!$M$24:$BM$24)="Undefined",_xlfn.XLOOKUP(DD$7,Engineering!$M$22:$BM$22,Engineering!$M$25:$BM$25),
_xlfn.XLOOKUP(DD$7,Engineering!$M$22:$BM$22,Engineering!$M$25:$BM$25)/_xlfn.XLOOKUP(DD$7,Engineering!$M$22:$BM$22,Engineering!$M$24:$BM$24))))))),"")</f>
        <v>Missed</v>
      </c>
      <c r="DE80" s="328" t="str">
        <f>IFERROR(IF(DE$7&gt;$D$3,"",IF(AW80="Missed","Missed",IF(AW80="OD","OD",IF(AW80="TBC","TBC",IF(AW80="Undefined","Undefined",
IF(_xlfn.XLOOKUP(DE$7,Engineering!$M$22:$BM$22,Engineering!$M$24:$BM$24)="Undefined",_xlfn.XLOOKUP(DE$7,Engineering!$M$22:$BM$22,Engineering!$M$25:$BM$25),
_xlfn.XLOOKUP(DE$7,Engineering!$M$22:$BM$22,Engineering!$M$25:$BM$25)/_xlfn.XLOOKUP(DE$7,Engineering!$M$22:$BM$22,Engineering!$M$24:$BM$24))))))),"")</f>
        <v>Missed</v>
      </c>
      <c r="DF80" s="328" t="str">
        <f>IFERROR(IF(DF$7&gt;$D$3,"",IF(AX80="Missed","Missed",IF(AX80="OD","OD",IF(AX80="TBC","TBC",IF(AX80="Undefined","Undefined",
IF(_xlfn.XLOOKUP(DF$7,Engineering!$M$22:$BM$22,Engineering!$M$24:$BM$24)="Undefined",_xlfn.XLOOKUP(DF$7,Engineering!$M$22:$BM$22,Engineering!$M$25:$BM$25),
_xlfn.XLOOKUP(DF$7,Engineering!$M$22:$BM$22,Engineering!$M$25:$BM$25)/_xlfn.XLOOKUP(DF$7,Engineering!$M$22:$BM$22,Engineering!$M$24:$BM$24))))))),"")</f>
        <v>Missed</v>
      </c>
      <c r="DG80" s="328" t="str">
        <f>IFERROR(IF(DG$7&gt;$D$3,"",IF(AY80="Missed","Missed",IF(AY80="OD","OD",IF(AY80="TBC","TBC",IF(AY80="Undefined","Undefined",
IF(_xlfn.XLOOKUP(DG$7,Engineering!$M$22:$BM$22,Engineering!$M$24:$BM$24)="Undefined",_xlfn.XLOOKUP(DG$7,Engineering!$M$22:$BM$22,Engineering!$M$25:$BM$25),
_xlfn.XLOOKUP(DG$7,Engineering!$M$22:$BM$22,Engineering!$M$25:$BM$25)/_xlfn.XLOOKUP(DG$7,Engineering!$M$22:$BM$22,Engineering!$M$24:$BM$24))))))),"")</f>
        <v>Missed</v>
      </c>
      <c r="DH80" s="328" t="str">
        <f>IFERROR(IF(DH$7&gt;$D$3,"",IF(AZ80="Missed","Missed",IF(AZ80="OD","OD",IF(AZ80="TBC","TBC",IF(AZ80="Undefined","Undefined",
IF(_xlfn.XLOOKUP(DH$7,Engineering!$M$22:$BM$22,Engineering!$M$24:$BM$24)="Undefined",_xlfn.XLOOKUP(DH$7,Engineering!$M$22:$BM$22,Engineering!$M$25:$BM$25),
_xlfn.XLOOKUP(DH$7,Engineering!$M$22:$BM$22,Engineering!$M$25:$BM$25)/_xlfn.XLOOKUP(DH$7,Engineering!$M$22:$BM$22,Engineering!$M$24:$BM$24))))))),"")</f>
        <v>Missed</v>
      </c>
      <c r="DI80" s="328" t="str">
        <f>IFERROR(IF(DI$7&gt;$D$3,"",IF(BA80="Missed","Missed",IF(BA80="OD","OD",IF(BA80="TBC","TBC",IF(BA80="Undefined","Undefined",
IF(_xlfn.XLOOKUP(DI$7,Engineering!$M$22:$BM$22,Engineering!$M$24:$BM$24)="Undefined",_xlfn.XLOOKUP(DI$7,Engineering!$M$22:$BM$22,Engineering!$M$25:$BM$25),
_xlfn.XLOOKUP(DI$7,Engineering!$M$22:$BM$22,Engineering!$M$25:$BM$25)/_xlfn.XLOOKUP(DI$7,Engineering!$M$22:$BM$22,Engineering!$M$24:$BM$24))))))),"")</f>
        <v>Missed</v>
      </c>
      <c r="DJ80" s="328" t="str">
        <f>IFERROR(IF(DJ$7&gt;$D$3,"",IF(BB80="Missed","Missed",IF(BB80="OD","OD",IF(BB80="TBC","TBC",IF(BB80="Undefined","Undefined",
IF(_xlfn.XLOOKUP(DJ$7,Engineering!$M$22:$BM$22,Engineering!$M$24:$BM$24)="Undefined",_xlfn.XLOOKUP(DJ$7,Engineering!$M$22:$BM$22,Engineering!$M$25:$BM$25),
_xlfn.XLOOKUP(DJ$7,Engineering!$M$22:$BM$22,Engineering!$M$25:$BM$25)/_xlfn.XLOOKUP(DJ$7,Engineering!$M$22:$BM$22,Engineering!$M$24:$BM$24))))))),"")</f>
        <v>Missed</v>
      </c>
      <c r="DK80" s="328">
        <f>IFERROR(IF(DK$7&gt;$D$3,"",IF(BC80="Missed","Missed",IF(BC80="OD","OD",IF(BC80="TBC","TBC",IF(BC80="Undefined","Undefined",
IF(_xlfn.XLOOKUP(DK$7,Engineering!$M$22:$BM$22,Engineering!$M$24:$BM$24)="Undefined",_xlfn.XLOOKUP(DK$7,Engineering!$M$22:$BM$22,Engineering!$M$25:$BM$25),
_xlfn.XLOOKUP(DK$7,Engineering!$M$22:$BM$22,Engineering!$M$25:$BM$25)/_xlfn.XLOOKUP(DK$7,Engineering!$M$22:$BM$22,Engineering!$M$24:$BM$24))))))),"")</f>
        <v>1.25</v>
      </c>
      <c r="DL80" s="328" t="str">
        <f>IFERROR(IF(DL$7&gt;$D$3,"",IF(BD80="Missed","Missed",IF(BD80="OD","OD",IF(BD80="TBC","TBC",IF(BD80="Undefined","Undefined",
IF(_xlfn.XLOOKUP(DL$7,Engineering!$M$22:$BM$22,Engineering!$M$24:$BM$24)="Undefined",_xlfn.XLOOKUP(DL$7,Engineering!$M$22:$BM$22,Engineering!$M$25:$BM$25),
_xlfn.XLOOKUP(DL$7,Engineering!$M$22:$BM$22,Engineering!$M$25:$BM$25)/_xlfn.XLOOKUP(DL$7,Engineering!$M$22:$BM$22,Engineering!$M$24:$BM$24))))))),"")</f>
        <v>OD</v>
      </c>
      <c r="DM80" s="328" t="str">
        <f>IFERROR(IF(DM$7&gt;$D$3,"",IF(BE80="Missed","Missed",IF(BE80="OD","OD",IF(BE80="TBC","TBC",IF(BE80="Undefined","Undefined",
IF(_xlfn.XLOOKUP(DM$7,Engineering!$M$22:$BM$22,Engineering!$M$24:$BM$24)="Undefined",_xlfn.XLOOKUP(DM$7,Engineering!$M$22:$BM$22,Engineering!$M$25:$BM$25),
_xlfn.XLOOKUP(DM$7,Engineering!$M$22:$BM$22,Engineering!$M$25:$BM$25)/_xlfn.XLOOKUP(DM$7,Engineering!$M$22:$BM$22,Engineering!$M$24:$BM$24))))))),"")</f>
        <v>OD</v>
      </c>
      <c r="DN80" s="328" t="str">
        <f>IFERROR(IF(DN$7&gt;$D$3,"",IF(BF80="Missed","Missed",IF(BF80="OD","OD",IF(BF80="TBC","TBC",IF(BF80="Undefined","Undefined",
IF(_xlfn.XLOOKUP(DN$7,Engineering!$M$22:$BM$22,Engineering!$M$24:$BM$24)="Undefined",_xlfn.XLOOKUP(DN$7,Engineering!$M$22:$BM$22,Engineering!$M$25:$BM$25),
_xlfn.XLOOKUP(DN$7,Engineering!$M$22:$BM$22,Engineering!$M$25:$BM$25)/_xlfn.XLOOKUP(DN$7,Engineering!$M$22:$BM$22,Engineering!$M$24:$BM$24))))))),"")</f>
        <v>OD</v>
      </c>
      <c r="DO80" s="328" t="str">
        <f>IFERROR(IF(DO$7&gt;$D$3,"",IF(BG80="Missed","Missed",IF(BG80="OD","OD",IF(BG80="TBC","TBC",IF(BG80="Undefined","Undefined",
IF(_xlfn.XLOOKUP(DO$7,Engineering!$M$22:$BM$22,Engineering!$M$24:$BM$24)="Undefined",_xlfn.XLOOKUP(DO$7,Engineering!$M$22:$BM$22,Engineering!$M$25:$BM$25),
_xlfn.XLOOKUP(DO$7,Engineering!$M$22:$BM$22,Engineering!$M$25:$BM$25)/_xlfn.XLOOKUP(DO$7,Engineering!$M$22:$BM$22,Engineering!$M$24:$BM$24))))))),"")</f>
        <v>TBC</v>
      </c>
      <c r="DP80" s="328" t="str">
        <f>IFERROR(IF(DP$7&gt;$D$3,"",IF(BH80="Missed","Missed",IF(BH80="OD","OD",IF(BH80="TBC","TBC",IF(BH80="Undefined","Undefined",
IF(_xlfn.XLOOKUP(DP$7,Engineering!$M$22:$BM$22,Engineering!$M$24:$BM$24)="Undefined",_xlfn.XLOOKUP(DP$7,Engineering!$M$22:$BM$22,Engineering!$M$25:$BM$25),
_xlfn.XLOOKUP(DP$7,Engineering!$M$22:$BM$22,Engineering!$M$25:$BM$25)/_xlfn.XLOOKUP(DP$7,Engineering!$M$22:$BM$22,Engineering!$M$24:$BM$24))))))),"")</f>
        <v>TBC</v>
      </c>
      <c r="DQ80" s="328" t="str">
        <f>IFERROR(IF(DQ$7&gt;$D$3,"",IF(BI80="Missed","Missed",IF(BI80="OD","OD",IF(BI80="TBC","TBC",IF(BI80="Undefined","Undefined",
IF(_xlfn.XLOOKUP(DQ$7,Engineering!$M$22:$BM$22,Engineering!$M$24:$BM$24)="Undefined",_xlfn.XLOOKUP(DQ$7,Engineering!$M$22:$BM$22,Engineering!$M$25:$BM$25),
_xlfn.XLOOKUP(DQ$7,Engineering!$M$22:$BM$22,Engineering!$M$25:$BM$25)/_xlfn.XLOOKUP(DQ$7,Engineering!$M$22:$BM$22,Engineering!$M$24:$BM$24))))))),"")</f>
        <v>TBC</v>
      </c>
      <c r="DR80" s="328">
        <f>IFERROR(IF(DR$7&gt;$D$3,"",IF(BJ80="Missed","Missed",IF(BJ80="OD","OD",IF(BJ80="TBC","TBC",IF(BJ80="Undefined","Undefined",
IF(_xlfn.XLOOKUP(DR$7,Engineering!$M$22:$BM$22,Engineering!$M$24:$BM$24)="Undefined",_xlfn.XLOOKUP(DR$7,Engineering!$M$22:$BM$22,Engineering!$M$25:$BM$25),
_xlfn.XLOOKUP(DR$7,Engineering!$M$22:$BM$22,Engineering!$M$25:$BM$25)/_xlfn.XLOOKUP(DR$7,Engineering!$M$22:$BM$22,Engineering!$M$24:$BM$24))))))),"")</f>
        <v>0.92499999999999993</v>
      </c>
      <c r="DS80" s="328">
        <f>IFERROR(IF(DS$7&gt;$D$3,"",IF(BK80="Missed","Missed",IF(BK80="OD","OD",IF(BK80="TBC","TBC",IF(BK80="Undefined","Undefined",
IF(_xlfn.XLOOKUP(DS$7,Engineering!$M$22:$BM$22,Engineering!$M$24:$BM$24)="Undefined",_xlfn.XLOOKUP(DS$7,Engineering!$M$22:$BM$22,Engineering!$M$25:$BM$25),
_xlfn.XLOOKUP(DS$7,Engineering!$M$22:$BM$22,Engineering!$M$25:$BM$25)/_xlfn.XLOOKUP(DS$7,Engineering!$M$22:$BM$22,Engineering!$M$24:$BM$24))))))),"")</f>
        <v>0.87499999999999989</v>
      </c>
      <c r="DT80" s="328">
        <f>IFERROR(IF(DT$7&gt;$D$3,"",IF(BL80="Missed","Missed",IF(BL80="OD","OD",IF(BL80="TBC","TBC",IF(BL80="Undefined","Undefined",
IF(_xlfn.XLOOKUP(DT$7,Engineering!$M$22:$BM$22,Engineering!$M$24:$BM$24)="Undefined",_xlfn.XLOOKUP(DT$7,Engineering!$M$22:$BM$22,Engineering!$M$25:$BM$25),
_xlfn.XLOOKUP(DT$7,Engineering!$M$22:$BM$22,Engineering!$M$25:$BM$25)/_xlfn.XLOOKUP(DT$7,Engineering!$M$22:$BM$22,Engineering!$M$24:$BM$24))))))),"")</f>
        <v>1.1874999999999998</v>
      </c>
      <c r="DU80" s="328">
        <f>IFERROR(IF(DU$7&gt;$D$3,"",IF(BM80="Missed","Missed",IF(BM80="OD","OD",IF(BM80="TBC","TBC",IF(BM80="Undefined","Undefined",
IF(_xlfn.XLOOKUP(DU$7,Engineering!$M$22:$BM$22,Engineering!$M$24:$BM$24)="Undefined",_xlfn.XLOOKUP(DU$7,Engineering!$M$22:$BM$22,Engineering!$M$25:$BM$25),
_xlfn.XLOOKUP(DU$7,Engineering!$M$22:$BM$22,Engineering!$M$25:$BM$25)/_xlfn.XLOOKUP(DU$7,Engineering!$M$22:$BM$22,Engineering!$M$24:$BM$24))))))),"")</f>
        <v>1.0249999999999999</v>
      </c>
      <c r="DV80" s="328">
        <f>IFERROR(IF(DV$7&gt;$D$3,"",IF(BN80="Missed","Missed",IF(BN80="OD","OD",IF(BN80="TBC","TBC",IF(BN80="Undefined","Undefined",
IF(_xlfn.XLOOKUP(DV$7,Engineering!$M$22:$BM$22,Engineering!$M$24:$BM$24)="Undefined",_xlfn.XLOOKUP(DV$7,Engineering!$M$22:$BM$22,Engineering!$M$25:$BM$25),
_xlfn.XLOOKUP(DV$7,Engineering!$M$22:$BM$22,Engineering!$M$25:$BM$25)/_xlfn.XLOOKUP(DV$7,Engineering!$M$22:$BM$22,Engineering!$M$24:$BM$24))))))),"")</f>
        <v>1.0249999999999999</v>
      </c>
      <c r="DW80" s="328">
        <f>IFERROR(IF(DW$7&gt;$D$3,"",IF(BO80="Missed","Missed",IF(BO80="OD","OD",IF(BO80="TBC","TBC",IF(BO80="Undefined","Undefined",
IF(_xlfn.XLOOKUP(DW$7,Engineering!$M$22:$BM$22,Engineering!$M$24:$BM$24)="Undefined",_xlfn.XLOOKUP(DW$7,Engineering!$M$22:$BM$22,Engineering!$M$25:$BM$25),
_xlfn.XLOOKUP(DW$7,Engineering!$M$22:$BM$22,Engineering!$M$25:$BM$25)/_xlfn.XLOOKUP(DW$7,Engineering!$M$22:$BM$22,Engineering!$M$24:$BM$24))))))),"")</f>
        <v>1.0125</v>
      </c>
      <c r="DX80" s="328">
        <f>IFERROR(IF(DX$7&gt;$D$3,"",IF(BP80="Missed","Missed",IF(BP80="OD","OD",IF(BP80="TBC","TBC",IF(BP80="Undefined","Undefined",
IF(_xlfn.XLOOKUP(DX$7,Engineering!$M$22:$BM$22,Engineering!$M$24:$BM$24)="Undefined",_xlfn.XLOOKUP(DX$7,Engineering!$M$22:$BM$22,Engineering!$M$25:$BM$25),
_xlfn.XLOOKUP(DX$7,Engineering!$M$22:$BM$22,Engineering!$M$25:$BM$25)/_xlfn.XLOOKUP(DX$7,Engineering!$M$22:$BM$22,Engineering!$M$24:$BM$24))))))),"")</f>
        <v>0.97499999999999998</v>
      </c>
      <c r="DY80" s="328">
        <f>IFERROR(IF(DY$7&gt;$D$3,"",IF(BQ80="Missed","Missed",IF(BQ80="OD","OD",IF(BQ80="TBC","TBC",IF(BQ80="Undefined","Undefined",
IF(_xlfn.XLOOKUP(DY$7,Engineering!$M$22:$BM$22,Engineering!$M$24:$BM$24)="Undefined",_xlfn.XLOOKUP(DY$7,Engineering!$M$22:$BM$22,Engineering!$M$25:$BM$25),
_xlfn.XLOOKUP(DY$7,Engineering!$M$22:$BM$22,Engineering!$M$25:$BM$25)/_xlfn.XLOOKUP(DY$7,Engineering!$M$22:$BM$22,Engineering!$M$24:$BM$24))))))),"")</f>
        <v>0.98750000000000004</v>
      </c>
      <c r="DZ80" s="328">
        <f>IFERROR(IF(DZ$7&gt;$D$3,"",IF(BR80="Missed","Missed",IF(BR80="OD","OD",IF(BR80="TBC","TBC",IF(BR80="Undefined","Undefined",
IF(_xlfn.XLOOKUP(DZ$7,Engineering!$M$22:$BM$22,Engineering!$M$24:$BM$24)="Undefined",_xlfn.XLOOKUP(DZ$7,Engineering!$M$22:$BM$22,Engineering!$M$25:$BM$25),
_xlfn.XLOOKUP(DZ$7,Engineering!$M$22:$BM$22,Engineering!$M$25:$BM$25)/_xlfn.XLOOKUP(DZ$7,Engineering!$M$22:$BM$22,Engineering!$M$24:$BM$24))))))),"")</f>
        <v>0.96750000000000003</v>
      </c>
      <c r="EA80" s="328">
        <f>IFERROR(IF(EA$7&gt;$D$3,"",IF(BS80="Missed","Missed",IF(BS80="OD","OD",IF(BS80="TBC","TBC",IF(BS80="Undefined","Undefined",
IF(_xlfn.XLOOKUP(EA$7,Engineering!$M$22:$BM$22,Engineering!$M$24:$BM$24)="Undefined",_xlfn.XLOOKUP(EA$7,Engineering!$M$22:$BM$22,Engineering!$M$25:$BM$25),
_xlfn.XLOOKUP(EA$7,Engineering!$M$22:$BM$22,Engineering!$M$25:$BM$25)/_xlfn.XLOOKUP(EA$7,Engineering!$M$22:$BM$22,Engineering!$M$24:$BM$24))))))),"")</f>
        <v>0.99375000000000002</v>
      </c>
      <c r="EB80" s="328">
        <f>IFERROR(IF(EB$7&gt;$D$3,"",IF(BT80="Missed","Missed",IF(BT80="OD","OD",IF(BT80="TBC","TBC",IF(BT80="Undefined","Undefined",
IF(_xlfn.XLOOKUP(EB$7,Engineering!$M$22:$BM$22,Engineering!$M$24:$BM$24)="Undefined",_xlfn.XLOOKUP(EB$7,Engineering!$M$22:$BM$22,Engineering!$M$25:$BM$25),
_xlfn.XLOOKUP(EB$7,Engineering!$M$22:$BM$22,Engineering!$M$25:$BM$25)/_xlfn.XLOOKUP(EB$7,Engineering!$M$22:$BM$22,Engineering!$M$24:$BM$24))))))),"")</f>
        <v>1.0249999999999999</v>
      </c>
      <c r="EC80" s="328">
        <f>IFERROR(IF(EC$7&gt;$D$3,"",IF(BU80="Missed","Missed",IF(BU80="OD","OD",IF(BU80="TBC","TBC",IF(BU80="Undefined","Undefined",
IF(_xlfn.XLOOKUP(EC$7,Engineering!$M$22:$BM$22,Engineering!$M$24:$BM$24)="Undefined",_xlfn.XLOOKUP(EC$7,Engineering!$M$22:$BM$22,Engineering!$M$25:$BM$25),
_xlfn.XLOOKUP(EC$7,Engineering!$M$22:$BM$22,Engineering!$M$25:$BM$25)/_xlfn.XLOOKUP(EC$7,Engineering!$M$22:$BM$22,Engineering!$M$24:$BM$24))))))),"")</f>
        <v>0.9375</v>
      </c>
      <c r="ED80" s="328">
        <f>IFERROR(IF(ED$7&gt;$D$3,"",IF(BV80="Missed","Missed",IF(BV80="OD","OD",IF(BV80="TBC","TBC",IF(BV80="Undefined","Undefined",
IF(_xlfn.XLOOKUP(ED$7,Engineering!$M$22:$BM$22,Engineering!$M$24:$BM$24)="Undefined",_xlfn.XLOOKUP(ED$7,Engineering!$M$22:$BM$22,Engineering!$M$25:$BM$25),
_xlfn.XLOOKUP(ED$7,Engineering!$M$22:$BM$22,Engineering!$M$25:$BM$25)/_xlfn.XLOOKUP(ED$7,Engineering!$M$22:$BM$22,Engineering!$M$24:$BM$24))))))),"")</f>
        <v>1.0374999999999999</v>
      </c>
      <c r="EE80" s="328">
        <f>IFERROR(IF(EE$7&gt;$D$3,"",IF(BW80="Missed","Missed",IF(BW80="OD","OD",IF(BW80="TBC","TBC",IF(BW80="Undefined","Undefined",
IF(_xlfn.XLOOKUP(EE$7,Engineering!$M$22:$BM$22,Engineering!$M$24:$BM$24)="Undefined",_xlfn.XLOOKUP(EE$7,Engineering!$M$22:$BM$22,Engineering!$M$25:$BM$25),
_xlfn.XLOOKUP(EE$7,Engineering!$M$22:$BM$22,Engineering!$M$25:$BM$25)/_xlfn.XLOOKUP(EE$7,Engineering!$M$22:$BM$22,Engineering!$M$24:$BM$24))))))),"")</f>
        <v>0.97499999999999998</v>
      </c>
      <c r="EF80" s="328">
        <f>IFERROR(IF(EF$7&gt;$D$3,"",IF(BX80="Missed","Missed",IF(BX80="OD","OD",IF(BX80="TBC","TBC",IF(BX80="Undefined","Undefined",
IF(_xlfn.XLOOKUP(EF$7,Engineering!$M$22:$BM$22,Engineering!$M$24:$BM$24)="Undefined",_xlfn.XLOOKUP(EF$7,Engineering!$M$22:$BM$22,Engineering!$M$25:$BM$25),
_xlfn.XLOOKUP(EF$7,Engineering!$M$22:$BM$22,Engineering!$M$25:$BM$25)/_xlfn.XLOOKUP(EF$7,Engineering!$M$22:$BM$22,Engineering!$M$24:$BM$24))))))),"")</f>
        <v>0.96250000000000002</v>
      </c>
      <c r="EG80" s="328" t="str">
        <f>IFERROR(IF(EG$7&gt;$D$3,"",IF(BY80="Missed","Missed",IF(BY80="OD","OD",IF(BY80="TBC","TBC",IF(BY80="Undefined","Undefined",
IF(_xlfn.XLOOKUP(EG$7,Engineering!$M$22:$BM$22,Engineering!$M$24:$BM$24)="Undefined",_xlfn.XLOOKUP(EG$7,Engineering!$M$22:$BM$22,Engineering!$M$25:$BM$25),
_xlfn.XLOOKUP(EG$7,Engineering!$M$22:$BM$22,Engineering!$M$25:$BM$25)/_xlfn.XLOOKUP(EG$7,Engineering!$M$22:$BM$22,Engineering!$M$24:$BM$24))))))),"")</f>
        <v>OD</v>
      </c>
      <c r="EH80" s="328" t="str">
        <f>IFERROR(IF(EH$7&gt;$D$3,"",IF(BZ80="Missed","Missed",IF(BZ80="OD","OD",IF(BZ80="TBC","TBC",IF(BZ80="Undefined","Undefined",
IF(_xlfn.XLOOKUP(EH$7,Engineering!$M$22:$BM$22,Engineering!$M$24:$BM$24)="Undefined",_xlfn.XLOOKUP(EH$7,Engineering!$M$22:$BM$22,Engineering!$M$25:$BM$25),
_xlfn.XLOOKUP(EH$7,Engineering!$M$22:$BM$22,Engineering!$M$25:$BM$25)/_xlfn.XLOOKUP(EH$7,Engineering!$M$22:$BM$22,Engineering!$M$24:$BM$24))))))),"")</f>
        <v>OD</v>
      </c>
      <c r="EI80" s="328" t="str">
        <f>IFERROR(IF(EI$7&gt;$D$3,"",IF(CA80="Missed","Missed",IF(CA80="OD","OD",IF(CA80="TBC","TBC",IF(CA80="Undefined","Undefined",
IF(_xlfn.XLOOKUP(EI$7,Engineering!$M$22:$BM$22,Engineering!$M$24:$BM$24)="Undefined",_xlfn.XLOOKUP(EI$7,Engineering!$M$22:$BM$22,Engineering!$M$25:$BM$25),
_xlfn.XLOOKUP(EI$7,Engineering!$M$22:$BM$22,Engineering!$M$25:$BM$25)/_xlfn.XLOOKUP(EI$7,Engineering!$M$22:$BM$22,Engineering!$M$24:$BM$24))))))),"")</f>
        <v>OD</v>
      </c>
      <c r="EJ80" s="328" t="str">
        <f>IFERROR(IF(EJ$7&gt;$D$3,"",IF(CB80="Missed","Missed",IF(CB80="OD","OD",IF(CB80="TBC","TBC",IF(CB80="Undefined","Undefined",
IF(_xlfn.XLOOKUP(EJ$7,Engineering!$M$22:$BM$22,Engineering!$M$24:$BM$24)="Undefined",_xlfn.XLOOKUP(EJ$7,Engineering!$M$22:$BM$22,Engineering!$M$25:$BM$25),
_xlfn.XLOOKUP(EJ$7,Engineering!$M$22:$BM$22,Engineering!$M$25:$BM$25)/_xlfn.XLOOKUP(EJ$7,Engineering!$M$22:$BM$22,Engineering!$M$24:$BM$24))))))),"")</f>
        <v>OD</v>
      </c>
      <c r="EK80" s="328" t="str">
        <f>IFERROR(IF(EK$7&gt;$D$3,"",IF(CC80="Missed","Missed",IF(CC80="OD","OD",IF(CC80="TBC","TBC",IF(CC80="Undefined","Undefined",
IF(_xlfn.XLOOKUP(EK$7,Engineering!$M$22:$BM$22,Engineering!$M$24:$BM$24)="Undefined",_xlfn.XLOOKUP(EK$7,Engineering!$M$22:$BM$22,Engineering!$M$25:$BM$25),
_xlfn.XLOOKUP(EK$7,Engineering!$M$22:$BM$22,Engineering!$M$25:$BM$25)/_xlfn.XLOOKUP(EK$7,Engineering!$M$22:$BM$22,Engineering!$M$24:$BM$24))))))),"")</f>
        <v/>
      </c>
      <c r="EL80" s="328" t="str">
        <f>IFERROR(IF(EL$7&gt;$D$3,"",IF(CD80="Missed","Missed",IF(CD80="OD","OD",IF(CD80="TBC","TBC",IF(CD80="Undefined","Undefined",
IF(_xlfn.XLOOKUP(EL$7,Engineering!$M$22:$BM$22,Engineering!$M$24:$BM$24)="Undefined",_xlfn.XLOOKUP(EL$7,Engineering!$M$22:$BM$22,Engineering!$M$25:$BM$25),
_xlfn.XLOOKUP(EL$7,Engineering!$M$22:$BM$22,Engineering!$M$25:$BM$25)/_xlfn.XLOOKUP(EL$7,Engineering!$M$22:$BM$22,Engineering!$M$24:$BM$24))))))),"")</f>
        <v/>
      </c>
      <c r="EM80" s="328" t="str">
        <f>IFERROR(IF(EM$7&gt;$D$3,"",IF(CE80="Missed","Missed",IF(CE80="OD","OD",IF(CE80="TBC","TBC",IF(CE80="Undefined","Undefined",
IF(_xlfn.XLOOKUP(EM$7,Engineering!$M$22:$BM$22,Engineering!$M$24:$BM$24)="Undefined",_xlfn.XLOOKUP(EM$7,Engineering!$M$22:$BM$22,Engineering!$M$25:$BM$25),
_xlfn.XLOOKUP(EM$7,Engineering!$M$22:$BM$22,Engineering!$M$25:$BM$25)/_xlfn.XLOOKUP(EM$7,Engineering!$M$22:$BM$22,Engineering!$M$24:$BM$24))))))),"")</f>
        <v/>
      </c>
      <c r="EN80" s="328" t="str">
        <f>IFERROR(IF(EN$7&gt;$D$3,"",IF(CF80="Missed","Missed",IF(CF80="OD","OD",IF(CF80="TBC","TBC",IF(CF80="Undefined","Undefined",
IF(_xlfn.XLOOKUP(EN$7,Engineering!$M$22:$BM$22,Engineering!$M$24:$BM$24)="Undefined",_xlfn.XLOOKUP(EN$7,Engineering!$M$22:$BM$22,Engineering!$M$25:$BM$25),
_xlfn.XLOOKUP(EN$7,Engineering!$M$22:$BM$22,Engineering!$M$25:$BM$25)/_xlfn.XLOOKUP(EN$7,Engineering!$M$22:$BM$22,Engineering!$M$24:$BM$24))))))),"")</f>
        <v/>
      </c>
      <c r="EO80" s="328" t="str">
        <f>IFERROR(IF(EO$7&gt;$D$3,"",IF(CG80="Missed","Missed",IF(CG80="OD","OD",IF(CG80="TBC","TBC",IF(CG80="Undefined","Undefined",
IF(_xlfn.XLOOKUP(EO$7,Engineering!$M$22:$BM$22,Engineering!$M$24:$BM$24)="Undefined",_xlfn.XLOOKUP(EO$7,Engineering!$M$22:$BM$22,Engineering!$M$25:$BM$25),
_xlfn.XLOOKUP(EO$7,Engineering!$M$22:$BM$22,Engineering!$M$25:$BM$25)/_xlfn.XLOOKUP(EO$7,Engineering!$M$22:$BM$22,Engineering!$M$24:$BM$24))))))),"")</f>
        <v/>
      </c>
      <c r="EP80" s="328" t="str">
        <f>IFERROR(IF(EP$7&gt;$D$3,"",IF(CH80="Missed","Missed",IF(CH80="OD","OD",IF(CH80="TBC","TBC",IF(CH80="Undefined","Undefined",
IF(_xlfn.XLOOKUP(EP$7,Engineering!$M$22:$BM$22,Engineering!$M$24:$BM$24)="Undefined",_xlfn.XLOOKUP(EP$7,Engineering!$M$22:$BM$22,Engineering!$M$25:$BM$25),
_xlfn.XLOOKUP(EP$7,Engineering!$M$22:$BM$22,Engineering!$M$25:$BM$25)/_xlfn.XLOOKUP(EP$7,Engineering!$M$22:$BM$22,Engineering!$M$24:$BM$24))))))),"")</f>
        <v/>
      </c>
      <c r="EQ80" s="328" t="str">
        <f>IFERROR(IF(EQ$7&gt;$D$3,"",IF(CI80="Missed","Missed",IF(CI80="OD","OD",IF(CI80="TBC","TBC",IF(CI80="Undefined","Undefined",
IF(_xlfn.XLOOKUP(EQ$7,Engineering!$M$22:$BM$22,Engineering!$M$24:$BM$24)="Undefined",_xlfn.XLOOKUP(EQ$7,Engineering!$M$22:$BM$22,Engineering!$M$25:$BM$25),
_xlfn.XLOOKUP(EQ$7,Engineering!$M$22:$BM$22,Engineering!$M$25:$BM$25)/_xlfn.XLOOKUP(EQ$7,Engineering!$M$22:$BM$22,Engineering!$M$24:$BM$24))))))),"")</f>
        <v/>
      </c>
      <c r="ER80" s="328" t="str">
        <f>IFERROR(IF(ER$7&gt;$D$3,"",IF(CJ80="Missed","Missed",IF(CJ80="OD","OD",IF(CJ80="TBC","TBC",IF(CJ80="Undefined","Undefined",
IF(_xlfn.XLOOKUP(ER$7,Engineering!$M$22:$BM$22,Engineering!$M$24:$BM$24)="Undefined",_xlfn.XLOOKUP(ER$7,Engineering!$M$22:$BM$22,Engineering!$M$25:$BM$25),
_xlfn.XLOOKUP(ER$7,Engineering!$M$22:$BM$22,Engineering!$M$25:$BM$25)/_xlfn.XLOOKUP(ER$7,Engineering!$M$22:$BM$22,Engineering!$M$24:$BM$24))))))),"")</f>
        <v/>
      </c>
      <c r="ES80" s="328" t="str">
        <f>IFERROR(IF(ES$7&gt;$D$3,"",IF(CK80="Missed","Missed",IF(CK80="OD","OD",IF(CK80="TBC","TBC",IF(CK80="Undefined","Undefined",
IF(_xlfn.XLOOKUP(ES$7,Engineering!$M$22:$BM$22,Engineering!$M$24:$BM$24)="Undefined",_xlfn.XLOOKUP(ES$7,Engineering!$M$22:$BM$22,Engineering!$M$25:$BM$25),
_xlfn.XLOOKUP(ES$7,Engineering!$M$22:$BM$22,Engineering!$M$25:$BM$25)/_xlfn.XLOOKUP(ES$7,Engineering!$M$22:$BM$22,Engineering!$M$24:$BM$24))))))),"")</f>
        <v/>
      </c>
      <c r="ET80" s="328" t="str">
        <f>IFERROR(IF(ET$7&gt;$D$3,"",IF(CL80="Missed","Missed",IF(CL80="OD","OD",IF(CL80="TBC","TBC",IF(CL80="Undefined","Undefined",
IF(_xlfn.XLOOKUP(ET$7,Engineering!$M$22:$BM$22,Engineering!$M$24:$BM$24)="Undefined",_xlfn.XLOOKUP(ET$7,Engineering!$M$22:$BM$22,Engineering!$M$25:$BM$25),
_xlfn.XLOOKUP(ET$7,Engineering!$M$22:$BM$22,Engineering!$M$25:$BM$25)/_xlfn.XLOOKUP(ET$7,Engineering!$M$22:$BM$22,Engineering!$M$24:$BM$24))))))),"")</f>
        <v/>
      </c>
      <c r="EU80" s="328" t="str">
        <f>IFERROR(IF(EU$7&gt;$D$3,"",IF(CM80="Missed","Missed",IF(CM80="OD","OD",IF(CM80="TBC","TBC",IF(CM80="Undefined","Undefined",
IF(_xlfn.XLOOKUP(EU$7,Engineering!$M$22:$BM$22,Engineering!$M$24:$BM$24)="Undefined",_xlfn.XLOOKUP(EU$7,Engineering!$M$22:$BM$22,Engineering!$M$25:$BM$25),
_xlfn.XLOOKUP(EU$7,Engineering!$M$22:$BM$22,Engineering!$M$25:$BM$25)/_xlfn.XLOOKUP(EU$7,Engineering!$M$22:$BM$22,Engineering!$M$24:$BM$24))))))),"")</f>
        <v/>
      </c>
      <c r="EW80" s="711" t="str">
        <f>+$A80</f>
        <v>Engineering-KPI Q1</v>
      </c>
      <c r="EX80" s="705" t="str">
        <f>+$C80</f>
        <v>KPI Q1</v>
      </c>
      <c r="EY80" s="706" t="str">
        <f>+$D80</f>
        <v>Quality</v>
      </c>
      <c r="EZ80" s="706" t="str">
        <f>+$E80</f>
        <v>Proactive v Reactive Maintenance</v>
      </c>
      <c r="FA80" s="707" t="str">
        <f>+$F80</f>
        <v>Days</v>
      </c>
      <c r="FB80" s="707" t="s">
        <v>251</v>
      </c>
      <c r="FC80" s="712" t="str">
        <f>IF(FC$7&gt;$D$3,"",IF($FA79&lt;FC$7,"OD",_xlfn.XLOOKUP(FC$7,Engineering!$M$22:$BM$22,Engineering!$M$25:$BM$25)))</f>
        <v>Blank</v>
      </c>
      <c r="FD80" s="712" t="str">
        <f>IF(FD$7&gt;$D$3,"",IF($FA79&lt;FD$7,"OD",_xlfn.XLOOKUP(FD$7,Engineering!$M$22:$BM$22,Engineering!$M$25:$BM$25)))</f>
        <v>Missed</v>
      </c>
      <c r="FE80" s="712" t="str">
        <f>IF(FE$7&gt;$D$3,"",IF($FA79&lt;FE$7,"OD",_xlfn.XLOOKUP(FE$7,Engineering!$M$22:$BM$22,Engineering!$M$25:$BM$25)))</f>
        <v>Missed</v>
      </c>
      <c r="FF80" s="712" t="str">
        <f>IF(FF$7&gt;$D$3,"",IF($FA79&lt;FF$7,"OD",_xlfn.XLOOKUP(FF$7,Engineering!$M$22:$BM$22,Engineering!$M$25:$BM$25)))</f>
        <v>Missed</v>
      </c>
      <c r="FG80" s="712" t="str">
        <f>IF(FG$7&gt;$D$3,"",IF($FA79&lt;FG$7,"OD",_xlfn.XLOOKUP(FG$7,Engineering!$M$22:$BM$22,Engineering!$M$25:$BM$25)))</f>
        <v>Missed</v>
      </c>
      <c r="FH80" s="712" t="str">
        <f>IF(FH$7&gt;$D$3,"",IF($FA79&lt;FH$7,"OD",_xlfn.XLOOKUP(FH$7,Engineering!$M$22:$BM$22,Engineering!$M$25:$BM$25)))</f>
        <v>Missed</v>
      </c>
      <c r="FI80" s="712" t="str">
        <f>IF(FI$7&gt;$D$3,"",IF($FA79&lt;FI$7,"OD",_xlfn.XLOOKUP(FI$7,Engineering!$M$22:$BM$22,Engineering!$M$25:$BM$25)))</f>
        <v>Missed</v>
      </c>
      <c r="FJ80" s="712" t="str">
        <f>IF(FJ$7&gt;$D$3,"",IF($FA79&lt;FJ$7,"OD",_xlfn.XLOOKUP(FJ$7,Engineering!$M$22:$BM$22,Engineering!$M$25:$BM$25)))</f>
        <v>Missed</v>
      </c>
      <c r="FK80" s="712" t="str">
        <f>IF(FK$7&gt;$D$3,"",IF($FA79&lt;FK$7,"OD",_xlfn.XLOOKUP(FK$7,Engineering!$M$22:$BM$22,Engineering!$M$25:$BM$25)))</f>
        <v>Missed</v>
      </c>
      <c r="FL80" s="712" t="str">
        <f>IF(FL$7&gt;$D$3,"",IF($FA79&lt;FL$7,"OD",_xlfn.XLOOKUP(FL$7,Engineering!$M$22:$BM$22,Engineering!$M$25:$BM$25)))</f>
        <v>Missed</v>
      </c>
      <c r="FM80" s="712" t="str">
        <f>IF(FM$7&gt;$D$3,"",IF($FA79&lt;FM$7,"OD",_xlfn.XLOOKUP(FM$7,Engineering!$M$22:$BM$22,Engineering!$M$25:$BM$25)))</f>
        <v>Missed</v>
      </c>
      <c r="FN80" s="712" t="str">
        <f>IF(FN$7&gt;$D$3,"",IF($FA79&lt;FN$7,"OD",_xlfn.XLOOKUP(FN$7,Engineering!$M$22:$BM$22,Engineering!$M$25:$BM$25)))</f>
        <v>Missed</v>
      </c>
      <c r="FO80" s="712" t="str">
        <f>IF(FO$7&gt;$D$3,"",IF($FA79&lt;FO$7,"OD",_xlfn.XLOOKUP(FO$7,Engineering!$M$22:$BM$22,Engineering!$M$25:$BM$25)))</f>
        <v>Missed</v>
      </c>
      <c r="FP80" s="712" t="str">
        <f>IF(FP$7&gt;$D$3,"",IF($FA79&lt;FP$7,"OD",_xlfn.XLOOKUP(FP$7,Engineering!$M$22:$BM$22,Engineering!$M$25:$BM$25)))</f>
        <v>Missed</v>
      </c>
      <c r="FQ80" s="712" t="str">
        <f>IF(FQ$7&gt;$D$3,"",IF($FA79&lt;FQ$7,"OD",_xlfn.XLOOKUP(FQ$7,Engineering!$M$22:$BM$22,Engineering!$M$25:$BM$25)))</f>
        <v>Missed</v>
      </c>
      <c r="FR80" s="712" t="str">
        <f>IF(FR$7&gt;$D$3,"",IF($FA79&lt;FR$7,"OD",_xlfn.XLOOKUP(FR$7,Engineering!$M$22:$BM$22,Engineering!$M$25:$BM$25)))</f>
        <v>Missed</v>
      </c>
      <c r="FS80" s="712">
        <f>IF(FS$7&gt;$D$3,"",IF($FA79&lt;FS$7,"OD",_xlfn.XLOOKUP(FS$7,Engineering!$M$22:$BM$22,Engineering!$M$25:$BM$25)))</f>
        <v>1</v>
      </c>
      <c r="FT80" s="712" t="str">
        <f>IF(FT$7&gt;$D$3,"",IF($FA79&lt;FT$7,"OD",_xlfn.XLOOKUP(FT$7,Engineering!$M$22:$BM$22,Engineering!$M$25:$BM$25)))</f>
        <v>OD</v>
      </c>
      <c r="FU80" s="712" t="str">
        <f>IF(FU$7&gt;$D$3,"",IF($FA79&lt;FU$7,"OD",_xlfn.XLOOKUP(FU$7,Engineering!$M$22:$BM$22,Engineering!$M$25:$BM$25)))</f>
        <v>OD</v>
      </c>
      <c r="FV80" s="712" t="str">
        <f>IF(FV$7&gt;$D$3,"",IF($FA79&lt;FV$7,"OD",_xlfn.XLOOKUP(FV$7,Engineering!$M$22:$BM$22,Engineering!$M$25:$BM$25)))</f>
        <v>OD</v>
      </c>
      <c r="FW80" s="712" t="str">
        <f>IF(FW$7&gt;$D$3,"",IF($FA79&lt;FW$7,"OD",_xlfn.XLOOKUP(FW$7,Engineering!$M$22:$BM$22,Engineering!$M$25:$BM$25)))</f>
        <v>TBC</v>
      </c>
      <c r="FX80" s="712" t="str">
        <f>IF(FX$7&gt;$D$3,"",IF($FA79&lt;FX$7,"OD",_xlfn.XLOOKUP(FX$7,Engineering!$M$22:$BM$22,Engineering!$M$25:$BM$25)))</f>
        <v>TBC</v>
      </c>
      <c r="FY80" s="712" t="str">
        <f>IF(FY$7&gt;$D$3,"",IF($FA79&lt;FY$7,"OD",_xlfn.XLOOKUP(FY$7,Engineering!$M$22:$BM$22,Engineering!$M$25:$BM$25)))</f>
        <v>TBC</v>
      </c>
      <c r="FZ80" s="712">
        <f>IF(FZ$7&gt;$D$3,"",IF($FA79&lt;FZ$7,"OD",_xlfn.XLOOKUP(FZ$7,Engineering!$M$22:$BM$22,Engineering!$M$25:$BM$25)))</f>
        <v>0.74</v>
      </c>
      <c r="GA80" s="712">
        <f>IF(GA$7&gt;$D$3,"",IF($FA79&lt;GA$7,"OD",_xlfn.XLOOKUP(GA$7,Engineering!$M$22:$BM$22,Engineering!$M$25:$BM$25)))</f>
        <v>0.7</v>
      </c>
      <c r="GB80" s="712">
        <f>IF(GB$7&gt;$D$3,"",IF($FA79&lt;GB$7,"OD",_xlfn.XLOOKUP(GB$7,Engineering!$M$22:$BM$22,Engineering!$M$25:$BM$25)))</f>
        <v>0.95</v>
      </c>
      <c r="GC80" s="712">
        <f>IF(GC$7&gt;$D$3,"",IF($FA79&lt;GC$7,"OD",_xlfn.XLOOKUP(GC$7,Engineering!$M$22:$BM$22,Engineering!$M$25:$BM$25)))</f>
        <v>0.82</v>
      </c>
      <c r="GD80" s="712">
        <f>IF(GD$7&gt;$D$3,"",IF($FA79&lt;GD$7,"OD",_xlfn.XLOOKUP(GD$7,Engineering!$M$22:$BM$22,Engineering!$M$25:$BM$25)))</f>
        <v>0.82</v>
      </c>
      <c r="GE80" s="712">
        <f>IF(GE$7&gt;$D$3,"",IF($FA79&lt;GE$7,"OD",_xlfn.XLOOKUP(GE$7,Engineering!$M$22:$BM$22,Engineering!$M$25:$BM$25)))</f>
        <v>0.81</v>
      </c>
      <c r="GF80" s="712">
        <f>IF(GF$7&gt;$D$3,"",IF($FA79&lt;GF$7,"OD",_xlfn.XLOOKUP(GF$7,Engineering!$M$22:$BM$22,Engineering!$M$25:$BM$25)))</f>
        <v>0.78</v>
      </c>
      <c r="GG80" s="712">
        <f>IF(GG$7&gt;$D$3,"",IF($FA79&lt;GG$7,"OD",_xlfn.XLOOKUP(GG$7,Engineering!$M$22:$BM$22,Engineering!$M$25:$BM$25)))</f>
        <v>0.79</v>
      </c>
      <c r="GH80" s="712">
        <f>IF(GH$7&gt;$D$3,"",IF($FA79&lt;GH$7,"OD",_xlfn.XLOOKUP(GH$7,Engineering!$M$22:$BM$22,Engineering!$M$25:$BM$25)))</f>
        <v>0.77400000000000002</v>
      </c>
      <c r="GI80" s="712">
        <f>IF(GI$7&gt;$D$3,"",IF($FA79&lt;GI$7,"OD",_xlfn.XLOOKUP(GI$7,Engineering!$M$22:$BM$22,Engineering!$M$25:$BM$25)))</f>
        <v>0.79500000000000004</v>
      </c>
      <c r="GJ80" s="712">
        <f>IF(GJ$7&gt;$D$3,"",IF($FA79&lt;GJ$7,"OD",_xlfn.XLOOKUP(GJ$7,Engineering!$M$22:$BM$22,Engineering!$M$25:$BM$25)))</f>
        <v>0.82</v>
      </c>
      <c r="GK80" s="712">
        <f>IF(GK$7&gt;$D$3,"",IF($FA79&lt;GK$7,"OD",_xlfn.XLOOKUP(GK$7,Engineering!$M$22:$BM$22,Engineering!$M$25:$BM$25)))</f>
        <v>0.75</v>
      </c>
      <c r="GL80" s="712">
        <f>IF(GL$7&gt;$D$3,"",IF($FA79&lt;GL$7,"OD",_xlfn.XLOOKUP(GL$7,Engineering!$M$22:$BM$22,Engineering!$M$25:$BM$25)))</f>
        <v>0.83</v>
      </c>
      <c r="GM80" s="712">
        <f>IF(GM$7&gt;$D$3,"",IF($FA79&lt;GM$7,"OD",_xlfn.XLOOKUP(GM$7,Engineering!$M$22:$BM$22,Engineering!$M$25:$BM$25)))</f>
        <v>0.78</v>
      </c>
      <c r="GN80" s="712">
        <f>IF(GN$7&gt;$D$3,"",IF($FA79&lt;GN$7,"OD",_xlfn.XLOOKUP(GN$7,Engineering!$M$22:$BM$22,Engineering!$M$25:$BM$25)))</f>
        <v>0.77</v>
      </c>
      <c r="GO80" s="712" t="str">
        <f>IF(GO$7&gt;$D$3,"",IF($FA79&lt;GO$7,"OD",_xlfn.XLOOKUP(GO$7,Engineering!$M$22:$BM$22,Engineering!$M$25:$BM$25)))</f>
        <v>OD</v>
      </c>
      <c r="GP80" s="712" t="str">
        <f>IF(GP$7&gt;$D$3,"",IF($FA79&lt;GP$7,"OD",_xlfn.XLOOKUP(GP$7,Engineering!$M$22:$BM$22,Engineering!$M$25:$BM$25)))</f>
        <v>OD</v>
      </c>
      <c r="GQ80" s="712" t="str">
        <f>IF(GQ$7&gt;$D$3,"",IF($FA79&lt;GQ$7,"OD",_xlfn.XLOOKUP(GQ$7,Engineering!$M$22:$BM$22,Engineering!$M$25:$BM$25)))</f>
        <v>OD</v>
      </c>
      <c r="GR80" s="712" t="str">
        <f>IF(GR$7&gt;$D$3,"",IF($FA79&lt;GR$7,"OD",_xlfn.XLOOKUP(GR$7,Engineering!$M$22:$BM$22,Engineering!$M$25:$BM$25)))</f>
        <v>OD</v>
      </c>
      <c r="GS80" s="712" t="str">
        <f>IF(GS$7&gt;$D$3,"",IF($FA79&lt;GS$7,"OD",_xlfn.XLOOKUP(GS$7,Engineering!$M$22:$BM$22,Engineering!$M$25:$BM$25)))</f>
        <v/>
      </c>
      <c r="GT80" s="712" t="str">
        <f>IF(GT$7&gt;$D$3,"",IF($FA79&lt;GT$7,"OD",_xlfn.XLOOKUP(GT$7,Engineering!$M$22:$BM$22,Engineering!$M$25:$BM$25)))</f>
        <v/>
      </c>
      <c r="GU80" s="712" t="str">
        <f>IF(GU$7&gt;$D$3,"",IF($FA79&lt;GU$7,"OD",_xlfn.XLOOKUP(GU$7,Engineering!$M$22:$BM$22,Engineering!$M$25:$BM$25)))</f>
        <v/>
      </c>
      <c r="GV80" s="712" t="str">
        <f>IF(GV$7&gt;$D$3,"",IF($FA79&lt;GV$7,"OD",_xlfn.XLOOKUP(GV$7,Engineering!$M$22:$BM$22,Engineering!$M$25:$BM$25)))</f>
        <v/>
      </c>
      <c r="GW80" s="712" t="str">
        <f>IF(GW$7&gt;$D$3,"",IF($FA79&lt;GW$7,"OD",_xlfn.XLOOKUP(GW$7,Engineering!$M$22:$BM$22,Engineering!$M$25:$BM$25)))</f>
        <v/>
      </c>
      <c r="GX80" s="712" t="str">
        <f>IF(GX$7&gt;$D$3,"",IF($FA79&lt;GX$7,"OD",_xlfn.XLOOKUP(GX$7,Engineering!$M$22:$BM$22,Engineering!$M$25:$BM$25)))</f>
        <v/>
      </c>
      <c r="GY80" s="712" t="str">
        <f>IF(GY$7&gt;$D$3,"",IF($FA79&lt;GY$7,"OD",_xlfn.XLOOKUP(GY$7,Engineering!$M$22:$BM$22,Engineering!$M$25:$BM$25)))</f>
        <v/>
      </c>
      <c r="GZ80" s="712" t="str">
        <f>IF(GZ$7&gt;$D$3,"",IF($FA79&lt;GZ$7,"OD",_xlfn.XLOOKUP(GZ$7,Engineering!$M$22:$BM$22,Engineering!$M$25:$BM$25)))</f>
        <v/>
      </c>
      <c r="HA80" s="712" t="str">
        <f>IF(HA$7&gt;$D$3,"",IF($FA79&lt;HA$7,"OD",_xlfn.XLOOKUP(HA$7,Engineering!$M$22:$BM$22,Engineering!$M$25:$BM$25)))</f>
        <v/>
      </c>
      <c r="HB80" s="712" t="str">
        <f>IF(HB$7&gt;$D$3,"",IF($FA79&lt;HB$7,"OD",_xlfn.XLOOKUP(HB$7,Engineering!$M$22:$BM$22,Engineering!$M$25:$BM$25)))</f>
        <v/>
      </c>
      <c r="HC80" s="713" t="str">
        <f>IF(HC$7&gt;$D$3,"",IF($FA79&lt;HC$7,"OD",_xlfn.XLOOKUP(HC$7,Engineering!$M$22:$BM$22,Engineering!$M$25:$BM$25)))</f>
        <v/>
      </c>
      <c r="HE80" s="705" t="str">
        <f>+$C80</f>
        <v>KPI Q1</v>
      </c>
      <c r="HF80" s="706" t="str">
        <f>+$D80</f>
        <v>Quality</v>
      </c>
      <c r="HG80" s="706" t="str">
        <f>+$E80</f>
        <v>Proactive v Reactive Maintenance</v>
      </c>
      <c r="HH80" s="707" t="str">
        <f>+$F80</f>
        <v>Days</v>
      </c>
      <c r="HI80" s="707" t="s">
        <v>44</v>
      </c>
      <c r="HJ80" s="712" t="str">
        <f>IF(HJ$7&gt;$D$3,"",IF($FA79&lt;HJ$7,"OD",_xlfn.XLOOKUP(HJ$8,Engineering!$M$22:$BM$22,Engineering!$M$24:$BM$24)))</f>
        <v>Blank</v>
      </c>
      <c r="HK80" s="712">
        <f>IF(HK$7&gt;$D$3,"",IF($FA79&lt;HK$7,"OD",_xlfn.XLOOKUP(HK$7,Engineering!$M$22:$BM$22,Engineering!$M$24:$BM$24)))</f>
        <v>0.8</v>
      </c>
      <c r="HL80" s="712">
        <f>IF(HL$7&gt;$D$3,"",IF($FA79&lt;HL$7,"OD",_xlfn.XLOOKUP(HL$7,Engineering!$M$22:$BM$22,Engineering!$M$24:$BM$24)))</f>
        <v>0.8</v>
      </c>
      <c r="HM80" s="712">
        <f>IF(HM$7&gt;$D$3,"",IF($FA79&lt;HM$7,"OD",_xlfn.XLOOKUP(HM$7,Engineering!$M$22:$BM$22,Engineering!$M$24:$BM$24)))</f>
        <v>0.8</v>
      </c>
      <c r="HN80" s="712">
        <f>IF(HN$7&gt;$D$3,"",IF($FA79&lt;HN$7,"OD",_xlfn.XLOOKUP(HN$7,Engineering!$M$22:$BM$22,Engineering!$M$24:$BM$24)))</f>
        <v>0.8</v>
      </c>
      <c r="HO80" s="712">
        <f>IF(HO$7&gt;$D$3,"",IF($FA79&lt;HO$7,"OD",_xlfn.XLOOKUP(HO$7,Engineering!$M$22:$BM$22,Engineering!$M$24:$BM$24)))</f>
        <v>0.8</v>
      </c>
      <c r="HP80" s="712">
        <f>IF(HP$7&gt;$D$3,"",IF($FA79&lt;HP$7,"OD",_xlfn.XLOOKUP(HP$7,Engineering!$M$22:$BM$22,Engineering!$M$24:$BM$24)))</f>
        <v>0.8</v>
      </c>
      <c r="HQ80" s="712">
        <f>IF(HQ$7&gt;$D$3,"",IF($FA79&lt;HQ$7,"OD",_xlfn.XLOOKUP(HQ$7,Engineering!$M$22:$BM$22,Engineering!$M$24:$BM$24)))</f>
        <v>0.8</v>
      </c>
      <c r="HR80" s="712">
        <f>IF(HR$7&gt;$D$3,"",IF($FA79&lt;HR$7,"OD",_xlfn.XLOOKUP(HR$7,Engineering!$M$22:$BM$22,Engineering!$M$24:$BM$24)))</f>
        <v>0.8</v>
      </c>
      <c r="HS80" s="712">
        <f>IF(HS$7&gt;$D$3,"",IF($FA79&lt;HS$7,"OD",_xlfn.XLOOKUP(HS$7,Engineering!$M$22:$BM$22,Engineering!$M$24:$BM$24)))</f>
        <v>0.8</v>
      </c>
      <c r="HT80" s="712">
        <f>IF(HT$7&gt;$D$3,"",IF($FA79&lt;HT$7,"OD",_xlfn.XLOOKUP(HT$7,Engineering!$M$22:$BM$22,Engineering!$M$24:$BM$24)))</f>
        <v>0.8</v>
      </c>
      <c r="HU80" s="712">
        <f>IF(HU$7&gt;$D$3,"",IF($FA79&lt;HU$7,"OD",_xlfn.XLOOKUP(HU$7,Engineering!$M$22:$BM$22,Engineering!$M$24:$BM$24)))</f>
        <v>0.8</v>
      </c>
      <c r="HV80" s="712">
        <f>IF(HV$7&gt;$D$3,"",IF($FA79&lt;HV$7,"OD",_xlfn.XLOOKUP(HV$7,Engineering!$M$22:$BM$22,Engineering!$M$24:$BM$24)))</f>
        <v>0.8</v>
      </c>
      <c r="HW80" s="712">
        <f>IF(HW$7&gt;$D$3,"",IF($FA79&lt;HW$7,"OD",_xlfn.XLOOKUP(HW$7,Engineering!$M$22:$BM$22,Engineering!$M$24:$BM$24)))</f>
        <v>0.8</v>
      </c>
      <c r="HX80" s="712">
        <f>IF(HX$7&gt;$D$3,"",IF($FA79&lt;HX$7,"OD",_xlfn.XLOOKUP(HX$7,Engineering!$M$22:$BM$22,Engineering!$M$24:$BM$24)))</f>
        <v>0.8</v>
      </c>
      <c r="HY80" s="712">
        <f>IF(HY$7&gt;$D$3,"",IF($FA79&lt;HY$7,"OD",_xlfn.XLOOKUP(HY$7,Engineering!$M$22:$BM$22,Engineering!$M$24:$BM$24)))</f>
        <v>0.8</v>
      </c>
      <c r="HZ80" s="712">
        <f>IF(HZ$7&gt;$D$3,"",IF($FA79&lt;HZ$7,"OD",_xlfn.XLOOKUP(HZ$7,Engineering!$M$22:$BM$22,Engineering!$M$24:$BM$24)))</f>
        <v>0.8</v>
      </c>
      <c r="IA80" s="712">
        <f>IF(IA$7&gt;$D$3,"",IF($FA79&lt;IA$7,"OD",_xlfn.XLOOKUP(IA$7,Engineering!$M$22:$BM$22,Engineering!$M$24:$BM$24)))</f>
        <v>0.8</v>
      </c>
      <c r="IB80" s="712">
        <f>IF(IB$7&gt;$D$3,"",IF($FA79&lt;IB$7,"OD",_xlfn.XLOOKUP(IB$7,Engineering!$M$22:$BM$22,Engineering!$M$24:$BM$24)))</f>
        <v>0.8</v>
      </c>
      <c r="IC80" s="712">
        <f>IF(IC$7&gt;$D$3,"",IF($FA79&lt;IC$7,"OD",_xlfn.XLOOKUP(IC$7,Engineering!$M$22:$BM$22,Engineering!$M$24:$BM$24)))</f>
        <v>0.8</v>
      </c>
      <c r="ID80" s="712">
        <f>IF(ID$7&gt;$D$3,"",IF($FA79&lt;ID$7,"OD",_xlfn.XLOOKUP(ID$7,Engineering!$M$22:$BM$22,Engineering!$M$24:$BM$24)))</f>
        <v>0.8</v>
      </c>
      <c r="IE80" s="712">
        <f>IF(IE$7&gt;$D$3,"",IF($FA79&lt;IE$7,"OD",_xlfn.XLOOKUP(IE$7,Engineering!$M$22:$BM$22,Engineering!$M$24:$BM$24)))</f>
        <v>0.8</v>
      </c>
      <c r="IF80" s="712">
        <f>IF(IF$7&gt;$D$3,"",IF($FA79&lt;IF$7,"OD",_xlfn.XLOOKUP(IF$7,Engineering!$M$22:$BM$22,Engineering!$M$24:$BM$24)))</f>
        <v>0.8</v>
      </c>
      <c r="IG80" s="712">
        <f>IF(IG$7&gt;$D$3,"",IF($FA79&lt;IG$7,"OD",_xlfn.XLOOKUP(IG$7,Engineering!$M$22:$BM$22,Engineering!$M$24:$BM$24)))</f>
        <v>0.8</v>
      </c>
      <c r="IH80" s="712">
        <f>IF(IH$7&gt;$D$3,"",IF($FA79&lt;IH$7,"OD",_xlfn.XLOOKUP(IH$7,Engineering!$M$22:$BM$22,Engineering!$M$24:$BM$24)))</f>
        <v>0.8</v>
      </c>
      <c r="II80" s="712">
        <f>IF(II$7&gt;$D$3,"",IF($FA79&lt;II$7,"OD",_xlfn.XLOOKUP(II$7,Engineering!$M$22:$BM$22,Engineering!$M$24:$BM$24)))</f>
        <v>0.8</v>
      </c>
      <c r="IJ80" s="712">
        <f>IF(IJ$7&gt;$D$3,"",IF($FA79&lt;IJ$7,"OD",_xlfn.XLOOKUP(IJ$7,Engineering!$M$22:$BM$22,Engineering!$M$24:$BM$24)))</f>
        <v>0.8</v>
      </c>
      <c r="IK80" s="712">
        <f>IF(IK$7&gt;$D$3,"",IF($FA79&lt;IK$7,"OD",_xlfn.XLOOKUP(IK$7,Engineering!$M$22:$BM$22,Engineering!$M$24:$BM$24)))</f>
        <v>0.8</v>
      </c>
      <c r="IL80" s="712">
        <f>IF(IL$7&gt;$D$3,"",IF($FA79&lt;IL$7,"OD",_xlfn.XLOOKUP(IL$7,Engineering!$M$22:$BM$22,Engineering!$M$24:$BM$24)))</f>
        <v>0.8</v>
      </c>
      <c r="IM80" s="712">
        <f>IF(IM$7&gt;$D$3,"",IF($FA79&lt;IM$7,"OD",_xlfn.XLOOKUP(IM$7,Engineering!$M$22:$BM$22,Engineering!$M$24:$BM$24)))</f>
        <v>0.8</v>
      </c>
      <c r="IN80" s="712">
        <f>IF(IN$7&gt;$D$3,"",IF($FA79&lt;IN$7,"OD",_xlfn.XLOOKUP(IN$7,Engineering!$M$22:$BM$22,Engineering!$M$24:$BM$24)))</f>
        <v>0.8</v>
      </c>
      <c r="IO80" s="712">
        <f>IF(IO$7&gt;$D$3,"",IF($FA79&lt;IO$7,"OD",_xlfn.XLOOKUP(IO$7,Engineering!$M$22:$BM$22,Engineering!$M$24:$BM$24)))</f>
        <v>0.8</v>
      </c>
      <c r="IP80" s="712">
        <f>IF(IP$7&gt;$D$3,"",IF($FA79&lt;IP$7,"OD",_xlfn.XLOOKUP(IP$7,Engineering!$M$22:$BM$22,Engineering!$M$24:$BM$24)))</f>
        <v>0.8</v>
      </c>
      <c r="IQ80" s="712">
        <f>IF(IQ$7&gt;$D$3,"",IF($FA79&lt;IQ$7,"OD",_xlfn.XLOOKUP(IQ$7,Engineering!$M$22:$BM$22,Engineering!$M$24:$BM$24)))</f>
        <v>0.8</v>
      </c>
      <c r="IR80" s="712">
        <f>IF(IR$7&gt;$D$3,"",IF($FA79&lt;IR$7,"OD",_xlfn.XLOOKUP(IR$7,Engineering!$M$22:$BM$22,Engineering!$M$24:$BM$24)))</f>
        <v>0.8</v>
      </c>
      <c r="IS80" s="712">
        <f>IF(IS$7&gt;$D$3,"",IF($FA79&lt;IS$7,"OD",_xlfn.XLOOKUP(IS$7,Engineering!$M$22:$BM$22,Engineering!$M$24:$BM$24)))</f>
        <v>0.8</v>
      </c>
      <c r="IT80" s="712">
        <f>IF(IT$7&gt;$D$3,"",IF($FA79&lt;IT$7,"OD",_xlfn.XLOOKUP(IT$7,Engineering!$M$22:$BM$22,Engineering!$M$24:$BM$24)))</f>
        <v>0.8</v>
      </c>
      <c r="IU80" s="712">
        <f>IF(IU$7&gt;$D$3,"",IF($FA79&lt;IU$7,"OD",_xlfn.XLOOKUP(IU$7,Engineering!$M$22:$BM$22,Engineering!$M$24:$BM$24)))</f>
        <v>0.8</v>
      </c>
      <c r="IV80" s="712">
        <f>IF(IV$7&gt;$D$3,"",IF($FA79&lt;IV$7,"OD",_xlfn.XLOOKUP(IV$7,Engineering!$M$22:$BM$22,Engineering!$M$24:$BM$24)))</f>
        <v>0.8</v>
      </c>
      <c r="IW80" s="712">
        <f>IF(IW$7&gt;$D$3,"",IF($FA79&lt;IW$7,"OD",_xlfn.XLOOKUP(IW$7,Engineering!$M$22:$BM$22,Engineering!$M$24:$BM$24)))</f>
        <v>0.8</v>
      </c>
      <c r="IX80" s="712">
        <f>IF(IX$7&gt;$D$3,"",IF($FA79&lt;IX$7,"OD",_xlfn.XLOOKUP(IX$7,Engineering!$M$22:$BM$22,Engineering!$M$24:$BM$24)))</f>
        <v>0.8</v>
      </c>
      <c r="IY80" s="712">
        <f>IF(IY$7&gt;$D$3,"",IF($FA79&lt;IY$7,"OD",_xlfn.XLOOKUP(IY$7,Engineering!$M$22:$BM$22,Engineering!$M$24:$BM$24)))</f>
        <v>0.8</v>
      </c>
      <c r="IZ80" s="712" t="str">
        <f>IF(IZ$7&gt;$D$3,"",IF($FA79&lt;IZ$7,"OD",_xlfn.XLOOKUP(IZ$7,Engineering!$M$22:$BM$22,Engineering!$M$24:$BM$24)))</f>
        <v/>
      </c>
      <c r="JA80" s="712" t="str">
        <f>IF(JA$7&gt;$D$3,"",IF($FA79&lt;JA$7,"OD",_xlfn.XLOOKUP(JA$7,Engineering!$M$22:$BM$22,Engineering!$M$24:$BM$24)))</f>
        <v/>
      </c>
      <c r="JB80" s="712" t="str">
        <f>IF(JB$7&gt;$D$3,"",IF($FA79&lt;JB$7,"OD",_xlfn.XLOOKUP(JB$7,Engineering!$M$22:$BM$22,Engineering!$M$24:$BM$24)))</f>
        <v/>
      </c>
      <c r="JC80" s="712" t="str">
        <f>IF(JC$7&gt;$D$3,"",IF($FA79&lt;JC$7,"OD",_xlfn.XLOOKUP(JC$7,Engineering!$M$22:$BM$22,Engineering!$M$24:$BM$24)))</f>
        <v/>
      </c>
      <c r="JD80" s="712" t="str">
        <f>IF(JD$7&gt;$D$3,"",IF($FA79&lt;JD$7,"OD",_xlfn.XLOOKUP(JD$7,Engineering!$M$22:$BM$22,Engineering!$M$24:$BM$24)))</f>
        <v/>
      </c>
      <c r="JE80" s="712" t="str">
        <f>IF(JE$7&gt;$D$3,"",IF($FA79&lt;JE$7,"OD",_xlfn.XLOOKUP(JE$7,Engineering!$M$22:$BM$22,Engineering!$M$24:$BM$24)))</f>
        <v/>
      </c>
      <c r="JF80" s="712" t="str">
        <f>IF(JF$7&gt;$D$3,"",IF($FA79&lt;JF$7,"OD",_xlfn.XLOOKUP(JF$7,Engineering!$M$22:$BM$22,Engineering!$M$24:$BM$24)))</f>
        <v/>
      </c>
      <c r="JG80" s="712" t="str">
        <f>IF(JG$7&gt;$D$3,"",IF($FA79&lt;JG$7,"OD",_xlfn.XLOOKUP(JG$7,Engineering!$M$22:$BM$22,Engineering!$M$24:$BM$24)))</f>
        <v/>
      </c>
      <c r="JH80" s="712" t="str">
        <f>IF(JH$7&gt;$D$3,"",IF($FA79&lt;JH$7,"OD",_xlfn.XLOOKUP(JH$7,Engineering!$M$22:$BM$22,Engineering!$M$24:$BM$24)))</f>
        <v/>
      </c>
      <c r="JI80" s="712" t="str">
        <f>IF(JI$7&gt;$D$3,"",IF($FA79&lt;JI$7,"OD",_xlfn.XLOOKUP(JI$7,Engineering!$M$22:$BM$22,Engineering!$M$24:$BM$24)))</f>
        <v/>
      </c>
      <c r="JJ80" s="713" t="str">
        <f>IF(JJ$7&gt;$D$3,"",IF($FA79&lt;JJ$7,"OD",_xlfn.XLOOKUP(JJ$7,Engineering!$M$22:$BM$22,Engineering!$M$24:$BM$24)))</f>
        <v/>
      </c>
      <c r="JM80" s="705" t="str">
        <f>+$C80</f>
        <v>KPI Q1</v>
      </c>
      <c r="JN80" s="706" t="str">
        <f>+$D80</f>
        <v>Quality</v>
      </c>
      <c r="JO80" s="706" t="str">
        <f>+$E80</f>
        <v>Proactive v Reactive Maintenance</v>
      </c>
      <c r="JP80" s="707" t="str">
        <f>+$F80</f>
        <v>Days</v>
      </c>
      <c r="JQ80" s="707" t="s">
        <v>284</v>
      </c>
      <c r="JR80" s="712" t="str">
        <f>IFERROR(AVERAGE(FC80:$FC80),"")</f>
        <v/>
      </c>
      <c r="JS80" s="712" t="str">
        <f>IFERROR(AVERAGE($FC80:FD80),"")</f>
        <v/>
      </c>
      <c r="JT80" s="712" t="str">
        <f>IFERROR(AVERAGE($FC80:FE80),"")</f>
        <v/>
      </c>
      <c r="JU80" s="712" t="str">
        <f>IFERROR(AVERAGE($FC80:FF80),"")</f>
        <v/>
      </c>
      <c r="JV80" s="712" t="str">
        <f>IFERROR(AVERAGE($FC80:FG80),"")</f>
        <v/>
      </c>
      <c r="JW80" s="712" t="str">
        <f>IFERROR(AVERAGE($FC80:FH80),"")</f>
        <v/>
      </c>
      <c r="JX80" s="712" t="str">
        <f>IFERROR(AVERAGE($FC80:FI80),"")</f>
        <v/>
      </c>
      <c r="JY80" s="712" t="str">
        <f>IFERROR(AVERAGE($FC80:FJ80),"")</f>
        <v/>
      </c>
      <c r="JZ80" s="712" t="str">
        <f>IFERROR(AVERAGE($FC80:FK80),"")</f>
        <v/>
      </c>
      <c r="KA80" s="712" t="str">
        <f>IFERROR(AVERAGE($FC80:FL80),"")</f>
        <v/>
      </c>
      <c r="KB80" s="712" t="str">
        <f>IFERROR(AVERAGE($FC80:FM80),"")</f>
        <v/>
      </c>
      <c r="KC80" s="712" t="str">
        <f>IFERROR(AVERAGE($FC80:FN80),"")</f>
        <v/>
      </c>
      <c r="KD80" s="712" t="str">
        <f>IFERROR(AVERAGE($FC80:FO80),"")</f>
        <v/>
      </c>
      <c r="KE80" s="712" t="str">
        <f>IFERROR(AVERAGE($FC80:FP80),"")</f>
        <v/>
      </c>
      <c r="KF80" s="712" t="str">
        <f>IFERROR(AVERAGE($FC80:FQ80),"")</f>
        <v/>
      </c>
      <c r="KG80" s="712" t="str">
        <f>IFERROR(AVERAGE($FC80:FR80),"")</f>
        <v/>
      </c>
      <c r="KH80" s="712">
        <f>IFERROR(AVERAGE($FC80:FS80),"")</f>
        <v>1</v>
      </c>
      <c r="KI80" s="712">
        <f>IFERROR(AVERAGE($FC80:FT80),"")</f>
        <v>1</v>
      </c>
      <c r="KJ80" s="712">
        <f>IFERROR(AVERAGE($FC80:FU80),"")</f>
        <v>1</v>
      </c>
      <c r="KK80" s="712">
        <f>IFERROR(AVERAGE($FC80:FV80),"")</f>
        <v>1</v>
      </c>
      <c r="KL80" s="712">
        <f>IFERROR(AVERAGE($FC80:FW80),"")</f>
        <v>1</v>
      </c>
      <c r="KM80" s="712">
        <f>IFERROR(AVERAGE($FC80:FX80),"")</f>
        <v>1</v>
      </c>
      <c r="KN80" s="712">
        <f>IFERROR(AVERAGE($FC80:FY80),"")</f>
        <v>1</v>
      </c>
      <c r="KO80" s="712">
        <f>IFERROR(AVERAGE($FC80:FZ80),"")</f>
        <v>0.87</v>
      </c>
      <c r="KP80" s="712">
        <f>IFERROR(AVERAGE($FC80:GA80),"")</f>
        <v>0.81333333333333335</v>
      </c>
      <c r="KQ80" s="712">
        <f>IFERROR(AVERAGE($FC80:GB80),"")</f>
        <v>0.84749999999999992</v>
      </c>
      <c r="KR80" s="712">
        <f>IFERROR(AVERAGE($FC80:GC80),"")</f>
        <v>0.84199999999999997</v>
      </c>
      <c r="KS80" s="712">
        <f>IFERROR(AVERAGE($FC80:GD80),"")</f>
        <v>0.83833333333333337</v>
      </c>
      <c r="KT80" s="712">
        <f>IFERROR(AVERAGE($FC80:GE80),"")</f>
        <v>0.8342857142857143</v>
      </c>
      <c r="KU80" s="712">
        <f>IFERROR(AVERAGE($FC80:GF80),"")</f>
        <v>0.82750000000000001</v>
      </c>
      <c r="KV80" s="712">
        <f>IFERROR(AVERAGE($FC80:GG80),"")</f>
        <v>0.82333333333333336</v>
      </c>
      <c r="KW80" s="712">
        <f>IFERROR(AVERAGE($FC80:GH80),"")</f>
        <v>0.81840000000000013</v>
      </c>
      <c r="KX80" s="712">
        <f>IFERROR(AVERAGE($FC80:GI80),"")</f>
        <v>0.81627272727272737</v>
      </c>
      <c r="KY80" s="712">
        <f>IFERROR(AVERAGE($FC80:GJ80),"")</f>
        <v>0.81658333333333344</v>
      </c>
      <c r="KZ80" s="712">
        <f>IFERROR(AVERAGE($FC80:GK80),"")</f>
        <v>0.81146153846153857</v>
      </c>
      <c r="LA80" s="712">
        <f>IFERROR(AVERAGE($FC80:GL80),"")</f>
        <v>0.81278571428571433</v>
      </c>
      <c r="LB80" s="712">
        <f>IFERROR(AVERAGE($FC80:GM80),"")</f>
        <v>0.8106000000000001</v>
      </c>
      <c r="LC80" s="712">
        <f>IFERROR(AVERAGE($FC80:GN80),"")</f>
        <v>0.80806250000000002</v>
      </c>
      <c r="LD80" s="712">
        <f>IFERROR(AVERAGE($FC80:GO80),"")</f>
        <v>0.80806250000000002</v>
      </c>
      <c r="LE80" s="712">
        <f>IFERROR(AVERAGE($FC80:GP80),"")</f>
        <v>0.80806250000000002</v>
      </c>
      <c r="LF80" s="712">
        <f>IFERROR(AVERAGE($FC80:GQ80),"")</f>
        <v>0.80806250000000002</v>
      </c>
      <c r="LG80" s="712">
        <f>IFERROR(AVERAGE($FC80:GR80),"")</f>
        <v>0.80806250000000002</v>
      </c>
      <c r="LH80" s="712">
        <f>IFERROR(AVERAGE($FC80:GS80),"")</f>
        <v>0.80806250000000002</v>
      </c>
      <c r="LI80" s="712">
        <f>IFERROR(AVERAGE($FC80:GT80),"")</f>
        <v>0.80806250000000002</v>
      </c>
      <c r="LJ80" s="712">
        <f>IFERROR(AVERAGE($FC80:GU80),"")</f>
        <v>0.80806250000000002</v>
      </c>
      <c r="LK80" s="712">
        <f>IFERROR(AVERAGE($FC80:GV80),"")</f>
        <v>0.80806250000000002</v>
      </c>
      <c r="LL80" s="712">
        <f>IFERROR(AVERAGE($FC80:GW80),"")</f>
        <v>0.80806250000000002</v>
      </c>
      <c r="LM80" s="712">
        <f>IFERROR(AVERAGE($FC80:GX80),"")</f>
        <v>0.80806250000000002</v>
      </c>
      <c r="LN80" s="712">
        <f>IFERROR(AVERAGE($FC80:GY80),"")</f>
        <v>0.80806250000000002</v>
      </c>
      <c r="LO80" s="712">
        <f>IFERROR(AVERAGE($FC80:GZ80),"")</f>
        <v>0.80806250000000002</v>
      </c>
      <c r="LP80" s="712">
        <f>IFERROR(AVERAGE($FC80:HA80),"")</f>
        <v>0.80806250000000002</v>
      </c>
      <c r="LQ80" s="712">
        <f>IFERROR(AVERAGE($FC80:HB80),"")</f>
        <v>0.80806250000000002</v>
      </c>
      <c r="LR80" s="713">
        <f>IFERROR(AVERAGE($FC80:HC80),"")</f>
        <v>0.80806250000000002</v>
      </c>
      <c r="LT80" s="714" t="str">
        <f>+$C80</f>
        <v>KPI Q1</v>
      </c>
      <c r="LU80" s="725" t="str">
        <f>+$D80</f>
        <v>Quality</v>
      </c>
      <c r="LV80" s="706" t="str">
        <f>+$E80</f>
        <v>Proactive v Reactive Maintenance</v>
      </c>
      <c r="LW80" s="707" t="str">
        <f>+$F80</f>
        <v>Days</v>
      </c>
      <c r="LX80" s="707" t="s">
        <v>285</v>
      </c>
      <c r="LY80" s="712" t="str">
        <f>IFERROR(AVERAGE($HJ80:HJ80),"")</f>
        <v/>
      </c>
      <c r="LZ80" s="712">
        <f>IFERROR(IF(LAD$8&gt;$F$4,"",AVERAGE($HJ80:HK80)),"")</f>
        <v>0.8</v>
      </c>
      <c r="MA80" s="712">
        <f>IFERROR(IF(MA$8&gt;$F$4,"",AVERAGE($HJ80:HL80)),"")</f>
        <v>0.8</v>
      </c>
      <c r="MB80" s="712">
        <f>IFERROR(IF(MB$8&gt;$F$4,"",AVERAGE($HJ80:HM80)),"")</f>
        <v>0.80000000000000016</v>
      </c>
      <c r="MC80" s="712">
        <f>IFERROR(IF(MC$8&gt;$F$4,"",AVERAGE($HJ80:HN80)),"")</f>
        <v>0.8</v>
      </c>
      <c r="MD80" s="712">
        <f>IFERROR(IF(MD$8&gt;$F$4,"",AVERAGE($HJ80:HO80)),"")</f>
        <v>0.8</v>
      </c>
      <c r="ME80" s="712">
        <f>IFERROR(IF(ME$8&gt;$F$4,"",AVERAGE($HJ80:HP80)),"")</f>
        <v>0.79999999999999993</v>
      </c>
      <c r="MF80" s="712">
        <f>IFERROR(IF(MF$8&gt;$F$4,"",AVERAGE($HJ80:HQ80)),"")</f>
        <v>0.79999999999999993</v>
      </c>
      <c r="MG80" s="712">
        <f>IFERROR(IF(MG$8&gt;$F$4,"",AVERAGE($HJ80:HR80)),"")</f>
        <v>0.79999999999999993</v>
      </c>
      <c r="MH80" s="712">
        <f>IFERROR(IF(MH$8&gt;$F$4,"",AVERAGE($HJ80:HS80)),"")</f>
        <v>0.79999999999999993</v>
      </c>
      <c r="MI80" s="712">
        <f>IFERROR(IF(MI$8&gt;$F$4,"",AVERAGE($HJ80:HT80)),"")</f>
        <v>0.79999999999999993</v>
      </c>
      <c r="MJ80" s="712">
        <f>IFERROR(IF(MJ$8&gt;$F$4,"",AVERAGE($HJ80:HU80)),"")</f>
        <v>0.79999999999999993</v>
      </c>
      <c r="MK80" s="712">
        <f>IFERROR(IF(MK$8&gt;$F$4,"",AVERAGE($HJ80:HV80)),"")</f>
        <v>0.79999999999999993</v>
      </c>
      <c r="ML80" s="712">
        <f>IFERROR(IF(ML$8&gt;$F$4,"",AVERAGE($HJ80:HW80)),"")</f>
        <v>0.8</v>
      </c>
      <c r="MM80" s="712">
        <f>IFERROR(IF(MM$8&gt;$F$4,"",AVERAGE($HJ80:HX80)),"")</f>
        <v>0.8</v>
      </c>
      <c r="MN80" s="712">
        <f>IFERROR(IF(MN$8&gt;$F$4,"",AVERAGE($HJ80:HY80)),"")</f>
        <v>0.80000000000000016</v>
      </c>
      <c r="MO80" s="712">
        <f>IFERROR(IF(MO$8&gt;$F$4,"",AVERAGE($HJ80:HZ80)),"")</f>
        <v>0.80000000000000016</v>
      </c>
      <c r="MP80" s="712">
        <f>IFERROR(IF(MP$8&gt;$F$4,"",AVERAGE($HJ80:IA80)),"")</f>
        <v>0.80000000000000016</v>
      </c>
      <c r="MQ80" s="712">
        <f>IFERROR(IF(MQ$8&gt;$F$4,"",AVERAGE($HJ80:IB80)),"")</f>
        <v>0.80000000000000027</v>
      </c>
      <c r="MR80" s="712">
        <f>IFERROR(IF(MR$8&gt;$F$4,"",AVERAGE($HJ80:IC80)),"")</f>
        <v>0.80000000000000027</v>
      </c>
      <c r="MS80" s="712">
        <f>IFERROR(IF(MS$8&gt;$F$4,"",AVERAGE($HJ80:ID80)),"")</f>
        <v>0.80000000000000016</v>
      </c>
      <c r="MT80" s="712">
        <f>IFERROR(IF(MT$8&gt;$F$4,"",AVERAGE($HJ80:IE80)),"")</f>
        <v>0.80000000000000016</v>
      </c>
      <c r="MU80" s="712">
        <f>IFERROR(IF(MU$8&gt;$F$4,"",AVERAGE($HJ80:IF80)),"")</f>
        <v>0.80000000000000027</v>
      </c>
      <c r="MV80" s="712">
        <f>IFERROR(IF(MV$8&gt;$F$4,"",AVERAGE($HJ80:IG80)),"")</f>
        <v>0.80000000000000027</v>
      </c>
      <c r="MW80" s="712">
        <f>IFERROR(IF(MW$8&gt;$F$4,"",AVERAGE($HJ80:IH80)),"")</f>
        <v>0.80000000000000027</v>
      </c>
      <c r="MX80" s="712">
        <f>IFERROR(IF(MX$8&gt;$F$4,"",AVERAGE($HJ80:II80)),"")</f>
        <v>0.80000000000000027</v>
      </c>
      <c r="MY80" s="712">
        <f>IFERROR(IF(MY$8&gt;$F$4,"",AVERAGE($HJ80:IJ80)),"")</f>
        <v>0.80000000000000027</v>
      </c>
      <c r="MZ80" s="712">
        <f>IFERROR(IF(MZ$8&gt;$F$4,"",AVERAGE($HJ80:IK80)),"")</f>
        <v>0.80000000000000027</v>
      </c>
      <c r="NA80" s="712">
        <f>IFERROR(IF(NA$8&gt;$F$4,"",AVERAGE($HJ80:IL80)),"")</f>
        <v>0.80000000000000038</v>
      </c>
      <c r="NB80" s="712">
        <f>IFERROR(IF(NB$8&gt;$F$4,"",AVERAGE($HJ80:IM80)),"")</f>
        <v>0.80000000000000038</v>
      </c>
      <c r="NC80" s="712">
        <f>IFERROR(IF(NC$8&gt;$F$4,"",AVERAGE($HJ80:IN80)),"")</f>
        <v>0.80000000000000038</v>
      </c>
      <c r="ND80" s="712">
        <f>IFERROR(IF(ND$8&gt;$F$4,"",AVERAGE($HJ80:IO80)),"")</f>
        <v>0.80000000000000038</v>
      </c>
      <c r="NE80" s="712">
        <f>IFERROR(IF(NE$8&gt;$F$4,"",AVERAGE($HJ80:IP80)),"")</f>
        <v>0.80000000000000038</v>
      </c>
      <c r="NF80" s="712">
        <f>IFERROR(IF(NF$8&gt;$F$4,"",AVERAGE($HJ80:IQ80)),"")</f>
        <v>0.80000000000000038</v>
      </c>
      <c r="NG80" s="712">
        <f>IFERROR(IF(NG$8&gt;$F$4,"",AVERAGE($HJ80:IR80)),"")</f>
        <v>0.80000000000000038</v>
      </c>
      <c r="NH80" s="712">
        <f>IFERROR(IF(NH$8&gt;$F$4,"",AVERAGE($HJ80:IS80)),"")</f>
        <v>0.80000000000000038</v>
      </c>
      <c r="NI80" s="712">
        <f>IFERROR(IF(NI$8&gt;$F$4,"",AVERAGE($HJ80:IT80)),"")</f>
        <v>0.80000000000000038</v>
      </c>
      <c r="NJ80" s="712">
        <f>IFERROR(IF(NJ$8&gt;$F$4,"",AVERAGE($HJ80:IU80)),"")</f>
        <v>0.80000000000000038</v>
      </c>
      <c r="NK80" s="712">
        <f>IFERROR(IF(NK$8&gt;$F$4,"",AVERAGE($HJ80:IV80)),"")</f>
        <v>0.80000000000000038</v>
      </c>
      <c r="NL80" s="712">
        <f>IFERROR(IF(NL$8&gt;$F$4,"",AVERAGE($HJ80:IW80)),"")</f>
        <v>0.80000000000000049</v>
      </c>
      <c r="NM80" s="712">
        <f>IFERROR(IF(NM$8&gt;$F$4,"",AVERAGE($HJ80:IX80)),"")</f>
        <v>0.80000000000000038</v>
      </c>
      <c r="NN80" s="712">
        <f>IFERROR(IF(NN$8&gt;$F$4,"",AVERAGE($HJ80:IY80)),"")</f>
        <v>0.80000000000000027</v>
      </c>
      <c r="NO80" s="712">
        <f>IFERROR(IF(NO$8&gt;$F$4,"",AVERAGE($HJ80:IZ80)),"")</f>
        <v>0.80000000000000027</v>
      </c>
      <c r="NP80" s="712">
        <f>IFERROR(IF(NP$8&gt;$F$4,"",AVERAGE($HJ80:JA80)),"")</f>
        <v>0.80000000000000027</v>
      </c>
      <c r="NQ80" s="712" t="str">
        <f>IFERROR(IF(NQ$8&gt;$F$4,"",AVERAGE($HJ80:JB80)),"")</f>
        <v/>
      </c>
      <c r="NR80" s="712" t="str">
        <f>IFERROR(IF(NR$8&gt;$F$4,"",AVERAGE($HJ80:JC80)),"")</f>
        <v/>
      </c>
      <c r="NS80" s="712" t="str">
        <f>IFERROR(IF(NS$8&gt;$F$4,"",AVERAGE($HJ80:JD80)),"")</f>
        <v/>
      </c>
      <c r="NT80" s="712" t="str">
        <f>IFERROR(IF(NT$8&gt;$F$4,"",AVERAGE($HJ80:JE80)),"")</f>
        <v/>
      </c>
      <c r="NU80" s="712" t="str">
        <f>IFERROR(IF(NU$8&gt;$F$4,"",AVERAGE($HJ80:JF80)),"")</f>
        <v/>
      </c>
      <c r="NV80" s="712" t="str">
        <f>IFERROR(IF(NV$8&gt;$F$4,"",AVERAGE($HJ80:JG80)),"")</f>
        <v/>
      </c>
      <c r="NW80" s="712" t="str">
        <f>IFERROR(IF(NW$8&gt;$F$4,"",AVERAGE($HJ80:JH80)),"")</f>
        <v/>
      </c>
      <c r="NX80" s="712" t="str">
        <f>IFERROR(IF(NX$8&gt;$F$4,"",AVERAGE($HJ80:JI80)),"")</f>
        <v/>
      </c>
      <c r="NY80" s="713" t="str">
        <f>IFERROR(IF(NY$8&gt;$F$4,"",AVERAGE($HJ80:JJ80)),"")</f>
        <v/>
      </c>
    </row>
    <row r="81" spans="1:389" s="715" customFormat="1" x14ac:dyDescent="0.3">
      <c r="A81" s="715" t="str">
        <f>$B$75&amp;"-"&amp;C81</f>
        <v>Engineering-KPI Q2</v>
      </c>
      <c r="B81" s="421"/>
      <c r="C81" s="136" t="str">
        <f>+'KPI Stats'!C80</f>
        <v>KPI Q2</v>
      </c>
      <c r="D81" s="144" t="str">
        <f>+'KPI Stats'!D80</f>
        <v>Quality</v>
      </c>
      <c r="E81" s="144" t="s">
        <v>685</v>
      </c>
      <c r="F81" s="145">
        <f>+'KPI Stats'!F78</f>
        <v>42</v>
      </c>
      <c r="G81" s="169" t="s">
        <v>185</v>
      </c>
      <c r="J81" s="69" t="str">
        <f>_xlfn.XLOOKUP(J$7,$AM$7:$CM$7,$AM81:$CM81,,FALSE)</f>
        <v>OD</v>
      </c>
      <c r="K81" s="264" t="str">
        <f>_xlfn.XLOOKUP(K$7,$FC$7:$HC$7,$FC81:$HC81,,FALSE)</f>
        <v>OD</v>
      </c>
      <c r="L81" s="278">
        <f>_xlfn.XLOOKUP(L$7,$HJ$7:$JJ$7,$HJ81:$JJ81,,FALSE)</f>
        <v>0</v>
      </c>
      <c r="M81" s="275" t="str">
        <f>_xlfn.XLOOKUP(M$7,$CU$7:$EU$7,$CU81:$EU81,,FALSE)</f>
        <v>OD</v>
      </c>
      <c r="N81"/>
      <c r="O81"/>
      <c r="P81" s="69" t="str">
        <f>_xlfn.XLOOKUP(P$7,$AM$7:$CM$7,$AM81:$CM81,,FALSE)</f>
        <v>OD</v>
      </c>
      <c r="Q81" s="264" t="str">
        <f t="shared" si="271"/>
        <v>OD</v>
      </c>
      <c r="R81" s="278" t="str">
        <f t="shared" si="271"/>
        <v>OD</v>
      </c>
      <c r="S81" s="288" t="str">
        <f t="shared" si="272"/>
        <v>OD</v>
      </c>
      <c r="T81" s="265" t="str">
        <f t="shared" si="272"/>
        <v>OD</v>
      </c>
      <c r="U81" s="295" t="str">
        <f>IF(F78&lt;$R$2,"Not Complete",IF(Q81=R81,"Same −",IF($G81="Over",IF(Q81&lt;R81,"Better ↑","Worse ↓"),IF($G81="Under",IF(Q81&gt;R81,"Better ↑","Worse ↓"),"err"))))</f>
        <v>Same −</v>
      </c>
      <c r="V81"/>
      <c r="W81" s="724"/>
      <c r="X81" s="69" t="str">
        <f>IF(Y81="","",IF(Y81="Blank","",IF(AND(G81="above zero",Y81&gt;0),"R",IF(AA81&gt;1,"G",IF(AA81&gt;0.95,"A","R")))))</f>
        <v>R</v>
      </c>
      <c r="Y81" s="114">
        <f>_xlfn.XLOOKUP(Y$7,$JR$7:$LR$7,$JR81:$LR81,FALSE)</f>
        <v>3.9090909090909092</v>
      </c>
      <c r="Z81" s="114">
        <f>_xlfn.XLOOKUP(Z$7,$LY$7:$NY$7,$LY81:$NY81,FALSE)</f>
        <v>3.7073170731707319</v>
      </c>
      <c r="AA81" s="252">
        <f>IF(G81="Undefined","",IF(G81="under",Y81/Z81,IF(G81="over",Z81/Y81,"err")))</f>
        <v>0.94838343732274533</v>
      </c>
      <c r="AB81" s="295" t="str">
        <f>IF(F78&lt;$Y$7,"TBC",IF(Y81=Z81,"Same −",IF($G81="Over",IF(Z81&lt;Y81,"Better ↑ ","Worse ↓ "),IF($G81="Under",IF(Y81&gt;Z81,"Better ↑ ","Worse ↓ "),"err"))))</f>
        <v xml:space="preserve">Better ↑ </v>
      </c>
      <c r="AC81" s="719" t="str">
        <f>IF(AND(G81="above adero",AD81&gt;0),"R",IF(AF81&gt;1,"G",IF(AF81&gt;0.95,"A","R")))</f>
        <v>A</v>
      </c>
      <c r="AD81" s="720">
        <f>_xlfn.XLOOKUP(AD$7,$JR$7:$LR$7,$JR81:$LR81,FALSE)</f>
        <v>3.9090909090909092</v>
      </c>
      <c r="AE81" s="720">
        <f>_xlfn.XLOOKUP(AE$7,$LY$7:$NY$7,$LY81:$NY81,FALSE)</f>
        <v>3.8</v>
      </c>
      <c r="AF81" s="721">
        <f>IF(G81="Undefined","",IF(G81="under",AD81/AE81,IF(G81="over",AE81/AD81,"err")))</f>
        <v>0.97209302325581393</v>
      </c>
      <c r="AH81" s="722" t="str">
        <f>+$A81</f>
        <v>Engineering-KPI Q2</v>
      </c>
      <c r="AI81" s="723" t="str">
        <f t="shared" ref="AI81" si="274">+C81</f>
        <v>KPI Q2</v>
      </c>
      <c r="AJ81" s="785" t="str">
        <f t="shared" ref="AJ81" si="275">+D81</f>
        <v>Quality</v>
      </c>
      <c r="AK81" s="785" t="str">
        <f t="shared" ref="AK81" si="276">+E81</f>
        <v>Men Time Between Failures</v>
      </c>
      <c r="AL81" s="786">
        <f t="shared" ref="AL81" si="277">+F81</f>
        <v>42</v>
      </c>
      <c r="AM81" s="787" t="str">
        <f>IF(AM$7&gt;$D$3,"",_xlfn.XLOOKUP(AM$7,Engineering!$M$22:$BM$22,Engineering!$M$29:$BM$29))</f>
        <v>Blank</v>
      </c>
      <c r="AN81" s="788" t="str">
        <f>IF(AN$7&gt;$D$3,"",_xlfn.XLOOKUP(AN$7,Engineering!$M$22:$BM$22,Engineering!$M$29:$BM$29))</f>
        <v>Missed</v>
      </c>
      <c r="AO81" s="787" t="str">
        <f>IF(AO$7&gt;$D$3,"",_xlfn.XLOOKUP(AO$7,Engineering!$M$22:$BM$22,Engineering!$M$29:$BM$29))</f>
        <v>Missed</v>
      </c>
      <c r="AP81" s="787" t="str">
        <f>IF(AP$7&gt;$D$3,"",_xlfn.XLOOKUP(AP$7,Engineering!$M$22:$BM$22,Engineering!$M$29:$BM$29))</f>
        <v>Missed</v>
      </c>
      <c r="AQ81" s="787" t="str">
        <f>IF(AQ$7&gt;$D$3,"",_xlfn.XLOOKUP(AQ$7,Engineering!$M$22:$BM$22,Engineering!$M$29:$BM$29))</f>
        <v>Missed</v>
      </c>
      <c r="AR81" s="787" t="str">
        <f>IF(AR$7&gt;$D$3,"",_xlfn.XLOOKUP(AR$7,Engineering!$M$22:$BM$22,Engineering!$M$29:$BM$29))</f>
        <v>Missed</v>
      </c>
      <c r="AS81" s="787" t="str">
        <f>IF(AS$7&gt;$D$3,"",_xlfn.XLOOKUP(AS$7,Engineering!$M$22:$BM$22,Engineering!$M$29:$BM$29))</f>
        <v>Missed</v>
      </c>
      <c r="AT81" s="787" t="str">
        <f>IF(AT$7&gt;$D$3,"",_xlfn.XLOOKUP(AT$7,Engineering!$M$22:$BM$22,Engineering!$M$29:$BM$29))</f>
        <v>Missed</v>
      </c>
      <c r="AU81" s="787" t="str">
        <f>IF(AU$7&gt;$D$3,"",_xlfn.XLOOKUP(AU$7,Engineering!$M$22:$BM$22,Engineering!$M$29:$BM$29))</f>
        <v>Missed</v>
      </c>
      <c r="AV81" s="787" t="str">
        <f>IF(AV$7&gt;$D$3,"",_xlfn.XLOOKUP(AV$7,Engineering!$M$22:$BM$22,Engineering!$M$29:$BM$29))</f>
        <v>Missed</v>
      </c>
      <c r="AW81" s="787" t="str">
        <f>IF(AW$7&gt;$D$3,"",_xlfn.XLOOKUP(AW$7,Engineering!$M$22:$BM$22,Engineering!$M$29:$BM$29))</f>
        <v>Missed</v>
      </c>
      <c r="AX81" s="787" t="str">
        <f>IF(AX$7&gt;$D$3,"",_xlfn.XLOOKUP(AX$7,Engineering!$M$22:$BM$22,Engineering!$M$29:$BM$29))</f>
        <v>Missed</v>
      </c>
      <c r="AY81" s="787" t="str">
        <f>IF(AY$7&gt;$D$3,"",_xlfn.XLOOKUP(AY$7,Engineering!$M$22:$BM$22,Engineering!$M$29:$BM$29))</f>
        <v>Missed</v>
      </c>
      <c r="AZ81" s="787" t="str">
        <f>IF(AZ$7&gt;$D$3,"",_xlfn.XLOOKUP(AZ$7,Engineering!$M$22:$BM$22,Engineering!$M$29:$BM$29))</f>
        <v>Missed</v>
      </c>
      <c r="BA81" s="787" t="str">
        <f>IF(BA$7&gt;$D$3,"",_xlfn.XLOOKUP(BA$7,Engineering!$M$22:$BM$22,Engineering!$M$29:$BM$29))</f>
        <v>Missed</v>
      </c>
      <c r="BB81" s="787" t="str">
        <f>IF(BB$7&gt;$D$3,"",_xlfn.XLOOKUP(BB$7,Engineering!$M$22:$BM$22,Engineering!$M$29:$BM$29))</f>
        <v>Missed</v>
      </c>
      <c r="BC81" s="787" t="str">
        <f>IF(BC$7&gt;$D$3,"",_xlfn.XLOOKUP(BC$7,Engineering!$M$22:$BM$22,Engineering!$M$29:$BM$29))</f>
        <v>Missed</v>
      </c>
      <c r="BD81" s="787" t="str">
        <f>IF(BD$7&gt;$D$3,"",_xlfn.XLOOKUP(BD$7,Engineering!$M$22:$BM$22,Engineering!$M$29:$BM$29))</f>
        <v>OD</v>
      </c>
      <c r="BE81" s="787" t="str">
        <f>IF(BE$7&gt;$D$3,"",_xlfn.XLOOKUP(BE$7,Engineering!$M$22:$BM$22,Engineering!$M$29:$BM$29))</f>
        <v>OD</v>
      </c>
      <c r="BF81" s="787" t="str">
        <f>IF(BF$7&gt;$D$3,"",_xlfn.XLOOKUP(BF$7,Engineering!$M$22:$BM$22,Engineering!$M$29:$BM$29))</f>
        <v>OD</v>
      </c>
      <c r="BG81" s="787" t="str">
        <f>IF(BG$7&gt;$D$3,"",_xlfn.XLOOKUP(BG$7,Engineering!$M$22:$BM$22,Engineering!$M$29:$BM$29))</f>
        <v>OD</v>
      </c>
      <c r="BH81" s="787" t="str">
        <f>IF(BH$7&gt;$D$3,"",_xlfn.XLOOKUP(BH$7,Engineering!$M$22:$BM$22,Engineering!$M$29:$BM$29))</f>
        <v>OD</v>
      </c>
      <c r="BI81" s="787" t="str">
        <f>IF(BI$7&gt;$D$3,"",_xlfn.XLOOKUP(BI$7,Engineering!$M$22:$BM$22,Engineering!$M$29:$BM$29))</f>
        <v>OD</v>
      </c>
      <c r="BJ81" s="787" t="str">
        <f>IF(BJ$7&gt;$D$3,"",_xlfn.XLOOKUP(BJ$7,Engineering!$M$22:$BM$22,Engineering!$M$29:$BM$29))</f>
        <v>OD</v>
      </c>
      <c r="BK81" s="787" t="str">
        <f>IF(BK$7&gt;$D$3,"",_xlfn.XLOOKUP(BK$7,Engineering!$M$22:$BM$22,Engineering!$M$29:$BM$29))</f>
        <v>OD</v>
      </c>
      <c r="BL81" s="787" t="str">
        <f>IF(BL$7&gt;$D$3,"",_xlfn.XLOOKUP(BL$7,Engineering!$M$22:$BM$22,Engineering!$M$29:$BM$29))</f>
        <v>OD</v>
      </c>
      <c r="BM81" s="787" t="str">
        <f>IF(BM$7&gt;$D$3,"",_xlfn.XLOOKUP(BM$7,Engineering!$M$22:$BM$22,Engineering!$M$29:$BM$29))</f>
        <v>OD</v>
      </c>
      <c r="BN81" s="787" t="str">
        <f>IF(BN$7&gt;$D$3,"",_xlfn.XLOOKUP(BN$7,Engineering!$M$22:$BM$22,Engineering!$M$29:$BM$29))</f>
        <v>G</v>
      </c>
      <c r="BO81" s="787" t="str">
        <f>IF(BO$7&gt;$D$3,"",_xlfn.XLOOKUP(BO$7,Engineering!$M$22:$BM$22,Engineering!$M$29:$BM$29))</f>
        <v>G</v>
      </c>
      <c r="BP81" s="787" t="str">
        <f>IF(BP$7&gt;$D$3,"",_xlfn.XLOOKUP(BP$7,Engineering!$M$22:$BM$22,Engineering!$M$29:$BM$29))</f>
        <v>R</v>
      </c>
      <c r="BQ81" s="787" t="str">
        <f>IF(BQ$7&gt;$D$3,"",_xlfn.XLOOKUP(BQ$7,Engineering!$M$22:$BM$22,Engineering!$M$29:$BM$29))</f>
        <v>A</v>
      </c>
      <c r="BR81" s="787" t="str">
        <f>IF(BR$7&gt;$D$3,"",_xlfn.XLOOKUP(BR$7,Engineering!$M$22:$BM$22,Engineering!$M$29:$BM$29))</f>
        <v>G</v>
      </c>
      <c r="BS81" s="787" t="str">
        <f>IF(BS$7&gt;$D$3,"",_xlfn.XLOOKUP(BS$7,Engineering!$M$22:$BM$22,Engineering!$M$29:$BM$29))</f>
        <v>R</v>
      </c>
      <c r="BT81" s="787" t="str">
        <f>IF(BT$7&gt;$D$3,"",_xlfn.XLOOKUP(BT$7,Engineering!$M$22:$BM$22,Engineering!$M$29:$BM$29))</f>
        <v>G</v>
      </c>
      <c r="BU81" s="787" t="str">
        <f>IF(BU$7&gt;$D$3,"",_xlfn.XLOOKUP(BU$7,Engineering!$M$22:$BM$22,Engineering!$M$29:$BM$29))</f>
        <v>G</v>
      </c>
      <c r="BV81" s="787" t="str">
        <f>IF(BV$7&gt;$D$3,"",_xlfn.XLOOKUP(BV$7,Engineering!$M$22:$BM$22,Engineering!$M$29:$BM$29))</f>
        <v>R</v>
      </c>
      <c r="BW81" s="787" t="str">
        <f>IF(BW$7&gt;$D$3,"",_xlfn.XLOOKUP(BW$7,Engineering!$M$22:$BM$22,Engineering!$M$29:$BM$29))</f>
        <v>R</v>
      </c>
      <c r="BX81" s="787" t="str">
        <f>IF(BX$7&gt;$D$3,"",_xlfn.XLOOKUP(BX$7,Engineering!$M$22:$BM$22,Engineering!$M$29:$BM$29))</f>
        <v>R</v>
      </c>
      <c r="BY81" s="787" t="str">
        <f>IF(BY$7&gt;$D$3,"",_xlfn.XLOOKUP(BY$7,Engineering!$M$22:$BM$22,Engineering!$M$29:$BM$29))</f>
        <v>OD</v>
      </c>
      <c r="BZ81" s="787" t="str">
        <f>IF(BZ$7&gt;$D$3,"",_xlfn.XLOOKUP(BZ$7,Engineering!$M$22:$BM$22,Engineering!$M$29:$BM$29))</f>
        <v>OD</v>
      </c>
      <c r="CA81" s="787" t="str">
        <f>IF(CA$7&gt;$D$3,"",_xlfn.XLOOKUP(CA$7,Engineering!$M$22:$BM$22,Engineering!$M$29:$BM$29))</f>
        <v>OD</v>
      </c>
      <c r="CB81" s="787" t="str">
        <f>IF(CB$7&gt;$D$3,"",_xlfn.XLOOKUP(CB$7,Engineering!$M$22:$BM$22,Engineering!$M$29:$BM$29))</f>
        <v>OD</v>
      </c>
      <c r="CC81" s="787" t="str">
        <f>IF(CC$7&gt;$D$3,"",_xlfn.XLOOKUP(CC$7,Engineering!$M$22:$BM$22,Engineering!$M$29:$BM$29))</f>
        <v/>
      </c>
      <c r="CD81" s="787" t="str">
        <f>IF(CD$7&gt;$D$3,"",_xlfn.XLOOKUP(CD$7,Engineering!$M$22:$BM$22,Engineering!$M$29:$BM$29))</f>
        <v/>
      </c>
      <c r="CE81" s="787" t="str">
        <f>IF(CE$7&gt;$D$3,"",_xlfn.XLOOKUP(CE$7,Engineering!$M$22:$BM$22,Engineering!$M$29:$BM$29))</f>
        <v/>
      </c>
      <c r="CF81" s="787" t="str">
        <f>IF(CF$7&gt;$D$3,"",_xlfn.XLOOKUP(CF$7,Engineering!$M$22:$BM$22,Engineering!$M$29:$BM$29))</f>
        <v/>
      </c>
      <c r="CG81" s="787" t="str">
        <f>IF(CG$7&gt;$D$3,"",_xlfn.XLOOKUP(CG$7,Engineering!$M$22:$BM$22,Engineering!$M$29:$BM$29))</f>
        <v/>
      </c>
      <c r="CH81" s="787" t="str">
        <f>IF(CH$7&gt;$D$3,"",_xlfn.XLOOKUP(CH$7,Engineering!$M$22:$BM$22,Engineering!$M$29:$BM$29))</f>
        <v/>
      </c>
      <c r="CI81" s="787" t="str">
        <f>IF(CI$7&gt;$D$3,"",_xlfn.XLOOKUP(CI$7,Engineering!$M$22:$BM$22,Engineering!$M$29:$BM$29))</f>
        <v/>
      </c>
      <c r="CJ81" s="787" t="str">
        <f>IF(CJ$7&gt;$D$3,"",_xlfn.XLOOKUP(CJ$7,Engineering!$M$22:$BM$22,Engineering!$M$29:$BM$29))</f>
        <v/>
      </c>
      <c r="CK81" s="787" t="str">
        <f>IF(CK$7&gt;$D$3,"",_xlfn.XLOOKUP(CK$7,Engineering!$M$22:$BM$22,Engineering!$M$29:$BM$29))</f>
        <v/>
      </c>
      <c r="CL81" s="787" t="str">
        <f>IF(CL$7&gt;$D$3,"",_xlfn.XLOOKUP(CL$7,Engineering!$M$22:$BM$22,Engineering!$M$29:$BM$29))</f>
        <v/>
      </c>
      <c r="CM81" s="789" t="str">
        <f>IF(CM$7&gt;$D$3,"",_xlfn.XLOOKUP(CM$7,Engineering!$M$22:$BM$22,Engineering!$M$29:$BM$29))</f>
        <v/>
      </c>
      <c r="CO81" s="722" t="str">
        <f>+$A81</f>
        <v>Engineering-KPI Q2</v>
      </c>
      <c r="CP81" s="723" t="str">
        <f t="shared" ref="CP81" si="278">+C81</f>
        <v>KPI Q2</v>
      </c>
      <c r="CQ81" s="785" t="str">
        <f t="shared" ref="CQ81" si="279">+D81</f>
        <v>Quality</v>
      </c>
      <c r="CR81" s="785" t="str">
        <f t="shared" ref="CR81" si="280">+E81</f>
        <v>Men Time Between Failures</v>
      </c>
      <c r="CS81" s="786">
        <f t="shared" ref="CS81" si="281">+F81</f>
        <v>42</v>
      </c>
      <c r="CT81" s="786" t="s">
        <v>246</v>
      </c>
      <c r="CU81" s="789" t="str">
        <f>IFERROR(IF(CU$8&gt;$F$4,"",IF(AM81="Undefined","Undefined",IF(AM81="Missed","Missed",IF(AM81="Blank","Blank",IF(AM81="OD","OD",
IF(_xlfn.XLOOKUP(CU$8,Engineering!$M$5:$BM$5,Engineering!#REF!)="Undefined",_xlfn.XLOOKUP(CU$8,Engineering!$M$5:$BM$5,Engineering!#REF!),
_xlfn.XLOOKUP(CU$8,Engineering!$M$5:$BM$5,Engineering!#REF!)/_xlfn.XLOOKUP(CU$8,Engineering!$M$5:$BM$5,Engineering!#REF!)
)))))),"")</f>
        <v>Blank</v>
      </c>
      <c r="CV81" s="796" t="str">
        <f>IFERROR(IF(CV$7&gt;$D$3,"",IF(AN81="Missed","Missed",IF(AN81="OD","OD",IF(AN81="TBC","TBC",IF(AN81="Undefined","Undefined",
IF(_xlfn.XLOOKUP(CV$7,Engineering!$M$22:$BM$22,Engineering!$M$30:$BM$30)="Undefined",_xlfn.XLOOKUP(CV$7,Engineering!$M$22:$BM$22,Engineering!$M$31:$BM$31),
_xlfn.XLOOKUP(CV$7,Engineering!$M$22:$BM$22,Engineering!$M$31:$BM$31)/_xlfn.XLOOKUP(CV$7,Engineering!$M$22:$BM$22,Engineering!$M$30:$BM$30))))))),"")</f>
        <v>Missed</v>
      </c>
      <c r="CW81" s="796" t="str">
        <f>IFERROR(IF(CW$7&gt;$D$3,"",IF(AO81="Missed","Missed",IF(AO81="OD","OD",IF(AO81="TBC","TBC",IF(AO81="Undefined","Undefined",
IF(_xlfn.XLOOKUP(CW$7,Engineering!$M$22:$BM$22,Engineering!$M$30:$BM$30)="Undefined",_xlfn.XLOOKUP(CW$7,Engineering!$M$22:$BM$22,Engineering!$M$31:$BM$31),
_xlfn.XLOOKUP(CW$7,Engineering!$M$22:$BM$22,Engineering!$M$31:$BM$31)/_xlfn.XLOOKUP(CW$7,Engineering!$M$22:$BM$22,Engineering!$M$30:$BM$30))))))),"")</f>
        <v>Missed</v>
      </c>
      <c r="CX81" s="796" t="str">
        <f>IFERROR(IF(CX$7&gt;$D$3,"",IF(AP81="Missed","Missed",IF(AP81="OD","OD",IF(AP81="TBC","TBC",IF(AP81="Undefined","Undefined",
IF(_xlfn.XLOOKUP(CX$7,Engineering!$M$22:$BM$22,Engineering!$M$30:$BM$30)="Undefined",_xlfn.XLOOKUP(CX$7,Engineering!$M$22:$BM$22,Engineering!$M$31:$BM$31),
_xlfn.XLOOKUP(CX$7,Engineering!$M$22:$BM$22,Engineering!$M$31:$BM$31)/_xlfn.XLOOKUP(CX$7,Engineering!$M$22:$BM$22,Engineering!$M$30:$BM$30))))))),"")</f>
        <v>Missed</v>
      </c>
      <c r="CY81" s="796" t="str">
        <f>IFERROR(IF(CY$7&gt;$D$3,"",IF(AQ81="Missed","Missed",IF(AQ81="OD","OD",IF(AQ81="TBC","TBC",IF(AQ81="Undefined","Undefined",
IF(_xlfn.XLOOKUP(CY$7,Engineering!$M$22:$BM$22,Engineering!$M$30:$BM$30)="Undefined",_xlfn.XLOOKUP(CY$7,Engineering!$M$22:$BM$22,Engineering!$M$31:$BM$31),
_xlfn.XLOOKUP(CY$7,Engineering!$M$22:$BM$22,Engineering!$M$31:$BM$31)/_xlfn.XLOOKUP(CY$7,Engineering!$M$22:$BM$22,Engineering!$M$30:$BM$30))))))),"")</f>
        <v>Missed</v>
      </c>
      <c r="CZ81" s="796" t="str">
        <f>IFERROR(IF(CZ$7&gt;$D$3,"",IF(AR81="Missed","Missed",IF(AR81="OD","OD",IF(AR81="TBC","TBC",IF(AR81="Undefined","Undefined",
IF(_xlfn.XLOOKUP(CZ$7,Engineering!$M$22:$BM$22,Engineering!$M$30:$BM$30)="Undefined",_xlfn.XLOOKUP(CZ$7,Engineering!$M$22:$BM$22,Engineering!$M$31:$BM$31),
_xlfn.XLOOKUP(CZ$7,Engineering!$M$22:$BM$22,Engineering!$M$31:$BM$31)/_xlfn.XLOOKUP(CZ$7,Engineering!$M$22:$BM$22,Engineering!$M$30:$BM$30))))))),"")</f>
        <v>Missed</v>
      </c>
      <c r="DA81" s="796" t="str">
        <f>IFERROR(IF(DA$7&gt;$D$3,"",IF(AS81="Missed","Missed",IF(AS81="OD","OD",IF(AS81="TBC","TBC",IF(AS81="Undefined","Undefined",
IF(_xlfn.XLOOKUP(DA$7,Engineering!$M$22:$BM$22,Engineering!$M$30:$BM$30)="Undefined",_xlfn.XLOOKUP(DA$7,Engineering!$M$22:$BM$22,Engineering!$M$31:$BM$31),
_xlfn.XLOOKUP(DA$7,Engineering!$M$22:$BM$22,Engineering!$M$31:$BM$31)/_xlfn.XLOOKUP(DA$7,Engineering!$M$22:$BM$22,Engineering!$M$30:$BM$30))))))),"")</f>
        <v>Missed</v>
      </c>
      <c r="DB81" s="796" t="str">
        <f>IFERROR(IF(DB$7&gt;$D$3,"",IF(AT81="Missed","Missed",IF(AT81="OD","OD",IF(AT81="TBC","TBC",IF(AT81="Undefined","Undefined",
IF(_xlfn.XLOOKUP(DB$7,Engineering!$M$22:$BM$22,Engineering!$M$30:$BM$30)="Undefined",_xlfn.XLOOKUP(DB$7,Engineering!$M$22:$BM$22,Engineering!$M$31:$BM$31),
_xlfn.XLOOKUP(DB$7,Engineering!$M$22:$BM$22,Engineering!$M$31:$BM$31)/_xlfn.XLOOKUP(DB$7,Engineering!$M$22:$BM$22,Engineering!$M$30:$BM$30))))))),"")</f>
        <v>Missed</v>
      </c>
      <c r="DC81" s="796" t="str">
        <f>IFERROR(IF(DC$7&gt;$D$3,"",IF(AU81="Missed","Missed",IF(AU81="OD","OD",IF(AU81="TBC","TBC",IF(AU81="Undefined","Undefined",
IF(_xlfn.XLOOKUP(DC$7,Engineering!$M$22:$BM$22,Engineering!$M$30:$BM$30)="Undefined",_xlfn.XLOOKUP(DC$7,Engineering!$M$22:$BM$22,Engineering!$M$31:$BM$31),
_xlfn.XLOOKUP(DC$7,Engineering!$M$22:$BM$22,Engineering!$M$31:$BM$31)/_xlfn.XLOOKUP(DC$7,Engineering!$M$22:$BM$22,Engineering!$M$30:$BM$30))))))),"")</f>
        <v>Missed</v>
      </c>
      <c r="DD81" s="796" t="str">
        <f>IFERROR(IF(DD$7&gt;$D$3,"",IF(AV81="Missed","Missed",IF(AV81="OD","OD",IF(AV81="TBC","TBC",IF(AV81="Undefined","Undefined",
IF(_xlfn.XLOOKUP(DD$7,Engineering!$M$22:$BM$22,Engineering!$M$30:$BM$30)="Undefined",_xlfn.XLOOKUP(DD$7,Engineering!$M$22:$BM$22,Engineering!$M$31:$BM$31),
_xlfn.XLOOKUP(DD$7,Engineering!$M$22:$BM$22,Engineering!$M$31:$BM$31)/_xlfn.XLOOKUP(DD$7,Engineering!$M$22:$BM$22,Engineering!$M$30:$BM$30))))))),"")</f>
        <v>Missed</v>
      </c>
      <c r="DE81" s="796" t="str">
        <f>IFERROR(IF(DE$7&gt;$D$3,"",IF(AW81="Missed","Missed",IF(AW81="OD","OD",IF(AW81="TBC","TBC",IF(AW81="Undefined","Undefined",
IF(_xlfn.XLOOKUP(DE$7,Engineering!$M$22:$BM$22,Engineering!$M$30:$BM$30)="Undefined",_xlfn.XLOOKUP(DE$7,Engineering!$M$22:$BM$22,Engineering!$M$31:$BM$31),
_xlfn.XLOOKUP(DE$7,Engineering!$M$22:$BM$22,Engineering!$M$31:$BM$31)/_xlfn.XLOOKUP(DE$7,Engineering!$M$22:$BM$22,Engineering!$M$30:$BM$30))))))),"")</f>
        <v>Missed</v>
      </c>
      <c r="DF81" s="796" t="str">
        <f>IFERROR(IF(DF$7&gt;$D$3,"",IF(AX81="Missed","Missed",IF(AX81="OD","OD",IF(AX81="TBC","TBC",IF(AX81="Undefined","Undefined",
IF(_xlfn.XLOOKUP(DF$7,Engineering!$M$22:$BM$22,Engineering!$M$30:$BM$30)="Undefined",_xlfn.XLOOKUP(DF$7,Engineering!$M$22:$BM$22,Engineering!$M$31:$BM$31),
_xlfn.XLOOKUP(DF$7,Engineering!$M$22:$BM$22,Engineering!$M$31:$BM$31)/_xlfn.XLOOKUP(DF$7,Engineering!$M$22:$BM$22,Engineering!$M$30:$BM$30))))))),"")</f>
        <v>Missed</v>
      </c>
      <c r="DG81" s="796" t="str">
        <f>IFERROR(IF(DG$7&gt;$D$3,"",IF(AY81="Missed","Missed",IF(AY81="OD","OD",IF(AY81="TBC","TBC",IF(AY81="Undefined","Undefined",
IF(_xlfn.XLOOKUP(DG$7,Engineering!$M$22:$BM$22,Engineering!$M$30:$BM$30)="Undefined",_xlfn.XLOOKUP(DG$7,Engineering!$M$22:$BM$22,Engineering!$M$31:$BM$31),
_xlfn.XLOOKUP(DG$7,Engineering!$M$22:$BM$22,Engineering!$M$31:$BM$31)/_xlfn.XLOOKUP(DG$7,Engineering!$M$22:$BM$22,Engineering!$M$30:$BM$30))))))),"")</f>
        <v>Missed</v>
      </c>
      <c r="DH81" s="796" t="str">
        <f>IFERROR(IF(DH$7&gt;$D$3,"",IF(AZ81="Missed","Missed",IF(AZ81="OD","OD",IF(AZ81="TBC","TBC",IF(AZ81="Undefined","Undefined",
IF(_xlfn.XLOOKUP(DH$7,Engineering!$M$22:$BM$22,Engineering!$M$30:$BM$30)="Undefined",_xlfn.XLOOKUP(DH$7,Engineering!$M$22:$BM$22,Engineering!$M$31:$BM$31),
_xlfn.XLOOKUP(DH$7,Engineering!$M$22:$BM$22,Engineering!$M$31:$BM$31)/_xlfn.XLOOKUP(DH$7,Engineering!$M$22:$BM$22,Engineering!$M$30:$BM$30))))))),"")</f>
        <v>Missed</v>
      </c>
      <c r="DI81" s="796" t="str">
        <f>IFERROR(IF(DI$7&gt;$D$3,"",IF(BA81="Missed","Missed",IF(BA81="OD","OD",IF(BA81="TBC","TBC",IF(BA81="Undefined","Undefined",
IF(_xlfn.XLOOKUP(DI$7,Engineering!$M$22:$BM$22,Engineering!$M$30:$BM$30)="Undefined",_xlfn.XLOOKUP(DI$7,Engineering!$M$22:$BM$22,Engineering!$M$31:$BM$31),
_xlfn.XLOOKUP(DI$7,Engineering!$M$22:$BM$22,Engineering!$M$31:$BM$31)/_xlfn.XLOOKUP(DI$7,Engineering!$M$22:$BM$22,Engineering!$M$30:$BM$30))))))),"")</f>
        <v>Missed</v>
      </c>
      <c r="DJ81" s="796" t="str">
        <f>IFERROR(IF(DJ$7&gt;$D$3,"",IF(BB81="Missed","Missed",IF(BB81="OD","OD",IF(BB81="TBC","TBC",IF(BB81="Undefined","Undefined",
IF(_xlfn.XLOOKUP(DJ$7,Engineering!$M$22:$BM$22,Engineering!$M$30:$BM$30)="Undefined",_xlfn.XLOOKUP(DJ$7,Engineering!$M$22:$BM$22,Engineering!$M$31:$BM$31),
_xlfn.XLOOKUP(DJ$7,Engineering!$M$22:$BM$22,Engineering!$M$31:$BM$31)/_xlfn.XLOOKUP(DJ$7,Engineering!$M$22:$BM$22,Engineering!$M$30:$BM$30))))))),"")</f>
        <v>Missed</v>
      </c>
      <c r="DK81" s="796" t="str">
        <f>IFERROR(IF(DK$7&gt;$D$3,"",IF(BC81="Missed","Missed",IF(BC81="OD","OD",IF(BC81="TBC","TBC",IF(BC81="Undefined","Undefined",
IF(_xlfn.XLOOKUP(DK$7,Engineering!$M$22:$BM$22,Engineering!$M$30:$BM$30)="Undefined",_xlfn.XLOOKUP(DK$7,Engineering!$M$22:$BM$22,Engineering!$M$31:$BM$31),
_xlfn.XLOOKUP(DK$7,Engineering!$M$22:$BM$22,Engineering!$M$31:$BM$31)/_xlfn.XLOOKUP(DK$7,Engineering!$M$22:$BM$22,Engineering!$M$30:$BM$30))))))),"")</f>
        <v>Missed</v>
      </c>
      <c r="DL81" s="796" t="str">
        <f>IFERROR(IF(DL$7&gt;$D$3,"",IF(BD81="Missed","Missed",IF(BD81="OD","OD",IF(BD81="TBC","TBC",IF(BD81="Undefined","Undefined",
IF(_xlfn.XLOOKUP(DL$7,Engineering!$M$22:$BM$22,Engineering!$M$30:$BM$30)="Undefined",_xlfn.XLOOKUP(DL$7,Engineering!$M$22:$BM$22,Engineering!$M$31:$BM$31),
_xlfn.XLOOKUP(DL$7,Engineering!$M$22:$BM$22,Engineering!$M$31:$BM$31)/_xlfn.XLOOKUP(DL$7,Engineering!$M$22:$BM$22,Engineering!$M$30:$BM$30))))))),"")</f>
        <v>OD</v>
      </c>
      <c r="DM81" s="796" t="str">
        <f>IFERROR(IF(DM$7&gt;$D$3,"",IF(BE81="Missed","Missed",IF(BE81="OD","OD",IF(BE81="TBC","TBC",IF(BE81="Undefined","Undefined",
IF(_xlfn.XLOOKUP(DM$7,Engineering!$M$22:$BM$22,Engineering!$M$30:$BM$30)="Undefined",_xlfn.XLOOKUP(DM$7,Engineering!$M$22:$BM$22,Engineering!$M$31:$BM$31),
_xlfn.XLOOKUP(DM$7,Engineering!$M$22:$BM$22,Engineering!$M$31:$BM$31)/_xlfn.XLOOKUP(DM$7,Engineering!$M$22:$BM$22,Engineering!$M$30:$BM$30))))))),"")</f>
        <v>OD</v>
      </c>
      <c r="DN81" s="796" t="str">
        <f>IFERROR(IF(DN$7&gt;$D$3,"",IF(BF81="Missed","Missed",IF(BF81="OD","OD",IF(BF81="TBC","TBC",IF(BF81="Undefined","Undefined",
IF(_xlfn.XLOOKUP(DN$7,Engineering!$M$22:$BM$22,Engineering!$M$30:$BM$30)="Undefined",_xlfn.XLOOKUP(DN$7,Engineering!$M$22:$BM$22,Engineering!$M$31:$BM$31),
_xlfn.XLOOKUP(DN$7,Engineering!$M$22:$BM$22,Engineering!$M$31:$BM$31)/_xlfn.XLOOKUP(DN$7,Engineering!$M$22:$BM$22,Engineering!$M$30:$BM$30))))))),"")</f>
        <v>OD</v>
      </c>
      <c r="DO81" s="796" t="str">
        <f>IFERROR(IF(DO$7&gt;$D$3,"",IF(BG81="Missed","Missed",IF(BG81="OD","OD",IF(BG81="TBC","TBC",IF(BG81="Undefined","Undefined",
IF(_xlfn.XLOOKUP(DO$7,Engineering!$M$22:$BM$22,Engineering!$M$30:$BM$30)="Undefined",_xlfn.XLOOKUP(DO$7,Engineering!$M$22:$BM$22,Engineering!$M$31:$BM$31),
_xlfn.XLOOKUP(DO$7,Engineering!$M$22:$BM$22,Engineering!$M$31:$BM$31)/_xlfn.XLOOKUP(DO$7,Engineering!$M$22:$BM$22,Engineering!$M$30:$BM$30))))))),"")</f>
        <v>OD</v>
      </c>
      <c r="DP81" s="796" t="str">
        <f>IFERROR(IF(DP$7&gt;$D$3,"",IF(BH81="Missed","Missed",IF(BH81="OD","OD",IF(BH81="TBC","TBC",IF(BH81="Undefined","Undefined",
IF(_xlfn.XLOOKUP(DP$7,Engineering!$M$22:$BM$22,Engineering!$M$30:$BM$30)="Undefined",_xlfn.XLOOKUP(DP$7,Engineering!$M$22:$BM$22,Engineering!$M$31:$BM$31),
_xlfn.XLOOKUP(DP$7,Engineering!$M$22:$BM$22,Engineering!$M$31:$BM$31)/_xlfn.XLOOKUP(DP$7,Engineering!$M$22:$BM$22,Engineering!$M$30:$BM$30))))))),"")</f>
        <v>OD</v>
      </c>
      <c r="DQ81" s="796" t="str">
        <f>IFERROR(IF(DQ$7&gt;$D$3,"",IF(BI81="Missed","Missed",IF(BI81="OD","OD",IF(BI81="TBC","TBC",IF(BI81="Undefined","Undefined",
IF(_xlfn.XLOOKUP(DQ$7,Engineering!$M$22:$BM$22,Engineering!$M$30:$BM$30)="Undefined",_xlfn.XLOOKUP(DQ$7,Engineering!$M$22:$BM$22,Engineering!$M$31:$BM$31),
_xlfn.XLOOKUP(DQ$7,Engineering!$M$22:$BM$22,Engineering!$M$31:$BM$31)/_xlfn.XLOOKUP(DQ$7,Engineering!$M$22:$BM$22,Engineering!$M$30:$BM$30))))))),"")</f>
        <v>OD</v>
      </c>
      <c r="DR81" s="796" t="str">
        <f>IFERROR(IF(DR$7&gt;$D$3,"",IF(BJ81="Missed","Missed",IF(BJ81="OD","OD",IF(BJ81="TBC","TBC",IF(BJ81="Undefined","Undefined",
IF(_xlfn.XLOOKUP(DR$7,Engineering!$M$22:$BM$22,Engineering!$M$30:$BM$30)="Undefined",_xlfn.XLOOKUP(DR$7,Engineering!$M$22:$BM$22,Engineering!$M$31:$BM$31),
_xlfn.XLOOKUP(DR$7,Engineering!$M$22:$BM$22,Engineering!$M$31:$BM$31)/_xlfn.XLOOKUP(DR$7,Engineering!$M$22:$BM$22,Engineering!$M$30:$BM$30))))))),"")</f>
        <v>OD</v>
      </c>
      <c r="DS81" s="796" t="str">
        <f>IFERROR(IF(DS$7&gt;$D$3,"",IF(BK81="Missed","Missed",IF(BK81="OD","OD",IF(BK81="TBC","TBC",IF(BK81="Undefined","Undefined",
IF(_xlfn.XLOOKUP(DS$7,Engineering!$M$22:$BM$22,Engineering!$M$30:$BM$30)="Undefined",_xlfn.XLOOKUP(DS$7,Engineering!$M$22:$BM$22,Engineering!$M$31:$BM$31),
_xlfn.XLOOKUP(DS$7,Engineering!$M$22:$BM$22,Engineering!$M$31:$BM$31)/_xlfn.XLOOKUP(DS$7,Engineering!$M$22:$BM$22,Engineering!$M$30:$BM$30))))))),"")</f>
        <v>OD</v>
      </c>
      <c r="DT81" s="796" t="str">
        <f>IFERROR(IF(DT$7&gt;$D$3,"",IF(BL81="Missed","Missed",IF(BL81="OD","OD",IF(BL81="TBC","TBC",IF(BL81="Undefined","Undefined",
IF(_xlfn.XLOOKUP(DT$7,Engineering!$M$22:$BM$22,Engineering!$M$30:$BM$30)="Undefined",_xlfn.XLOOKUP(DT$7,Engineering!$M$22:$BM$22,Engineering!$M$31:$BM$31),
_xlfn.XLOOKUP(DT$7,Engineering!$M$22:$BM$22,Engineering!$M$31:$BM$31)/_xlfn.XLOOKUP(DT$7,Engineering!$M$22:$BM$22,Engineering!$M$30:$BM$30))))))),"")</f>
        <v>OD</v>
      </c>
      <c r="DU81" s="796" t="str">
        <f>IFERROR(IF(DU$7&gt;$D$3,"",IF(BM81="Missed","Missed",IF(BM81="OD","OD",IF(BM81="TBC","TBC",IF(BM81="Undefined","Undefined",
IF(_xlfn.XLOOKUP(DU$7,Engineering!$M$22:$BM$22,Engineering!$M$30:$BM$30)="Undefined",_xlfn.XLOOKUP(DU$7,Engineering!$M$22:$BM$22,Engineering!$M$31:$BM$31),
_xlfn.XLOOKUP(DU$7,Engineering!$M$22:$BM$22,Engineering!$M$31:$BM$31)/_xlfn.XLOOKUP(DU$7,Engineering!$M$22:$BM$22,Engineering!$M$30:$BM$30))))))),"")</f>
        <v>OD</v>
      </c>
      <c r="DV81" s="796" t="str">
        <f>IFERROR(IF(DV$7&gt;$D$3,"",IF(BN81="Missed","Missed",IF(BN81="OD","OD",IF(BN81="TBC","TBC",IF(BN81="Undefined","Undefined",
IF(_xlfn.XLOOKUP(DV$7,Engineering!$M$22:$BM$22,Engineering!$M$30:$BM$30)="Undefined",_xlfn.XLOOKUP(DV$7,Engineering!$M$22:$BM$22,Engineering!$M$31:$BM$31),
_xlfn.XLOOKUP(DV$7,Engineering!$M$22:$BM$22,Engineering!$M$31:$BM$31)/_xlfn.XLOOKUP(DV$7,Engineering!$M$22:$BM$22,Engineering!$M$30:$BM$30))))))),"")</f>
        <v/>
      </c>
      <c r="DW81" s="796" t="str">
        <f>IFERROR(IF(DW$7&gt;$D$3,"",IF(BO81="Missed","Missed",IF(BO81="OD","OD",IF(BO81="TBC","TBC",IF(BO81="Undefined","Undefined",
IF(_xlfn.XLOOKUP(DW$7,Engineering!$M$22:$BM$22,Engineering!$M$30:$BM$30)="Undefined",_xlfn.XLOOKUP(DW$7,Engineering!$M$22:$BM$22,Engineering!$M$31:$BM$31),
_xlfn.XLOOKUP(DW$7,Engineering!$M$22:$BM$22,Engineering!$M$31:$BM$31)/_xlfn.XLOOKUP(DW$7,Engineering!$M$22:$BM$22,Engineering!$M$30:$BM$30))))))),"")</f>
        <v/>
      </c>
      <c r="DX81" s="796" t="str">
        <f>IFERROR(IF(DX$7&gt;$D$3,"",IF(BP81="Missed","Missed",IF(BP81="OD","OD",IF(BP81="TBC","TBC",IF(BP81="Undefined","Undefined",
IF(_xlfn.XLOOKUP(DX$7,Engineering!$M$22:$BM$22,Engineering!$M$30:$BM$30)="Undefined",_xlfn.XLOOKUP(DX$7,Engineering!$M$22:$BM$22,Engineering!$M$31:$BM$31),
_xlfn.XLOOKUP(DX$7,Engineering!$M$22:$BM$22,Engineering!$M$31:$BM$31)/_xlfn.XLOOKUP(DX$7,Engineering!$M$22:$BM$22,Engineering!$M$30:$BM$30))))))),"")</f>
        <v/>
      </c>
      <c r="DY81" s="796" t="str">
        <f>IFERROR(IF(DY$7&gt;$D$3,"",IF(BQ81="Missed","Missed",IF(BQ81="OD","OD",IF(BQ81="TBC","TBC",IF(BQ81="Undefined","Undefined",
IF(_xlfn.XLOOKUP(DY$7,Engineering!$M$22:$BM$22,Engineering!$M$30:$BM$30)="Undefined",_xlfn.XLOOKUP(DY$7,Engineering!$M$22:$BM$22,Engineering!$M$31:$BM$31),
_xlfn.XLOOKUP(DY$7,Engineering!$M$22:$BM$22,Engineering!$M$31:$BM$31)/_xlfn.XLOOKUP(DY$7,Engineering!$M$22:$BM$22,Engineering!$M$30:$BM$30))))))),"")</f>
        <v/>
      </c>
      <c r="DZ81" s="796" t="str">
        <f>IFERROR(IF(DZ$7&gt;$D$3,"",IF(BR81="Missed","Missed",IF(BR81="OD","OD",IF(BR81="TBC","TBC",IF(BR81="Undefined","Undefined",
IF(_xlfn.XLOOKUP(DZ$7,Engineering!$M$22:$BM$22,Engineering!$M$30:$BM$30)="Undefined",_xlfn.XLOOKUP(DZ$7,Engineering!$M$22:$BM$22,Engineering!$M$31:$BM$31),
_xlfn.XLOOKUP(DZ$7,Engineering!$M$22:$BM$22,Engineering!$M$31:$BM$31)/_xlfn.XLOOKUP(DZ$7,Engineering!$M$22:$BM$22,Engineering!$M$30:$BM$30))))))),"")</f>
        <v/>
      </c>
      <c r="EA81" s="796" t="str">
        <f>IFERROR(IF(EA$7&gt;$D$3,"",IF(BS81="Missed","Missed",IF(BS81="OD","OD",IF(BS81="TBC","TBC",IF(BS81="Undefined","Undefined",
IF(_xlfn.XLOOKUP(EA$7,Engineering!$M$22:$BM$22,Engineering!$M$30:$BM$30)="Undefined",_xlfn.XLOOKUP(EA$7,Engineering!$M$22:$BM$22,Engineering!$M$31:$BM$31),
_xlfn.XLOOKUP(EA$7,Engineering!$M$22:$BM$22,Engineering!$M$31:$BM$31)/_xlfn.XLOOKUP(EA$7,Engineering!$M$22:$BM$22,Engineering!$M$30:$BM$30))))))),"")</f>
        <v/>
      </c>
      <c r="EB81" s="796" t="str">
        <f>IFERROR(IF(EB$7&gt;$D$3,"",IF(BT81="Missed","Missed",IF(BT81="OD","OD",IF(BT81="TBC","TBC",IF(BT81="Undefined","Undefined",
IF(_xlfn.XLOOKUP(EB$7,Engineering!$M$22:$BM$22,Engineering!$M$30:$BM$30)="Undefined",_xlfn.XLOOKUP(EB$7,Engineering!$M$22:$BM$22,Engineering!$M$31:$BM$31),
_xlfn.XLOOKUP(EB$7,Engineering!$M$22:$BM$22,Engineering!$M$31:$BM$31)/_xlfn.XLOOKUP(EB$7,Engineering!$M$22:$BM$22,Engineering!$M$30:$BM$30))))))),"")</f>
        <v/>
      </c>
      <c r="EC81" s="796" t="str">
        <f>IFERROR(IF(EC$7&gt;$D$3,"",IF(BU81="Missed","Missed",IF(BU81="OD","OD",IF(BU81="TBC","TBC",IF(BU81="Undefined","Undefined",
IF(_xlfn.XLOOKUP(EC$7,Engineering!$M$22:$BM$22,Engineering!$M$30:$BM$30)="Undefined",_xlfn.XLOOKUP(EC$7,Engineering!$M$22:$BM$22,Engineering!$M$31:$BM$31),
_xlfn.XLOOKUP(EC$7,Engineering!$M$22:$BM$22,Engineering!$M$31:$BM$31)/_xlfn.XLOOKUP(EC$7,Engineering!$M$22:$BM$22,Engineering!$M$30:$BM$30))))))),"")</f>
        <v/>
      </c>
      <c r="ED81" s="796">
        <f>IFERROR(IF(ED$7&gt;$D$3,"",IF(BV81="Missed","Missed",IF(BV81="OD","OD",IF(BV81="TBC","TBC",IF(BV81="Undefined","Undefined",
IF(_xlfn.XLOOKUP(ED$7,Engineering!$M$22:$BM$22,Engineering!$M$30:$BM$30)="Undefined",_xlfn.XLOOKUP(ED$7,Engineering!$M$22:$BM$22,Engineering!$M$31:$BM$31),
_xlfn.XLOOKUP(ED$7,Engineering!$M$22:$BM$22,Engineering!$M$31:$BM$31)/_xlfn.XLOOKUP(ED$7,Engineering!$M$22:$BM$22,Engineering!$M$30:$BM$30))))))),"")</f>
        <v>0</v>
      </c>
      <c r="EE81" s="796">
        <f>IFERROR(IF(EE$7&gt;$D$3,"",IF(BW81="Missed","Missed",IF(BW81="OD","OD",IF(BW81="TBC","TBC",IF(BW81="Undefined","Undefined",
IF(_xlfn.XLOOKUP(EE$7,Engineering!$M$22:$BM$22,Engineering!$M$30:$BM$30)="Undefined",_xlfn.XLOOKUP(EE$7,Engineering!$M$22:$BM$22,Engineering!$M$31:$BM$31),
_xlfn.XLOOKUP(EE$7,Engineering!$M$22:$BM$22,Engineering!$M$31:$BM$31)/_xlfn.XLOOKUP(EE$7,Engineering!$M$22:$BM$22,Engineering!$M$30:$BM$30))))))),"")</f>
        <v>1</v>
      </c>
      <c r="EF81" s="796">
        <f>IFERROR(IF(EF$7&gt;$D$3,"",IF(BX81="Missed","Missed",IF(BX81="OD","OD",IF(BX81="TBC","TBC",IF(BX81="Undefined","Undefined",
IF(_xlfn.XLOOKUP(EF$7,Engineering!$M$22:$BM$22,Engineering!$M$30:$BM$30)="Undefined",_xlfn.XLOOKUP(EF$7,Engineering!$M$22:$BM$22,Engineering!$M$31:$BM$31),
_xlfn.XLOOKUP(EF$7,Engineering!$M$22:$BM$22,Engineering!$M$31:$BM$31)/_xlfn.XLOOKUP(EF$7,Engineering!$M$22:$BM$22,Engineering!$M$30:$BM$30))))))),"")</f>
        <v>1</v>
      </c>
      <c r="EG81" s="796" t="str">
        <f>IFERROR(IF(EG$7&gt;$D$3,"",IF(BY81="Missed","Missed",IF(BY81="OD","OD",IF(BY81="TBC","TBC",IF(BY81="Undefined","Undefined",
IF(_xlfn.XLOOKUP(EG$7,Engineering!$M$22:$BM$22,Engineering!$M$30:$BM$30)="Undefined",_xlfn.XLOOKUP(EG$7,Engineering!$M$22:$BM$22,Engineering!$M$31:$BM$31),
_xlfn.XLOOKUP(EG$7,Engineering!$M$22:$BM$22,Engineering!$M$31:$BM$31)/_xlfn.XLOOKUP(EG$7,Engineering!$M$22:$BM$22,Engineering!$M$30:$BM$30))))))),"")</f>
        <v>OD</v>
      </c>
      <c r="EH81" s="796" t="str">
        <f>IFERROR(IF(EH$7&gt;$D$3,"",IF(BZ81="Missed","Missed",IF(BZ81="OD","OD",IF(BZ81="TBC","TBC",IF(BZ81="Undefined","Undefined",
IF(_xlfn.XLOOKUP(EH$7,Engineering!$M$22:$BM$22,Engineering!$M$30:$BM$30)="Undefined",_xlfn.XLOOKUP(EH$7,Engineering!$M$22:$BM$22,Engineering!$M$31:$BM$31),
_xlfn.XLOOKUP(EH$7,Engineering!$M$22:$BM$22,Engineering!$M$31:$BM$31)/_xlfn.XLOOKUP(EH$7,Engineering!$M$22:$BM$22,Engineering!$M$30:$BM$30))))))),"")</f>
        <v>OD</v>
      </c>
      <c r="EI81" s="796" t="str">
        <f>IFERROR(IF(EI$7&gt;$D$3,"",IF(CA81="Missed","Missed",IF(CA81="OD","OD",IF(CA81="TBC","TBC",IF(CA81="Undefined","Undefined",
IF(_xlfn.XLOOKUP(EI$7,Engineering!$M$22:$BM$22,Engineering!$M$30:$BM$30)="Undefined",_xlfn.XLOOKUP(EI$7,Engineering!$M$22:$BM$22,Engineering!$M$31:$BM$31),
_xlfn.XLOOKUP(EI$7,Engineering!$M$22:$BM$22,Engineering!$M$31:$BM$31)/_xlfn.XLOOKUP(EI$7,Engineering!$M$22:$BM$22,Engineering!$M$30:$BM$30))))))),"")</f>
        <v>OD</v>
      </c>
      <c r="EJ81" s="796" t="str">
        <f>IFERROR(IF(EJ$7&gt;$D$3,"",IF(CB81="Missed","Missed",IF(CB81="OD","OD",IF(CB81="TBC","TBC",IF(CB81="Undefined","Undefined",
IF(_xlfn.XLOOKUP(EJ$7,Engineering!$M$22:$BM$22,Engineering!$M$30:$BM$30)="Undefined",_xlfn.XLOOKUP(EJ$7,Engineering!$M$22:$BM$22,Engineering!$M$31:$BM$31),
_xlfn.XLOOKUP(EJ$7,Engineering!$M$22:$BM$22,Engineering!$M$31:$BM$31)/_xlfn.XLOOKUP(EJ$7,Engineering!$M$22:$BM$22,Engineering!$M$30:$BM$30))))))),"")</f>
        <v>OD</v>
      </c>
      <c r="EK81" s="796" t="str">
        <f>IFERROR(IF(EK$7&gt;$D$3,"",IF(CC81="Missed","Missed",IF(CC81="OD","OD",IF(CC81="TBC","TBC",IF(CC81="Undefined","Undefined",
IF(_xlfn.XLOOKUP(EK$7,Engineering!$M$22:$BM$22,Engineering!$M$30:$BM$30)="Undefined",_xlfn.XLOOKUP(EK$7,Engineering!$M$22:$BM$22,Engineering!$M$31:$BM$31),
_xlfn.XLOOKUP(EK$7,Engineering!$M$22:$BM$22,Engineering!$M$31:$BM$31)/_xlfn.XLOOKUP(EK$7,Engineering!$M$22:$BM$22,Engineering!$M$30:$BM$30))))))),"")</f>
        <v/>
      </c>
      <c r="EL81" s="796" t="str">
        <f>IFERROR(IF(EL$7&gt;$D$3,"",IF(CD81="Missed","Missed",IF(CD81="OD","OD",IF(CD81="TBC","TBC",IF(CD81="Undefined","Undefined",
IF(_xlfn.XLOOKUP(EL$7,Engineering!$M$22:$BM$22,Engineering!$M$30:$BM$30)="Undefined",_xlfn.XLOOKUP(EL$7,Engineering!$M$22:$BM$22,Engineering!$M$31:$BM$31),
_xlfn.XLOOKUP(EL$7,Engineering!$M$22:$BM$22,Engineering!$M$31:$BM$31)/_xlfn.XLOOKUP(EL$7,Engineering!$M$22:$BM$22,Engineering!$M$30:$BM$30))))))),"")</f>
        <v/>
      </c>
      <c r="EM81" s="796" t="str">
        <f>IFERROR(IF(EM$7&gt;$D$3,"",IF(CE81="Missed","Missed",IF(CE81="OD","OD",IF(CE81="TBC","TBC",IF(CE81="Undefined","Undefined",
IF(_xlfn.XLOOKUP(EM$7,Engineering!$M$22:$BM$22,Engineering!$M$30:$BM$30)="Undefined",_xlfn.XLOOKUP(EM$7,Engineering!$M$22:$BM$22,Engineering!$M$31:$BM$31),
_xlfn.XLOOKUP(EM$7,Engineering!$M$22:$BM$22,Engineering!$M$31:$BM$31)/_xlfn.XLOOKUP(EM$7,Engineering!$M$22:$BM$22,Engineering!$M$30:$BM$30))))))),"")</f>
        <v/>
      </c>
      <c r="EN81" s="796" t="str">
        <f>IFERROR(IF(EN$7&gt;$D$3,"",IF(CF81="Missed","Missed",IF(CF81="OD","OD",IF(CF81="TBC","TBC",IF(CF81="Undefined","Undefined",
IF(_xlfn.XLOOKUP(EN$7,Engineering!$M$22:$BM$22,Engineering!$M$30:$BM$30)="Undefined",_xlfn.XLOOKUP(EN$7,Engineering!$M$22:$BM$22,Engineering!$M$31:$BM$31),
_xlfn.XLOOKUP(EN$7,Engineering!$M$22:$BM$22,Engineering!$M$31:$BM$31)/_xlfn.XLOOKUP(EN$7,Engineering!$M$22:$BM$22,Engineering!$M$30:$BM$30))))))),"")</f>
        <v/>
      </c>
      <c r="EO81" s="796" t="str">
        <f>IFERROR(IF(EO$7&gt;$D$3,"",IF(CG81="Missed","Missed",IF(CG81="OD","OD",IF(CG81="TBC","TBC",IF(CG81="Undefined","Undefined",
IF(_xlfn.XLOOKUP(EO$7,Engineering!$M$22:$BM$22,Engineering!$M$30:$BM$30)="Undefined",_xlfn.XLOOKUP(EO$7,Engineering!$M$22:$BM$22,Engineering!$M$31:$BM$31),
_xlfn.XLOOKUP(EO$7,Engineering!$M$22:$BM$22,Engineering!$M$31:$BM$31)/_xlfn.XLOOKUP(EO$7,Engineering!$M$22:$BM$22,Engineering!$M$30:$BM$30))))))),"")</f>
        <v/>
      </c>
      <c r="EP81" s="796" t="str">
        <f>IFERROR(IF(EP$7&gt;$D$3,"",IF(CH81="Missed","Missed",IF(CH81="OD","OD",IF(CH81="TBC","TBC",IF(CH81="Undefined","Undefined",
IF(_xlfn.XLOOKUP(EP$7,Engineering!$M$22:$BM$22,Engineering!$M$30:$BM$30)="Undefined",_xlfn.XLOOKUP(EP$7,Engineering!$M$22:$BM$22,Engineering!$M$31:$BM$31),
_xlfn.XLOOKUP(EP$7,Engineering!$M$22:$BM$22,Engineering!$M$31:$BM$31)/_xlfn.XLOOKUP(EP$7,Engineering!$M$22:$BM$22,Engineering!$M$30:$BM$30))))))),"")</f>
        <v/>
      </c>
      <c r="EQ81" s="796" t="str">
        <f>IFERROR(IF(EQ$7&gt;$D$3,"",IF(CI81="Missed","Missed",IF(CI81="OD","OD",IF(CI81="TBC","TBC",IF(CI81="Undefined","Undefined",
IF(_xlfn.XLOOKUP(EQ$7,Engineering!$M$22:$BM$22,Engineering!$M$30:$BM$30)="Undefined",_xlfn.XLOOKUP(EQ$7,Engineering!$M$22:$BM$22,Engineering!$M$31:$BM$31),
_xlfn.XLOOKUP(EQ$7,Engineering!$M$22:$BM$22,Engineering!$M$31:$BM$31)/_xlfn.XLOOKUP(EQ$7,Engineering!$M$22:$BM$22,Engineering!$M$30:$BM$30))))))),"")</f>
        <v/>
      </c>
      <c r="ER81" s="796" t="str">
        <f>IFERROR(IF(ER$7&gt;$D$3,"",IF(CJ81="Missed","Missed",IF(CJ81="OD","OD",IF(CJ81="TBC","TBC",IF(CJ81="Undefined","Undefined",
IF(_xlfn.XLOOKUP(ER$7,Engineering!$M$22:$BM$22,Engineering!$M$30:$BM$30)="Undefined",_xlfn.XLOOKUP(ER$7,Engineering!$M$22:$BM$22,Engineering!$M$31:$BM$31),
_xlfn.XLOOKUP(ER$7,Engineering!$M$22:$BM$22,Engineering!$M$31:$BM$31)/_xlfn.XLOOKUP(ER$7,Engineering!$M$22:$BM$22,Engineering!$M$30:$BM$30))))))),"")</f>
        <v/>
      </c>
      <c r="ES81" s="796" t="str">
        <f>IFERROR(IF(ES$7&gt;$D$3,"",IF(CK81="Missed","Missed",IF(CK81="OD","OD",IF(CK81="TBC","TBC",IF(CK81="Undefined","Undefined",
IF(_xlfn.XLOOKUP(ES$7,Engineering!$M$22:$BM$22,Engineering!$M$30:$BM$30)="Undefined",_xlfn.XLOOKUP(ES$7,Engineering!$M$22:$BM$22,Engineering!$M$31:$BM$31),
_xlfn.XLOOKUP(ES$7,Engineering!$M$22:$BM$22,Engineering!$M$31:$BM$31)/_xlfn.XLOOKUP(ES$7,Engineering!$M$22:$BM$22,Engineering!$M$30:$BM$30))))))),"")</f>
        <v/>
      </c>
      <c r="ET81" s="796" t="str">
        <f>IFERROR(IF(ET$7&gt;$D$3,"",IF(CL81="Missed","Missed",IF(CL81="OD","OD",IF(CL81="TBC","TBC",IF(CL81="Undefined","Undefined",
IF(_xlfn.XLOOKUP(ET$7,Engineering!$M$22:$BM$22,Engineering!$M$30:$BM$30)="Undefined",_xlfn.XLOOKUP(ET$7,Engineering!$M$22:$BM$22,Engineering!$M$31:$BM$31),
_xlfn.XLOOKUP(ET$7,Engineering!$M$22:$BM$22,Engineering!$M$31:$BM$31)/_xlfn.XLOOKUP(ET$7,Engineering!$M$22:$BM$22,Engineering!$M$30:$BM$30))))))),"")</f>
        <v/>
      </c>
      <c r="EU81" s="796" t="str">
        <f>IFERROR(IF(EU$7&gt;$D$3,"",IF(CM81="Missed","Missed",IF(CM81="OD","OD",IF(CM81="TBC","TBC",IF(CM81="Undefined","Undefined",
IF(_xlfn.XLOOKUP(EU$7,Engineering!$M$22:$BM$22,Engineering!$M$30:$BM$30)="Undefined",_xlfn.XLOOKUP(EU$7,Engineering!$M$22:$BM$22,Engineering!$M$31:$BM$31),
_xlfn.XLOOKUP(EU$7,Engineering!$M$22:$BM$22,Engineering!$M$31:$BM$31)/_xlfn.XLOOKUP(EU$7,Engineering!$M$22:$BM$22,Engineering!$M$30:$BM$30))))))),"")</f>
        <v/>
      </c>
      <c r="EW81" s="722" t="str">
        <f>+$A81</f>
        <v>Engineering-KPI Q2</v>
      </c>
      <c r="EX81" s="800" t="str">
        <f>+$C81</f>
        <v>KPI Q2</v>
      </c>
      <c r="EY81" s="801" t="str">
        <f>+$D81</f>
        <v>Quality</v>
      </c>
      <c r="EZ81" s="801" t="str">
        <f>+$E81</f>
        <v>Men Time Between Failures</v>
      </c>
      <c r="FA81" s="802">
        <f>+$F81</f>
        <v>42</v>
      </c>
      <c r="FB81" s="802" t="s">
        <v>251</v>
      </c>
      <c r="FC81" s="803" t="str">
        <f>IF(FC$7&gt;$D$3,"",IF($FA78&lt;FC$7,"OD",_xlfn.XLOOKUP(FC$7,Engineering!$M$22:$BM$22,Engineering!$M$28:$BM$28)))</f>
        <v>Blank</v>
      </c>
      <c r="FD81" s="803" t="str">
        <f>IF(FD$7&gt;$D$3,"",IF($FA78&lt;FD$7,"OD",_xlfn.XLOOKUP(FD$7,Engineering!$M$22:$BM$22,Engineering!$M$28:$BM$28)))</f>
        <v>Missed</v>
      </c>
      <c r="FE81" s="803" t="str">
        <f>IF(FE$7&gt;$D$3,"",IF($FA78&lt;FE$7,"OD",_xlfn.XLOOKUP(FE$7,Engineering!$M$22:$BM$22,Engineering!$M$28:$BM$28)))</f>
        <v>Missed</v>
      </c>
      <c r="FF81" s="803" t="str">
        <f>IF(FF$7&gt;$D$3,"",IF($FA78&lt;FF$7,"OD",_xlfn.XLOOKUP(FF$7,Engineering!$M$22:$BM$22,Engineering!$M$28:$BM$28)))</f>
        <v>Missed</v>
      </c>
      <c r="FG81" s="803" t="str">
        <f>IF(FG$7&gt;$D$3,"",IF($FA78&lt;FG$7,"OD",_xlfn.XLOOKUP(FG$7,Engineering!$M$22:$BM$22,Engineering!$M$28:$BM$28)))</f>
        <v>Missed</v>
      </c>
      <c r="FH81" s="803" t="str">
        <f>IF(FH$7&gt;$D$3,"",IF($FA78&lt;FH$7,"OD",_xlfn.XLOOKUP(FH$7,Engineering!$M$22:$BM$22,Engineering!$M$28:$BM$28)))</f>
        <v>Missed</v>
      </c>
      <c r="FI81" s="803" t="str">
        <f>IF(FI$7&gt;$D$3,"",IF($FA78&lt;FI$7,"OD",_xlfn.XLOOKUP(FI$7,Engineering!$M$22:$BM$22,Engineering!$M$28:$BM$28)))</f>
        <v>Missed</v>
      </c>
      <c r="FJ81" s="803" t="str">
        <f>IF(FJ$7&gt;$D$3,"",IF($FA78&lt;FJ$7,"OD",_xlfn.XLOOKUP(FJ$7,Engineering!$M$22:$BM$22,Engineering!$M$28:$BM$28)))</f>
        <v>Missed</v>
      </c>
      <c r="FK81" s="803" t="str">
        <f>IF(FK$7&gt;$D$3,"",IF($FA78&lt;FK$7,"OD",_xlfn.XLOOKUP(FK$7,Engineering!$M$22:$BM$22,Engineering!$M$28:$BM$28)))</f>
        <v>Missed</v>
      </c>
      <c r="FL81" s="803" t="str">
        <f>IF(FL$7&gt;$D$3,"",IF($FA78&lt;FL$7,"OD",_xlfn.XLOOKUP(FL$7,Engineering!$M$22:$BM$22,Engineering!$M$28:$BM$28)))</f>
        <v>Missed</v>
      </c>
      <c r="FM81" s="803" t="str">
        <f>IF(FM$7&gt;$D$3,"",IF($FA78&lt;FM$7,"OD",_xlfn.XLOOKUP(FM$7,Engineering!$M$22:$BM$22,Engineering!$M$28:$BM$28)))</f>
        <v>Missed</v>
      </c>
      <c r="FN81" s="803" t="str">
        <f>IF(FN$7&gt;$D$3,"",IF($FA78&lt;FN$7,"OD",_xlfn.XLOOKUP(FN$7,Engineering!$M$22:$BM$22,Engineering!$M$28:$BM$28)))</f>
        <v>Missed</v>
      </c>
      <c r="FO81" s="803" t="str">
        <f>IF(FO$7&gt;$D$3,"",IF($FA78&lt;FO$7,"OD",_xlfn.XLOOKUP(FO$7,Engineering!$M$22:$BM$22,Engineering!$M$28:$BM$28)))</f>
        <v>Missed</v>
      </c>
      <c r="FP81" s="803" t="str">
        <f>IF(FP$7&gt;$D$3,"",IF($FA78&lt;FP$7,"OD",_xlfn.XLOOKUP(FP$7,Engineering!$M$22:$BM$22,Engineering!$M$28:$BM$28)))</f>
        <v>Missed</v>
      </c>
      <c r="FQ81" s="803" t="str">
        <f>IF(FQ$7&gt;$D$3,"",IF($FA78&lt;FQ$7,"OD",_xlfn.XLOOKUP(FQ$7,Engineering!$M$22:$BM$22,Engineering!$M$28:$BM$28)))</f>
        <v>Missed</v>
      </c>
      <c r="FR81" s="803" t="str">
        <f>IF(FR$7&gt;$D$3,"",IF($FA78&lt;FR$7,"OD",_xlfn.XLOOKUP(FR$7,Engineering!$M$22:$BM$22,Engineering!$M$28:$BM$28)))</f>
        <v>Missed</v>
      </c>
      <c r="FS81" s="803" t="str">
        <f>IF(FS$7&gt;$D$3,"",IF($FA78&lt;FS$7,"OD",_xlfn.XLOOKUP(FS$7,Engineering!$M$22:$BM$22,Engineering!$M$28:$BM$28)))</f>
        <v>Missed</v>
      </c>
      <c r="FT81" s="803" t="str">
        <f>IF(FT$7&gt;$D$3,"",IF($FA78&lt;FT$7,"OD",_xlfn.XLOOKUP(FT$7,Engineering!$M$22:$BM$22,Engineering!$M$28:$BM$28)))</f>
        <v>OD</v>
      </c>
      <c r="FU81" s="803" t="str">
        <f>IF(FU$7&gt;$D$3,"",IF($FA78&lt;FU$7,"OD",_xlfn.XLOOKUP(FU$7,Engineering!$M$22:$BM$22,Engineering!$M$28:$BM$28)))</f>
        <v>OD</v>
      </c>
      <c r="FV81" s="803" t="str">
        <f>IF(FV$7&gt;$D$3,"",IF($FA78&lt;FV$7,"OD",_xlfn.XLOOKUP(FV$7,Engineering!$M$22:$BM$22,Engineering!$M$28:$BM$28)))</f>
        <v>OD</v>
      </c>
      <c r="FW81" s="803" t="str">
        <f>IF(FW$7&gt;$D$3,"",IF($FA78&lt;FW$7,"OD",_xlfn.XLOOKUP(FW$7,Engineering!$M$22:$BM$22,Engineering!$M$28:$BM$28)))</f>
        <v>OD</v>
      </c>
      <c r="FX81" s="803" t="str">
        <f>IF(FX$7&gt;$D$3,"",IF($FA78&lt;FX$7,"OD",_xlfn.XLOOKUP(FX$7,Engineering!$M$22:$BM$22,Engineering!$M$28:$BM$28)))</f>
        <v>OD</v>
      </c>
      <c r="FY81" s="803" t="str">
        <f>IF(FY$7&gt;$D$3,"",IF($FA78&lt;FY$7,"OD",_xlfn.XLOOKUP(FY$7,Engineering!$M$22:$BM$22,Engineering!$M$28:$BM$28)))</f>
        <v>OD</v>
      </c>
      <c r="FZ81" s="803" t="str">
        <f>IF(FZ$7&gt;$D$3,"",IF($FA78&lt;FZ$7,"OD",_xlfn.XLOOKUP(FZ$7,Engineering!$M$22:$BM$22,Engineering!$M$28:$BM$28)))</f>
        <v>OD</v>
      </c>
      <c r="GA81" s="803" t="str">
        <f>IF(GA$7&gt;$D$3,"",IF($FA78&lt;GA$7,"OD",_xlfn.XLOOKUP(GA$7,Engineering!$M$22:$BM$22,Engineering!$M$28:$BM$28)))</f>
        <v>OD</v>
      </c>
      <c r="GB81" s="803" t="str">
        <f>IF(GB$7&gt;$D$3,"",IF($FA78&lt;GB$7,"OD",_xlfn.XLOOKUP(GB$7,Engineering!$M$22:$BM$22,Engineering!$M$28:$BM$28)))</f>
        <v>OD</v>
      </c>
      <c r="GC81" s="803" t="str">
        <f>IF(GC$7&gt;$D$3,"",IF($FA78&lt;GC$7,"OD",_xlfn.XLOOKUP(GC$7,Engineering!$M$22:$BM$22,Engineering!$M$28:$BM$28)))</f>
        <v>OD</v>
      </c>
      <c r="GD81" s="803">
        <f>IF(GD$7&gt;$D$3,"",IF($FA78&lt;GD$7,"OD",_xlfn.XLOOKUP(GD$7,Engineering!$M$22:$BM$22,Engineering!$M$28:$BM$28)))</f>
        <v>4.2</v>
      </c>
      <c r="GE81" s="803">
        <f>IF(GE$7&gt;$D$3,"",IF($FA78&lt;GE$7,"OD",_xlfn.XLOOKUP(GE$7,Engineering!$M$22:$BM$22,Engineering!$M$28:$BM$28)))</f>
        <v>4.4000000000000004</v>
      </c>
      <c r="GF81" s="803">
        <f>IF(GF$7&gt;$D$3,"",IF($FA78&lt;GF$7,"OD",_xlfn.XLOOKUP(GF$7,Engineering!$M$22:$BM$22,Engineering!$M$28:$BM$28)))</f>
        <v>3.64</v>
      </c>
      <c r="GG81" s="803">
        <f>IF(GG$7&gt;$D$3,"",IF($FA78&lt;GG$7,"OD",_xlfn.XLOOKUP(GG$7,Engineering!$M$22:$BM$22,Engineering!$M$28:$BM$28)))</f>
        <v>3.88</v>
      </c>
      <c r="GH81" s="803">
        <f>IF(GH$7&gt;$D$3,"",IF($FA78&lt;GH$7,"OD",_xlfn.XLOOKUP(GH$7,Engineering!$M$22:$BM$22,Engineering!$M$28:$BM$28)))</f>
        <v>4.12</v>
      </c>
      <c r="GI81" s="803">
        <f>IF(GI$7&gt;$D$3,"",IF($FA78&lt;GI$7,"OD",_xlfn.XLOOKUP(GI$7,Engineering!$M$22:$BM$22,Engineering!$M$28:$BM$28)))</f>
        <v>3.15</v>
      </c>
      <c r="GJ81" s="803">
        <f>IF(GJ$7&gt;$D$3,"",IF($FA78&lt;GJ$7,"OD",_xlfn.XLOOKUP(GJ$7,Engineering!$M$22:$BM$22,Engineering!$M$28:$BM$28)))</f>
        <v>4.0599999999999996</v>
      </c>
      <c r="GK81" s="803">
        <f>IF(GK$7&gt;$D$3,"",IF($FA78&lt;GK$7,"OD",_xlfn.XLOOKUP(GK$7,Engineering!$M$22:$BM$22,Engineering!$M$28:$BM$28)))</f>
        <v>5.15</v>
      </c>
      <c r="GL81" s="803">
        <f>IF(GL$7&gt;$D$3,"",IF($FA78&lt;GL$7,"OD",_xlfn.XLOOKUP(GL$7,Engineering!$M$22:$BM$22,Engineering!$M$28:$BM$28)))</f>
        <v>3.5</v>
      </c>
      <c r="GM81" s="803">
        <f>IF(GM$7&gt;$D$3,"",IF($FA78&lt;GM$7,"OD",_xlfn.XLOOKUP(GM$7,Engineering!$M$22:$BM$22,Engineering!$M$28:$BM$28)))</f>
        <v>3.5</v>
      </c>
      <c r="GN81" s="803">
        <f>IF(GN$7&gt;$D$3,"",IF($FA78&lt;GN$7,"OD",_xlfn.XLOOKUP(GN$7,Engineering!$M$22:$BM$22,Engineering!$M$28:$BM$28)))</f>
        <v>3.4</v>
      </c>
      <c r="GO81" s="803" t="str">
        <f>IF(GO$7&gt;$D$3,"",IF($FA78&lt;GO$7,"OD",_xlfn.XLOOKUP(GO$7,Engineering!$M$22:$BM$22,Engineering!$M$28:$BM$28)))</f>
        <v>OD</v>
      </c>
      <c r="GP81" s="803" t="str">
        <f>IF(GP$7&gt;$D$3,"",IF($FA78&lt;GP$7,"OD",_xlfn.XLOOKUP(GP$7,Engineering!$M$22:$BM$22,Engineering!$M$28:$BM$28)))</f>
        <v>OD</v>
      </c>
      <c r="GQ81" s="803" t="str">
        <f>IF(GQ$7&gt;$D$3,"",IF($FA78&lt;GQ$7,"OD",_xlfn.XLOOKUP(GQ$7,Engineering!$M$22:$BM$22,Engineering!$M$28:$BM$28)))</f>
        <v>OD</v>
      </c>
      <c r="GR81" s="803" t="str">
        <f>IF(GR$7&gt;$D$3,"",IF($FA78&lt;GR$7,"OD",_xlfn.XLOOKUP(GR$7,Engineering!$M$22:$BM$22,Engineering!$M$28:$BM$28)))</f>
        <v>OD</v>
      </c>
      <c r="GS81" s="803" t="str">
        <f>IF(GS$7&gt;$D$3,"",IF($FA78&lt;GS$7,"OD",_xlfn.XLOOKUP(GS$7,Engineering!$M$22:$BM$22,Engineering!$M$28:$BM$28)))</f>
        <v/>
      </c>
      <c r="GT81" s="803" t="str">
        <f>IF(GT$7&gt;$D$3,"",IF($FA78&lt;GT$7,"OD",_xlfn.XLOOKUP(GT$7,Engineering!$M$22:$BM$22,Engineering!$M$28:$BM$28)))</f>
        <v/>
      </c>
      <c r="GU81" s="803" t="str">
        <f>IF(GU$7&gt;$D$3,"",IF($FA78&lt;GU$7,"OD",_xlfn.XLOOKUP(GU$7,Engineering!$M$22:$BM$22,Engineering!$M$28:$BM$28)))</f>
        <v/>
      </c>
      <c r="GV81" s="803" t="str">
        <f>IF(GV$7&gt;$D$3,"",IF($FA78&lt;GV$7,"OD",_xlfn.XLOOKUP(GV$7,Engineering!$M$22:$BM$22,Engineering!$M$28:$BM$28)))</f>
        <v/>
      </c>
      <c r="GW81" s="803" t="str">
        <f>IF(GW$7&gt;$D$3,"",IF($FA78&lt;GW$7,"OD",_xlfn.XLOOKUP(GW$7,Engineering!$M$22:$BM$22,Engineering!$M$28:$BM$28)))</f>
        <v/>
      </c>
      <c r="GX81" s="803" t="str">
        <f>IF(GX$7&gt;$D$3,"",IF($FA78&lt;GX$7,"OD",_xlfn.XLOOKUP(GX$7,Engineering!$M$22:$BM$22,Engineering!$M$28:$BM$28)))</f>
        <v/>
      </c>
      <c r="GY81" s="803" t="str">
        <f>IF(GY$7&gt;$D$3,"",IF($FA78&lt;GY$7,"OD",_xlfn.XLOOKUP(GY$7,Engineering!$M$22:$BM$22,Engineering!$M$28:$BM$28)))</f>
        <v/>
      </c>
      <c r="GZ81" s="803" t="str">
        <f>IF(GZ$7&gt;$D$3,"",IF($FA78&lt;GZ$7,"OD",_xlfn.XLOOKUP(GZ$7,Engineering!$M$22:$BM$22,Engineering!$M$28:$BM$28)))</f>
        <v/>
      </c>
      <c r="HA81" s="803" t="str">
        <f>IF(HA$7&gt;$D$3,"",IF($FA78&lt;HA$7,"OD",_xlfn.XLOOKUP(HA$7,Engineering!$M$22:$BM$22,Engineering!$M$28:$BM$28)))</f>
        <v/>
      </c>
      <c r="HB81" s="803" t="str">
        <f>IF(HB$7&gt;$D$3,"",IF($FA78&lt;HB$7,"OD",_xlfn.XLOOKUP(HB$7,Engineering!$M$22:$BM$22,Engineering!$M$28:$BM$28)))</f>
        <v/>
      </c>
      <c r="HC81" s="804" t="str">
        <f>IF(HC$7&gt;$D$3,"",IF($FA78&lt;HC$7,"OD",_xlfn.XLOOKUP(HC$7,Engineering!$M$22:$BM$22,Engineering!$M$28:$BM$28)))</f>
        <v/>
      </c>
      <c r="HE81" s="800" t="str">
        <f>+$C81</f>
        <v>KPI Q2</v>
      </c>
      <c r="HF81" s="801" t="str">
        <f>+$D81</f>
        <v>Quality</v>
      </c>
      <c r="HG81" s="801" t="str">
        <f>+$E81</f>
        <v>Men Time Between Failures</v>
      </c>
      <c r="HH81" s="802">
        <f>+$F81</f>
        <v>42</v>
      </c>
      <c r="HI81" s="802" t="s">
        <v>44</v>
      </c>
      <c r="HJ81" s="803" t="str">
        <f>IF(HJ$7&gt;$D$3,"",IF($FA78&lt;HJ$7,"OD",_xlfn.XLOOKUP(HJ$8,Engineering!$M$22:$BM$22,Engineering!$M$27:$BM$27)))</f>
        <v>Blank</v>
      </c>
      <c r="HK81" s="803">
        <f>IF(HK$7&gt;$D$3,"",IF($FA78&lt;HK$7,"OD",_xlfn.XLOOKUP(HK$7,Engineering!$M$22:$BM$22,Engineering!$M$27:$BM$27)))</f>
        <v>4</v>
      </c>
      <c r="HL81" s="803">
        <f>IF(HL$7&gt;$D$3,"",IF($FA78&lt;HL$7,"OD",_xlfn.XLOOKUP(HL$7,Engineering!$M$22:$BM$22,Engineering!$M$27:$BM$27)))</f>
        <v>4</v>
      </c>
      <c r="HM81" s="803">
        <f>IF(HM$7&gt;$D$3,"",IF($FA78&lt;HM$7,"OD",_xlfn.XLOOKUP(HM$7,Engineering!$M$22:$BM$22,Engineering!$M$27:$BM$27)))</f>
        <v>4</v>
      </c>
      <c r="HN81" s="803">
        <f>IF(HN$7&gt;$D$3,"",IF($FA78&lt;HN$7,"OD",_xlfn.XLOOKUP(HN$7,Engineering!$M$22:$BM$22,Engineering!$M$27:$BM$27)))</f>
        <v>4</v>
      </c>
      <c r="HO81" s="803">
        <f>IF(HO$7&gt;$D$3,"",IF($FA78&lt;HO$7,"OD",_xlfn.XLOOKUP(HO$7,Engineering!$M$22:$BM$22,Engineering!$M$27:$BM$27)))</f>
        <v>4</v>
      </c>
      <c r="HP81" s="803">
        <f>IF(HP$7&gt;$D$3,"",IF($FA78&lt;HP$7,"OD",_xlfn.XLOOKUP(HP$7,Engineering!$M$22:$BM$22,Engineering!$M$27:$BM$27)))</f>
        <v>4</v>
      </c>
      <c r="HQ81" s="803">
        <f>IF(HQ$7&gt;$D$3,"",IF($FA78&lt;HQ$7,"OD",_xlfn.XLOOKUP(HQ$7,Engineering!$M$22:$BM$22,Engineering!$M$27:$BM$27)))</f>
        <v>4</v>
      </c>
      <c r="HR81" s="803">
        <f>IF(HR$7&gt;$D$3,"",IF($FA78&lt;HR$7,"OD",_xlfn.XLOOKUP(HR$7,Engineering!$M$22:$BM$22,Engineering!$M$27:$BM$27)))</f>
        <v>4</v>
      </c>
      <c r="HS81" s="803">
        <f>IF(HS$7&gt;$D$3,"",IF($FA78&lt;HS$7,"OD",_xlfn.XLOOKUP(HS$7,Engineering!$M$22:$BM$22,Engineering!$M$27:$BM$27)))</f>
        <v>4</v>
      </c>
      <c r="HT81" s="803">
        <f>IF(HT$7&gt;$D$3,"",IF($FA78&lt;HT$7,"OD",_xlfn.XLOOKUP(HT$7,Engineering!$M$22:$BM$22,Engineering!$M$27:$BM$27)))</f>
        <v>4</v>
      </c>
      <c r="HU81" s="803">
        <f>IF(HU$7&gt;$D$3,"",IF($FA78&lt;HU$7,"OD",_xlfn.XLOOKUP(HU$7,Engineering!$M$22:$BM$22,Engineering!$M$27:$BM$27)))</f>
        <v>4</v>
      </c>
      <c r="HV81" s="803">
        <f>IF(HV$7&gt;$D$3,"",IF($FA78&lt;HV$7,"OD",_xlfn.XLOOKUP(HV$7,Engineering!$M$22:$BM$22,Engineering!$M$27:$BM$27)))</f>
        <v>4</v>
      </c>
      <c r="HW81" s="803">
        <f>IF(HW$7&gt;$D$3,"",IF($FA78&lt;HW$7,"OD",_xlfn.XLOOKUP(HW$7,Engineering!$M$22:$BM$22,Engineering!$M$27:$BM$27)))</f>
        <v>4</v>
      </c>
      <c r="HX81" s="803">
        <f>IF(HX$7&gt;$D$3,"",IF($FA78&lt;HX$7,"OD",_xlfn.XLOOKUP(HX$7,Engineering!$M$22:$BM$22,Engineering!$M$27:$BM$27)))</f>
        <v>4</v>
      </c>
      <c r="HY81" s="803">
        <f>IF(HY$7&gt;$D$3,"",IF($FA78&lt;HY$7,"OD",_xlfn.XLOOKUP(HY$7,Engineering!$M$22:$BM$22,Engineering!$M$27:$BM$27)))</f>
        <v>4</v>
      </c>
      <c r="HZ81" s="803">
        <f>IF(HZ$7&gt;$D$3,"",IF($FA78&lt;HZ$7,"OD",_xlfn.XLOOKUP(HZ$7,Engineering!$M$22:$BM$22,Engineering!$M$27:$BM$27)))</f>
        <v>4</v>
      </c>
      <c r="IA81" s="803">
        <f>IF(IA$7&gt;$D$3,"",IF($FA78&lt;IA$7,"OD",_xlfn.XLOOKUP(IA$7,Engineering!$M$22:$BM$22,Engineering!$M$27:$BM$27)))</f>
        <v>4</v>
      </c>
      <c r="IB81" s="803">
        <f>IF(IB$7&gt;$D$3,"",IF($FA78&lt;IB$7,"OD",_xlfn.XLOOKUP(IB$7,Engineering!$M$22:$BM$22,Engineering!$M$27:$BM$27)))</f>
        <v>4</v>
      </c>
      <c r="IC81" s="803">
        <f>IF(IC$7&gt;$D$3,"",IF($FA78&lt;IC$7,"OD",_xlfn.XLOOKUP(IC$7,Engineering!$M$22:$BM$22,Engineering!$M$27:$BM$27)))</f>
        <v>4</v>
      </c>
      <c r="ID81" s="803">
        <f>IF(ID$7&gt;$D$3,"",IF($FA78&lt;ID$7,"OD",_xlfn.XLOOKUP(ID$7,Engineering!$M$22:$BM$22,Engineering!$M$27:$BM$27)))</f>
        <v>4</v>
      </c>
      <c r="IE81" s="803">
        <f>IF(IE$7&gt;$D$3,"",IF($FA78&lt;IE$7,"OD",_xlfn.XLOOKUP(IE$7,Engineering!$M$22:$BM$22,Engineering!$M$27:$BM$27)))</f>
        <v>4</v>
      </c>
      <c r="IF81" s="803">
        <f>IF(IF$7&gt;$D$3,"",IF($FA78&lt;IF$7,"OD",_xlfn.XLOOKUP(IF$7,Engineering!$M$22:$BM$22,Engineering!$M$27:$BM$27)))</f>
        <v>4</v>
      </c>
      <c r="IG81" s="803">
        <f>IF(IG$7&gt;$D$3,"",IF($FA78&lt;IG$7,"OD",_xlfn.XLOOKUP(IG$7,Engineering!$M$22:$BM$22,Engineering!$M$27:$BM$27)))</f>
        <v>4</v>
      </c>
      <c r="IH81" s="803">
        <f>IF(IH$7&gt;$D$3,"",IF($FA78&lt;IH$7,"OD",_xlfn.XLOOKUP(IH$7,Engineering!$M$22:$BM$22,Engineering!$M$27:$BM$27)))</f>
        <v>4</v>
      </c>
      <c r="II81" s="803">
        <f>IF(II$7&gt;$D$3,"",IF($FA78&lt;II$7,"OD",_xlfn.XLOOKUP(II$7,Engineering!$M$22:$BM$22,Engineering!$M$27:$BM$27)))</f>
        <v>4</v>
      </c>
      <c r="IJ81" s="806">
        <f>IF(IJ$7&gt;$D$3,"",IF($FA78&lt;IJ$7,"OD",_xlfn.XLOOKUP(IJ$7,Engineering!$M$22:$BM$22,Engineering!$M$27:$BM$27)))</f>
        <v>4</v>
      </c>
      <c r="IK81" s="806">
        <f>IF(IK$7&gt;$D$3,"",IF($FA78&lt;IK$7,"OD",_xlfn.XLOOKUP(IK$7,Engineering!$M$22:$BM$22,Engineering!$M$27:$BM$27)))</f>
        <v>4</v>
      </c>
      <c r="IL81" s="806">
        <f>IF(IL$7&gt;$D$3,"",IF($FA78&lt;IL$7,"OD",_xlfn.XLOOKUP(IL$7,Engineering!$M$22:$BM$22,Engineering!$M$27:$BM$27)))</f>
        <v>4</v>
      </c>
      <c r="IM81" s="803">
        <f>IF(IM$7&gt;$D$3,"",IF($FA78&lt;IM$7,"OD",_xlfn.XLOOKUP(IM$7,Engineering!$M$22:$BM$22,Engineering!$M$27:$BM$27)))</f>
        <v>4</v>
      </c>
      <c r="IN81" s="803">
        <f>IF(IN$7&gt;$D$3,"",IF($FA78&lt;IN$7,"OD",_xlfn.XLOOKUP(IN$7,Engineering!$M$22:$BM$22,Engineering!$M$27:$BM$27)))</f>
        <v>4</v>
      </c>
      <c r="IO81" s="803">
        <f>IF(IO$7&gt;$D$3,"",IF($FA78&lt;IO$7,"OD",_xlfn.XLOOKUP(IO$7,Engineering!$M$22:$BM$22,Engineering!$M$27:$BM$27)))</f>
        <v>4</v>
      </c>
      <c r="IP81" s="803">
        <f>IF(IP$7&gt;$D$3,"",IF($FA78&lt;IP$7,"OD",_xlfn.XLOOKUP(IP$7,Engineering!$M$22:$BM$22,Engineering!$M$27:$BM$27)))</f>
        <v>4</v>
      </c>
      <c r="IQ81" s="803">
        <f>IF(IQ$7&gt;$D$3,"",IF($FA78&lt;IQ$7,"OD",_xlfn.XLOOKUP(IQ$7,Engineering!$M$22:$BM$22,Engineering!$M$27:$BM$27)))</f>
        <v>4</v>
      </c>
      <c r="IR81" s="803">
        <f>IF(IR$7&gt;$D$3,"",IF($FA78&lt;IR$7,"OD",_xlfn.XLOOKUP(IR$7,Engineering!$M$22:$BM$22,Engineering!$M$27:$BM$27)))</f>
        <v>4</v>
      </c>
      <c r="IS81" s="803">
        <f>IF(IS$7&gt;$D$3,"",IF($FA78&lt;IS$7,"OD",_xlfn.XLOOKUP(IS$7,Engineering!$M$22:$BM$22,Engineering!$M$27:$BM$27)))</f>
        <v>4</v>
      </c>
      <c r="IT81" s="803">
        <f>IF(IT$7&gt;$D$3,"",IF($FA78&lt;IT$7,"OD",_xlfn.XLOOKUP(IT$7,Engineering!$M$22:$BM$22,Engineering!$M$27:$BM$27)))</f>
        <v>4</v>
      </c>
      <c r="IU81" s="803">
        <f>IF(IU$7&gt;$D$3,"",IF($FA78&lt;IU$7,"OD",_xlfn.XLOOKUP(IU$7,Engineering!$M$22:$BM$22,Engineering!$M$27:$BM$27)))</f>
        <v>4</v>
      </c>
      <c r="IV81" s="803">
        <f>IF(IV$7&gt;$D$3,"",IF($FA78&lt;IV$7,"OD",_xlfn.XLOOKUP(IV$7,Engineering!$M$22:$BM$22,Engineering!$M$27:$BM$27)))</f>
        <v>4</v>
      </c>
      <c r="IW81" s="803">
        <f>IF(IW$7&gt;$D$3,"",IF($FA78&lt;IW$7,"OD",_xlfn.XLOOKUP(IW$7,Engineering!$M$22:$BM$22,Engineering!$M$27:$BM$27)))</f>
        <v>0</v>
      </c>
      <c r="IX81" s="803">
        <f>IF(IX$7&gt;$D$3,"",IF($FA78&lt;IX$7,"OD",_xlfn.XLOOKUP(IX$7,Engineering!$M$22:$BM$22,Engineering!$M$27:$BM$27)))</f>
        <v>0</v>
      </c>
      <c r="IY81" s="803">
        <f>IF(IY$7&gt;$D$3,"",IF($FA78&lt;IY$7,"OD",_xlfn.XLOOKUP(IY$7,Engineering!$M$22:$BM$22,Engineering!$M$27:$BM$27)))</f>
        <v>0</v>
      </c>
      <c r="IZ81" s="803" t="str">
        <f>IF(IZ$7&gt;$D$3,"",IF($FA78&lt;IZ$7,"OD",_xlfn.XLOOKUP(IZ$7,Engineering!$M$22:$BM$22,Engineering!$M$27:$BM$27)))</f>
        <v/>
      </c>
      <c r="JA81" s="803" t="str">
        <f>IF(JA$7&gt;$D$3,"",IF($FA78&lt;JA$7,"OD",_xlfn.XLOOKUP(JA$7,Engineering!$M$22:$BM$22,Engineering!$M$27:$BM$27)))</f>
        <v/>
      </c>
      <c r="JB81" s="803" t="str">
        <f>IF(JB$7&gt;$D$3,"",IF($FA78&lt;JB$7,"OD",_xlfn.XLOOKUP(JB$7,Engineering!$M$22:$BM$22,Engineering!$M$27:$BM$27)))</f>
        <v/>
      </c>
      <c r="JC81" s="803" t="str">
        <f>IF(JC$7&gt;$D$3,"",IF($FA78&lt;JC$7,"OD",_xlfn.XLOOKUP(JC$7,Engineering!$M$22:$BM$22,Engineering!$M$27:$BM$27)))</f>
        <v/>
      </c>
      <c r="JD81" s="803" t="str">
        <f>IF(JD$7&gt;$D$3,"",IF($FA78&lt;JD$7,"OD",_xlfn.XLOOKUP(JD$7,Engineering!$M$22:$BM$22,Engineering!$M$27:$BM$27)))</f>
        <v/>
      </c>
      <c r="JE81" s="803" t="str">
        <f>IF(JE$7&gt;$D$3,"",IF($FA78&lt;JE$7,"OD",_xlfn.XLOOKUP(JE$7,Engineering!$M$22:$BM$22,Engineering!$M$27:$BM$27)))</f>
        <v/>
      </c>
      <c r="JF81" s="803" t="str">
        <f>IF(JF$7&gt;$D$3,"",IF($FA78&lt;JF$7,"OD",_xlfn.XLOOKUP(JF$7,Engineering!$M$22:$BM$22,Engineering!$M$27:$BM$27)))</f>
        <v/>
      </c>
      <c r="JG81" s="803" t="str">
        <f>IF(JG$7&gt;$D$3,"",IF($FA78&lt;JG$7,"OD",_xlfn.XLOOKUP(JG$7,Engineering!$M$22:$BM$22,Engineering!$M$27:$BM$27)))</f>
        <v/>
      </c>
      <c r="JH81" s="803" t="str">
        <f>IF(JH$7&gt;$D$3,"",IF($FA78&lt;JH$7,"OD",_xlfn.XLOOKUP(JH$7,Engineering!$M$22:$BM$22,Engineering!$M$27:$BM$27)))</f>
        <v/>
      </c>
      <c r="JI81" s="803" t="str">
        <f>IF(JI$7&gt;$D$3,"",IF($FA78&lt;JI$7,"OD",_xlfn.XLOOKUP(JI$7,Engineering!$M$22:$BM$22,Engineering!$M$27:$BM$27)))</f>
        <v/>
      </c>
      <c r="JJ81" s="804" t="str">
        <f>IF(JJ$7&gt;$D$3,"",IF($FA78&lt;JJ$7,"OD",_xlfn.XLOOKUP(JJ$7,Engineering!$M$22:$BM$22,Engineering!$M$27:$BM$27)))</f>
        <v/>
      </c>
      <c r="JM81" s="800" t="str">
        <f>+$C81</f>
        <v>KPI Q2</v>
      </c>
      <c r="JN81" s="801" t="str">
        <f>+$D81</f>
        <v>Quality</v>
      </c>
      <c r="JO81" s="801" t="str">
        <f>+$E81</f>
        <v>Men Time Between Failures</v>
      </c>
      <c r="JP81" s="802">
        <f>+$F81</f>
        <v>42</v>
      </c>
      <c r="JQ81" s="802" t="s">
        <v>284</v>
      </c>
      <c r="JR81" s="803" t="str">
        <f>IFERROR(AVERAGE(FC81:$FC81),"")</f>
        <v/>
      </c>
      <c r="JS81" s="803" t="str">
        <f>IFERROR(AVERAGE($FC81:FD81),"")</f>
        <v/>
      </c>
      <c r="JT81" s="803" t="str">
        <f>IFERROR(AVERAGE($FC81:FE81),"")</f>
        <v/>
      </c>
      <c r="JU81" s="803" t="str">
        <f>IFERROR(AVERAGE($FC81:FF81),"")</f>
        <v/>
      </c>
      <c r="JV81" s="803" t="str">
        <f>IFERROR(AVERAGE($FC81:FG81),"")</f>
        <v/>
      </c>
      <c r="JW81" s="803" t="str">
        <f>IFERROR(AVERAGE($FC81:FH81),"")</f>
        <v/>
      </c>
      <c r="JX81" s="803" t="str">
        <f>IFERROR(AVERAGE($FC81:FI81),"")</f>
        <v/>
      </c>
      <c r="JY81" s="803" t="str">
        <f>IFERROR(AVERAGE($FC81:FJ81),"")</f>
        <v/>
      </c>
      <c r="JZ81" s="803" t="str">
        <f>IFERROR(AVERAGE($FC81:FK81),"")</f>
        <v/>
      </c>
      <c r="KA81" s="803" t="str">
        <f>IFERROR(AVERAGE($FC81:FL81),"")</f>
        <v/>
      </c>
      <c r="KB81" s="803" t="str">
        <f>IFERROR(AVERAGE($FC81:FM81),"")</f>
        <v/>
      </c>
      <c r="KC81" s="803" t="str">
        <f>IFERROR(AVERAGE($FC81:FN81),"")</f>
        <v/>
      </c>
      <c r="KD81" s="803" t="str">
        <f>IFERROR(AVERAGE($FC81:FO81),"")</f>
        <v/>
      </c>
      <c r="KE81" s="803" t="str">
        <f>IFERROR(AVERAGE($FC81:FP81),"")</f>
        <v/>
      </c>
      <c r="KF81" s="803" t="str">
        <f>IFERROR(AVERAGE($FC81:FQ81),"")</f>
        <v/>
      </c>
      <c r="KG81" s="803" t="str">
        <f>IFERROR(AVERAGE($FC81:FR81),"")</f>
        <v/>
      </c>
      <c r="KH81" s="803" t="str">
        <f>IFERROR(AVERAGE($FC81:FS81),"")</f>
        <v/>
      </c>
      <c r="KI81" s="803" t="str">
        <f>IFERROR(AVERAGE($FC81:FT81),"")</f>
        <v/>
      </c>
      <c r="KJ81" s="803" t="str">
        <f>IFERROR(AVERAGE($FC81:FU81),"")</f>
        <v/>
      </c>
      <c r="KK81" s="803" t="str">
        <f>IFERROR(AVERAGE($FC81:FV81),"")</f>
        <v/>
      </c>
      <c r="KL81" s="803" t="str">
        <f>IFERROR(AVERAGE($FC81:FW81),"")</f>
        <v/>
      </c>
      <c r="KM81" s="803" t="str">
        <f>IFERROR(AVERAGE($FC81:FX81),"")</f>
        <v/>
      </c>
      <c r="KN81" s="803" t="str">
        <f>IFERROR(AVERAGE($FC81:FY81),"")</f>
        <v/>
      </c>
      <c r="KO81" s="803" t="str">
        <f>IFERROR(AVERAGE($FC81:FZ81),"")</f>
        <v/>
      </c>
      <c r="KP81" s="803" t="str">
        <f>IFERROR(AVERAGE($FC81:GA81),"")</f>
        <v/>
      </c>
      <c r="KQ81" s="803" t="str">
        <f>IFERROR(AVERAGE($FC81:GB81),"")</f>
        <v/>
      </c>
      <c r="KR81" s="803" t="str">
        <f>IFERROR(AVERAGE($FC81:GC81),"")</f>
        <v/>
      </c>
      <c r="KS81" s="803">
        <f>IFERROR(AVERAGE($FC81:GD81),"")</f>
        <v>4.2</v>
      </c>
      <c r="KT81" s="803">
        <f>IFERROR(AVERAGE($FC81:GE81),"")</f>
        <v>4.3000000000000007</v>
      </c>
      <c r="KU81" s="803">
        <f>IFERROR(AVERAGE($FC81:GF81),"")</f>
        <v>4.080000000000001</v>
      </c>
      <c r="KV81" s="803">
        <f>IFERROR(AVERAGE($FC81:GG81),"")</f>
        <v>4.03</v>
      </c>
      <c r="KW81" s="803">
        <f>IFERROR(AVERAGE($FC81:GH81),"")</f>
        <v>4.048</v>
      </c>
      <c r="KX81" s="803">
        <f>IFERROR(AVERAGE($FC81:GI81),"")</f>
        <v>3.8983333333333334</v>
      </c>
      <c r="KY81" s="803">
        <f>IFERROR(AVERAGE($FC81:GJ81),"")</f>
        <v>3.9214285714285713</v>
      </c>
      <c r="KZ81" s="803">
        <f>IFERROR(AVERAGE($FC81:GK81),"")</f>
        <v>4.0750000000000002</v>
      </c>
      <c r="LA81" s="803">
        <f>IFERROR(AVERAGE($FC81:GL81),"")</f>
        <v>4.0111111111111111</v>
      </c>
      <c r="LB81" s="803">
        <f>IFERROR(AVERAGE($FC81:GM81),"")</f>
        <v>3.96</v>
      </c>
      <c r="LC81" s="803">
        <f>IFERROR(AVERAGE($FC81:GN81),"")</f>
        <v>3.9090909090909092</v>
      </c>
      <c r="LD81" s="803">
        <f>IFERROR(AVERAGE($FC81:GO81),"")</f>
        <v>3.9090909090909092</v>
      </c>
      <c r="LE81" s="803">
        <f>IFERROR(AVERAGE($FC81:GP81),"")</f>
        <v>3.9090909090909092</v>
      </c>
      <c r="LF81" s="803">
        <f>IFERROR(AVERAGE($FC81:GQ81),"")</f>
        <v>3.9090909090909092</v>
      </c>
      <c r="LG81" s="803">
        <f>IFERROR(AVERAGE($FC81:GR81),"")</f>
        <v>3.9090909090909092</v>
      </c>
      <c r="LH81" s="803">
        <f>IFERROR(AVERAGE($FC81:GS81),"")</f>
        <v>3.9090909090909092</v>
      </c>
      <c r="LI81" s="803">
        <f>IFERROR(AVERAGE($FC81:GT81),"")</f>
        <v>3.9090909090909092</v>
      </c>
      <c r="LJ81" s="803">
        <f>IFERROR(AVERAGE($FC81:GU81),"")</f>
        <v>3.9090909090909092</v>
      </c>
      <c r="LK81" s="803">
        <f>IFERROR(AVERAGE($FC81:GV81),"")</f>
        <v>3.9090909090909092</v>
      </c>
      <c r="LL81" s="803">
        <f>IFERROR(AVERAGE($FC81:GW81),"")</f>
        <v>3.9090909090909092</v>
      </c>
      <c r="LM81" s="803">
        <f>IFERROR(AVERAGE($FC81:GX81),"")</f>
        <v>3.9090909090909092</v>
      </c>
      <c r="LN81" s="803">
        <f>IFERROR(AVERAGE($FC81:GY81),"")</f>
        <v>3.9090909090909092</v>
      </c>
      <c r="LO81" s="803">
        <f>IFERROR(AVERAGE($FC81:GZ81),"")</f>
        <v>3.9090909090909092</v>
      </c>
      <c r="LP81" s="803">
        <f>IFERROR(AVERAGE($FC81:HA81),"")</f>
        <v>3.9090909090909092</v>
      </c>
      <c r="LQ81" s="803">
        <f>IFERROR(AVERAGE($FC81:HB81),"")</f>
        <v>3.9090909090909092</v>
      </c>
      <c r="LR81" s="804">
        <f>IFERROR(AVERAGE($FC81:HC81),"")</f>
        <v>3.9090909090909092</v>
      </c>
      <c r="LT81" s="800" t="str">
        <f>+$C81</f>
        <v>KPI Q2</v>
      </c>
      <c r="LU81" s="807" t="str">
        <f>+$D81</f>
        <v>Quality</v>
      </c>
      <c r="LV81" s="801" t="str">
        <f>+$E81</f>
        <v>Men Time Between Failures</v>
      </c>
      <c r="LW81" s="802">
        <f>+$F81</f>
        <v>42</v>
      </c>
      <c r="LX81" s="802" t="s">
        <v>285</v>
      </c>
      <c r="LY81" s="803" t="str">
        <f>IFERROR(AVERAGE($HJ81:HJ81),"")</f>
        <v/>
      </c>
      <c r="LZ81" s="803">
        <f>IFERROR(IF(LAD$8&gt;$F$4,"",AVERAGE($HJ81:HK81)),"")</f>
        <v>4</v>
      </c>
      <c r="MA81" s="803">
        <f>IFERROR(IF(MA$8&gt;$F$4,"",AVERAGE($HJ81:HL81)),"")</f>
        <v>4</v>
      </c>
      <c r="MB81" s="803">
        <f>IFERROR(IF(MB$8&gt;$F$4,"",AVERAGE($HJ81:HM81)),"")</f>
        <v>4</v>
      </c>
      <c r="MC81" s="803">
        <f>IFERROR(IF(MC$8&gt;$F$4,"",AVERAGE($HJ81:HN81)),"")</f>
        <v>4</v>
      </c>
      <c r="MD81" s="803">
        <f>IFERROR(IF(MD$8&gt;$F$4,"",AVERAGE($HJ81:HO81)),"")</f>
        <v>4</v>
      </c>
      <c r="ME81" s="803">
        <f>IFERROR(IF(ME$8&gt;$F$4,"",AVERAGE($HJ81:HP81)),"")</f>
        <v>4</v>
      </c>
      <c r="MF81" s="803">
        <f>IFERROR(IF(MF$8&gt;$F$4,"",AVERAGE($HJ81:HQ81)),"")</f>
        <v>4</v>
      </c>
      <c r="MG81" s="803">
        <f>IFERROR(IF(MG$8&gt;$F$4,"",AVERAGE($HJ81:HR81)),"")</f>
        <v>4</v>
      </c>
      <c r="MH81" s="803">
        <f>IFERROR(IF(MH$8&gt;$F$4,"",AVERAGE($HJ81:HS81)),"")</f>
        <v>4</v>
      </c>
      <c r="MI81" s="803">
        <f>IFERROR(IF(MI$8&gt;$F$4,"",AVERAGE($HJ81:HT81)),"")</f>
        <v>4</v>
      </c>
      <c r="MJ81" s="803">
        <f>IFERROR(IF(MJ$8&gt;$F$4,"",AVERAGE($HJ81:HU81)),"")</f>
        <v>4</v>
      </c>
      <c r="MK81" s="803">
        <f>IFERROR(IF(MK$8&gt;$F$4,"",AVERAGE($HJ81:HV81)),"")</f>
        <v>4</v>
      </c>
      <c r="ML81" s="803">
        <f>IFERROR(IF(ML$8&gt;$F$4,"",AVERAGE($HJ81:HW81)),"")</f>
        <v>4</v>
      </c>
      <c r="MM81" s="803">
        <f>IFERROR(IF(MM$8&gt;$F$4,"",AVERAGE($HJ81:HX81)),"")</f>
        <v>4</v>
      </c>
      <c r="MN81" s="803">
        <f>IFERROR(IF(MN$8&gt;$F$4,"",AVERAGE($HJ81:HY81)),"")</f>
        <v>4</v>
      </c>
      <c r="MO81" s="803">
        <f>IFERROR(IF(MO$8&gt;$F$4,"",AVERAGE($HJ81:HZ81)),"")</f>
        <v>4</v>
      </c>
      <c r="MP81" s="803">
        <f>IFERROR(IF(MP$8&gt;$F$4,"",AVERAGE($HJ81:IA81)),"")</f>
        <v>4</v>
      </c>
      <c r="MQ81" s="803">
        <f>IFERROR(IF(MQ$8&gt;$F$4,"",AVERAGE($HJ81:IB81)),"")</f>
        <v>4</v>
      </c>
      <c r="MR81" s="803">
        <f>IFERROR(IF(MR$8&gt;$F$4,"",AVERAGE($HJ81:IC81)),"")</f>
        <v>4</v>
      </c>
      <c r="MS81" s="803">
        <f>IFERROR(IF(MS$8&gt;$F$4,"",AVERAGE($HJ81:ID81)),"")</f>
        <v>4</v>
      </c>
      <c r="MT81" s="803">
        <f>IFERROR(IF(MT$8&gt;$F$4,"",AVERAGE($HJ81:IE81)),"")</f>
        <v>4</v>
      </c>
      <c r="MU81" s="803">
        <f>IFERROR(IF(MU$8&gt;$F$4,"",AVERAGE($HJ81:IF81)),"")</f>
        <v>4</v>
      </c>
      <c r="MV81" s="803">
        <f>IFERROR(IF(MV$8&gt;$F$4,"",AVERAGE($HJ81:IG81)),"")</f>
        <v>4</v>
      </c>
      <c r="MW81" s="803">
        <f>IFERROR(IF(MW$8&gt;$F$4,"",AVERAGE($HJ81:IH81)),"")</f>
        <v>4</v>
      </c>
      <c r="MX81" s="803">
        <f>IFERROR(IF(MX$8&gt;$F$4,"",AVERAGE($HJ81:II81)),"")</f>
        <v>4</v>
      </c>
      <c r="MY81" s="803">
        <f>IFERROR(IF(MY$8&gt;$F$4,"",AVERAGE($HJ81:IJ81)),"")</f>
        <v>4</v>
      </c>
      <c r="MZ81" s="803">
        <f>IFERROR(IF(MZ$8&gt;$F$4,"",AVERAGE($HJ81:IK81)),"")</f>
        <v>4</v>
      </c>
      <c r="NA81" s="803">
        <f>IFERROR(IF(NA$8&gt;$F$4,"",AVERAGE($HJ81:IL81)),"")</f>
        <v>4</v>
      </c>
      <c r="NB81" s="803">
        <f>IFERROR(IF(NB$8&gt;$F$4,"",AVERAGE($HJ81:IM81)),"")</f>
        <v>4</v>
      </c>
      <c r="NC81" s="803">
        <f>IFERROR(IF(NC$8&gt;$F$4,"",AVERAGE($HJ81:IN81)),"")</f>
        <v>4</v>
      </c>
      <c r="ND81" s="803">
        <f>IFERROR(IF(ND$8&gt;$F$4,"",AVERAGE($HJ81:IO81)),"")</f>
        <v>4</v>
      </c>
      <c r="NE81" s="803">
        <f>IFERROR(IF(NE$8&gt;$F$4,"",AVERAGE($HJ81:IP81)),"")</f>
        <v>4</v>
      </c>
      <c r="NF81" s="803">
        <f>IFERROR(IF(NF$8&gt;$F$4,"",AVERAGE($HJ81:IQ81)),"")</f>
        <v>4</v>
      </c>
      <c r="NG81" s="803">
        <f>IFERROR(IF(NG$8&gt;$F$4,"",AVERAGE($HJ81:IR81)),"")</f>
        <v>4</v>
      </c>
      <c r="NH81" s="803">
        <f>IFERROR(IF(NH$8&gt;$F$4,"",AVERAGE($HJ81:IS81)),"")</f>
        <v>4</v>
      </c>
      <c r="NI81" s="803">
        <f>IFERROR(IF(NI$8&gt;$F$4,"",AVERAGE($HJ81:IT81)),"")</f>
        <v>4</v>
      </c>
      <c r="NJ81" s="803">
        <f>IFERROR(IF(NJ$8&gt;$F$4,"",AVERAGE($HJ81:IU81)),"")</f>
        <v>4</v>
      </c>
      <c r="NK81" s="803">
        <f>IFERROR(IF(NK$8&gt;$F$4,"",AVERAGE($HJ81:IV81)),"")</f>
        <v>4</v>
      </c>
      <c r="NL81" s="803">
        <f>IFERROR(IF(NL$8&gt;$F$4,"",AVERAGE($HJ81:IW81)),"")</f>
        <v>3.8974358974358974</v>
      </c>
      <c r="NM81" s="803">
        <f>IFERROR(IF(NM$8&gt;$F$4,"",AVERAGE($HJ81:IX81)),"")</f>
        <v>3.8</v>
      </c>
      <c r="NN81" s="803">
        <f>IFERROR(IF(NN$8&gt;$F$4,"",AVERAGE($HJ81:IY81)),"")</f>
        <v>3.7073170731707319</v>
      </c>
      <c r="NO81" s="803">
        <f>IFERROR(IF(NO$8&gt;$F$4,"",AVERAGE($HJ81:IZ81)),"")</f>
        <v>3.7073170731707319</v>
      </c>
      <c r="NP81" s="803">
        <f>IFERROR(IF(NP$8&gt;$F$4,"",AVERAGE($HJ81:JA81)),"")</f>
        <v>3.7073170731707319</v>
      </c>
      <c r="NQ81" s="803" t="str">
        <f>IFERROR(IF(NQ$8&gt;$F$4,"",AVERAGE($HJ81:JB81)),"")</f>
        <v/>
      </c>
      <c r="NR81" s="803" t="str">
        <f>IFERROR(IF(NR$8&gt;$F$4,"",AVERAGE($HJ81:JC81)),"")</f>
        <v/>
      </c>
      <c r="NS81" s="803" t="str">
        <f>IFERROR(IF(NS$8&gt;$F$4,"",AVERAGE($HJ81:JD81)),"")</f>
        <v/>
      </c>
      <c r="NT81" s="803" t="str">
        <f>IFERROR(IF(NT$8&gt;$F$4,"",AVERAGE($HJ81:JE81)),"")</f>
        <v/>
      </c>
      <c r="NU81" s="803" t="str">
        <f>IFERROR(IF(NU$8&gt;$F$4,"",AVERAGE($HJ81:JF81)),"")</f>
        <v/>
      </c>
      <c r="NV81" s="803" t="str">
        <f>IFERROR(IF(NV$8&gt;$F$4,"",AVERAGE($HJ81:JG81)),"")</f>
        <v/>
      </c>
      <c r="NW81" s="803" t="str">
        <f>IFERROR(IF(NW$8&gt;$F$4,"",AVERAGE($HJ81:JH81)),"")</f>
        <v/>
      </c>
      <c r="NX81" s="803" t="str">
        <f>IFERROR(IF(NX$8&gt;$F$4,"",AVERAGE($HJ81:JI81)),"")</f>
        <v/>
      </c>
      <c r="NY81" s="804" t="str">
        <f>IFERROR(IF(NY$8&gt;$F$4,"",AVERAGE($HJ81:JJ81)),"")</f>
        <v/>
      </c>
    </row>
    <row r="82" spans="1:389" s="715" customFormat="1" ht="15" thickBot="1" x14ac:dyDescent="0.35">
      <c r="A82" s="715" t="str">
        <f>$B$75&amp;"-"&amp;C82</f>
        <v>Engineering-KPI Q3</v>
      </c>
      <c r="B82" s="138"/>
      <c r="C82" s="138" t="str">
        <f>+'KPI Stats'!C81</f>
        <v>KPI Q3</v>
      </c>
      <c r="D82" s="146" t="str">
        <f>+'KPI Stats'!D79</f>
        <v>Quality</v>
      </c>
      <c r="E82" s="146" t="s">
        <v>704</v>
      </c>
      <c r="F82" s="147" t="str">
        <f>+'KPI Stats'!F79</f>
        <v>Days</v>
      </c>
      <c r="G82" s="170" t="str">
        <f>+'KPI Stats'!G79</f>
        <v>Over</v>
      </c>
      <c r="J82" s="160" t="str">
        <f>_xlfn.XLOOKUP(J$7,$AM$7:$CM$7,$AM82:$CM82,,FALSE)</f>
        <v>OD</v>
      </c>
      <c r="K82" s="266" t="str">
        <f>_xlfn.XLOOKUP(K$7,$FC$7:$HC$7,$FC82:$HC82,,FALSE)</f>
        <v>OD</v>
      </c>
      <c r="L82" s="279">
        <f>_xlfn.XLOOKUP(L$7,$HJ$7:$JJ$7,$HJ82:$JJ82,,FALSE)</f>
        <v>0</v>
      </c>
      <c r="M82" s="276" t="str">
        <f>_xlfn.XLOOKUP(M$7,$CU$7:$EU$7,$CU82:$EU82,,FALSE)</f>
        <v>OD</v>
      </c>
      <c r="N82"/>
      <c r="O82"/>
      <c r="P82" s="160" t="str">
        <f>_xlfn.XLOOKUP(P$7,$AM$7:$CM$7,$AM82:$CM82,,FALSE)</f>
        <v>OD</v>
      </c>
      <c r="Q82" s="266" t="str">
        <f t="shared" si="271"/>
        <v>OD</v>
      </c>
      <c r="R82" s="279" t="str">
        <f t="shared" si="271"/>
        <v>OD</v>
      </c>
      <c r="S82" s="289" t="str">
        <f t="shared" si="272"/>
        <v>OD</v>
      </c>
      <c r="T82" s="267" t="str">
        <f t="shared" si="272"/>
        <v>OD</v>
      </c>
      <c r="U82" s="296" t="str">
        <f>IF(F79&lt;$R$2,"Not Complete",IF(Q82=R82,"Same −",IF($G82="Over",IF(Q82&lt;R82,"Better ↑","Worse ↓"),IF($G82="Under",IF(Q82&gt;R82,"Better ↑","Worse ↓"),"err"))))</f>
        <v>Same −</v>
      </c>
      <c r="V82"/>
      <c r="W82" s="724"/>
      <c r="X82" s="160" t="str">
        <f>IF(Y82="","",IF(Y82="Blank","",IF(AND(G82="above zero",Y82&gt;0),"R",IF(AA82&gt;1,"G",IF(AA82&gt;0.95,"A","R")))))</f>
        <v>R</v>
      </c>
      <c r="Y82" s="164">
        <f>_xlfn.XLOOKUP(Y$7,$JR$7:$LR$7,$JR82:$LR82,FALSE)</f>
        <v>0.66666666666666663</v>
      </c>
      <c r="Z82" s="164">
        <f>_xlfn.XLOOKUP(Z$7,$LY$7:$NY$7,$LY82:$NY82,FALSE)</f>
        <v>9.7560975609756101E-2</v>
      </c>
      <c r="AA82" s="255">
        <f>IF(G82="Undefined","",IF(G82="under",Y82/Z82,IF(G82="over",Z82/Y82,"err")))</f>
        <v>0.14634146341463417</v>
      </c>
      <c r="AB82" s="296" t="str">
        <f>IF(F79&lt;$Y$7,"TBC",IF(Y82=Z82,"Same −",IF($G82="Over",IF(Z82&lt;Y82,"Better ↑ ","Worse ↓ "),IF($G82="Under",IF(Y82&gt;Z82,"Better ↑ ","Worse ↓ "),"err"))))</f>
        <v xml:space="preserve">Better ↑ </v>
      </c>
      <c r="AC82" s="719" t="str">
        <f>IF(AND(G82="above adero",AD82&gt;0),"R",IF(AF82&gt;1,"G",IF(AF82&gt;0.95,"A","R")))</f>
        <v>R</v>
      </c>
      <c r="AD82" s="720">
        <f>_xlfn.XLOOKUP(AD$7,$JR$7:$LR$7,$JR82:$LR82,FALSE)</f>
        <v>0.66666666666666663</v>
      </c>
      <c r="AE82" s="720">
        <f>_xlfn.XLOOKUP(AE$7,$LY$7:$NY$7,$LY82:$NY82,FALSE)</f>
        <v>0.1</v>
      </c>
      <c r="AF82" s="721">
        <f>IF(G82="Undefined","",IF(G82="under",AD82/AE82,IF(G82="over",AE82/AD82,"err")))</f>
        <v>0.15000000000000002</v>
      </c>
      <c r="AH82" s="722" t="str">
        <f>+$A82</f>
        <v>Engineering-KPI Q3</v>
      </c>
      <c r="AI82" s="790" t="str">
        <f>+C82</f>
        <v>KPI Q3</v>
      </c>
      <c r="AJ82" s="791" t="str">
        <f>+D82</f>
        <v>Quality</v>
      </c>
      <c r="AK82" s="791" t="str">
        <f>+E82</f>
        <v>No of Complaints</v>
      </c>
      <c r="AL82" s="792" t="str">
        <f>+F82</f>
        <v>Days</v>
      </c>
      <c r="AM82" s="793" t="str">
        <f>IF(AM$7&gt;$D$3,"",_xlfn.XLOOKUP(AM$7,Engineering!$M$22:$BM$22,Engineering!$M$32:$BM$32))</f>
        <v>Blank</v>
      </c>
      <c r="AN82" s="794" t="str">
        <f>IF(AN$7&gt;$D$3,"",_xlfn.XLOOKUP(AN$7,Engineering!$M$22:$BM$22,Engineering!$M$32:$BM$32))</f>
        <v>Missed</v>
      </c>
      <c r="AO82" s="793" t="str">
        <f>IF(AO$7&gt;$D$3,"",_xlfn.XLOOKUP(AO$7,Engineering!$M$22:$BM$22,Engineering!$M$32:$BM$32))</f>
        <v>Missed</v>
      </c>
      <c r="AP82" s="793" t="str">
        <f>IF(AP$7&gt;$D$3,"",_xlfn.XLOOKUP(AP$7,Engineering!$M$22:$BM$22,Engineering!$M$32:$BM$32))</f>
        <v>Missed</v>
      </c>
      <c r="AQ82" s="793" t="str">
        <f>IF(AQ$7&gt;$D$3,"",_xlfn.XLOOKUP(AQ$7,Engineering!$M$22:$BM$22,Engineering!$M$32:$BM$32))</f>
        <v>Missed</v>
      </c>
      <c r="AR82" s="793" t="str">
        <f>IF(AR$7&gt;$D$3,"",_xlfn.XLOOKUP(AR$7,Engineering!$M$22:$BM$22,Engineering!$M$32:$BM$32))</f>
        <v>Missed</v>
      </c>
      <c r="AS82" s="793" t="str">
        <f>IF(AS$7&gt;$D$3,"",_xlfn.XLOOKUP(AS$7,Engineering!$M$22:$BM$22,Engineering!$M$32:$BM$32))</f>
        <v>Missed</v>
      </c>
      <c r="AT82" s="793" t="str">
        <f>IF(AT$7&gt;$D$3,"",_xlfn.XLOOKUP(AT$7,Engineering!$M$22:$BM$22,Engineering!$M$32:$BM$32))</f>
        <v>Missed</v>
      </c>
      <c r="AU82" s="793" t="str">
        <f>IF(AU$7&gt;$D$3,"",_xlfn.XLOOKUP(AU$7,Engineering!$M$22:$BM$22,Engineering!$M$32:$BM$32))</f>
        <v>Missed</v>
      </c>
      <c r="AV82" s="793" t="str">
        <f>IF(AV$7&gt;$D$3,"",_xlfn.XLOOKUP(AV$7,Engineering!$M$22:$BM$22,Engineering!$M$32:$BM$32))</f>
        <v>Missed</v>
      </c>
      <c r="AW82" s="793" t="str">
        <f>IF(AW$7&gt;$D$3,"",_xlfn.XLOOKUP(AW$7,Engineering!$M$22:$BM$22,Engineering!$M$32:$BM$32))</f>
        <v>Missed</v>
      </c>
      <c r="AX82" s="793" t="str">
        <f>IF(AX$7&gt;$D$3,"",_xlfn.XLOOKUP(AX$7,Engineering!$M$22:$BM$22,Engineering!$M$32:$BM$32))</f>
        <v>Missed</v>
      </c>
      <c r="AY82" s="793" t="str">
        <f>IF(AY$7&gt;$D$3,"",_xlfn.XLOOKUP(AY$7,Engineering!$M$22:$BM$22,Engineering!$M$32:$BM$32))</f>
        <v>Missed</v>
      </c>
      <c r="AZ82" s="793" t="str">
        <f>IF(AZ$7&gt;$D$3,"",_xlfn.XLOOKUP(AZ$7,Engineering!$M$22:$BM$22,Engineering!$M$32:$BM$32))</f>
        <v>Missed</v>
      </c>
      <c r="BA82" s="793" t="str">
        <f>IF(BA$7&gt;$D$3,"",_xlfn.XLOOKUP(BA$7,Engineering!$M$22:$BM$22,Engineering!$M$32:$BM$32))</f>
        <v>Missed</v>
      </c>
      <c r="BB82" s="793" t="str">
        <f>IF(BB$7&gt;$D$3,"",_xlfn.XLOOKUP(BB$7,Engineering!$M$22:$BM$22,Engineering!$M$32:$BM$32))</f>
        <v>Missed</v>
      </c>
      <c r="BC82" s="793" t="str">
        <f>IF(BC$7&gt;$D$3,"",_xlfn.XLOOKUP(BC$7,Engineering!$M$22:$BM$22,Engineering!$M$32:$BM$32))</f>
        <v>Missed</v>
      </c>
      <c r="BD82" s="793" t="str">
        <f>IF(BD$7&gt;$D$3,"",_xlfn.XLOOKUP(BD$7,Engineering!$M$22:$BM$22,Engineering!$M$32:$BM$32))</f>
        <v>Missed</v>
      </c>
      <c r="BE82" s="793" t="str">
        <f>IF(BE$7&gt;$D$3,"",_xlfn.XLOOKUP(BE$7,Engineering!$M$22:$BM$22,Engineering!$M$32:$BM$32))</f>
        <v>Missed</v>
      </c>
      <c r="BF82" s="793" t="str">
        <f>IF(BF$7&gt;$D$3,"",_xlfn.XLOOKUP(BF$7,Engineering!$M$22:$BM$22,Engineering!$M$32:$BM$32))</f>
        <v>Missed</v>
      </c>
      <c r="BG82" s="793" t="str">
        <f>IF(BG$7&gt;$D$3,"",_xlfn.XLOOKUP(BG$7,Engineering!$M$22:$BM$22,Engineering!$M$32:$BM$32))</f>
        <v>Missed</v>
      </c>
      <c r="BH82" s="793" t="str">
        <f>IF(BH$7&gt;$D$3,"",_xlfn.XLOOKUP(BH$7,Engineering!$M$22:$BM$22,Engineering!$M$32:$BM$32))</f>
        <v>Missed</v>
      </c>
      <c r="BI82" s="793" t="str">
        <f>IF(BI$7&gt;$D$3,"",_xlfn.XLOOKUP(BI$7,Engineering!$M$22:$BM$22,Engineering!$M$32:$BM$32))</f>
        <v>Missed</v>
      </c>
      <c r="BJ82" s="793" t="str">
        <f>IF(BJ$7&gt;$D$3,"",_xlfn.XLOOKUP(BJ$7,Engineering!$M$22:$BM$22,Engineering!$M$32:$BM$32))</f>
        <v>Missed</v>
      </c>
      <c r="BK82" s="793" t="str">
        <f>IF(BK$7&gt;$D$3,"",_xlfn.XLOOKUP(BK$7,Engineering!$M$22:$BM$22,Engineering!$M$32:$BM$32))</f>
        <v>Missed</v>
      </c>
      <c r="BL82" s="793" t="str">
        <f>IF(BL$7&gt;$D$3,"",_xlfn.XLOOKUP(BL$7,Engineering!$M$22:$BM$22,Engineering!$M$32:$BM$32))</f>
        <v>Missed</v>
      </c>
      <c r="BM82" s="793" t="str">
        <f>IF(BM$7&gt;$D$3,"",_xlfn.XLOOKUP(BM$7,Engineering!$M$22:$BM$22,Engineering!$M$32:$BM$32))</f>
        <v>Missed</v>
      </c>
      <c r="BN82" s="793" t="str">
        <f>IF(BN$7&gt;$D$3,"",_xlfn.XLOOKUP(BN$7,Engineering!$M$22:$BM$22,Engineering!$M$32:$BM$32))</f>
        <v>Missed</v>
      </c>
      <c r="BO82" s="793" t="str">
        <f>IF(BO$7&gt;$D$3,"",_xlfn.XLOOKUP(BO$7,Engineering!$M$22:$BM$22,Engineering!$M$32:$BM$32))</f>
        <v>Missed</v>
      </c>
      <c r="BP82" s="793" t="str">
        <f>IF(BP$7&gt;$D$3,"",_xlfn.XLOOKUP(BP$7,Engineering!$M$22:$BM$22,Engineering!$M$32:$BM$32))</f>
        <v>Missed</v>
      </c>
      <c r="BQ82" s="793" t="str">
        <f>IF(BQ$7&gt;$D$3,"",_xlfn.XLOOKUP(BQ$7,Engineering!$M$22:$BM$22,Engineering!$M$32:$BM$32))</f>
        <v>Missed</v>
      </c>
      <c r="BR82" s="793" t="str">
        <f>IF(BR$7&gt;$D$3,"",_xlfn.XLOOKUP(BR$7,Engineering!$M$22:$BM$22,Engineering!$M$32:$BM$32))</f>
        <v>Missed</v>
      </c>
      <c r="BS82" s="793" t="str">
        <f>IF(BS$7&gt;$D$3,"",_xlfn.XLOOKUP(BS$7,Engineering!$M$22:$BM$22,Engineering!$M$32:$BM$32))</f>
        <v>Missed</v>
      </c>
      <c r="BT82" s="793" t="str">
        <f>IF(BT$7&gt;$D$3,"",_xlfn.XLOOKUP(BT$7,Engineering!$M$22:$BM$22,Engineering!$M$32:$BM$32))</f>
        <v>Missed</v>
      </c>
      <c r="BU82" s="793" t="str">
        <f>IF(BU$7&gt;$D$3,"",_xlfn.XLOOKUP(BU$7,Engineering!$M$22:$BM$22,Engineering!$M$32:$BM$32))</f>
        <v>Missed</v>
      </c>
      <c r="BV82" s="793" t="str">
        <f>IF(BV$7&gt;$D$3,"",_xlfn.XLOOKUP(BV$7,Engineering!$M$22:$BM$22,Engineering!$M$32:$BM$32))</f>
        <v>G</v>
      </c>
      <c r="BW82" s="793" t="str">
        <f>IF(BW$7&gt;$D$3,"",_xlfn.XLOOKUP(BW$7,Engineering!$M$22:$BM$22,Engineering!$M$32:$BM$32))</f>
        <v>G</v>
      </c>
      <c r="BX82" s="793" t="str">
        <f>IF(BX$7&gt;$D$3,"",_xlfn.XLOOKUP(BX$7,Engineering!$M$22:$BM$22,Engineering!$M$32:$BM$32))</f>
        <v>G</v>
      </c>
      <c r="BY82" s="793" t="str">
        <f>IF(BY$7&gt;$D$3,"",_xlfn.XLOOKUP(BY$7,Engineering!$M$22:$BM$22,Engineering!$M$32:$BM$32))</f>
        <v>OD</v>
      </c>
      <c r="BZ82" s="793" t="str">
        <f>IF(BZ$7&gt;$D$3,"",_xlfn.XLOOKUP(BZ$7,Engineering!$M$22:$BM$22,Engineering!$M$32:$BM$32))</f>
        <v>OD</v>
      </c>
      <c r="CA82" s="793" t="str">
        <f>IF(CA$7&gt;$D$3,"",_xlfn.XLOOKUP(CA$7,Engineering!$M$22:$BM$22,Engineering!$M$32:$BM$32))</f>
        <v>OD</v>
      </c>
      <c r="CB82" s="793" t="str">
        <f>IF(CB$7&gt;$D$3,"",_xlfn.XLOOKUP(CB$7,Engineering!$M$22:$BM$22,Engineering!$M$32:$BM$32))</f>
        <v>OD</v>
      </c>
      <c r="CC82" s="793" t="str">
        <f>IF(CC$7&gt;$D$3,"",_xlfn.XLOOKUP(CC$7,Engineering!$M$22:$BM$22,Engineering!$M$32:$BM$32))</f>
        <v/>
      </c>
      <c r="CD82" s="793" t="str">
        <f>IF(CD$7&gt;$D$3,"",_xlfn.XLOOKUP(CD$7,Engineering!$M$22:$BM$22,Engineering!$M$32:$BM$32))</f>
        <v/>
      </c>
      <c r="CE82" s="793" t="str">
        <f>IF(CE$7&gt;$D$3,"",_xlfn.XLOOKUP(CE$7,Engineering!$M$22:$BM$22,Engineering!$M$32:$BM$32))</f>
        <v/>
      </c>
      <c r="CF82" s="793" t="str">
        <f>IF(CF$7&gt;$D$3,"",_xlfn.XLOOKUP(CF$7,Engineering!$M$22:$BM$22,Engineering!$M$32:$BM$32))</f>
        <v/>
      </c>
      <c r="CG82" s="793" t="str">
        <f>IF(CG$7&gt;$D$3,"",_xlfn.XLOOKUP(CG$7,Engineering!$M$22:$BM$22,Engineering!$M$32:$BM$32))</f>
        <v/>
      </c>
      <c r="CH82" s="793" t="str">
        <f>IF(CH$7&gt;$D$3,"",_xlfn.XLOOKUP(CH$7,Engineering!$M$22:$BM$22,Engineering!$M$32:$BM$32))</f>
        <v/>
      </c>
      <c r="CI82" s="793" t="str">
        <f>IF(CI$7&gt;$D$3,"",_xlfn.XLOOKUP(CI$7,Engineering!$M$22:$BM$22,Engineering!$M$32:$BM$32))</f>
        <v/>
      </c>
      <c r="CJ82" s="793" t="str">
        <f>IF(CJ$7&gt;$D$3,"",_xlfn.XLOOKUP(CJ$7,Engineering!$M$22:$BM$22,Engineering!$M$32:$BM$32))</f>
        <v/>
      </c>
      <c r="CK82" s="793" t="str">
        <f>IF(CK$7&gt;$D$3,"",_xlfn.XLOOKUP(CK$7,Engineering!$M$22:$BM$22,Engineering!$M$32:$BM$32))</f>
        <v/>
      </c>
      <c r="CL82" s="793" t="str">
        <f>IF(CL$7&gt;$D$3,"",_xlfn.XLOOKUP(CL$7,Engineering!$M$22:$BM$22,Engineering!$M$32:$BM$32))</f>
        <v/>
      </c>
      <c r="CM82" s="795" t="str">
        <f>IF(CM$7&gt;$D$3,"",_xlfn.XLOOKUP(CM$7,Engineering!$M$22:$BM$22,Engineering!$M$32:$BM$32))</f>
        <v/>
      </c>
      <c r="CO82" s="722" t="str">
        <f>+$A82</f>
        <v>Engineering-KPI Q3</v>
      </c>
      <c r="CP82" s="790" t="str">
        <f t="shared" si="273"/>
        <v>KPI Q3</v>
      </c>
      <c r="CQ82" s="791" t="str">
        <f t="shared" si="273"/>
        <v>Quality</v>
      </c>
      <c r="CR82" s="791" t="str">
        <f t="shared" si="273"/>
        <v>No of Complaints</v>
      </c>
      <c r="CS82" s="792" t="str">
        <f t="shared" si="273"/>
        <v>Days</v>
      </c>
      <c r="CT82" s="792" t="s">
        <v>246</v>
      </c>
      <c r="CU82" s="795" t="str">
        <f>IFERROR(IF(CU$8&gt;$F$4,"",IF(AM82="Undefined","Undefined",IF(AM82="Missed","Missed",IF(AM82="Blank","Blank",IF(AM82="OD","OD",
IF(_xlfn.XLOOKUP(CU$8,Engineering!$M$5:$BM$5,Engineering!#REF!)="Undefined",_xlfn.XLOOKUP(CU$8,Engineering!$M$5:$BM$5,Engineering!#REF!),
_xlfn.XLOOKUP(CU$8,Engineering!$M$5:$BM$5,Engineering!#REF!)/_xlfn.XLOOKUP(CU$8,Engineering!$M$5:$BM$5,Engineering!#REF!)
)))))),"")</f>
        <v>Blank</v>
      </c>
      <c r="CV82" s="797" t="str">
        <f>IFERROR(IF(CV$7&gt;$D$3,"",IF(AN82="Missed","Missed",IF(AN82="OD","OD",IF(AN82="TBC","TBC",IF(AN82="Undefined","Undefined",
IF(_xlfn.XLOOKUP(CV$7,Engineering!$M$22:$BM$22,Engineering!$M$30:$BM$30)="Undefined",_xlfn.XLOOKUP(CV$7,Engineering!$M$22:$BM$22,Engineering!$M$31:$BM$31),
_xlfn.XLOOKUP(CV$7,Engineering!$M$22:$BM$22,Engineering!$M$31:$BM$31)/_xlfn.XLOOKUP(CV$7,Engineering!$M$22:$BM$22,Engineering!$M$30:$BM$30))))))),"")</f>
        <v>Missed</v>
      </c>
      <c r="CW82" s="797" t="str">
        <f>IFERROR(IF(CW$7&gt;$D$3,"",IF(AO82="Missed","Missed",IF(AO82="OD","OD",IF(AO82="TBC","TBC",IF(AO82="Undefined","Undefined",
IF(_xlfn.XLOOKUP(CW$7,Engineering!$M$22:$BM$22,Engineering!$M$30:$BM$30)="Undefined",_xlfn.XLOOKUP(CW$7,Engineering!$M$22:$BM$22,Engineering!$M$31:$BM$31),
_xlfn.XLOOKUP(CW$7,Engineering!$M$22:$BM$22,Engineering!$M$31:$BM$31)/_xlfn.XLOOKUP(CW$7,Engineering!$M$22:$BM$22,Engineering!$M$30:$BM$30))))))),"")</f>
        <v>Missed</v>
      </c>
      <c r="CX82" s="797" t="str">
        <f>IFERROR(IF(CX$7&gt;$D$3,"",IF(AP82="Missed","Missed",IF(AP82="OD","OD",IF(AP82="TBC","TBC",IF(AP82="Undefined","Undefined",
IF(_xlfn.XLOOKUP(CX$7,Engineering!$M$22:$BM$22,Engineering!$M$30:$BM$30)="Undefined",_xlfn.XLOOKUP(CX$7,Engineering!$M$22:$BM$22,Engineering!$M$31:$BM$31),
_xlfn.XLOOKUP(CX$7,Engineering!$M$22:$BM$22,Engineering!$M$31:$BM$31)/_xlfn.XLOOKUP(CX$7,Engineering!$M$22:$BM$22,Engineering!$M$30:$BM$30))))))),"")</f>
        <v>Missed</v>
      </c>
      <c r="CY82" s="797" t="str">
        <f>IFERROR(IF(CY$7&gt;$D$3,"",IF(AQ82="Missed","Missed",IF(AQ82="OD","OD",IF(AQ82="TBC","TBC",IF(AQ82="Undefined","Undefined",
IF(_xlfn.XLOOKUP(CY$7,Engineering!$M$22:$BM$22,Engineering!$M$30:$BM$30)="Undefined",_xlfn.XLOOKUP(CY$7,Engineering!$M$22:$BM$22,Engineering!$M$31:$BM$31),
_xlfn.XLOOKUP(CY$7,Engineering!$M$22:$BM$22,Engineering!$M$31:$BM$31)/_xlfn.XLOOKUP(CY$7,Engineering!$M$22:$BM$22,Engineering!$M$30:$BM$30))))))),"")</f>
        <v>Missed</v>
      </c>
      <c r="CZ82" s="797" t="str">
        <f>IFERROR(IF(CZ$7&gt;$D$3,"",IF(AR82="Missed","Missed",IF(AR82="OD","OD",IF(AR82="TBC","TBC",IF(AR82="Undefined","Undefined",
IF(_xlfn.XLOOKUP(CZ$7,Engineering!$M$22:$BM$22,Engineering!$M$30:$BM$30)="Undefined",_xlfn.XLOOKUP(CZ$7,Engineering!$M$22:$BM$22,Engineering!$M$31:$BM$31),
_xlfn.XLOOKUP(CZ$7,Engineering!$M$22:$BM$22,Engineering!$M$31:$BM$31)/_xlfn.XLOOKUP(CZ$7,Engineering!$M$22:$BM$22,Engineering!$M$30:$BM$30))))))),"")</f>
        <v>Missed</v>
      </c>
      <c r="DA82" s="797" t="str">
        <f>IFERROR(IF(DA$7&gt;$D$3,"",IF(AS82="Missed","Missed",IF(AS82="OD","OD",IF(AS82="TBC","TBC",IF(AS82="Undefined","Undefined",
IF(_xlfn.XLOOKUP(DA$7,Engineering!$M$22:$BM$22,Engineering!$M$30:$BM$30)="Undefined",_xlfn.XLOOKUP(DA$7,Engineering!$M$22:$BM$22,Engineering!$M$31:$BM$31),
_xlfn.XLOOKUP(DA$7,Engineering!$M$22:$BM$22,Engineering!$M$31:$BM$31)/_xlfn.XLOOKUP(DA$7,Engineering!$M$22:$BM$22,Engineering!$M$30:$BM$30))))))),"")</f>
        <v>Missed</v>
      </c>
      <c r="DB82" s="797" t="str">
        <f>IFERROR(IF(DB$7&gt;$D$3,"",IF(AT82="Missed","Missed",IF(AT82="OD","OD",IF(AT82="TBC","TBC",IF(AT82="Undefined","Undefined",
IF(_xlfn.XLOOKUP(DB$7,Engineering!$M$22:$BM$22,Engineering!$M$30:$BM$30)="Undefined",_xlfn.XLOOKUP(DB$7,Engineering!$M$22:$BM$22,Engineering!$M$31:$BM$31),
_xlfn.XLOOKUP(DB$7,Engineering!$M$22:$BM$22,Engineering!$M$31:$BM$31)/_xlfn.XLOOKUP(DB$7,Engineering!$M$22:$BM$22,Engineering!$M$30:$BM$30))))))),"")</f>
        <v>Missed</v>
      </c>
      <c r="DC82" s="797" t="str">
        <f>IFERROR(IF(DC$7&gt;$D$3,"",IF(AU82="Missed","Missed",IF(AU82="OD","OD",IF(AU82="TBC","TBC",IF(AU82="Undefined","Undefined",
IF(_xlfn.XLOOKUP(DC$7,Engineering!$M$22:$BM$22,Engineering!$M$30:$BM$30)="Undefined",_xlfn.XLOOKUP(DC$7,Engineering!$M$22:$BM$22,Engineering!$M$31:$BM$31),
_xlfn.XLOOKUP(DC$7,Engineering!$M$22:$BM$22,Engineering!$M$31:$BM$31)/_xlfn.XLOOKUP(DC$7,Engineering!$M$22:$BM$22,Engineering!$M$30:$BM$30))))))),"")</f>
        <v>Missed</v>
      </c>
      <c r="DD82" s="797" t="str">
        <f>IFERROR(IF(DD$7&gt;$D$3,"",IF(AV82="Missed","Missed",IF(AV82="OD","OD",IF(AV82="TBC","TBC",IF(AV82="Undefined","Undefined",
IF(_xlfn.XLOOKUP(DD$7,Engineering!$M$22:$BM$22,Engineering!$M$30:$BM$30)="Undefined",_xlfn.XLOOKUP(DD$7,Engineering!$M$22:$BM$22,Engineering!$M$31:$BM$31),
_xlfn.XLOOKUP(DD$7,Engineering!$M$22:$BM$22,Engineering!$M$31:$BM$31)/_xlfn.XLOOKUP(DD$7,Engineering!$M$22:$BM$22,Engineering!$M$30:$BM$30))))))),"")</f>
        <v>Missed</v>
      </c>
      <c r="DE82" s="797" t="str">
        <f>IFERROR(IF(DE$7&gt;$D$3,"",IF(AW82="Missed","Missed",IF(AW82="OD","OD",IF(AW82="TBC","TBC",IF(AW82="Undefined","Undefined",
IF(_xlfn.XLOOKUP(DE$7,Engineering!$M$22:$BM$22,Engineering!$M$30:$BM$30)="Undefined",_xlfn.XLOOKUP(DE$7,Engineering!$M$22:$BM$22,Engineering!$M$31:$BM$31),
_xlfn.XLOOKUP(DE$7,Engineering!$M$22:$BM$22,Engineering!$M$31:$BM$31)/_xlfn.XLOOKUP(DE$7,Engineering!$M$22:$BM$22,Engineering!$M$30:$BM$30))))))),"")</f>
        <v>Missed</v>
      </c>
      <c r="DF82" s="797" t="str">
        <f>IFERROR(IF(DF$7&gt;$D$3,"",IF(AX82="Missed","Missed",IF(AX82="OD","OD",IF(AX82="TBC","TBC",IF(AX82="Undefined","Undefined",
IF(_xlfn.XLOOKUP(DF$7,Engineering!$M$22:$BM$22,Engineering!$M$30:$BM$30)="Undefined",_xlfn.XLOOKUP(DF$7,Engineering!$M$22:$BM$22,Engineering!$M$31:$BM$31),
_xlfn.XLOOKUP(DF$7,Engineering!$M$22:$BM$22,Engineering!$M$31:$BM$31)/_xlfn.XLOOKUP(DF$7,Engineering!$M$22:$BM$22,Engineering!$M$30:$BM$30))))))),"")</f>
        <v>Missed</v>
      </c>
      <c r="DG82" s="797" t="str">
        <f>IFERROR(IF(DG$7&gt;$D$3,"",IF(AY82="Missed","Missed",IF(AY82="OD","OD",IF(AY82="TBC","TBC",IF(AY82="Undefined","Undefined",
IF(_xlfn.XLOOKUP(DG$7,Engineering!$M$22:$BM$22,Engineering!$M$30:$BM$30)="Undefined",_xlfn.XLOOKUP(DG$7,Engineering!$M$22:$BM$22,Engineering!$M$31:$BM$31),
_xlfn.XLOOKUP(DG$7,Engineering!$M$22:$BM$22,Engineering!$M$31:$BM$31)/_xlfn.XLOOKUP(DG$7,Engineering!$M$22:$BM$22,Engineering!$M$30:$BM$30))))))),"")</f>
        <v>Missed</v>
      </c>
      <c r="DH82" s="797" t="str">
        <f>IFERROR(IF(DH$7&gt;$D$3,"",IF(AZ82="Missed","Missed",IF(AZ82="OD","OD",IF(AZ82="TBC","TBC",IF(AZ82="Undefined","Undefined",
IF(_xlfn.XLOOKUP(DH$7,Engineering!$M$22:$BM$22,Engineering!$M$30:$BM$30)="Undefined",_xlfn.XLOOKUP(DH$7,Engineering!$M$22:$BM$22,Engineering!$M$31:$BM$31),
_xlfn.XLOOKUP(DH$7,Engineering!$M$22:$BM$22,Engineering!$M$31:$BM$31)/_xlfn.XLOOKUP(DH$7,Engineering!$M$22:$BM$22,Engineering!$M$30:$BM$30))))))),"")</f>
        <v>Missed</v>
      </c>
      <c r="DI82" s="797" t="str">
        <f>IFERROR(IF(DI$7&gt;$D$3,"",IF(BA82="Missed","Missed",IF(BA82="OD","OD",IF(BA82="TBC","TBC",IF(BA82="Undefined","Undefined",
IF(_xlfn.XLOOKUP(DI$7,Engineering!$M$22:$BM$22,Engineering!$M$30:$BM$30)="Undefined",_xlfn.XLOOKUP(DI$7,Engineering!$M$22:$BM$22,Engineering!$M$31:$BM$31),
_xlfn.XLOOKUP(DI$7,Engineering!$M$22:$BM$22,Engineering!$M$31:$BM$31)/_xlfn.XLOOKUP(DI$7,Engineering!$M$22:$BM$22,Engineering!$M$30:$BM$30))))))),"")</f>
        <v>Missed</v>
      </c>
      <c r="DJ82" s="797" t="str">
        <f>IFERROR(IF(DJ$7&gt;$D$3,"",IF(BB82="Missed","Missed",IF(BB82="OD","OD",IF(BB82="TBC","TBC",IF(BB82="Undefined","Undefined",
IF(_xlfn.XLOOKUP(DJ$7,Engineering!$M$22:$BM$22,Engineering!$M$30:$BM$30)="Undefined",_xlfn.XLOOKUP(DJ$7,Engineering!$M$22:$BM$22,Engineering!$M$31:$BM$31),
_xlfn.XLOOKUP(DJ$7,Engineering!$M$22:$BM$22,Engineering!$M$31:$BM$31)/_xlfn.XLOOKUP(DJ$7,Engineering!$M$22:$BM$22,Engineering!$M$30:$BM$30))))))),"")</f>
        <v>Missed</v>
      </c>
      <c r="DK82" s="797" t="str">
        <f>IFERROR(IF(DK$7&gt;$D$3,"",IF(BC82="Missed","Missed",IF(BC82="OD","OD",IF(BC82="TBC","TBC",IF(BC82="Undefined","Undefined",
IF(_xlfn.XLOOKUP(DK$7,Engineering!$M$22:$BM$22,Engineering!$M$30:$BM$30)="Undefined",_xlfn.XLOOKUP(DK$7,Engineering!$M$22:$BM$22,Engineering!$M$31:$BM$31),
_xlfn.XLOOKUP(DK$7,Engineering!$M$22:$BM$22,Engineering!$M$31:$BM$31)/_xlfn.XLOOKUP(DK$7,Engineering!$M$22:$BM$22,Engineering!$M$30:$BM$30))))))),"")</f>
        <v>Missed</v>
      </c>
      <c r="DL82" s="797" t="str">
        <f>IFERROR(IF(DL$7&gt;$D$3,"",IF(BD82="Missed","Missed",IF(BD82="OD","OD",IF(BD82="TBC","TBC",IF(BD82="Undefined","Undefined",
IF(_xlfn.XLOOKUP(DL$7,Engineering!$M$22:$BM$22,Engineering!$M$30:$BM$30)="Undefined",_xlfn.XLOOKUP(DL$7,Engineering!$M$22:$BM$22,Engineering!$M$31:$BM$31),
_xlfn.XLOOKUP(DL$7,Engineering!$M$22:$BM$22,Engineering!$M$31:$BM$31)/_xlfn.XLOOKUP(DL$7,Engineering!$M$22:$BM$22,Engineering!$M$30:$BM$30))))))),"")</f>
        <v>Missed</v>
      </c>
      <c r="DM82" s="797" t="str">
        <f>IFERROR(IF(DM$7&gt;$D$3,"",IF(BE82="Missed","Missed",IF(BE82="OD","OD",IF(BE82="TBC","TBC",IF(BE82="Undefined","Undefined",
IF(_xlfn.XLOOKUP(DM$7,Engineering!$M$22:$BM$22,Engineering!$M$30:$BM$30)="Undefined",_xlfn.XLOOKUP(DM$7,Engineering!$M$22:$BM$22,Engineering!$M$31:$BM$31),
_xlfn.XLOOKUP(DM$7,Engineering!$M$22:$BM$22,Engineering!$M$31:$BM$31)/_xlfn.XLOOKUP(DM$7,Engineering!$M$22:$BM$22,Engineering!$M$30:$BM$30))))))),"")</f>
        <v>Missed</v>
      </c>
      <c r="DN82" s="797" t="str">
        <f>IFERROR(IF(DN$7&gt;$D$3,"",IF(BF82="Missed","Missed",IF(BF82="OD","OD",IF(BF82="TBC","TBC",IF(BF82="Undefined","Undefined",
IF(_xlfn.XLOOKUP(DN$7,Engineering!$M$22:$BM$22,Engineering!$M$30:$BM$30)="Undefined",_xlfn.XLOOKUP(DN$7,Engineering!$M$22:$BM$22,Engineering!$M$31:$BM$31),
_xlfn.XLOOKUP(DN$7,Engineering!$M$22:$BM$22,Engineering!$M$31:$BM$31)/_xlfn.XLOOKUP(DN$7,Engineering!$M$22:$BM$22,Engineering!$M$30:$BM$30))))))),"")</f>
        <v>Missed</v>
      </c>
      <c r="DO82" s="797" t="str">
        <f>IFERROR(IF(DO$7&gt;$D$3,"",IF(BG82="Missed","Missed",IF(BG82="OD","OD",IF(BG82="TBC","TBC",IF(BG82="Undefined","Undefined",
IF(_xlfn.XLOOKUP(DO$7,Engineering!$M$22:$BM$22,Engineering!$M$30:$BM$30)="Undefined",_xlfn.XLOOKUP(DO$7,Engineering!$M$22:$BM$22,Engineering!$M$31:$BM$31),
_xlfn.XLOOKUP(DO$7,Engineering!$M$22:$BM$22,Engineering!$M$31:$BM$31)/_xlfn.XLOOKUP(DO$7,Engineering!$M$22:$BM$22,Engineering!$M$30:$BM$30))))))),"")</f>
        <v>Missed</v>
      </c>
      <c r="DP82" s="797" t="str">
        <f>IFERROR(IF(DP$7&gt;$D$3,"",IF(BH82="Missed","Missed",IF(BH82="OD","OD",IF(BH82="TBC","TBC",IF(BH82="Undefined","Undefined",
IF(_xlfn.XLOOKUP(DP$7,Engineering!$M$22:$BM$22,Engineering!$M$30:$BM$30)="Undefined",_xlfn.XLOOKUP(DP$7,Engineering!$M$22:$BM$22,Engineering!$M$31:$BM$31),
_xlfn.XLOOKUP(DP$7,Engineering!$M$22:$BM$22,Engineering!$M$31:$BM$31)/_xlfn.XLOOKUP(DP$7,Engineering!$M$22:$BM$22,Engineering!$M$30:$BM$30))))))),"")</f>
        <v>Missed</v>
      </c>
      <c r="DQ82" s="797" t="str">
        <f>IFERROR(IF(DQ$7&gt;$D$3,"",IF(BI82="Missed","Missed",IF(BI82="OD","OD",IF(BI82="TBC","TBC",IF(BI82="Undefined","Undefined",
IF(_xlfn.XLOOKUP(DQ$7,Engineering!$M$22:$BM$22,Engineering!$M$30:$BM$30)="Undefined",_xlfn.XLOOKUP(DQ$7,Engineering!$M$22:$BM$22,Engineering!$M$31:$BM$31),
_xlfn.XLOOKUP(DQ$7,Engineering!$M$22:$BM$22,Engineering!$M$31:$BM$31)/_xlfn.XLOOKUP(DQ$7,Engineering!$M$22:$BM$22,Engineering!$M$30:$BM$30))))))),"")</f>
        <v>Missed</v>
      </c>
      <c r="DR82" s="797" t="str">
        <f>IFERROR(IF(DR$7&gt;$D$3,"",IF(BJ82="Missed","Missed",IF(BJ82="OD","OD",IF(BJ82="TBC","TBC",IF(BJ82="Undefined","Undefined",
IF(_xlfn.XLOOKUP(DR$7,Engineering!$M$22:$BM$22,Engineering!$M$30:$BM$30)="Undefined",_xlfn.XLOOKUP(DR$7,Engineering!$M$22:$BM$22,Engineering!$M$31:$BM$31),
_xlfn.XLOOKUP(DR$7,Engineering!$M$22:$BM$22,Engineering!$M$31:$BM$31)/_xlfn.XLOOKUP(DR$7,Engineering!$M$22:$BM$22,Engineering!$M$30:$BM$30))))))),"")</f>
        <v>Missed</v>
      </c>
      <c r="DS82" s="797" t="str">
        <f>IFERROR(IF(DS$7&gt;$D$3,"",IF(BK82="Missed","Missed",IF(BK82="OD","OD",IF(BK82="TBC","TBC",IF(BK82="Undefined","Undefined",
IF(_xlfn.XLOOKUP(DS$7,Engineering!$M$22:$BM$22,Engineering!$M$30:$BM$30)="Undefined",_xlfn.XLOOKUP(DS$7,Engineering!$M$22:$BM$22,Engineering!$M$31:$BM$31),
_xlfn.XLOOKUP(DS$7,Engineering!$M$22:$BM$22,Engineering!$M$31:$BM$31)/_xlfn.XLOOKUP(DS$7,Engineering!$M$22:$BM$22,Engineering!$M$30:$BM$30))))))),"")</f>
        <v>Missed</v>
      </c>
      <c r="DT82" s="797" t="str">
        <f>IFERROR(IF(DT$7&gt;$D$3,"",IF(BL82="Missed","Missed",IF(BL82="OD","OD",IF(BL82="TBC","TBC",IF(BL82="Undefined","Undefined",
IF(_xlfn.XLOOKUP(DT$7,Engineering!$M$22:$BM$22,Engineering!$M$30:$BM$30)="Undefined",_xlfn.XLOOKUP(DT$7,Engineering!$M$22:$BM$22,Engineering!$M$31:$BM$31),
_xlfn.XLOOKUP(DT$7,Engineering!$M$22:$BM$22,Engineering!$M$31:$BM$31)/_xlfn.XLOOKUP(DT$7,Engineering!$M$22:$BM$22,Engineering!$M$30:$BM$30))))))),"")</f>
        <v>Missed</v>
      </c>
      <c r="DU82" s="797" t="str">
        <f>IFERROR(IF(DU$7&gt;$D$3,"",IF(BM82="Missed","Missed",IF(BM82="OD","OD",IF(BM82="TBC","TBC",IF(BM82="Undefined","Undefined",
IF(_xlfn.XLOOKUP(DU$7,Engineering!$M$22:$BM$22,Engineering!$M$30:$BM$30)="Undefined",_xlfn.XLOOKUP(DU$7,Engineering!$M$22:$BM$22,Engineering!$M$31:$BM$31),
_xlfn.XLOOKUP(DU$7,Engineering!$M$22:$BM$22,Engineering!$M$31:$BM$31)/_xlfn.XLOOKUP(DU$7,Engineering!$M$22:$BM$22,Engineering!$M$30:$BM$30))))))),"")</f>
        <v>Missed</v>
      </c>
      <c r="DV82" s="797" t="str">
        <f>IFERROR(IF(DV$7&gt;$D$3,"",IF(BN82="Missed","Missed",IF(BN82="OD","OD",IF(BN82="TBC","TBC",IF(BN82="Undefined","Undefined",
IF(_xlfn.XLOOKUP(DV$7,Engineering!$M$22:$BM$22,Engineering!$M$30:$BM$30)="Undefined",_xlfn.XLOOKUP(DV$7,Engineering!$M$22:$BM$22,Engineering!$M$31:$BM$31),
_xlfn.XLOOKUP(DV$7,Engineering!$M$22:$BM$22,Engineering!$M$31:$BM$31)/_xlfn.XLOOKUP(DV$7,Engineering!$M$22:$BM$22,Engineering!$M$30:$BM$30))))))),"")</f>
        <v>Missed</v>
      </c>
      <c r="DW82" s="797" t="str">
        <f>IFERROR(IF(DW$7&gt;$D$3,"",IF(BO82="Missed","Missed",IF(BO82="OD","OD",IF(BO82="TBC","TBC",IF(BO82="Undefined","Undefined",
IF(_xlfn.XLOOKUP(DW$7,Engineering!$M$22:$BM$22,Engineering!$M$30:$BM$30)="Undefined",_xlfn.XLOOKUP(DW$7,Engineering!$M$22:$BM$22,Engineering!$M$31:$BM$31),
_xlfn.XLOOKUP(DW$7,Engineering!$M$22:$BM$22,Engineering!$M$31:$BM$31)/_xlfn.XLOOKUP(DW$7,Engineering!$M$22:$BM$22,Engineering!$M$30:$BM$30))))))),"")</f>
        <v>Missed</v>
      </c>
      <c r="DX82" s="797" t="str">
        <f>IFERROR(IF(DX$7&gt;$D$3,"",IF(BP82="Missed","Missed",IF(BP82="OD","OD",IF(BP82="TBC","TBC",IF(BP82="Undefined","Undefined",
IF(_xlfn.XLOOKUP(DX$7,Engineering!$M$22:$BM$22,Engineering!$M$30:$BM$30)="Undefined",_xlfn.XLOOKUP(DX$7,Engineering!$M$22:$BM$22,Engineering!$M$31:$BM$31),
_xlfn.XLOOKUP(DX$7,Engineering!$M$22:$BM$22,Engineering!$M$31:$BM$31)/_xlfn.XLOOKUP(DX$7,Engineering!$M$22:$BM$22,Engineering!$M$30:$BM$30))))))),"")</f>
        <v>Missed</v>
      </c>
      <c r="DY82" s="797" t="str">
        <f>IFERROR(IF(DY$7&gt;$D$3,"",IF(BQ82="Missed","Missed",IF(BQ82="OD","OD",IF(BQ82="TBC","TBC",IF(BQ82="Undefined","Undefined",
IF(_xlfn.XLOOKUP(DY$7,Engineering!$M$22:$BM$22,Engineering!$M$30:$BM$30)="Undefined",_xlfn.XLOOKUP(DY$7,Engineering!$M$22:$BM$22,Engineering!$M$31:$BM$31),
_xlfn.XLOOKUP(DY$7,Engineering!$M$22:$BM$22,Engineering!$M$31:$BM$31)/_xlfn.XLOOKUP(DY$7,Engineering!$M$22:$BM$22,Engineering!$M$30:$BM$30))))))),"")</f>
        <v>Missed</v>
      </c>
      <c r="DZ82" s="797" t="str">
        <f>IFERROR(IF(DZ$7&gt;$D$3,"",IF(BR82="Missed","Missed",IF(BR82="OD","OD",IF(BR82="TBC","TBC",IF(BR82="Undefined","Undefined",
IF(_xlfn.XLOOKUP(DZ$7,Engineering!$M$22:$BM$22,Engineering!$M$30:$BM$30)="Undefined",_xlfn.XLOOKUP(DZ$7,Engineering!$M$22:$BM$22,Engineering!$M$31:$BM$31),
_xlfn.XLOOKUP(DZ$7,Engineering!$M$22:$BM$22,Engineering!$M$31:$BM$31)/_xlfn.XLOOKUP(DZ$7,Engineering!$M$22:$BM$22,Engineering!$M$30:$BM$30))))))),"")</f>
        <v>Missed</v>
      </c>
      <c r="EA82" s="797" t="str">
        <f>IFERROR(IF(EA$7&gt;$D$3,"",IF(BS82="Missed","Missed",IF(BS82="OD","OD",IF(BS82="TBC","TBC",IF(BS82="Undefined","Undefined",
IF(_xlfn.XLOOKUP(EA$7,Engineering!$M$22:$BM$22,Engineering!$M$30:$BM$30)="Undefined",_xlfn.XLOOKUP(EA$7,Engineering!$M$22:$BM$22,Engineering!$M$31:$BM$31),
_xlfn.XLOOKUP(EA$7,Engineering!$M$22:$BM$22,Engineering!$M$31:$BM$31)/_xlfn.XLOOKUP(EA$7,Engineering!$M$22:$BM$22,Engineering!$M$30:$BM$30))))))),"")</f>
        <v>Missed</v>
      </c>
      <c r="EB82" s="797" t="str">
        <f>IFERROR(IF(EB$7&gt;$D$3,"",IF(BT82="Missed","Missed",IF(BT82="OD","OD",IF(BT82="TBC","TBC",IF(BT82="Undefined","Undefined",
IF(_xlfn.XLOOKUP(EB$7,Engineering!$M$22:$BM$22,Engineering!$M$30:$BM$30)="Undefined",_xlfn.XLOOKUP(EB$7,Engineering!$M$22:$BM$22,Engineering!$M$31:$BM$31),
_xlfn.XLOOKUP(EB$7,Engineering!$M$22:$BM$22,Engineering!$M$31:$BM$31)/_xlfn.XLOOKUP(EB$7,Engineering!$M$22:$BM$22,Engineering!$M$30:$BM$30))))))),"")</f>
        <v>Missed</v>
      </c>
      <c r="EC82" s="797" t="str">
        <f>IFERROR(IF(EC$7&gt;$D$3,"",IF(BU82="Missed","Missed",IF(BU82="OD","OD",IF(BU82="TBC","TBC",IF(BU82="Undefined","Undefined",
IF(_xlfn.XLOOKUP(EC$7,Engineering!$M$22:$BM$22,Engineering!$M$30:$BM$30)="Undefined",_xlfn.XLOOKUP(EC$7,Engineering!$M$22:$BM$22,Engineering!$M$31:$BM$31),
_xlfn.XLOOKUP(EC$7,Engineering!$M$22:$BM$22,Engineering!$M$31:$BM$31)/_xlfn.XLOOKUP(EC$7,Engineering!$M$22:$BM$22,Engineering!$M$30:$BM$30))))))),"")</f>
        <v>Missed</v>
      </c>
      <c r="ED82" s="797">
        <f>IFERROR(IF(ED$7&gt;$D$3,"",IF(BV82="Missed","Missed",IF(BV82="OD","OD",IF(BV82="TBC","TBC",IF(BV82="Undefined","Undefined",
IF(_xlfn.XLOOKUP(ED$7,Engineering!$M$22:$BM$22,Engineering!$M$30:$BM$30)="Undefined",_xlfn.XLOOKUP(ED$7,Engineering!$M$22:$BM$22,Engineering!$M$31:$BM$31),
_xlfn.XLOOKUP(ED$7,Engineering!$M$22:$BM$22,Engineering!$M$31:$BM$31)/_xlfn.XLOOKUP(ED$7,Engineering!$M$22:$BM$22,Engineering!$M$30:$BM$30))))))),"")</f>
        <v>0</v>
      </c>
      <c r="EE82" s="797">
        <f>IFERROR(IF(EE$7&gt;$D$3,"",IF(BW82="Missed","Missed",IF(BW82="OD","OD",IF(BW82="TBC","TBC",IF(BW82="Undefined","Undefined",
IF(_xlfn.XLOOKUP(EE$7,Engineering!$M$22:$BM$22,Engineering!$M$30:$BM$30)="Undefined",_xlfn.XLOOKUP(EE$7,Engineering!$M$22:$BM$22,Engineering!$M$31:$BM$31),
_xlfn.XLOOKUP(EE$7,Engineering!$M$22:$BM$22,Engineering!$M$31:$BM$31)/_xlfn.XLOOKUP(EE$7,Engineering!$M$22:$BM$22,Engineering!$M$30:$BM$30))))))),"")</f>
        <v>1</v>
      </c>
      <c r="EF82" s="797">
        <f>IFERROR(IF(EF$7&gt;$D$3,"",IF(BX82="Missed","Missed",IF(BX82="OD","OD",IF(BX82="TBC","TBC",IF(BX82="Undefined","Undefined",
IF(_xlfn.XLOOKUP(EF$7,Engineering!$M$22:$BM$22,Engineering!$M$30:$BM$30)="Undefined",_xlfn.XLOOKUP(EF$7,Engineering!$M$22:$BM$22,Engineering!$M$31:$BM$31),
_xlfn.XLOOKUP(EF$7,Engineering!$M$22:$BM$22,Engineering!$M$31:$BM$31)/_xlfn.XLOOKUP(EF$7,Engineering!$M$22:$BM$22,Engineering!$M$30:$BM$30))))))),"")</f>
        <v>1</v>
      </c>
      <c r="EG82" s="797" t="str">
        <f>IFERROR(IF(EG$7&gt;$D$3,"",IF(BY82="Missed","Missed",IF(BY82="OD","OD",IF(BY82="TBC","TBC",IF(BY82="Undefined","Undefined",
IF(_xlfn.XLOOKUP(EG$7,Engineering!$M$22:$BM$22,Engineering!$M$30:$BM$30)="Undefined",_xlfn.XLOOKUP(EG$7,Engineering!$M$22:$BM$22,Engineering!$M$31:$BM$31),
_xlfn.XLOOKUP(EG$7,Engineering!$M$22:$BM$22,Engineering!$M$31:$BM$31)/_xlfn.XLOOKUP(EG$7,Engineering!$M$22:$BM$22,Engineering!$M$30:$BM$30))))))),"")</f>
        <v>OD</v>
      </c>
      <c r="EH82" s="797" t="str">
        <f>IFERROR(IF(EH$7&gt;$D$3,"",IF(BZ82="Missed","Missed",IF(BZ82="OD","OD",IF(BZ82="TBC","TBC",IF(BZ82="Undefined","Undefined",
IF(_xlfn.XLOOKUP(EH$7,Engineering!$M$22:$BM$22,Engineering!$M$30:$BM$30)="Undefined",_xlfn.XLOOKUP(EH$7,Engineering!$M$22:$BM$22,Engineering!$M$31:$BM$31),
_xlfn.XLOOKUP(EH$7,Engineering!$M$22:$BM$22,Engineering!$M$31:$BM$31)/_xlfn.XLOOKUP(EH$7,Engineering!$M$22:$BM$22,Engineering!$M$30:$BM$30))))))),"")</f>
        <v>OD</v>
      </c>
      <c r="EI82" s="797" t="str">
        <f>IFERROR(IF(EI$7&gt;$D$3,"",IF(CA82="Missed","Missed",IF(CA82="OD","OD",IF(CA82="TBC","TBC",IF(CA82="Undefined","Undefined",
IF(_xlfn.XLOOKUP(EI$7,Engineering!$M$22:$BM$22,Engineering!$M$30:$BM$30)="Undefined",_xlfn.XLOOKUP(EI$7,Engineering!$M$22:$BM$22,Engineering!$M$31:$BM$31),
_xlfn.XLOOKUP(EI$7,Engineering!$M$22:$BM$22,Engineering!$M$31:$BM$31)/_xlfn.XLOOKUP(EI$7,Engineering!$M$22:$BM$22,Engineering!$M$30:$BM$30))))))),"")</f>
        <v>OD</v>
      </c>
      <c r="EJ82" s="797" t="str">
        <f>IFERROR(IF(EJ$7&gt;$D$3,"",IF(CB82="Missed","Missed",IF(CB82="OD","OD",IF(CB82="TBC","TBC",IF(CB82="Undefined","Undefined",
IF(_xlfn.XLOOKUP(EJ$7,Engineering!$M$22:$BM$22,Engineering!$M$30:$BM$30)="Undefined",_xlfn.XLOOKUP(EJ$7,Engineering!$M$22:$BM$22,Engineering!$M$31:$BM$31),
_xlfn.XLOOKUP(EJ$7,Engineering!$M$22:$BM$22,Engineering!$M$31:$BM$31)/_xlfn.XLOOKUP(EJ$7,Engineering!$M$22:$BM$22,Engineering!$M$30:$BM$30))))))),"")</f>
        <v>OD</v>
      </c>
      <c r="EK82" s="797" t="str">
        <f>IFERROR(IF(EK$7&gt;$D$3,"",IF(CC82="Missed","Missed",IF(CC82="OD","OD",IF(CC82="TBC","TBC",IF(CC82="Undefined","Undefined",
IF(_xlfn.XLOOKUP(EK$7,Engineering!$M$22:$BM$22,Engineering!$M$30:$BM$30)="Undefined",_xlfn.XLOOKUP(EK$7,Engineering!$M$22:$BM$22,Engineering!$M$31:$BM$31),
_xlfn.XLOOKUP(EK$7,Engineering!$M$22:$BM$22,Engineering!$M$31:$BM$31)/_xlfn.XLOOKUP(EK$7,Engineering!$M$22:$BM$22,Engineering!$M$30:$BM$30))))))),"")</f>
        <v/>
      </c>
      <c r="EL82" s="797" t="str">
        <f>IFERROR(IF(EL$7&gt;$D$3,"",IF(CD82="Missed","Missed",IF(CD82="OD","OD",IF(CD82="TBC","TBC",IF(CD82="Undefined","Undefined",
IF(_xlfn.XLOOKUP(EL$7,Engineering!$M$22:$BM$22,Engineering!$M$30:$BM$30)="Undefined",_xlfn.XLOOKUP(EL$7,Engineering!$M$22:$BM$22,Engineering!$M$31:$BM$31),
_xlfn.XLOOKUP(EL$7,Engineering!$M$22:$BM$22,Engineering!$M$31:$BM$31)/_xlfn.XLOOKUP(EL$7,Engineering!$M$22:$BM$22,Engineering!$M$30:$BM$30))))))),"")</f>
        <v/>
      </c>
      <c r="EM82" s="797" t="str">
        <f>IFERROR(IF(EM$7&gt;$D$3,"",IF(CE82="Missed","Missed",IF(CE82="OD","OD",IF(CE82="TBC","TBC",IF(CE82="Undefined","Undefined",
IF(_xlfn.XLOOKUP(EM$7,Engineering!$M$22:$BM$22,Engineering!$M$30:$BM$30)="Undefined",_xlfn.XLOOKUP(EM$7,Engineering!$M$22:$BM$22,Engineering!$M$31:$BM$31),
_xlfn.XLOOKUP(EM$7,Engineering!$M$22:$BM$22,Engineering!$M$31:$BM$31)/_xlfn.XLOOKUP(EM$7,Engineering!$M$22:$BM$22,Engineering!$M$30:$BM$30))))))),"")</f>
        <v/>
      </c>
      <c r="EN82" s="797" t="str">
        <f>IFERROR(IF(EN$7&gt;$D$3,"",IF(CF82="Missed","Missed",IF(CF82="OD","OD",IF(CF82="TBC","TBC",IF(CF82="Undefined","Undefined",
IF(_xlfn.XLOOKUP(EN$7,Engineering!$M$22:$BM$22,Engineering!$M$30:$BM$30)="Undefined",_xlfn.XLOOKUP(EN$7,Engineering!$M$22:$BM$22,Engineering!$M$31:$BM$31),
_xlfn.XLOOKUP(EN$7,Engineering!$M$22:$BM$22,Engineering!$M$31:$BM$31)/_xlfn.XLOOKUP(EN$7,Engineering!$M$22:$BM$22,Engineering!$M$30:$BM$30))))))),"")</f>
        <v/>
      </c>
      <c r="EO82" s="797" t="str">
        <f>IFERROR(IF(EO$7&gt;$D$3,"",IF(CG82="Missed","Missed",IF(CG82="OD","OD",IF(CG82="TBC","TBC",IF(CG82="Undefined","Undefined",
IF(_xlfn.XLOOKUP(EO$7,Engineering!$M$22:$BM$22,Engineering!$M$30:$BM$30)="Undefined",_xlfn.XLOOKUP(EO$7,Engineering!$M$22:$BM$22,Engineering!$M$31:$BM$31),
_xlfn.XLOOKUP(EO$7,Engineering!$M$22:$BM$22,Engineering!$M$31:$BM$31)/_xlfn.XLOOKUP(EO$7,Engineering!$M$22:$BM$22,Engineering!$M$30:$BM$30))))))),"")</f>
        <v/>
      </c>
      <c r="EP82" s="797" t="str">
        <f>IFERROR(IF(EP$7&gt;$D$3,"",IF(CH82="Missed","Missed",IF(CH82="OD","OD",IF(CH82="TBC","TBC",IF(CH82="Undefined","Undefined",
IF(_xlfn.XLOOKUP(EP$7,Engineering!$M$22:$BM$22,Engineering!$M$30:$BM$30)="Undefined",_xlfn.XLOOKUP(EP$7,Engineering!$M$22:$BM$22,Engineering!$M$31:$BM$31),
_xlfn.XLOOKUP(EP$7,Engineering!$M$22:$BM$22,Engineering!$M$31:$BM$31)/_xlfn.XLOOKUP(EP$7,Engineering!$M$22:$BM$22,Engineering!$M$30:$BM$30))))))),"")</f>
        <v/>
      </c>
      <c r="EQ82" s="797" t="str">
        <f>IFERROR(IF(EQ$7&gt;$D$3,"",IF(CI82="Missed","Missed",IF(CI82="OD","OD",IF(CI82="TBC","TBC",IF(CI82="Undefined","Undefined",
IF(_xlfn.XLOOKUP(EQ$7,Engineering!$M$22:$BM$22,Engineering!$M$30:$BM$30)="Undefined",_xlfn.XLOOKUP(EQ$7,Engineering!$M$22:$BM$22,Engineering!$M$31:$BM$31),
_xlfn.XLOOKUP(EQ$7,Engineering!$M$22:$BM$22,Engineering!$M$31:$BM$31)/_xlfn.XLOOKUP(EQ$7,Engineering!$M$22:$BM$22,Engineering!$M$30:$BM$30))))))),"")</f>
        <v/>
      </c>
      <c r="ER82" s="797" t="str">
        <f>IFERROR(IF(ER$7&gt;$D$3,"",IF(CJ82="Missed","Missed",IF(CJ82="OD","OD",IF(CJ82="TBC","TBC",IF(CJ82="Undefined","Undefined",
IF(_xlfn.XLOOKUP(ER$7,Engineering!$M$22:$BM$22,Engineering!$M$30:$BM$30)="Undefined",_xlfn.XLOOKUP(ER$7,Engineering!$M$22:$BM$22,Engineering!$M$31:$BM$31),
_xlfn.XLOOKUP(ER$7,Engineering!$M$22:$BM$22,Engineering!$M$31:$BM$31)/_xlfn.XLOOKUP(ER$7,Engineering!$M$22:$BM$22,Engineering!$M$30:$BM$30))))))),"")</f>
        <v/>
      </c>
      <c r="ES82" s="797" t="str">
        <f>IFERROR(IF(ES$7&gt;$D$3,"",IF(CK82="Missed","Missed",IF(CK82="OD","OD",IF(CK82="TBC","TBC",IF(CK82="Undefined","Undefined",
IF(_xlfn.XLOOKUP(ES$7,Engineering!$M$22:$BM$22,Engineering!$M$30:$BM$30)="Undefined",_xlfn.XLOOKUP(ES$7,Engineering!$M$22:$BM$22,Engineering!$M$31:$BM$31),
_xlfn.XLOOKUP(ES$7,Engineering!$M$22:$BM$22,Engineering!$M$31:$BM$31)/_xlfn.XLOOKUP(ES$7,Engineering!$M$22:$BM$22,Engineering!$M$30:$BM$30))))))),"")</f>
        <v/>
      </c>
      <c r="ET82" s="797" t="str">
        <f>IFERROR(IF(ET$7&gt;$D$3,"",IF(CL82="Missed","Missed",IF(CL82="OD","OD",IF(CL82="TBC","TBC",IF(CL82="Undefined","Undefined",
IF(_xlfn.XLOOKUP(ET$7,Engineering!$M$22:$BM$22,Engineering!$M$30:$BM$30)="Undefined",_xlfn.XLOOKUP(ET$7,Engineering!$M$22:$BM$22,Engineering!$M$31:$BM$31),
_xlfn.XLOOKUP(ET$7,Engineering!$M$22:$BM$22,Engineering!$M$31:$BM$31)/_xlfn.XLOOKUP(ET$7,Engineering!$M$22:$BM$22,Engineering!$M$30:$BM$30))))))),"")</f>
        <v/>
      </c>
      <c r="EU82" s="797" t="str">
        <f>IFERROR(IF(EU$7&gt;$D$3,"",IF(CM82="Missed","Missed",IF(CM82="OD","OD",IF(CM82="TBC","TBC",IF(CM82="Undefined","Undefined",
IF(_xlfn.XLOOKUP(EU$7,Engineering!$M$22:$BM$22,Engineering!$M$30:$BM$30)="Undefined",_xlfn.XLOOKUP(EU$7,Engineering!$M$22:$BM$22,Engineering!$M$31:$BM$31),
_xlfn.XLOOKUP(EU$7,Engineering!$M$22:$BM$22,Engineering!$M$31:$BM$31)/_xlfn.XLOOKUP(EU$7,Engineering!$M$22:$BM$22,Engineering!$M$30:$BM$30))))))),"")</f>
        <v/>
      </c>
      <c r="EW82" s="722" t="str">
        <f>+$A82</f>
        <v>Engineering-KPI Q3</v>
      </c>
      <c r="EX82" s="716" t="str">
        <f>+$C82</f>
        <v>KPI Q3</v>
      </c>
      <c r="EY82" s="717" t="str">
        <f>+$D82</f>
        <v>Quality</v>
      </c>
      <c r="EZ82" s="717" t="str">
        <f>+$E82</f>
        <v>No of Complaints</v>
      </c>
      <c r="FA82" s="718" t="str">
        <f>+$F82</f>
        <v>Days</v>
      </c>
      <c r="FB82" s="718" t="s">
        <v>251</v>
      </c>
      <c r="FC82" s="798" t="str">
        <f>IF(FC$7&gt;$D$3,"",IF($FA79&lt;FC$7,"OD",_xlfn.XLOOKUP(FC$7,Engineering!$M$22:$BM$22,Engineering!$M$31:$BM$31)))</f>
        <v>Blank</v>
      </c>
      <c r="FD82" s="798" t="str">
        <f>IF(FD$7&gt;$D$3,"",IF($FA79&lt;FD$7,"OD",_xlfn.XLOOKUP(FD$7,Engineering!$M$22:$BM$22,Engineering!$M$31:$BM$31)))</f>
        <v>Missed</v>
      </c>
      <c r="FE82" s="798" t="str">
        <f>IF(FE$7&gt;$D$3,"",IF($FA79&lt;FE$7,"OD",_xlfn.XLOOKUP(FE$7,Engineering!$M$22:$BM$22,Engineering!$M$31:$BM$31)))</f>
        <v>Missed</v>
      </c>
      <c r="FF82" s="798" t="str">
        <f>IF(FF$7&gt;$D$3,"",IF($FA79&lt;FF$7,"OD",_xlfn.XLOOKUP(FF$7,Engineering!$M$22:$BM$22,Engineering!$M$31:$BM$31)))</f>
        <v>Missed</v>
      </c>
      <c r="FG82" s="798" t="str">
        <f>IF(FG$7&gt;$D$3,"",IF($FA79&lt;FG$7,"OD",_xlfn.XLOOKUP(FG$7,Engineering!$M$22:$BM$22,Engineering!$M$31:$BM$31)))</f>
        <v>Missed</v>
      </c>
      <c r="FH82" s="798" t="str">
        <f>IF(FH$7&gt;$D$3,"",IF($FA79&lt;FH$7,"OD",_xlfn.XLOOKUP(FH$7,Engineering!$M$22:$BM$22,Engineering!$M$31:$BM$31)))</f>
        <v>Missed</v>
      </c>
      <c r="FI82" s="798" t="str">
        <f>IF(FI$7&gt;$D$3,"",IF($FA79&lt;FI$7,"OD",_xlfn.XLOOKUP(FI$7,Engineering!$M$22:$BM$22,Engineering!$M$31:$BM$31)))</f>
        <v>Missed</v>
      </c>
      <c r="FJ82" s="798" t="str">
        <f>IF(FJ$7&gt;$D$3,"",IF($FA79&lt;FJ$7,"OD",_xlfn.XLOOKUP(FJ$7,Engineering!$M$22:$BM$22,Engineering!$M$31:$BM$31)))</f>
        <v>Missed</v>
      </c>
      <c r="FK82" s="798" t="str">
        <f>IF(FK$7&gt;$D$3,"",IF($FA79&lt;FK$7,"OD",_xlfn.XLOOKUP(FK$7,Engineering!$M$22:$BM$22,Engineering!$M$31:$BM$31)))</f>
        <v>Missed</v>
      </c>
      <c r="FL82" s="798" t="str">
        <f>IF(FL$7&gt;$D$3,"",IF($FA79&lt;FL$7,"OD",_xlfn.XLOOKUP(FL$7,Engineering!$M$22:$BM$22,Engineering!$M$31:$BM$31)))</f>
        <v>Missed</v>
      </c>
      <c r="FM82" s="798" t="str">
        <f>IF(FM$7&gt;$D$3,"",IF($FA79&lt;FM$7,"OD",_xlfn.XLOOKUP(FM$7,Engineering!$M$22:$BM$22,Engineering!$M$31:$BM$31)))</f>
        <v>Missed</v>
      </c>
      <c r="FN82" s="798" t="str">
        <f>IF(FN$7&gt;$D$3,"",IF($FA79&lt;FN$7,"OD",_xlfn.XLOOKUP(FN$7,Engineering!$M$22:$BM$22,Engineering!$M$31:$BM$31)))</f>
        <v>Missed</v>
      </c>
      <c r="FO82" s="798" t="str">
        <f>IF(FO$7&gt;$D$3,"",IF($FA79&lt;FO$7,"OD",_xlfn.XLOOKUP(FO$7,Engineering!$M$22:$BM$22,Engineering!$M$31:$BM$31)))</f>
        <v>Missed</v>
      </c>
      <c r="FP82" s="798" t="str">
        <f>IF(FP$7&gt;$D$3,"",IF($FA79&lt;FP$7,"OD",_xlfn.XLOOKUP(FP$7,Engineering!$M$22:$BM$22,Engineering!$M$31:$BM$31)))</f>
        <v>Missed</v>
      </c>
      <c r="FQ82" s="798" t="str">
        <f>IF(FQ$7&gt;$D$3,"",IF($FA79&lt;FQ$7,"OD",_xlfn.XLOOKUP(FQ$7,Engineering!$M$22:$BM$22,Engineering!$M$31:$BM$31)))</f>
        <v>Missed</v>
      </c>
      <c r="FR82" s="798" t="str">
        <f>IF(FR$7&gt;$D$3,"",IF($FA79&lt;FR$7,"OD",_xlfn.XLOOKUP(FR$7,Engineering!$M$22:$BM$22,Engineering!$M$31:$BM$31)))</f>
        <v>Missed</v>
      </c>
      <c r="FS82" s="798" t="str">
        <f>IF(FS$7&gt;$D$3,"",IF($FA79&lt;FS$7,"OD",_xlfn.XLOOKUP(FS$7,Engineering!$M$22:$BM$22,Engineering!$M$31:$BM$31)))</f>
        <v>Missed</v>
      </c>
      <c r="FT82" s="798" t="str">
        <f>IF(FT$7&gt;$D$3,"",IF($FA79&lt;FT$7,"OD",_xlfn.XLOOKUP(FT$7,Engineering!$M$22:$BM$22,Engineering!$M$31:$BM$31)))</f>
        <v>Missed</v>
      </c>
      <c r="FU82" s="798" t="str">
        <f>IF(FU$7&gt;$D$3,"",IF($FA79&lt;FU$7,"OD",_xlfn.XLOOKUP(FU$7,Engineering!$M$22:$BM$22,Engineering!$M$31:$BM$31)))</f>
        <v>Missed</v>
      </c>
      <c r="FV82" s="798" t="str">
        <f>IF(FV$7&gt;$D$3,"",IF($FA79&lt;FV$7,"OD",_xlfn.XLOOKUP(FV$7,Engineering!$M$22:$BM$22,Engineering!$M$31:$BM$31)))</f>
        <v>Missed</v>
      </c>
      <c r="FW82" s="798" t="str">
        <f>IF(FW$7&gt;$D$3,"",IF($FA79&lt;FW$7,"OD",_xlfn.XLOOKUP(FW$7,Engineering!$M$22:$BM$22,Engineering!$M$31:$BM$31)))</f>
        <v>Missed</v>
      </c>
      <c r="FX82" s="798" t="str">
        <f>IF(FX$7&gt;$D$3,"",IF($FA79&lt;FX$7,"OD",_xlfn.XLOOKUP(FX$7,Engineering!$M$22:$BM$22,Engineering!$M$31:$BM$31)))</f>
        <v>Missed</v>
      </c>
      <c r="FY82" s="798" t="str">
        <f>IF(FY$7&gt;$D$3,"",IF($FA79&lt;FY$7,"OD",_xlfn.XLOOKUP(FY$7,Engineering!$M$22:$BM$22,Engineering!$M$31:$BM$31)))</f>
        <v>Missed</v>
      </c>
      <c r="FZ82" s="798" t="str">
        <f>IF(FZ$7&gt;$D$3,"",IF($FA79&lt;FZ$7,"OD",_xlfn.XLOOKUP(FZ$7,Engineering!$M$22:$BM$22,Engineering!$M$31:$BM$31)))</f>
        <v>Missed</v>
      </c>
      <c r="GA82" s="798" t="str">
        <f>IF(GA$7&gt;$D$3,"",IF($FA79&lt;GA$7,"OD",_xlfn.XLOOKUP(GA$7,Engineering!$M$22:$BM$22,Engineering!$M$31:$BM$31)))</f>
        <v>Missed</v>
      </c>
      <c r="GB82" s="798" t="str">
        <f>IF(GB$7&gt;$D$3,"",IF($FA79&lt;GB$7,"OD",_xlfn.XLOOKUP(GB$7,Engineering!$M$22:$BM$22,Engineering!$M$31:$BM$31)))</f>
        <v>Missed</v>
      </c>
      <c r="GC82" s="798" t="str">
        <f>IF(GC$7&gt;$D$3,"",IF($FA79&lt;GC$7,"OD",_xlfn.XLOOKUP(GC$7,Engineering!$M$22:$BM$22,Engineering!$M$31:$BM$31)))</f>
        <v>Missed</v>
      </c>
      <c r="GD82" s="798" t="str">
        <f>IF(GD$7&gt;$D$3,"",IF($FA79&lt;GD$7,"OD",_xlfn.XLOOKUP(GD$7,Engineering!$M$22:$BM$22,Engineering!$M$31:$BM$31)))</f>
        <v>Missed</v>
      </c>
      <c r="GE82" s="798" t="str">
        <f>IF(GE$7&gt;$D$3,"",IF($FA79&lt;GE$7,"OD",_xlfn.XLOOKUP(GE$7,Engineering!$M$22:$BM$22,Engineering!$M$31:$BM$31)))</f>
        <v>Missed</v>
      </c>
      <c r="GF82" s="798" t="str">
        <f>IF(GF$7&gt;$D$3,"",IF($FA79&lt;GF$7,"OD",_xlfn.XLOOKUP(GF$7,Engineering!$M$22:$BM$22,Engineering!$M$31:$BM$31)))</f>
        <v>Missed</v>
      </c>
      <c r="GG82" s="798" t="str">
        <f>IF(GG$7&gt;$D$3,"",IF($FA79&lt;GG$7,"OD",_xlfn.XLOOKUP(GG$7,Engineering!$M$22:$BM$22,Engineering!$M$31:$BM$31)))</f>
        <v>Missed</v>
      </c>
      <c r="GH82" s="798" t="str">
        <f>IF(GH$7&gt;$D$3,"",IF($FA79&lt;GH$7,"OD",_xlfn.XLOOKUP(GH$7,Engineering!$M$22:$BM$22,Engineering!$M$31:$BM$31)))</f>
        <v>Missed</v>
      </c>
      <c r="GI82" s="798" t="str">
        <f>IF(GI$7&gt;$D$3,"",IF($FA79&lt;GI$7,"OD",_xlfn.XLOOKUP(GI$7,Engineering!$M$22:$BM$22,Engineering!$M$31:$BM$31)))</f>
        <v>Missed</v>
      </c>
      <c r="GJ82" s="798" t="str">
        <f>IF(GJ$7&gt;$D$3,"",IF($FA79&lt;GJ$7,"OD",_xlfn.XLOOKUP(GJ$7,Engineering!$M$22:$BM$22,Engineering!$M$31:$BM$31)))</f>
        <v>Missed</v>
      </c>
      <c r="GK82" s="798" t="str">
        <f>IF(GK$7&gt;$D$3,"",IF($FA79&lt;GK$7,"OD",_xlfn.XLOOKUP(GK$7,Engineering!$M$22:$BM$22,Engineering!$M$31:$BM$31)))</f>
        <v>Missed</v>
      </c>
      <c r="GL82" s="798">
        <f>IF(GL$7&gt;$D$3,"",IF($FA79&lt;GL$7,"OD",_xlfn.XLOOKUP(GL$7,Engineering!$M$22:$BM$22,Engineering!$M$31:$BM$31)))</f>
        <v>0</v>
      </c>
      <c r="GM82" s="798">
        <f>IF(GM$7&gt;$D$3,"",IF($FA79&lt;GM$7,"OD",_xlfn.XLOOKUP(GM$7,Engineering!$M$22:$BM$22,Engineering!$M$31:$BM$31)))</f>
        <v>1</v>
      </c>
      <c r="GN82" s="798">
        <f>IF(GN$7&gt;$D$3,"",IF($FA79&lt;GN$7,"OD",_xlfn.XLOOKUP(GN$7,Engineering!$M$22:$BM$22,Engineering!$M$31:$BM$31)))</f>
        <v>1</v>
      </c>
      <c r="GO82" s="798" t="str">
        <f>IF(GO$7&gt;$D$3,"",IF($FA79&lt;GO$7,"OD",_xlfn.XLOOKUP(GO$7,Engineering!$M$22:$BM$22,Engineering!$M$31:$BM$31)))</f>
        <v>OD</v>
      </c>
      <c r="GP82" s="798" t="str">
        <f>IF(GP$7&gt;$D$3,"",IF($FA79&lt;GP$7,"OD",_xlfn.XLOOKUP(GP$7,Engineering!$M$22:$BM$22,Engineering!$M$31:$BM$31)))</f>
        <v>OD</v>
      </c>
      <c r="GQ82" s="798" t="str">
        <f>IF(GQ$7&gt;$D$3,"",IF($FA79&lt;GQ$7,"OD",_xlfn.XLOOKUP(GQ$7,Engineering!$M$22:$BM$22,Engineering!$M$31:$BM$31)))</f>
        <v>OD</v>
      </c>
      <c r="GR82" s="798" t="str">
        <f>IF(GR$7&gt;$D$3,"",IF($FA79&lt;GR$7,"OD",_xlfn.XLOOKUP(GR$7,Engineering!$M$22:$BM$22,Engineering!$M$31:$BM$31)))</f>
        <v>OD</v>
      </c>
      <c r="GS82" s="798" t="str">
        <f>IF(GS$7&gt;$D$3,"",IF($FA79&lt;GS$7,"OD",_xlfn.XLOOKUP(GS$7,Engineering!$M$22:$BM$22,Engineering!$M$31:$BM$31)))</f>
        <v/>
      </c>
      <c r="GT82" s="798" t="str">
        <f>IF(GT$7&gt;$D$3,"",IF($FA79&lt;GT$7,"OD",_xlfn.XLOOKUP(GT$7,Engineering!$M$22:$BM$22,Engineering!$M$31:$BM$31)))</f>
        <v/>
      </c>
      <c r="GU82" s="798" t="str">
        <f>IF(GU$7&gt;$D$3,"",IF($FA79&lt;GU$7,"OD",_xlfn.XLOOKUP(GU$7,Engineering!$M$22:$BM$22,Engineering!$M$31:$BM$31)))</f>
        <v/>
      </c>
      <c r="GV82" s="798" t="str">
        <f>IF(GV$7&gt;$D$3,"",IF($FA79&lt;GV$7,"OD",_xlfn.XLOOKUP(GV$7,Engineering!$M$22:$BM$22,Engineering!$M$31:$BM$31)))</f>
        <v/>
      </c>
      <c r="GW82" s="798" t="str">
        <f>IF(GW$7&gt;$D$3,"",IF($FA79&lt;GW$7,"OD",_xlfn.XLOOKUP(GW$7,Engineering!$M$22:$BM$22,Engineering!$M$31:$BM$31)))</f>
        <v/>
      </c>
      <c r="GX82" s="798" t="str">
        <f>IF(GX$7&gt;$D$3,"",IF($FA79&lt;GX$7,"OD",_xlfn.XLOOKUP(GX$7,Engineering!$M$22:$BM$22,Engineering!$M$31:$BM$31)))</f>
        <v/>
      </c>
      <c r="GY82" s="798" t="str">
        <f>IF(GY$7&gt;$D$3,"",IF($FA79&lt;GY$7,"OD",_xlfn.XLOOKUP(GY$7,Engineering!$M$22:$BM$22,Engineering!$M$31:$BM$31)))</f>
        <v/>
      </c>
      <c r="GZ82" s="798" t="str">
        <f>IF(GZ$7&gt;$D$3,"",IF($FA79&lt;GZ$7,"OD",_xlfn.XLOOKUP(GZ$7,Engineering!$M$22:$BM$22,Engineering!$M$31:$BM$31)))</f>
        <v/>
      </c>
      <c r="HA82" s="798" t="str">
        <f>IF(HA$7&gt;$D$3,"",IF($FA79&lt;HA$7,"OD",_xlfn.XLOOKUP(HA$7,Engineering!$M$22:$BM$22,Engineering!$M$31:$BM$31)))</f>
        <v/>
      </c>
      <c r="HB82" s="798" t="str">
        <f>IF(HB$7&gt;$D$3,"",IF($FA79&lt;HB$7,"OD",_xlfn.XLOOKUP(HB$7,Engineering!$M$22:$BM$22,Engineering!$M$31:$BM$31)))</f>
        <v/>
      </c>
      <c r="HC82" s="799" t="str">
        <f>IF(HC$7&gt;$D$3,"",IF($FA79&lt;HC$7,"OD",_xlfn.XLOOKUP(HC$7,Engineering!$M$22:$BM$22,Engineering!$M$31:$BM$31)))</f>
        <v/>
      </c>
      <c r="HE82" s="716" t="str">
        <f>+$C82</f>
        <v>KPI Q3</v>
      </c>
      <c r="HF82" s="717" t="str">
        <f>+$D82</f>
        <v>Quality</v>
      </c>
      <c r="HG82" s="717" t="str">
        <f>+$E82</f>
        <v>No of Complaints</v>
      </c>
      <c r="HH82" s="718" t="str">
        <f>+$F82</f>
        <v>Days</v>
      </c>
      <c r="HI82" s="718" t="s">
        <v>44</v>
      </c>
      <c r="HJ82" s="798" t="str">
        <f>IF(HJ$7&gt;$D$3,"",IF($FA79&lt;HJ$7,"OD",_xlfn.XLOOKUP(HJ$8,Engineering!$M$22:$BM$22,Engineering!$M$30:$BM$30)))</f>
        <v>Blank</v>
      </c>
      <c r="HK82" s="798">
        <f>IF(HK$7&gt;$D$3,"",IF($FA79&lt;HK$7,"OD",_xlfn.XLOOKUP(HK$7,Engineering!$M$22:$BM$22,Engineering!$M$30:$BM$30)))</f>
        <v>0</v>
      </c>
      <c r="HL82" s="798">
        <f>IF(HL$7&gt;$D$3,"",IF($FA79&lt;HL$7,"OD",_xlfn.XLOOKUP(HL$7,Engineering!$M$22:$BM$22,Engineering!$M$30:$BM$30)))</f>
        <v>0</v>
      </c>
      <c r="HM82" s="798">
        <f>IF(HM$7&gt;$D$3,"",IF($FA79&lt;HM$7,"OD",_xlfn.XLOOKUP(HM$7,Engineering!$M$22:$BM$22,Engineering!$M$30:$BM$30)))</f>
        <v>0</v>
      </c>
      <c r="HN82" s="798">
        <f>IF(HN$7&gt;$D$3,"",IF($FA79&lt;HN$7,"OD",_xlfn.XLOOKUP(HN$7,Engineering!$M$22:$BM$22,Engineering!$M$30:$BM$30)))</f>
        <v>0</v>
      </c>
      <c r="HO82" s="798">
        <f>IF(HO$7&gt;$D$3,"",IF($FA79&lt;HO$7,"OD",_xlfn.XLOOKUP(HO$7,Engineering!$M$22:$BM$22,Engineering!$M$30:$BM$30)))</f>
        <v>0</v>
      </c>
      <c r="HP82" s="798">
        <f>IF(HP$7&gt;$D$3,"",IF($FA79&lt;HP$7,"OD",_xlfn.XLOOKUP(HP$7,Engineering!$M$22:$BM$22,Engineering!$M$30:$BM$30)))</f>
        <v>0</v>
      </c>
      <c r="HQ82" s="798">
        <f>IF(HQ$7&gt;$D$3,"",IF($FA79&lt;HQ$7,"OD",_xlfn.XLOOKUP(HQ$7,Engineering!$M$22:$BM$22,Engineering!$M$30:$BM$30)))</f>
        <v>0</v>
      </c>
      <c r="HR82" s="798">
        <f>IF(HR$7&gt;$D$3,"",IF($FA79&lt;HR$7,"OD",_xlfn.XLOOKUP(HR$7,Engineering!$M$22:$BM$22,Engineering!$M$30:$BM$30)))</f>
        <v>0</v>
      </c>
      <c r="HS82" s="798">
        <f>IF(HS$7&gt;$D$3,"",IF($FA79&lt;HS$7,"OD",_xlfn.XLOOKUP(HS$7,Engineering!$M$22:$BM$22,Engineering!$M$30:$BM$30)))</f>
        <v>0</v>
      </c>
      <c r="HT82" s="798">
        <f>IF(HT$7&gt;$D$3,"",IF($FA79&lt;HT$7,"OD",_xlfn.XLOOKUP(HT$7,Engineering!$M$22:$BM$22,Engineering!$M$30:$BM$30)))</f>
        <v>0</v>
      </c>
      <c r="HU82" s="798">
        <f>IF(HU$7&gt;$D$3,"",IF($FA79&lt;HU$7,"OD",_xlfn.XLOOKUP(HU$7,Engineering!$M$22:$BM$22,Engineering!$M$30:$BM$30)))</f>
        <v>0</v>
      </c>
      <c r="HV82" s="798">
        <f>IF(HV$7&gt;$D$3,"",IF($FA79&lt;HV$7,"OD",_xlfn.XLOOKUP(HV$7,Engineering!$M$22:$BM$22,Engineering!$M$30:$BM$30)))</f>
        <v>0</v>
      </c>
      <c r="HW82" s="798">
        <f>IF(HW$7&gt;$D$3,"",IF($FA79&lt;HW$7,"OD",_xlfn.XLOOKUP(HW$7,Engineering!$M$22:$BM$22,Engineering!$M$30:$BM$30)))</f>
        <v>0</v>
      </c>
      <c r="HX82" s="798">
        <f>IF(HX$7&gt;$D$3,"",IF($FA79&lt;HX$7,"OD",_xlfn.XLOOKUP(HX$7,Engineering!$M$22:$BM$22,Engineering!$M$30:$BM$30)))</f>
        <v>0</v>
      </c>
      <c r="HY82" s="798">
        <f>IF(HY$7&gt;$D$3,"",IF($FA79&lt;HY$7,"OD",_xlfn.XLOOKUP(HY$7,Engineering!$M$22:$BM$22,Engineering!$M$30:$BM$30)))</f>
        <v>0</v>
      </c>
      <c r="HZ82" s="798">
        <f>IF(HZ$7&gt;$D$3,"",IF($FA79&lt;HZ$7,"OD",_xlfn.XLOOKUP(HZ$7,Engineering!$M$22:$BM$22,Engineering!$M$30:$BM$30)))</f>
        <v>0</v>
      </c>
      <c r="IA82" s="798">
        <f>IF(IA$7&gt;$D$3,"",IF($FA79&lt;IA$7,"OD",_xlfn.XLOOKUP(IA$7,Engineering!$M$22:$BM$22,Engineering!$M$30:$BM$30)))</f>
        <v>0</v>
      </c>
      <c r="IB82" s="798">
        <f>IF(IB$7&gt;$D$3,"",IF($FA79&lt;IB$7,"OD",_xlfn.XLOOKUP(IB$7,Engineering!$M$22:$BM$22,Engineering!$M$30:$BM$30)))</f>
        <v>0</v>
      </c>
      <c r="IC82" s="798">
        <f>IF(IC$7&gt;$D$3,"",IF($FA79&lt;IC$7,"OD",_xlfn.XLOOKUP(IC$7,Engineering!$M$22:$BM$22,Engineering!$M$30:$BM$30)))</f>
        <v>0</v>
      </c>
      <c r="ID82" s="798">
        <f>IF(ID$7&gt;$D$3,"",IF($FA79&lt;ID$7,"OD",_xlfn.XLOOKUP(ID$7,Engineering!$M$22:$BM$22,Engineering!$M$30:$BM$30)))</f>
        <v>0</v>
      </c>
      <c r="IE82" s="798">
        <f>IF(IE$7&gt;$D$3,"",IF($FA79&lt;IE$7,"OD",_xlfn.XLOOKUP(IE$7,Engineering!$M$22:$BM$22,Engineering!$M$30:$BM$30)))</f>
        <v>0</v>
      </c>
      <c r="IF82" s="798">
        <f>IF(IF$7&gt;$D$3,"",IF($FA79&lt;IF$7,"OD",_xlfn.XLOOKUP(IF$7,Engineering!$M$22:$BM$22,Engineering!$M$30:$BM$30)))</f>
        <v>0</v>
      </c>
      <c r="IG82" s="798">
        <f>IF(IG$7&gt;$D$3,"",IF($FA79&lt;IG$7,"OD",_xlfn.XLOOKUP(IG$7,Engineering!$M$22:$BM$22,Engineering!$M$30:$BM$30)))</f>
        <v>0</v>
      </c>
      <c r="IH82" s="798">
        <f>IF(IH$7&gt;$D$3,"",IF($FA79&lt;IH$7,"OD",_xlfn.XLOOKUP(IH$7,Engineering!$M$22:$BM$22,Engineering!$M$30:$BM$30)))</f>
        <v>0</v>
      </c>
      <c r="II82" s="798">
        <f>IF(II$7&gt;$D$3,"",IF($FA79&lt;II$7,"OD",_xlfn.XLOOKUP(II$7,Engineering!$M$22:$BM$22,Engineering!$M$30:$BM$30)))</f>
        <v>0</v>
      </c>
      <c r="IJ82" s="805">
        <f>IF(IJ$7&gt;$D$3,"",IF($FA79&lt;IJ$7,"OD",_xlfn.XLOOKUP(IJ$7,Engineering!$M$22:$BM$22,Engineering!$M$30:$BM$30)))</f>
        <v>0</v>
      </c>
      <c r="IK82" s="805">
        <f>IF(IK$7&gt;$D$3,"",IF($FA79&lt;IK$7,"OD",_xlfn.XLOOKUP(IK$7,Engineering!$M$22:$BM$22,Engineering!$M$30:$BM$30)))</f>
        <v>0</v>
      </c>
      <c r="IL82" s="805">
        <f>IF(IL$7&gt;$D$3,"",IF($FA79&lt;IL$7,"OD",_xlfn.XLOOKUP(IL$7,Engineering!$M$22:$BM$22,Engineering!$M$30:$BM$30)))</f>
        <v>0</v>
      </c>
      <c r="IM82" s="798">
        <f>IF(IM$7&gt;$D$3,"",IF($FA79&lt;IM$7,"OD",_xlfn.XLOOKUP(IM$7,Engineering!$M$22:$BM$22,Engineering!$M$30:$BM$30)))</f>
        <v>0</v>
      </c>
      <c r="IN82" s="798">
        <f>IF(IN$7&gt;$D$3,"",IF($FA79&lt;IN$7,"OD",_xlfn.XLOOKUP(IN$7,Engineering!$M$22:$BM$22,Engineering!$M$30:$BM$30)))</f>
        <v>0</v>
      </c>
      <c r="IO82" s="798">
        <f>IF(IO$7&gt;$D$3,"",IF($FA79&lt;IO$7,"OD",_xlfn.XLOOKUP(IO$7,Engineering!$M$22:$BM$22,Engineering!$M$30:$BM$30)))</f>
        <v>0</v>
      </c>
      <c r="IP82" s="798">
        <f>IF(IP$7&gt;$D$3,"",IF($FA79&lt;IP$7,"OD",_xlfn.XLOOKUP(IP$7,Engineering!$M$22:$BM$22,Engineering!$M$30:$BM$30)))</f>
        <v>0</v>
      </c>
      <c r="IQ82" s="798">
        <f>IF(IQ$7&gt;$D$3,"",IF($FA79&lt;IQ$7,"OD",_xlfn.XLOOKUP(IQ$7,Engineering!$M$22:$BM$22,Engineering!$M$30:$BM$30)))</f>
        <v>0</v>
      </c>
      <c r="IR82" s="798">
        <f>IF(IR$7&gt;$D$3,"",IF($FA79&lt;IR$7,"OD",_xlfn.XLOOKUP(IR$7,Engineering!$M$22:$BM$22,Engineering!$M$30:$BM$30)))</f>
        <v>0</v>
      </c>
      <c r="IS82" s="798">
        <f>IF(IS$7&gt;$D$3,"",IF($FA79&lt;IS$7,"OD",_xlfn.XLOOKUP(IS$7,Engineering!$M$22:$BM$22,Engineering!$M$30:$BM$30)))</f>
        <v>1</v>
      </c>
      <c r="IT82" s="798">
        <f>IF(IT$7&gt;$D$3,"",IF($FA79&lt;IT$7,"OD",_xlfn.XLOOKUP(IT$7,Engineering!$M$22:$BM$22,Engineering!$M$30:$BM$30)))</f>
        <v>1</v>
      </c>
      <c r="IU82" s="798">
        <f>IF(IU$7&gt;$D$3,"",IF($FA79&lt;IU$7,"OD",_xlfn.XLOOKUP(IU$7,Engineering!$M$22:$BM$22,Engineering!$M$30:$BM$30)))</f>
        <v>1</v>
      </c>
      <c r="IV82" s="798">
        <f>IF(IV$7&gt;$D$3,"",IF($FA79&lt;IV$7,"OD",_xlfn.XLOOKUP(IV$7,Engineering!$M$22:$BM$22,Engineering!$M$30:$BM$30)))</f>
        <v>1</v>
      </c>
      <c r="IW82" s="798">
        <f>IF(IW$7&gt;$D$3,"",IF($FA79&lt;IW$7,"OD",_xlfn.XLOOKUP(IW$7,Engineering!$M$22:$BM$22,Engineering!$M$30:$BM$30)))</f>
        <v>0</v>
      </c>
      <c r="IX82" s="798">
        <f>IF(IX$7&gt;$D$3,"",IF($FA79&lt;IX$7,"OD",_xlfn.XLOOKUP(IX$7,Engineering!$M$22:$BM$22,Engineering!$M$30:$BM$30)))</f>
        <v>0</v>
      </c>
      <c r="IY82" s="798">
        <f>IF(IY$7&gt;$D$3,"",IF($FA79&lt;IY$7,"OD",_xlfn.XLOOKUP(IY$7,Engineering!$M$22:$BM$22,Engineering!$M$30:$BM$30)))</f>
        <v>0</v>
      </c>
      <c r="IZ82" s="798" t="str">
        <f>IF(IZ$7&gt;$D$3,"",IF($FA79&lt;IZ$7,"OD",_xlfn.XLOOKUP(IZ$7,Engineering!$M$22:$BM$22,Engineering!$M$30:$BM$30)))</f>
        <v/>
      </c>
      <c r="JA82" s="798" t="str">
        <f>IF(JA$7&gt;$D$3,"",IF($FA79&lt;JA$7,"OD",_xlfn.XLOOKUP(JA$7,Engineering!$M$22:$BM$22,Engineering!$M$30:$BM$30)))</f>
        <v/>
      </c>
      <c r="JB82" s="798" t="str">
        <f>IF(JB$7&gt;$D$3,"",IF($FA79&lt;JB$7,"OD",_xlfn.XLOOKUP(JB$7,Engineering!$M$22:$BM$22,Engineering!$M$30:$BM$30)))</f>
        <v/>
      </c>
      <c r="JC82" s="798" t="str">
        <f>IF(JC$7&gt;$D$3,"",IF($FA79&lt;JC$7,"OD",_xlfn.XLOOKUP(JC$7,Engineering!$M$22:$BM$22,Engineering!$M$30:$BM$30)))</f>
        <v/>
      </c>
      <c r="JD82" s="798" t="str">
        <f>IF(JD$7&gt;$D$3,"",IF($FA79&lt;JD$7,"OD",_xlfn.XLOOKUP(JD$7,Engineering!$M$22:$BM$22,Engineering!$M$30:$BM$30)))</f>
        <v/>
      </c>
      <c r="JE82" s="798" t="str">
        <f>IF(JE$7&gt;$D$3,"",IF($FA79&lt;JE$7,"OD",_xlfn.XLOOKUP(JE$7,Engineering!$M$22:$BM$22,Engineering!$M$30:$BM$30)))</f>
        <v/>
      </c>
      <c r="JF82" s="798" t="str">
        <f>IF(JF$7&gt;$D$3,"",IF($FA79&lt;JF$7,"OD",_xlfn.XLOOKUP(JF$7,Engineering!$M$22:$BM$22,Engineering!$M$30:$BM$30)))</f>
        <v/>
      </c>
      <c r="JG82" s="798" t="str">
        <f>IF(JG$7&gt;$D$3,"",IF($FA79&lt;JG$7,"OD",_xlfn.XLOOKUP(JG$7,Engineering!$M$22:$BM$22,Engineering!$M$30:$BM$30)))</f>
        <v/>
      </c>
      <c r="JH82" s="798" t="str">
        <f>IF(JH$7&gt;$D$3,"",IF($FA79&lt;JH$7,"OD",_xlfn.XLOOKUP(JH$7,Engineering!$M$22:$BM$22,Engineering!$M$30:$BM$30)))</f>
        <v/>
      </c>
      <c r="JI82" s="798" t="str">
        <f>IF(JI$7&gt;$D$3,"",IF($FA79&lt;JI$7,"OD",_xlfn.XLOOKUP(JI$7,Engineering!$M$22:$BM$22,Engineering!$M$30:$BM$30)))</f>
        <v/>
      </c>
      <c r="JJ82" s="799" t="str">
        <f>IF(JJ$7&gt;$D$3,"",IF($FA79&lt;JJ$7,"OD",_xlfn.XLOOKUP(JJ$7,Engineering!$M$22:$BM$22,Engineering!$M$30:$BM$30)))</f>
        <v/>
      </c>
      <c r="JM82" s="716" t="str">
        <f>+$C82</f>
        <v>KPI Q3</v>
      </c>
      <c r="JN82" s="717" t="str">
        <f>+$D82</f>
        <v>Quality</v>
      </c>
      <c r="JO82" s="717" t="str">
        <f>+$E82</f>
        <v>No of Complaints</v>
      </c>
      <c r="JP82" s="718" t="str">
        <f>+$F82</f>
        <v>Days</v>
      </c>
      <c r="JQ82" s="718" t="s">
        <v>284</v>
      </c>
      <c r="JR82" s="798" t="str">
        <f>IFERROR(AVERAGE(FC82:$FC82),"")</f>
        <v/>
      </c>
      <c r="JS82" s="798" t="str">
        <f>IFERROR(AVERAGE($FC82:FD82),"")</f>
        <v/>
      </c>
      <c r="JT82" s="798" t="str">
        <f>IFERROR(AVERAGE($FC82:FE82),"")</f>
        <v/>
      </c>
      <c r="JU82" s="798" t="str">
        <f>IFERROR(AVERAGE($FC82:FF82),"")</f>
        <v/>
      </c>
      <c r="JV82" s="798" t="str">
        <f>IFERROR(AVERAGE($FC82:FG82),"")</f>
        <v/>
      </c>
      <c r="JW82" s="798" t="str">
        <f>IFERROR(AVERAGE($FC82:FH82),"")</f>
        <v/>
      </c>
      <c r="JX82" s="798" t="str">
        <f>IFERROR(AVERAGE($FC82:FI82),"")</f>
        <v/>
      </c>
      <c r="JY82" s="798" t="str">
        <f>IFERROR(AVERAGE($FC82:FJ82),"")</f>
        <v/>
      </c>
      <c r="JZ82" s="798" t="str">
        <f>IFERROR(AVERAGE($FC82:FK82),"")</f>
        <v/>
      </c>
      <c r="KA82" s="798" t="str">
        <f>IFERROR(AVERAGE($FC82:FL82),"")</f>
        <v/>
      </c>
      <c r="KB82" s="798" t="str">
        <f>IFERROR(AVERAGE($FC82:FM82),"")</f>
        <v/>
      </c>
      <c r="KC82" s="798" t="str">
        <f>IFERROR(AVERAGE($FC82:FN82),"")</f>
        <v/>
      </c>
      <c r="KD82" s="798" t="str">
        <f>IFERROR(AVERAGE($FC82:FO82),"")</f>
        <v/>
      </c>
      <c r="KE82" s="798" t="str">
        <f>IFERROR(AVERAGE($FC82:FP82),"")</f>
        <v/>
      </c>
      <c r="KF82" s="798" t="str">
        <f>IFERROR(AVERAGE($FC82:FQ82),"")</f>
        <v/>
      </c>
      <c r="KG82" s="798" t="str">
        <f>IFERROR(AVERAGE($FC82:FR82),"")</f>
        <v/>
      </c>
      <c r="KH82" s="798" t="str">
        <f>IFERROR(AVERAGE($FC82:FS82),"")</f>
        <v/>
      </c>
      <c r="KI82" s="798" t="str">
        <f>IFERROR(AVERAGE($FC82:FT82),"")</f>
        <v/>
      </c>
      <c r="KJ82" s="798" t="str">
        <f>IFERROR(AVERAGE($FC82:FU82),"")</f>
        <v/>
      </c>
      <c r="KK82" s="798" t="str">
        <f>IFERROR(AVERAGE($FC82:FV82),"")</f>
        <v/>
      </c>
      <c r="KL82" s="798" t="str">
        <f>IFERROR(AVERAGE($FC82:FW82),"")</f>
        <v/>
      </c>
      <c r="KM82" s="798" t="str">
        <f>IFERROR(AVERAGE($FC82:FX82),"")</f>
        <v/>
      </c>
      <c r="KN82" s="798" t="str">
        <f>IFERROR(AVERAGE($FC82:FY82),"")</f>
        <v/>
      </c>
      <c r="KO82" s="798" t="str">
        <f>IFERROR(AVERAGE($FC82:FZ82),"")</f>
        <v/>
      </c>
      <c r="KP82" s="798" t="str">
        <f>IFERROR(AVERAGE($FC82:GA82),"")</f>
        <v/>
      </c>
      <c r="KQ82" s="798" t="str">
        <f>IFERROR(AVERAGE($FC82:GB82),"")</f>
        <v/>
      </c>
      <c r="KR82" s="798" t="str">
        <f>IFERROR(AVERAGE($FC82:GC82),"")</f>
        <v/>
      </c>
      <c r="KS82" s="798" t="str">
        <f>IFERROR(AVERAGE($FC82:GD82),"")</f>
        <v/>
      </c>
      <c r="KT82" s="798" t="str">
        <f>IFERROR(AVERAGE($FC82:GE82),"")</f>
        <v/>
      </c>
      <c r="KU82" s="798" t="str">
        <f>IFERROR(AVERAGE($FC82:GF82),"")</f>
        <v/>
      </c>
      <c r="KV82" s="798" t="str">
        <f>IFERROR(AVERAGE($FC82:GG82),"")</f>
        <v/>
      </c>
      <c r="KW82" s="798" t="str">
        <f>IFERROR(AVERAGE($FC82:GH82),"")</f>
        <v/>
      </c>
      <c r="KX82" s="798" t="str">
        <f>IFERROR(AVERAGE($FC82:GI82),"")</f>
        <v/>
      </c>
      <c r="KY82" s="798" t="str">
        <f>IFERROR(AVERAGE($FC82:GJ82),"")</f>
        <v/>
      </c>
      <c r="KZ82" s="798" t="str">
        <f>IFERROR(AVERAGE($FC82:GK82),"")</f>
        <v/>
      </c>
      <c r="LA82" s="798">
        <f>IFERROR(AVERAGE($FC82:GL82),"")</f>
        <v>0</v>
      </c>
      <c r="LB82" s="798">
        <f>IFERROR(AVERAGE($FC82:GM82),"")</f>
        <v>0.5</v>
      </c>
      <c r="LC82" s="798">
        <f>IFERROR(AVERAGE($FC82:GN82),"")</f>
        <v>0.66666666666666663</v>
      </c>
      <c r="LD82" s="798">
        <f>IFERROR(AVERAGE($FC82:GO82),"")</f>
        <v>0.66666666666666663</v>
      </c>
      <c r="LE82" s="798">
        <f>IFERROR(AVERAGE($FC82:GP82),"")</f>
        <v>0.66666666666666663</v>
      </c>
      <c r="LF82" s="798">
        <f>IFERROR(AVERAGE($FC82:GQ82),"")</f>
        <v>0.66666666666666663</v>
      </c>
      <c r="LG82" s="798">
        <f>IFERROR(AVERAGE($FC82:GR82),"")</f>
        <v>0.66666666666666663</v>
      </c>
      <c r="LH82" s="798">
        <f>IFERROR(AVERAGE($FC82:GS82),"")</f>
        <v>0.66666666666666663</v>
      </c>
      <c r="LI82" s="798">
        <f>IFERROR(AVERAGE($FC82:GT82),"")</f>
        <v>0.66666666666666663</v>
      </c>
      <c r="LJ82" s="798">
        <f>IFERROR(AVERAGE($FC82:GU82),"")</f>
        <v>0.66666666666666663</v>
      </c>
      <c r="LK82" s="798">
        <f>IFERROR(AVERAGE($FC82:GV82),"")</f>
        <v>0.66666666666666663</v>
      </c>
      <c r="LL82" s="798">
        <f>IFERROR(AVERAGE($FC82:GW82),"")</f>
        <v>0.66666666666666663</v>
      </c>
      <c r="LM82" s="798">
        <f>IFERROR(AVERAGE($FC82:GX82),"")</f>
        <v>0.66666666666666663</v>
      </c>
      <c r="LN82" s="798">
        <f>IFERROR(AVERAGE($FC82:GY82),"")</f>
        <v>0.66666666666666663</v>
      </c>
      <c r="LO82" s="798">
        <f>IFERROR(AVERAGE($FC82:GZ82),"")</f>
        <v>0.66666666666666663</v>
      </c>
      <c r="LP82" s="798">
        <f>IFERROR(AVERAGE($FC82:HA82),"")</f>
        <v>0.66666666666666663</v>
      </c>
      <c r="LQ82" s="798">
        <f>IFERROR(AVERAGE($FC82:HB82),"")</f>
        <v>0.66666666666666663</v>
      </c>
      <c r="LR82" s="799">
        <f>IFERROR(AVERAGE($FC82:HC82),"")</f>
        <v>0.66666666666666663</v>
      </c>
      <c r="LT82" s="723" t="str">
        <f>+$C82</f>
        <v>KPI Q3</v>
      </c>
      <c r="LU82" s="726" t="str">
        <f>+$D82</f>
        <v>Quality</v>
      </c>
      <c r="LV82" s="717" t="str">
        <f>+$E82</f>
        <v>No of Complaints</v>
      </c>
      <c r="LW82" s="718" t="str">
        <f>+$F82</f>
        <v>Days</v>
      </c>
      <c r="LX82" s="718" t="s">
        <v>285</v>
      </c>
      <c r="LY82" s="798" t="str">
        <f>IFERROR(AVERAGE($HJ82:HJ82),"")</f>
        <v/>
      </c>
      <c r="LZ82" s="798">
        <f>IFERROR(IF(LAD$8&gt;$F$4,"",AVERAGE($HJ82:HK82)),"")</f>
        <v>0</v>
      </c>
      <c r="MA82" s="798">
        <f>IFERROR(IF(MA$8&gt;$F$4,"",AVERAGE($HJ82:HL82)),"")</f>
        <v>0</v>
      </c>
      <c r="MB82" s="798">
        <f>IFERROR(IF(MB$8&gt;$F$4,"",AVERAGE($HJ82:HM82)),"")</f>
        <v>0</v>
      </c>
      <c r="MC82" s="798">
        <f>IFERROR(IF(MC$8&gt;$F$4,"",AVERAGE($HJ82:HN82)),"")</f>
        <v>0</v>
      </c>
      <c r="MD82" s="798">
        <f>IFERROR(IF(MD$8&gt;$F$4,"",AVERAGE($HJ82:HO82)),"")</f>
        <v>0</v>
      </c>
      <c r="ME82" s="798">
        <f>IFERROR(IF(ME$8&gt;$F$4,"",AVERAGE($HJ82:HP82)),"")</f>
        <v>0</v>
      </c>
      <c r="MF82" s="798">
        <f>IFERROR(IF(MF$8&gt;$F$4,"",AVERAGE($HJ82:HQ82)),"")</f>
        <v>0</v>
      </c>
      <c r="MG82" s="798">
        <f>IFERROR(IF(MG$8&gt;$F$4,"",AVERAGE($HJ82:HR82)),"")</f>
        <v>0</v>
      </c>
      <c r="MH82" s="798">
        <f>IFERROR(IF(MH$8&gt;$F$4,"",AVERAGE($HJ82:HS82)),"")</f>
        <v>0</v>
      </c>
      <c r="MI82" s="798">
        <f>IFERROR(IF(MI$8&gt;$F$4,"",AVERAGE($HJ82:HT82)),"")</f>
        <v>0</v>
      </c>
      <c r="MJ82" s="798">
        <f>IFERROR(IF(MJ$8&gt;$F$4,"",AVERAGE($HJ82:HU82)),"")</f>
        <v>0</v>
      </c>
      <c r="MK82" s="798">
        <f>IFERROR(IF(MK$8&gt;$F$4,"",AVERAGE($HJ82:HV82)),"")</f>
        <v>0</v>
      </c>
      <c r="ML82" s="798">
        <f>IFERROR(IF(ML$8&gt;$F$4,"",AVERAGE($HJ82:HW82)),"")</f>
        <v>0</v>
      </c>
      <c r="MM82" s="798">
        <f>IFERROR(IF(MM$8&gt;$F$4,"",AVERAGE($HJ82:HX82)),"")</f>
        <v>0</v>
      </c>
      <c r="MN82" s="798">
        <f>IFERROR(IF(MN$8&gt;$F$4,"",AVERAGE($HJ82:HY82)),"")</f>
        <v>0</v>
      </c>
      <c r="MO82" s="798">
        <f>IFERROR(IF(MO$8&gt;$F$4,"",AVERAGE($HJ82:HZ82)),"")</f>
        <v>0</v>
      </c>
      <c r="MP82" s="798">
        <f>IFERROR(IF(MP$8&gt;$F$4,"",AVERAGE($HJ82:IA82)),"")</f>
        <v>0</v>
      </c>
      <c r="MQ82" s="798">
        <f>IFERROR(IF(MQ$8&gt;$F$4,"",AVERAGE($HJ82:IB82)),"")</f>
        <v>0</v>
      </c>
      <c r="MR82" s="798">
        <f>IFERROR(IF(MR$8&gt;$F$4,"",AVERAGE($HJ82:IC82)),"")</f>
        <v>0</v>
      </c>
      <c r="MS82" s="798">
        <f>IFERROR(IF(MS$8&gt;$F$4,"",AVERAGE($HJ82:ID82)),"")</f>
        <v>0</v>
      </c>
      <c r="MT82" s="798">
        <f>IFERROR(IF(MT$8&gt;$F$4,"",AVERAGE($HJ82:IE82)),"")</f>
        <v>0</v>
      </c>
      <c r="MU82" s="798">
        <f>IFERROR(IF(MU$8&gt;$F$4,"",AVERAGE($HJ82:IF82)),"")</f>
        <v>0</v>
      </c>
      <c r="MV82" s="798">
        <f>IFERROR(IF(MV$8&gt;$F$4,"",AVERAGE($HJ82:IG82)),"")</f>
        <v>0</v>
      </c>
      <c r="MW82" s="798">
        <f>IFERROR(IF(MW$8&gt;$F$4,"",AVERAGE($HJ82:IH82)),"")</f>
        <v>0</v>
      </c>
      <c r="MX82" s="798">
        <f>IFERROR(IF(MX$8&gt;$F$4,"",AVERAGE($HJ82:II82)),"")</f>
        <v>0</v>
      </c>
      <c r="MY82" s="798">
        <f>IFERROR(IF(MY$8&gt;$F$4,"",AVERAGE($HJ82:IJ82)),"")</f>
        <v>0</v>
      </c>
      <c r="MZ82" s="798">
        <f>IFERROR(IF(MZ$8&gt;$F$4,"",AVERAGE($HJ82:IK82)),"")</f>
        <v>0</v>
      </c>
      <c r="NA82" s="798">
        <f>IFERROR(IF(NA$8&gt;$F$4,"",AVERAGE($HJ82:IL82)),"")</f>
        <v>0</v>
      </c>
      <c r="NB82" s="798">
        <f>IFERROR(IF(NB$8&gt;$F$4,"",AVERAGE($HJ82:IM82)),"")</f>
        <v>0</v>
      </c>
      <c r="NC82" s="798">
        <f>IFERROR(IF(NC$8&gt;$F$4,"",AVERAGE($HJ82:IN82)),"")</f>
        <v>0</v>
      </c>
      <c r="ND82" s="798">
        <f>IFERROR(IF(ND$8&gt;$F$4,"",AVERAGE($HJ82:IO82)),"")</f>
        <v>0</v>
      </c>
      <c r="NE82" s="798">
        <f>IFERROR(IF(NE$8&gt;$F$4,"",AVERAGE($HJ82:IP82)),"")</f>
        <v>0</v>
      </c>
      <c r="NF82" s="798">
        <f>IFERROR(IF(NF$8&gt;$F$4,"",AVERAGE($HJ82:IQ82)),"")</f>
        <v>0</v>
      </c>
      <c r="NG82" s="798">
        <f>IFERROR(IF(NG$8&gt;$F$4,"",AVERAGE($HJ82:IR82)),"")</f>
        <v>0</v>
      </c>
      <c r="NH82" s="798">
        <f>IFERROR(IF(NH$8&gt;$F$4,"",AVERAGE($HJ82:IS82)),"")</f>
        <v>2.8571428571428571E-2</v>
      </c>
      <c r="NI82" s="798">
        <f>IFERROR(IF(NI$8&gt;$F$4,"",AVERAGE($HJ82:IT82)),"")</f>
        <v>5.5555555555555552E-2</v>
      </c>
      <c r="NJ82" s="798">
        <f>IFERROR(IF(NJ$8&gt;$F$4,"",AVERAGE($HJ82:IU82)),"")</f>
        <v>8.1081081081081086E-2</v>
      </c>
      <c r="NK82" s="798">
        <f>IFERROR(IF(NK$8&gt;$F$4,"",AVERAGE($HJ82:IV82)),"")</f>
        <v>0.10526315789473684</v>
      </c>
      <c r="NL82" s="798">
        <f>IFERROR(IF(NL$8&gt;$F$4,"",AVERAGE($HJ82:IW82)),"")</f>
        <v>0.10256410256410256</v>
      </c>
      <c r="NM82" s="798">
        <f>IFERROR(IF(NM$8&gt;$F$4,"",AVERAGE($HJ82:IX82)),"")</f>
        <v>0.1</v>
      </c>
      <c r="NN82" s="798">
        <f>IFERROR(IF(NN$8&gt;$F$4,"",AVERAGE($HJ82:IY82)),"")</f>
        <v>9.7560975609756101E-2</v>
      </c>
      <c r="NO82" s="798">
        <f>IFERROR(IF(NO$8&gt;$F$4,"",AVERAGE($HJ82:IZ82)),"")</f>
        <v>9.7560975609756101E-2</v>
      </c>
      <c r="NP82" s="798">
        <f>IFERROR(IF(NP$8&gt;$F$4,"",AVERAGE($HJ82:JA82)),"")</f>
        <v>9.7560975609756101E-2</v>
      </c>
      <c r="NQ82" s="798" t="str">
        <f>IFERROR(IF(NQ$8&gt;$F$4,"",AVERAGE($HJ82:JB82)),"")</f>
        <v/>
      </c>
      <c r="NR82" s="798" t="str">
        <f>IFERROR(IF(NR$8&gt;$F$4,"",AVERAGE($HJ82:JC82)),"")</f>
        <v/>
      </c>
      <c r="NS82" s="798" t="str">
        <f>IFERROR(IF(NS$8&gt;$F$4,"",AVERAGE($HJ82:JD82)),"")</f>
        <v/>
      </c>
      <c r="NT82" s="798" t="str">
        <f>IFERROR(IF(NT$8&gt;$F$4,"",AVERAGE($HJ82:JE82)),"")</f>
        <v/>
      </c>
      <c r="NU82" s="798" t="str">
        <f>IFERROR(IF(NU$8&gt;$F$4,"",AVERAGE($HJ82:JF82)),"")</f>
        <v/>
      </c>
      <c r="NV82" s="798" t="str">
        <f>IFERROR(IF(NV$8&gt;$F$4,"",AVERAGE($HJ82:JG82)),"")</f>
        <v/>
      </c>
      <c r="NW82" s="798" t="str">
        <f>IFERROR(IF(NW$8&gt;$F$4,"",AVERAGE($HJ82:JH82)),"")</f>
        <v/>
      </c>
      <c r="NX82" s="798" t="str">
        <f>IFERROR(IF(NX$8&gt;$F$4,"",AVERAGE($HJ82:JI82)),"")</f>
        <v/>
      </c>
      <c r="NY82" s="799" t="str">
        <f>IFERROR(IF(NY$8&gt;$F$4,"",AVERAGE($HJ82:JJ82)),"")</f>
        <v/>
      </c>
    </row>
    <row r="83" spans="1:389" ht="15" thickBot="1" x14ac:dyDescent="0.35">
      <c r="AB83" s="292"/>
      <c r="AH83" s="465"/>
      <c r="AN83" s="201"/>
      <c r="CO83" s="465"/>
      <c r="CV83" s="316"/>
      <c r="CW83" s="316"/>
      <c r="CX83" s="316"/>
      <c r="CY83" s="316"/>
      <c r="CZ83" s="316"/>
      <c r="DA83" s="316"/>
      <c r="DB83" s="316"/>
      <c r="DC83" s="316"/>
      <c r="DD83" s="316"/>
      <c r="DE83" s="316"/>
      <c r="DF83" s="316"/>
      <c r="DG83" s="316"/>
      <c r="DH83" s="316"/>
      <c r="DI83" s="316"/>
      <c r="DJ83" s="316"/>
      <c r="DK83" s="316"/>
      <c r="DL83" s="316"/>
      <c r="DM83" s="316"/>
      <c r="DN83" s="316"/>
      <c r="DO83" s="316"/>
      <c r="DP83" s="316"/>
      <c r="DQ83" s="316"/>
      <c r="DR83" s="316"/>
      <c r="DS83" s="316"/>
      <c r="DT83" s="316"/>
      <c r="DU83" s="316"/>
      <c r="DV83" s="316"/>
      <c r="DW83" s="316"/>
      <c r="DX83" s="316"/>
      <c r="DY83" s="316"/>
      <c r="DZ83" s="316"/>
      <c r="EA83" s="316"/>
      <c r="EB83" s="316"/>
      <c r="EC83" s="316"/>
      <c r="ED83" s="316"/>
      <c r="EE83" s="316"/>
      <c r="EF83" s="316"/>
      <c r="EG83" s="316"/>
      <c r="EH83" s="316"/>
      <c r="EI83" s="316"/>
      <c r="EJ83" s="316"/>
      <c r="EK83" s="316"/>
      <c r="EL83" s="316"/>
      <c r="EM83" s="316"/>
      <c r="EN83" s="316"/>
      <c r="EO83" s="316"/>
      <c r="EP83" s="316"/>
      <c r="EQ83" s="316"/>
      <c r="ER83" s="316"/>
      <c r="ES83" s="316"/>
      <c r="ET83" s="316"/>
      <c r="EU83" s="316"/>
      <c r="EW83" s="465"/>
      <c r="FC83" s="201"/>
      <c r="FD83" s="201"/>
      <c r="FE83" s="201"/>
      <c r="FF83" s="201"/>
      <c r="FG83" s="201"/>
      <c r="FH83" s="201"/>
      <c r="FI83" s="201"/>
      <c r="FJ83" s="201"/>
      <c r="FK83" s="201"/>
      <c r="FL83" s="201"/>
      <c r="FM83" s="201"/>
      <c r="FN83" s="201"/>
      <c r="FO83" s="201"/>
      <c r="FP83" s="201"/>
      <c r="FQ83" s="201"/>
      <c r="FR83" s="201"/>
      <c r="FS83" s="201"/>
      <c r="FT83" s="201"/>
      <c r="FU83" s="201"/>
      <c r="FV83" s="201"/>
      <c r="FW83" s="201"/>
      <c r="FX83" s="201"/>
      <c r="FY83" s="201"/>
      <c r="FZ83" s="201"/>
      <c r="GA83" s="201"/>
      <c r="GB83" s="201"/>
      <c r="GC83" s="201"/>
      <c r="GD83" s="201"/>
      <c r="GE83" s="201"/>
      <c r="GF83" s="201"/>
      <c r="GG83" s="201"/>
      <c r="GH83" s="201"/>
      <c r="GI83" s="201"/>
      <c r="GJ83" s="201"/>
      <c r="GK83" s="201"/>
      <c r="GL83" s="201"/>
      <c r="GM83" s="201"/>
      <c r="GN83" s="201"/>
      <c r="GO83" s="201"/>
      <c r="GP83" s="201"/>
      <c r="GQ83" s="201"/>
      <c r="GR83" s="201"/>
      <c r="GS83" s="201"/>
      <c r="GT83" s="201"/>
      <c r="GU83" s="201"/>
      <c r="GV83" s="201"/>
      <c r="GW83" s="201"/>
      <c r="GX83" s="201"/>
      <c r="GY83" s="201"/>
      <c r="GZ83" s="201"/>
      <c r="HA83" s="201"/>
      <c r="HB83" s="201"/>
      <c r="HC83" s="201"/>
      <c r="HJ83" s="201"/>
      <c r="HK83" s="201"/>
      <c r="HL83" s="249"/>
      <c r="HM83" s="249"/>
      <c r="HN83" s="249"/>
      <c r="HO83" s="249"/>
      <c r="HP83" s="249"/>
      <c r="HQ83" s="249"/>
      <c r="HR83" s="249"/>
      <c r="HS83" s="249"/>
      <c r="HT83" s="249"/>
      <c r="HU83" s="249"/>
      <c r="HV83" s="249"/>
      <c r="HW83" s="249"/>
      <c r="HX83" s="249"/>
      <c r="HY83" s="249"/>
      <c r="HZ83" s="249"/>
      <c r="IA83" s="249"/>
      <c r="IB83" s="249"/>
      <c r="IC83" s="249"/>
      <c r="ID83" s="249"/>
      <c r="IE83" s="249"/>
      <c r="IF83" s="249"/>
      <c r="IG83" s="249"/>
      <c r="IH83" s="249"/>
      <c r="II83" s="249"/>
      <c r="IJ83" s="249"/>
      <c r="IK83" s="249"/>
      <c r="IL83" s="249"/>
      <c r="IM83" s="249"/>
      <c r="IN83" s="249"/>
      <c r="IO83" s="249"/>
      <c r="IP83" s="249"/>
      <c r="IQ83" s="249"/>
      <c r="IR83" s="249"/>
      <c r="IS83" s="249"/>
      <c r="IT83" s="249"/>
      <c r="IU83" s="249"/>
      <c r="IV83" s="249"/>
      <c r="IW83" s="249"/>
      <c r="IX83" s="249"/>
      <c r="IY83" s="249"/>
      <c r="IZ83" s="249"/>
      <c r="JA83" s="249"/>
      <c r="JB83" s="249"/>
      <c r="JC83" s="249"/>
      <c r="JD83" s="249"/>
      <c r="JE83" s="249"/>
      <c r="JF83" s="249"/>
      <c r="JG83" s="249"/>
      <c r="JH83" s="249"/>
      <c r="JI83" s="249"/>
      <c r="JJ83" s="249"/>
      <c r="JR83" s="249"/>
      <c r="JS83" s="249"/>
      <c r="JT83" s="249"/>
      <c r="JU83" s="249"/>
      <c r="JV83" s="249"/>
      <c r="JW83" s="249"/>
      <c r="JX83" s="249"/>
      <c r="JY83" s="249"/>
      <c r="JZ83" s="249"/>
      <c r="KA83" s="249"/>
      <c r="KB83" s="249"/>
      <c r="KC83" s="249"/>
      <c r="KD83" s="249"/>
      <c r="KE83" s="249"/>
      <c r="KF83" s="249"/>
      <c r="KG83" s="249"/>
      <c r="KH83" s="249"/>
      <c r="KI83" s="249"/>
      <c r="KJ83" s="249"/>
      <c r="KK83" s="249"/>
      <c r="KL83" s="249"/>
      <c r="KM83" s="249"/>
      <c r="KN83" s="249"/>
      <c r="KO83" s="249"/>
      <c r="KP83" s="249"/>
      <c r="KQ83" s="249"/>
      <c r="KR83" s="249"/>
      <c r="KS83" s="249"/>
      <c r="KT83" s="249"/>
      <c r="KU83" s="249"/>
      <c r="KV83" s="249"/>
      <c r="KW83" s="249"/>
      <c r="KX83" s="249"/>
      <c r="KY83" s="249"/>
      <c r="KZ83" s="249"/>
      <c r="LA83" s="249"/>
      <c r="LB83" s="249"/>
      <c r="LC83" s="249"/>
      <c r="LD83" s="249"/>
      <c r="LE83" s="249"/>
      <c r="LF83" s="249"/>
      <c r="LG83" s="249"/>
      <c r="LH83" s="249"/>
      <c r="LI83" s="249"/>
      <c r="LJ83" s="249"/>
      <c r="LK83" s="249"/>
      <c r="LL83" s="249"/>
      <c r="LM83" s="249"/>
      <c r="LN83" s="249"/>
      <c r="LO83" s="249"/>
      <c r="LP83" s="249"/>
      <c r="LQ83" s="249"/>
      <c r="LR83" s="249"/>
      <c r="LY83" s="201"/>
      <c r="LZ83" s="201"/>
      <c r="MA83" s="201"/>
      <c r="MB83" s="201"/>
      <c r="MC83" s="201"/>
      <c r="MD83" s="201"/>
      <c r="ME83" s="201"/>
      <c r="MF83" s="201"/>
      <c r="MG83" s="201"/>
      <c r="MH83" s="201"/>
      <c r="MI83" s="201"/>
      <c r="MJ83" s="201"/>
      <c r="MK83" s="201"/>
      <c r="ML83" s="201"/>
      <c r="MM83" s="201"/>
      <c r="MN83" s="201"/>
      <c r="MO83" s="201"/>
      <c r="MP83" s="201"/>
      <c r="MQ83" s="201"/>
      <c r="MR83" s="201"/>
      <c r="MS83" s="201"/>
      <c r="MT83" s="201"/>
      <c r="MU83" s="201"/>
      <c r="MV83" s="201"/>
      <c r="MW83" s="201"/>
      <c r="MX83" s="201"/>
      <c r="MY83" s="201"/>
      <c r="MZ83" s="201"/>
      <c r="NA83" s="201"/>
      <c r="NB83" s="201"/>
      <c r="NC83" s="201"/>
      <c r="ND83" s="201"/>
      <c r="NE83" s="201"/>
      <c r="NF83" s="201"/>
      <c r="NG83" s="201"/>
      <c r="NH83" s="201"/>
      <c r="NI83" s="201"/>
      <c r="NJ83" s="201"/>
      <c r="NK83" s="201"/>
      <c r="NL83" s="201"/>
      <c r="NM83" s="201"/>
      <c r="NN83" s="201"/>
      <c r="NO83" s="201"/>
      <c r="NP83" s="201"/>
      <c r="NQ83" s="201"/>
      <c r="NR83" s="201"/>
      <c r="NS83" s="201"/>
      <c r="NT83" s="201"/>
      <c r="NU83" s="201"/>
      <c r="NV83" s="201"/>
      <c r="NW83" s="201"/>
      <c r="NX83" s="201"/>
      <c r="NY83" s="201"/>
    </row>
    <row r="84" spans="1:389" ht="15" thickBot="1" x14ac:dyDescent="0.35">
      <c r="B84" s="180" t="str">
        <f>+'KPI Stats'!B83</f>
        <v>Quality Maybole</v>
      </c>
      <c r="C84" s="133" t="str">
        <f>+'KPI Stats'!C83</f>
        <v>Scott McMillan</v>
      </c>
      <c r="D84" s="134"/>
      <c r="E84" s="141">
        <f>+'KPI Stats'!E83</f>
        <v>0</v>
      </c>
      <c r="F84" s="141">
        <f>+'KPI Stats'!F83</f>
        <v>42</v>
      </c>
      <c r="G84" s="181"/>
      <c r="J84" s="181" t="str">
        <f>+$B84</f>
        <v>Quality Maybole</v>
      </c>
      <c r="K84" s="181"/>
      <c r="L84" s="182"/>
      <c r="M84" s="183"/>
      <c r="P84" s="181" t="str">
        <f>+$B84</f>
        <v>Quality Maybole</v>
      </c>
      <c r="Q84" s="181"/>
      <c r="R84" s="181"/>
      <c r="S84" s="183"/>
      <c r="T84" s="183"/>
      <c r="U84" s="291"/>
      <c r="X84" s="181" t="str">
        <f>+$B84</f>
        <v>Quality Maybole</v>
      </c>
      <c r="Y84" s="181"/>
      <c r="Z84" s="181"/>
      <c r="AA84" s="183"/>
      <c r="AB84" s="291"/>
      <c r="AC84" s="181" t="str">
        <f>+$B84</f>
        <v>Quality Maybole</v>
      </c>
      <c r="AD84" s="181"/>
      <c r="AE84" s="181"/>
      <c r="AF84" s="183"/>
      <c r="AH84" s="465"/>
      <c r="AI84" s="191" t="str">
        <f>+B85</f>
        <v>Quality Maybole</v>
      </c>
      <c r="AJ84" s="192"/>
      <c r="AK84" s="141">
        <f t="shared" ref="AK84:AL88" si="282">+E84</f>
        <v>0</v>
      </c>
      <c r="AL84" s="141">
        <f t="shared" si="282"/>
        <v>42</v>
      </c>
      <c r="AM84" s="181" t="str">
        <f>+$B84</f>
        <v>Quality Maybole</v>
      </c>
      <c r="AN84" s="197" t="str">
        <f t="shared" ref="AN84:CM84" si="283">+$B84</f>
        <v>Quality Maybole</v>
      </c>
      <c r="AO84" s="181" t="str">
        <f t="shared" si="283"/>
        <v>Quality Maybole</v>
      </c>
      <c r="AP84" s="181" t="str">
        <f t="shared" si="283"/>
        <v>Quality Maybole</v>
      </c>
      <c r="AQ84" s="181" t="str">
        <f t="shared" si="283"/>
        <v>Quality Maybole</v>
      </c>
      <c r="AR84" s="181" t="str">
        <f t="shared" si="283"/>
        <v>Quality Maybole</v>
      </c>
      <c r="AS84" s="181" t="str">
        <f t="shared" si="283"/>
        <v>Quality Maybole</v>
      </c>
      <c r="AT84" s="181" t="str">
        <f t="shared" si="283"/>
        <v>Quality Maybole</v>
      </c>
      <c r="AU84" s="181" t="str">
        <f t="shared" si="283"/>
        <v>Quality Maybole</v>
      </c>
      <c r="AV84" s="181" t="str">
        <f t="shared" si="283"/>
        <v>Quality Maybole</v>
      </c>
      <c r="AW84" s="181" t="str">
        <f t="shared" si="283"/>
        <v>Quality Maybole</v>
      </c>
      <c r="AX84" s="181" t="str">
        <f t="shared" si="283"/>
        <v>Quality Maybole</v>
      </c>
      <c r="AY84" s="181" t="str">
        <f t="shared" si="283"/>
        <v>Quality Maybole</v>
      </c>
      <c r="AZ84" s="181" t="str">
        <f t="shared" si="283"/>
        <v>Quality Maybole</v>
      </c>
      <c r="BA84" s="181" t="str">
        <f t="shared" si="283"/>
        <v>Quality Maybole</v>
      </c>
      <c r="BB84" s="181" t="str">
        <f t="shared" si="283"/>
        <v>Quality Maybole</v>
      </c>
      <c r="BC84" s="181" t="str">
        <f t="shared" si="283"/>
        <v>Quality Maybole</v>
      </c>
      <c r="BD84" s="181" t="str">
        <f t="shared" si="283"/>
        <v>Quality Maybole</v>
      </c>
      <c r="BE84" s="181" t="str">
        <f t="shared" si="283"/>
        <v>Quality Maybole</v>
      </c>
      <c r="BF84" s="181" t="str">
        <f t="shared" si="283"/>
        <v>Quality Maybole</v>
      </c>
      <c r="BG84" s="181" t="str">
        <f t="shared" si="283"/>
        <v>Quality Maybole</v>
      </c>
      <c r="BH84" s="181" t="str">
        <f t="shared" si="283"/>
        <v>Quality Maybole</v>
      </c>
      <c r="BI84" s="181" t="str">
        <f t="shared" si="283"/>
        <v>Quality Maybole</v>
      </c>
      <c r="BJ84" s="181" t="str">
        <f t="shared" si="283"/>
        <v>Quality Maybole</v>
      </c>
      <c r="BK84" s="181" t="str">
        <f t="shared" si="283"/>
        <v>Quality Maybole</v>
      </c>
      <c r="BL84" s="181" t="str">
        <f t="shared" si="283"/>
        <v>Quality Maybole</v>
      </c>
      <c r="BM84" s="181" t="str">
        <f t="shared" si="283"/>
        <v>Quality Maybole</v>
      </c>
      <c r="BN84" s="181" t="str">
        <f t="shared" si="283"/>
        <v>Quality Maybole</v>
      </c>
      <c r="BO84" s="181" t="str">
        <f t="shared" si="283"/>
        <v>Quality Maybole</v>
      </c>
      <c r="BP84" s="181" t="str">
        <f t="shared" si="283"/>
        <v>Quality Maybole</v>
      </c>
      <c r="BQ84" s="181" t="str">
        <f t="shared" si="283"/>
        <v>Quality Maybole</v>
      </c>
      <c r="BR84" s="181" t="str">
        <f t="shared" si="283"/>
        <v>Quality Maybole</v>
      </c>
      <c r="BS84" s="181" t="str">
        <f t="shared" si="283"/>
        <v>Quality Maybole</v>
      </c>
      <c r="BT84" s="181" t="str">
        <f t="shared" si="283"/>
        <v>Quality Maybole</v>
      </c>
      <c r="BU84" s="181" t="str">
        <f t="shared" si="283"/>
        <v>Quality Maybole</v>
      </c>
      <c r="BV84" s="181" t="str">
        <f t="shared" si="283"/>
        <v>Quality Maybole</v>
      </c>
      <c r="BW84" s="181" t="str">
        <f t="shared" si="283"/>
        <v>Quality Maybole</v>
      </c>
      <c r="BX84" s="181" t="str">
        <f t="shared" si="283"/>
        <v>Quality Maybole</v>
      </c>
      <c r="BY84" s="181" t="str">
        <f t="shared" si="283"/>
        <v>Quality Maybole</v>
      </c>
      <c r="BZ84" s="181" t="str">
        <f t="shared" si="283"/>
        <v>Quality Maybole</v>
      </c>
      <c r="CA84" s="181" t="str">
        <f t="shared" si="283"/>
        <v>Quality Maybole</v>
      </c>
      <c r="CB84" s="181" t="str">
        <f t="shared" si="283"/>
        <v>Quality Maybole</v>
      </c>
      <c r="CC84" s="181" t="str">
        <f t="shared" si="283"/>
        <v>Quality Maybole</v>
      </c>
      <c r="CD84" s="181" t="str">
        <f t="shared" si="283"/>
        <v>Quality Maybole</v>
      </c>
      <c r="CE84" s="181" t="str">
        <f t="shared" si="283"/>
        <v>Quality Maybole</v>
      </c>
      <c r="CF84" s="181" t="str">
        <f t="shared" si="283"/>
        <v>Quality Maybole</v>
      </c>
      <c r="CG84" s="181" t="str">
        <f t="shared" si="283"/>
        <v>Quality Maybole</v>
      </c>
      <c r="CH84" s="181" t="str">
        <f t="shared" si="283"/>
        <v>Quality Maybole</v>
      </c>
      <c r="CI84" s="181" t="str">
        <f t="shared" si="283"/>
        <v>Quality Maybole</v>
      </c>
      <c r="CJ84" s="181" t="str">
        <f t="shared" si="283"/>
        <v>Quality Maybole</v>
      </c>
      <c r="CK84" s="181" t="str">
        <f t="shared" si="283"/>
        <v>Quality Maybole</v>
      </c>
      <c r="CL84" s="181" t="str">
        <f t="shared" si="283"/>
        <v>Quality Maybole</v>
      </c>
      <c r="CM84" s="181" t="str">
        <f t="shared" si="283"/>
        <v>Quality Maybole</v>
      </c>
      <c r="CO84" s="465"/>
      <c r="CP84" s="191" t="str">
        <f>+B85</f>
        <v>Quality Maybole</v>
      </c>
      <c r="CQ84" s="192"/>
      <c r="CR84" s="141">
        <f t="shared" ref="CR84:CS88" si="284">+E84</f>
        <v>0</v>
      </c>
      <c r="CS84" s="141">
        <f t="shared" si="284"/>
        <v>42</v>
      </c>
      <c r="CT84" s="351">
        <f>+G84</f>
        <v>0</v>
      </c>
      <c r="CU84" s="181" t="str">
        <f>+$B84</f>
        <v>Quality Maybole</v>
      </c>
      <c r="CV84" s="317" t="str">
        <f t="shared" ref="CV84:EU84" si="285">+$B84</f>
        <v>Quality Maybole</v>
      </c>
      <c r="CW84" s="317" t="str">
        <f t="shared" si="285"/>
        <v>Quality Maybole</v>
      </c>
      <c r="CX84" s="317" t="str">
        <f t="shared" si="285"/>
        <v>Quality Maybole</v>
      </c>
      <c r="CY84" s="317" t="str">
        <f t="shared" si="285"/>
        <v>Quality Maybole</v>
      </c>
      <c r="CZ84" s="317" t="str">
        <f t="shared" si="285"/>
        <v>Quality Maybole</v>
      </c>
      <c r="DA84" s="317" t="str">
        <f t="shared" si="285"/>
        <v>Quality Maybole</v>
      </c>
      <c r="DB84" s="317" t="str">
        <f t="shared" si="285"/>
        <v>Quality Maybole</v>
      </c>
      <c r="DC84" s="317" t="str">
        <f t="shared" si="285"/>
        <v>Quality Maybole</v>
      </c>
      <c r="DD84" s="317" t="str">
        <f t="shared" si="285"/>
        <v>Quality Maybole</v>
      </c>
      <c r="DE84" s="317" t="str">
        <f t="shared" si="285"/>
        <v>Quality Maybole</v>
      </c>
      <c r="DF84" s="317" t="str">
        <f t="shared" si="285"/>
        <v>Quality Maybole</v>
      </c>
      <c r="DG84" s="317" t="str">
        <f t="shared" si="285"/>
        <v>Quality Maybole</v>
      </c>
      <c r="DH84" s="317" t="str">
        <f t="shared" si="285"/>
        <v>Quality Maybole</v>
      </c>
      <c r="DI84" s="317" t="str">
        <f t="shared" si="285"/>
        <v>Quality Maybole</v>
      </c>
      <c r="DJ84" s="317" t="str">
        <f t="shared" si="285"/>
        <v>Quality Maybole</v>
      </c>
      <c r="DK84" s="317" t="str">
        <f t="shared" si="285"/>
        <v>Quality Maybole</v>
      </c>
      <c r="DL84" s="317" t="str">
        <f t="shared" si="285"/>
        <v>Quality Maybole</v>
      </c>
      <c r="DM84" s="317" t="str">
        <f t="shared" si="285"/>
        <v>Quality Maybole</v>
      </c>
      <c r="DN84" s="317" t="str">
        <f t="shared" si="285"/>
        <v>Quality Maybole</v>
      </c>
      <c r="DO84" s="317" t="str">
        <f t="shared" si="285"/>
        <v>Quality Maybole</v>
      </c>
      <c r="DP84" s="317" t="str">
        <f t="shared" si="285"/>
        <v>Quality Maybole</v>
      </c>
      <c r="DQ84" s="317" t="str">
        <f t="shared" si="285"/>
        <v>Quality Maybole</v>
      </c>
      <c r="DR84" s="317" t="str">
        <f t="shared" si="285"/>
        <v>Quality Maybole</v>
      </c>
      <c r="DS84" s="317" t="str">
        <f t="shared" si="285"/>
        <v>Quality Maybole</v>
      </c>
      <c r="DT84" s="317" t="str">
        <f t="shared" si="285"/>
        <v>Quality Maybole</v>
      </c>
      <c r="DU84" s="317" t="str">
        <f t="shared" si="285"/>
        <v>Quality Maybole</v>
      </c>
      <c r="DV84" s="317" t="str">
        <f t="shared" si="285"/>
        <v>Quality Maybole</v>
      </c>
      <c r="DW84" s="317" t="str">
        <f t="shared" si="285"/>
        <v>Quality Maybole</v>
      </c>
      <c r="DX84" s="317" t="str">
        <f t="shared" si="285"/>
        <v>Quality Maybole</v>
      </c>
      <c r="DY84" s="317" t="str">
        <f t="shared" si="285"/>
        <v>Quality Maybole</v>
      </c>
      <c r="DZ84" s="317" t="str">
        <f t="shared" si="285"/>
        <v>Quality Maybole</v>
      </c>
      <c r="EA84" s="317" t="str">
        <f t="shared" si="285"/>
        <v>Quality Maybole</v>
      </c>
      <c r="EB84" s="317" t="str">
        <f t="shared" si="285"/>
        <v>Quality Maybole</v>
      </c>
      <c r="EC84" s="317" t="str">
        <f t="shared" si="285"/>
        <v>Quality Maybole</v>
      </c>
      <c r="ED84" s="317" t="str">
        <f t="shared" si="285"/>
        <v>Quality Maybole</v>
      </c>
      <c r="EE84" s="317" t="str">
        <f t="shared" si="285"/>
        <v>Quality Maybole</v>
      </c>
      <c r="EF84" s="317" t="str">
        <f t="shared" si="285"/>
        <v>Quality Maybole</v>
      </c>
      <c r="EG84" s="317" t="str">
        <f t="shared" si="285"/>
        <v>Quality Maybole</v>
      </c>
      <c r="EH84" s="317" t="str">
        <f t="shared" si="285"/>
        <v>Quality Maybole</v>
      </c>
      <c r="EI84" s="317" t="str">
        <f t="shared" si="285"/>
        <v>Quality Maybole</v>
      </c>
      <c r="EJ84" s="317" t="str">
        <f t="shared" si="285"/>
        <v>Quality Maybole</v>
      </c>
      <c r="EK84" s="317" t="str">
        <f t="shared" si="285"/>
        <v>Quality Maybole</v>
      </c>
      <c r="EL84" s="317" t="str">
        <f t="shared" si="285"/>
        <v>Quality Maybole</v>
      </c>
      <c r="EM84" s="317" t="str">
        <f t="shared" si="285"/>
        <v>Quality Maybole</v>
      </c>
      <c r="EN84" s="317" t="str">
        <f t="shared" si="285"/>
        <v>Quality Maybole</v>
      </c>
      <c r="EO84" s="317" t="str">
        <f t="shared" si="285"/>
        <v>Quality Maybole</v>
      </c>
      <c r="EP84" s="317" t="str">
        <f t="shared" si="285"/>
        <v>Quality Maybole</v>
      </c>
      <c r="EQ84" s="317" t="str">
        <f t="shared" si="285"/>
        <v>Quality Maybole</v>
      </c>
      <c r="ER84" s="317" t="str">
        <f t="shared" si="285"/>
        <v>Quality Maybole</v>
      </c>
      <c r="ES84" s="317" t="str">
        <f t="shared" si="285"/>
        <v>Quality Maybole</v>
      </c>
      <c r="ET84" s="317" t="str">
        <f t="shared" si="285"/>
        <v>Quality Maybole</v>
      </c>
      <c r="EU84" s="317" t="str">
        <f t="shared" si="285"/>
        <v>Quality Maybole</v>
      </c>
      <c r="EW84" s="465"/>
      <c r="EX84" s="191" t="str">
        <f t="shared" ref="EX84" si="286">+$B84</f>
        <v>Quality Maybole</v>
      </c>
      <c r="EY84" s="192"/>
      <c r="EZ84" s="141">
        <f>+$E84</f>
        <v>0</v>
      </c>
      <c r="FA84" s="141">
        <f>+$F84</f>
        <v>42</v>
      </c>
      <c r="FB84" s="141"/>
      <c r="FC84" s="197" t="str">
        <f t="shared" ref="FC84:HC84" si="287">+$B84</f>
        <v>Quality Maybole</v>
      </c>
      <c r="FD84" s="197" t="str">
        <f t="shared" si="287"/>
        <v>Quality Maybole</v>
      </c>
      <c r="FE84" s="197" t="str">
        <f t="shared" si="287"/>
        <v>Quality Maybole</v>
      </c>
      <c r="FF84" s="197" t="str">
        <f t="shared" si="287"/>
        <v>Quality Maybole</v>
      </c>
      <c r="FG84" s="197" t="str">
        <f t="shared" si="287"/>
        <v>Quality Maybole</v>
      </c>
      <c r="FH84" s="197" t="str">
        <f t="shared" si="287"/>
        <v>Quality Maybole</v>
      </c>
      <c r="FI84" s="197" t="str">
        <f t="shared" si="287"/>
        <v>Quality Maybole</v>
      </c>
      <c r="FJ84" s="197" t="str">
        <f t="shared" si="287"/>
        <v>Quality Maybole</v>
      </c>
      <c r="FK84" s="197" t="str">
        <f t="shared" si="287"/>
        <v>Quality Maybole</v>
      </c>
      <c r="FL84" s="197" t="str">
        <f t="shared" si="287"/>
        <v>Quality Maybole</v>
      </c>
      <c r="FM84" s="197" t="str">
        <f t="shared" si="287"/>
        <v>Quality Maybole</v>
      </c>
      <c r="FN84" s="197" t="str">
        <f t="shared" si="287"/>
        <v>Quality Maybole</v>
      </c>
      <c r="FO84" s="197" t="str">
        <f t="shared" si="287"/>
        <v>Quality Maybole</v>
      </c>
      <c r="FP84" s="197" t="str">
        <f t="shared" si="287"/>
        <v>Quality Maybole</v>
      </c>
      <c r="FQ84" s="197" t="str">
        <f t="shared" si="287"/>
        <v>Quality Maybole</v>
      </c>
      <c r="FR84" s="197" t="str">
        <f t="shared" si="287"/>
        <v>Quality Maybole</v>
      </c>
      <c r="FS84" s="197" t="str">
        <f t="shared" si="287"/>
        <v>Quality Maybole</v>
      </c>
      <c r="FT84" s="197" t="str">
        <f t="shared" si="287"/>
        <v>Quality Maybole</v>
      </c>
      <c r="FU84" s="197" t="str">
        <f t="shared" si="287"/>
        <v>Quality Maybole</v>
      </c>
      <c r="FV84" s="197" t="str">
        <f t="shared" si="287"/>
        <v>Quality Maybole</v>
      </c>
      <c r="FW84" s="197" t="str">
        <f t="shared" si="287"/>
        <v>Quality Maybole</v>
      </c>
      <c r="FX84" s="197" t="str">
        <f t="shared" si="287"/>
        <v>Quality Maybole</v>
      </c>
      <c r="FY84" s="197" t="str">
        <f t="shared" si="287"/>
        <v>Quality Maybole</v>
      </c>
      <c r="FZ84" s="197" t="str">
        <f t="shared" si="287"/>
        <v>Quality Maybole</v>
      </c>
      <c r="GA84" s="197" t="str">
        <f t="shared" si="287"/>
        <v>Quality Maybole</v>
      </c>
      <c r="GB84" s="197" t="str">
        <f t="shared" si="287"/>
        <v>Quality Maybole</v>
      </c>
      <c r="GC84" s="197" t="str">
        <f t="shared" si="287"/>
        <v>Quality Maybole</v>
      </c>
      <c r="GD84" s="197" t="str">
        <f t="shared" si="287"/>
        <v>Quality Maybole</v>
      </c>
      <c r="GE84" s="197" t="str">
        <f t="shared" si="287"/>
        <v>Quality Maybole</v>
      </c>
      <c r="GF84" s="197" t="str">
        <f t="shared" si="287"/>
        <v>Quality Maybole</v>
      </c>
      <c r="GG84" s="197" t="str">
        <f t="shared" si="287"/>
        <v>Quality Maybole</v>
      </c>
      <c r="GH84" s="197" t="str">
        <f t="shared" si="287"/>
        <v>Quality Maybole</v>
      </c>
      <c r="GI84" s="197" t="str">
        <f t="shared" si="287"/>
        <v>Quality Maybole</v>
      </c>
      <c r="GJ84" s="197" t="str">
        <f t="shared" si="287"/>
        <v>Quality Maybole</v>
      </c>
      <c r="GK84" s="197" t="str">
        <f t="shared" si="287"/>
        <v>Quality Maybole</v>
      </c>
      <c r="GL84" s="197" t="str">
        <f t="shared" si="287"/>
        <v>Quality Maybole</v>
      </c>
      <c r="GM84" s="197" t="str">
        <f t="shared" si="287"/>
        <v>Quality Maybole</v>
      </c>
      <c r="GN84" s="197" t="str">
        <f t="shared" si="287"/>
        <v>Quality Maybole</v>
      </c>
      <c r="GO84" s="197" t="str">
        <f t="shared" si="287"/>
        <v>Quality Maybole</v>
      </c>
      <c r="GP84" s="197" t="str">
        <f t="shared" si="287"/>
        <v>Quality Maybole</v>
      </c>
      <c r="GQ84" s="197" t="str">
        <f t="shared" si="287"/>
        <v>Quality Maybole</v>
      </c>
      <c r="GR84" s="197" t="str">
        <f t="shared" si="287"/>
        <v>Quality Maybole</v>
      </c>
      <c r="GS84" s="197" t="str">
        <f t="shared" si="287"/>
        <v>Quality Maybole</v>
      </c>
      <c r="GT84" s="197" t="str">
        <f t="shared" si="287"/>
        <v>Quality Maybole</v>
      </c>
      <c r="GU84" s="197" t="str">
        <f t="shared" si="287"/>
        <v>Quality Maybole</v>
      </c>
      <c r="GV84" s="197" t="str">
        <f t="shared" si="287"/>
        <v>Quality Maybole</v>
      </c>
      <c r="GW84" s="197" t="str">
        <f t="shared" si="287"/>
        <v>Quality Maybole</v>
      </c>
      <c r="GX84" s="197" t="str">
        <f t="shared" si="287"/>
        <v>Quality Maybole</v>
      </c>
      <c r="GY84" s="197" t="str">
        <f t="shared" si="287"/>
        <v>Quality Maybole</v>
      </c>
      <c r="GZ84" s="197" t="str">
        <f t="shared" si="287"/>
        <v>Quality Maybole</v>
      </c>
      <c r="HA84" s="197" t="str">
        <f t="shared" si="287"/>
        <v>Quality Maybole</v>
      </c>
      <c r="HB84" s="197" t="str">
        <f t="shared" si="287"/>
        <v>Quality Maybole</v>
      </c>
      <c r="HC84" s="197" t="str">
        <f t="shared" si="287"/>
        <v>Quality Maybole</v>
      </c>
      <c r="HE84" s="191" t="str">
        <f>+$B84</f>
        <v>Quality Maybole</v>
      </c>
      <c r="HF84" s="192"/>
      <c r="HG84" s="141">
        <f>+$E84</f>
        <v>0</v>
      </c>
      <c r="HH84" s="141">
        <f>+$F84</f>
        <v>42</v>
      </c>
      <c r="HI84" s="141" t="str">
        <f>+GJ84</f>
        <v>Quality Maybole</v>
      </c>
      <c r="HJ84" s="197" t="str">
        <f t="shared" ref="HJ84:HK84" si="288">+$B84</f>
        <v>Quality Maybole</v>
      </c>
      <c r="HK84" s="197" t="str">
        <f t="shared" si="288"/>
        <v>Quality Maybole</v>
      </c>
      <c r="HL84" s="250" t="str">
        <f t="shared" ref="HL84:JJ84" si="289">+$B84</f>
        <v>Quality Maybole</v>
      </c>
      <c r="HM84" s="250" t="str">
        <f t="shared" si="289"/>
        <v>Quality Maybole</v>
      </c>
      <c r="HN84" s="250" t="str">
        <f t="shared" si="289"/>
        <v>Quality Maybole</v>
      </c>
      <c r="HO84" s="250" t="str">
        <f t="shared" si="289"/>
        <v>Quality Maybole</v>
      </c>
      <c r="HP84" s="250" t="str">
        <f t="shared" si="289"/>
        <v>Quality Maybole</v>
      </c>
      <c r="HQ84" s="250" t="str">
        <f t="shared" si="289"/>
        <v>Quality Maybole</v>
      </c>
      <c r="HR84" s="250" t="str">
        <f t="shared" si="289"/>
        <v>Quality Maybole</v>
      </c>
      <c r="HS84" s="250" t="str">
        <f t="shared" si="289"/>
        <v>Quality Maybole</v>
      </c>
      <c r="HT84" s="250" t="str">
        <f t="shared" si="289"/>
        <v>Quality Maybole</v>
      </c>
      <c r="HU84" s="250" t="str">
        <f t="shared" si="289"/>
        <v>Quality Maybole</v>
      </c>
      <c r="HV84" s="250" t="str">
        <f t="shared" si="289"/>
        <v>Quality Maybole</v>
      </c>
      <c r="HW84" s="250" t="str">
        <f t="shared" si="289"/>
        <v>Quality Maybole</v>
      </c>
      <c r="HX84" s="250" t="str">
        <f t="shared" si="289"/>
        <v>Quality Maybole</v>
      </c>
      <c r="HY84" s="250" t="str">
        <f t="shared" si="289"/>
        <v>Quality Maybole</v>
      </c>
      <c r="HZ84" s="250" t="str">
        <f t="shared" si="289"/>
        <v>Quality Maybole</v>
      </c>
      <c r="IA84" s="250" t="str">
        <f t="shared" si="289"/>
        <v>Quality Maybole</v>
      </c>
      <c r="IB84" s="250" t="str">
        <f t="shared" si="289"/>
        <v>Quality Maybole</v>
      </c>
      <c r="IC84" s="250" t="str">
        <f t="shared" si="289"/>
        <v>Quality Maybole</v>
      </c>
      <c r="ID84" s="250" t="str">
        <f t="shared" si="289"/>
        <v>Quality Maybole</v>
      </c>
      <c r="IE84" s="250" t="str">
        <f t="shared" si="289"/>
        <v>Quality Maybole</v>
      </c>
      <c r="IF84" s="250" t="str">
        <f t="shared" si="289"/>
        <v>Quality Maybole</v>
      </c>
      <c r="IG84" s="250" t="str">
        <f t="shared" si="289"/>
        <v>Quality Maybole</v>
      </c>
      <c r="IH84" s="250" t="str">
        <f t="shared" si="289"/>
        <v>Quality Maybole</v>
      </c>
      <c r="II84" s="250" t="str">
        <f t="shared" si="289"/>
        <v>Quality Maybole</v>
      </c>
      <c r="IJ84" s="250" t="str">
        <f t="shared" si="289"/>
        <v>Quality Maybole</v>
      </c>
      <c r="IK84" s="250" t="str">
        <f t="shared" si="289"/>
        <v>Quality Maybole</v>
      </c>
      <c r="IL84" s="250" t="str">
        <f t="shared" si="289"/>
        <v>Quality Maybole</v>
      </c>
      <c r="IM84" s="250" t="str">
        <f t="shared" si="289"/>
        <v>Quality Maybole</v>
      </c>
      <c r="IN84" s="250" t="str">
        <f t="shared" si="289"/>
        <v>Quality Maybole</v>
      </c>
      <c r="IO84" s="250" t="str">
        <f t="shared" si="289"/>
        <v>Quality Maybole</v>
      </c>
      <c r="IP84" s="250" t="str">
        <f t="shared" si="289"/>
        <v>Quality Maybole</v>
      </c>
      <c r="IQ84" s="250" t="str">
        <f t="shared" si="289"/>
        <v>Quality Maybole</v>
      </c>
      <c r="IR84" s="250" t="str">
        <f t="shared" si="289"/>
        <v>Quality Maybole</v>
      </c>
      <c r="IS84" s="250" t="str">
        <f t="shared" si="289"/>
        <v>Quality Maybole</v>
      </c>
      <c r="IT84" s="250" t="str">
        <f t="shared" si="289"/>
        <v>Quality Maybole</v>
      </c>
      <c r="IU84" s="250" t="str">
        <f t="shared" si="289"/>
        <v>Quality Maybole</v>
      </c>
      <c r="IV84" s="250" t="str">
        <f t="shared" si="289"/>
        <v>Quality Maybole</v>
      </c>
      <c r="IW84" s="250" t="str">
        <f t="shared" si="289"/>
        <v>Quality Maybole</v>
      </c>
      <c r="IX84" s="250" t="str">
        <f t="shared" si="289"/>
        <v>Quality Maybole</v>
      </c>
      <c r="IY84" s="250" t="str">
        <f t="shared" si="289"/>
        <v>Quality Maybole</v>
      </c>
      <c r="IZ84" s="250" t="str">
        <f t="shared" si="289"/>
        <v>Quality Maybole</v>
      </c>
      <c r="JA84" s="250" t="str">
        <f t="shared" si="289"/>
        <v>Quality Maybole</v>
      </c>
      <c r="JB84" s="250" t="str">
        <f t="shared" si="289"/>
        <v>Quality Maybole</v>
      </c>
      <c r="JC84" s="250" t="str">
        <f t="shared" si="289"/>
        <v>Quality Maybole</v>
      </c>
      <c r="JD84" s="250" t="str">
        <f t="shared" si="289"/>
        <v>Quality Maybole</v>
      </c>
      <c r="JE84" s="250" t="str">
        <f t="shared" si="289"/>
        <v>Quality Maybole</v>
      </c>
      <c r="JF84" s="250" t="str">
        <f t="shared" si="289"/>
        <v>Quality Maybole</v>
      </c>
      <c r="JG84" s="250" t="str">
        <f t="shared" si="289"/>
        <v>Quality Maybole</v>
      </c>
      <c r="JH84" s="250" t="str">
        <f t="shared" si="289"/>
        <v>Quality Maybole</v>
      </c>
      <c r="JI84" s="250" t="str">
        <f t="shared" si="289"/>
        <v>Quality Maybole</v>
      </c>
      <c r="JJ84" s="250" t="str">
        <f t="shared" si="289"/>
        <v>Quality Maybole</v>
      </c>
      <c r="JM84" s="191" t="str">
        <f t="shared" ref="JM84" si="290">+$B84</f>
        <v>Quality Maybole</v>
      </c>
      <c r="JN84" s="192"/>
      <c r="JO84" s="141">
        <f>+$E84</f>
        <v>0</v>
      </c>
      <c r="JP84" s="141">
        <f>+$F84</f>
        <v>42</v>
      </c>
      <c r="JQ84" s="141"/>
      <c r="JR84" s="250" t="str">
        <f t="shared" ref="JR84:LR84" si="291">+$B84</f>
        <v>Quality Maybole</v>
      </c>
      <c r="JS84" s="250" t="str">
        <f t="shared" si="291"/>
        <v>Quality Maybole</v>
      </c>
      <c r="JT84" s="250" t="str">
        <f t="shared" si="291"/>
        <v>Quality Maybole</v>
      </c>
      <c r="JU84" s="250" t="str">
        <f t="shared" si="291"/>
        <v>Quality Maybole</v>
      </c>
      <c r="JV84" s="250" t="str">
        <f t="shared" si="291"/>
        <v>Quality Maybole</v>
      </c>
      <c r="JW84" s="250" t="str">
        <f t="shared" si="291"/>
        <v>Quality Maybole</v>
      </c>
      <c r="JX84" s="250" t="str">
        <f t="shared" si="291"/>
        <v>Quality Maybole</v>
      </c>
      <c r="JY84" s="250" t="str">
        <f t="shared" si="291"/>
        <v>Quality Maybole</v>
      </c>
      <c r="JZ84" s="250" t="str">
        <f t="shared" si="291"/>
        <v>Quality Maybole</v>
      </c>
      <c r="KA84" s="250" t="str">
        <f t="shared" si="291"/>
        <v>Quality Maybole</v>
      </c>
      <c r="KB84" s="250" t="str">
        <f t="shared" si="291"/>
        <v>Quality Maybole</v>
      </c>
      <c r="KC84" s="250" t="str">
        <f t="shared" si="291"/>
        <v>Quality Maybole</v>
      </c>
      <c r="KD84" s="250" t="str">
        <f t="shared" si="291"/>
        <v>Quality Maybole</v>
      </c>
      <c r="KE84" s="250" t="str">
        <f t="shared" si="291"/>
        <v>Quality Maybole</v>
      </c>
      <c r="KF84" s="250" t="str">
        <f t="shared" si="291"/>
        <v>Quality Maybole</v>
      </c>
      <c r="KG84" s="250" t="str">
        <f t="shared" si="291"/>
        <v>Quality Maybole</v>
      </c>
      <c r="KH84" s="250" t="str">
        <f t="shared" si="291"/>
        <v>Quality Maybole</v>
      </c>
      <c r="KI84" s="250" t="str">
        <f t="shared" si="291"/>
        <v>Quality Maybole</v>
      </c>
      <c r="KJ84" s="250" t="str">
        <f t="shared" si="291"/>
        <v>Quality Maybole</v>
      </c>
      <c r="KK84" s="250" t="str">
        <f t="shared" si="291"/>
        <v>Quality Maybole</v>
      </c>
      <c r="KL84" s="250" t="str">
        <f t="shared" si="291"/>
        <v>Quality Maybole</v>
      </c>
      <c r="KM84" s="250" t="str">
        <f t="shared" si="291"/>
        <v>Quality Maybole</v>
      </c>
      <c r="KN84" s="250" t="str">
        <f t="shared" si="291"/>
        <v>Quality Maybole</v>
      </c>
      <c r="KO84" s="250" t="str">
        <f t="shared" si="291"/>
        <v>Quality Maybole</v>
      </c>
      <c r="KP84" s="250" t="str">
        <f t="shared" si="291"/>
        <v>Quality Maybole</v>
      </c>
      <c r="KQ84" s="250" t="str">
        <f t="shared" si="291"/>
        <v>Quality Maybole</v>
      </c>
      <c r="KR84" s="250" t="str">
        <f t="shared" si="291"/>
        <v>Quality Maybole</v>
      </c>
      <c r="KS84" s="250" t="str">
        <f t="shared" si="291"/>
        <v>Quality Maybole</v>
      </c>
      <c r="KT84" s="250" t="str">
        <f t="shared" si="291"/>
        <v>Quality Maybole</v>
      </c>
      <c r="KU84" s="250" t="str">
        <f t="shared" si="291"/>
        <v>Quality Maybole</v>
      </c>
      <c r="KV84" s="250" t="str">
        <f t="shared" si="291"/>
        <v>Quality Maybole</v>
      </c>
      <c r="KW84" s="250" t="str">
        <f t="shared" si="291"/>
        <v>Quality Maybole</v>
      </c>
      <c r="KX84" s="250" t="str">
        <f t="shared" si="291"/>
        <v>Quality Maybole</v>
      </c>
      <c r="KY84" s="250" t="str">
        <f t="shared" si="291"/>
        <v>Quality Maybole</v>
      </c>
      <c r="KZ84" s="250" t="str">
        <f t="shared" si="291"/>
        <v>Quality Maybole</v>
      </c>
      <c r="LA84" s="250" t="str">
        <f t="shared" si="291"/>
        <v>Quality Maybole</v>
      </c>
      <c r="LB84" s="250" t="str">
        <f t="shared" si="291"/>
        <v>Quality Maybole</v>
      </c>
      <c r="LC84" s="250" t="str">
        <f t="shared" si="291"/>
        <v>Quality Maybole</v>
      </c>
      <c r="LD84" s="250" t="str">
        <f t="shared" si="291"/>
        <v>Quality Maybole</v>
      </c>
      <c r="LE84" s="250" t="str">
        <f t="shared" si="291"/>
        <v>Quality Maybole</v>
      </c>
      <c r="LF84" s="250" t="str">
        <f t="shared" si="291"/>
        <v>Quality Maybole</v>
      </c>
      <c r="LG84" s="250" t="str">
        <f t="shared" si="291"/>
        <v>Quality Maybole</v>
      </c>
      <c r="LH84" s="250" t="str">
        <f t="shared" si="291"/>
        <v>Quality Maybole</v>
      </c>
      <c r="LI84" s="250" t="str">
        <f t="shared" si="291"/>
        <v>Quality Maybole</v>
      </c>
      <c r="LJ84" s="250" t="str">
        <f t="shared" si="291"/>
        <v>Quality Maybole</v>
      </c>
      <c r="LK84" s="250" t="str">
        <f t="shared" si="291"/>
        <v>Quality Maybole</v>
      </c>
      <c r="LL84" s="250" t="str">
        <f t="shared" si="291"/>
        <v>Quality Maybole</v>
      </c>
      <c r="LM84" s="250" t="str">
        <f t="shared" si="291"/>
        <v>Quality Maybole</v>
      </c>
      <c r="LN84" s="250" t="str">
        <f t="shared" si="291"/>
        <v>Quality Maybole</v>
      </c>
      <c r="LO84" s="250" t="str">
        <f t="shared" si="291"/>
        <v>Quality Maybole</v>
      </c>
      <c r="LP84" s="250" t="str">
        <f t="shared" si="291"/>
        <v>Quality Maybole</v>
      </c>
      <c r="LQ84" s="250" t="str">
        <f t="shared" si="291"/>
        <v>Quality Maybole</v>
      </c>
      <c r="LR84" s="250" t="str">
        <f t="shared" si="291"/>
        <v>Quality Maybole</v>
      </c>
      <c r="LT84" s="191" t="str">
        <f>+$B84</f>
        <v>Quality Maybole</v>
      </c>
      <c r="LU84" s="192"/>
      <c r="LV84" s="141">
        <f>+$E84</f>
        <v>0</v>
      </c>
      <c r="LW84" s="141">
        <f>+$F84</f>
        <v>42</v>
      </c>
      <c r="LX84" s="141" t="str">
        <f>+KY84</f>
        <v>Quality Maybole</v>
      </c>
      <c r="LY84" s="197" t="str">
        <f t="shared" ref="LY84:NY84" si="292">+$B84</f>
        <v>Quality Maybole</v>
      </c>
      <c r="LZ84" s="197" t="str">
        <f t="shared" si="292"/>
        <v>Quality Maybole</v>
      </c>
      <c r="MA84" s="197" t="str">
        <f t="shared" si="292"/>
        <v>Quality Maybole</v>
      </c>
      <c r="MB84" s="197" t="str">
        <f t="shared" si="292"/>
        <v>Quality Maybole</v>
      </c>
      <c r="MC84" s="197" t="str">
        <f t="shared" si="292"/>
        <v>Quality Maybole</v>
      </c>
      <c r="MD84" s="197" t="str">
        <f t="shared" si="292"/>
        <v>Quality Maybole</v>
      </c>
      <c r="ME84" s="197" t="str">
        <f t="shared" si="292"/>
        <v>Quality Maybole</v>
      </c>
      <c r="MF84" s="197" t="str">
        <f t="shared" si="292"/>
        <v>Quality Maybole</v>
      </c>
      <c r="MG84" s="197" t="str">
        <f t="shared" si="292"/>
        <v>Quality Maybole</v>
      </c>
      <c r="MH84" s="197" t="str">
        <f t="shared" si="292"/>
        <v>Quality Maybole</v>
      </c>
      <c r="MI84" s="197" t="str">
        <f t="shared" si="292"/>
        <v>Quality Maybole</v>
      </c>
      <c r="MJ84" s="197" t="str">
        <f t="shared" si="292"/>
        <v>Quality Maybole</v>
      </c>
      <c r="MK84" s="197" t="str">
        <f t="shared" si="292"/>
        <v>Quality Maybole</v>
      </c>
      <c r="ML84" s="197" t="str">
        <f t="shared" si="292"/>
        <v>Quality Maybole</v>
      </c>
      <c r="MM84" s="197" t="str">
        <f t="shared" si="292"/>
        <v>Quality Maybole</v>
      </c>
      <c r="MN84" s="197" t="str">
        <f t="shared" si="292"/>
        <v>Quality Maybole</v>
      </c>
      <c r="MO84" s="197" t="str">
        <f t="shared" si="292"/>
        <v>Quality Maybole</v>
      </c>
      <c r="MP84" s="197" t="str">
        <f t="shared" si="292"/>
        <v>Quality Maybole</v>
      </c>
      <c r="MQ84" s="197" t="str">
        <f t="shared" si="292"/>
        <v>Quality Maybole</v>
      </c>
      <c r="MR84" s="197" t="str">
        <f t="shared" si="292"/>
        <v>Quality Maybole</v>
      </c>
      <c r="MS84" s="197" t="str">
        <f t="shared" si="292"/>
        <v>Quality Maybole</v>
      </c>
      <c r="MT84" s="197" t="str">
        <f t="shared" si="292"/>
        <v>Quality Maybole</v>
      </c>
      <c r="MU84" s="197" t="str">
        <f t="shared" si="292"/>
        <v>Quality Maybole</v>
      </c>
      <c r="MV84" s="197" t="str">
        <f t="shared" si="292"/>
        <v>Quality Maybole</v>
      </c>
      <c r="MW84" s="197" t="str">
        <f t="shared" si="292"/>
        <v>Quality Maybole</v>
      </c>
      <c r="MX84" s="197" t="str">
        <f t="shared" si="292"/>
        <v>Quality Maybole</v>
      </c>
      <c r="MY84" s="197" t="str">
        <f t="shared" si="292"/>
        <v>Quality Maybole</v>
      </c>
      <c r="MZ84" s="197" t="str">
        <f t="shared" si="292"/>
        <v>Quality Maybole</v>
      </c>
      <c r="NA84" s="197" t="str">
        <f t="shared" si="292"/>
        <v>Quality Maybole</v>
      </c>
      <c r="NB84" s="197" t="str">
        <f t="shared" si="292"/>
        <v>Quality Maybole</v>
      </c>
      <c r="NC84" s="197" t="str">
        <f t="shared" si="292"/>
        <v>Quality Maybole</v>
      </c>
      <c r="ND84" s="197" t="str">
        <f t="shared" si="292"/>
        <v>Quality Maybole</v>
      </c>
      <c r="NE84" s="197" t="str">
        <f t="shared" si="292"/>
        <v>Quality Maybole</v>
      </c>
      <c r="NF84" s="197" t="str">
        <f t="shared" si="292"/>
        <v>Quality Maybole</v>
      </c>
      <c r="NG84" s="197" t="str">
        <f t="shared" si="292"/>
        <v>Quality Maybole</v>
      </c>
      <c r="NH84" s="197" t="str">
        <f t="shared" si="292"/>
        <v>Quality Maybole</v>
      </c>
      <c r="NI84" s="197" t="str">
        <f t="shared" si="292"/>
        <v>Quality Maybole</v>
      </c>
      <c r="NJ84" s="197" t="str">
        <f t="shared" si="292"/>
        <v>Quality Maybole</v>
      </c>
      <c r="NK84" s="197" t="str">
        <f t="shared" si="292"/>
        <v>Quality Maybole</v>
      </c>
      <c r="NL84" s="197" t="str">
        <f t="shared" si="292"/>
        <v>Quality Maybole</v>
      </c>
      <c r="NM84" s="197" t="str">
        <f t="shared" si="292"/>
        <v>Quality Maybole</v>
      </c>
      <c r="NN84" s="197" t="str">
        <f t="shared" si="292"/>
        <v>Quality Maybole</v>
      </c>
      <c r="NO84" s="197" t="str">
        <f t="shared" si="292"/>
        <v>Quality Maybole</v>
      </c>
      <c r="NP84" s="197" t="str">
        <f t="shared" si="292"/>
        <v>Quality Maybole</v>
      </c>
      <c r="NQ84" s="197" t="str">
        <f t="shared" si="292"/>
        <v>Quality Maybole</v>
      </c>
      <c r="NR84" s="197" t="str">
        <f t="shared" si="292"/>
        <v>Quality Maybole</v>
      </c>
      <c r="NS84" s="197" t="str">
        <f t="shared" si="292"/>
        <v>Quality Maybole</v>
      </c>
      <c r="NT84" s="197" t="str">
        <f t="shared" si="292"/>
        <v>Quality Maybole</v>
      </c>
      <c r="NU84" s="197" t="str">
        <f t="shared" si="292"/>
        <v>Quality Maybole</v>
      </c>
      <c r="NV84" s="197" t="str">
        <f t="shared" si="292"/>
        <v>Quality Maybole</v>
      </c>
      <c r="NW84" s="197" t="str">
        <f t="shared" si="292"/>
        <v>Quality Maybole</v>
      </c>
      <c r="NX84" s="197" t="str">
        <f t="shared" si="292"/>
        <v>Quality Maybole</v>
      </c>
      <c r="NY84" s="197" t="str">
        <f t="shared" si="292"/>
        <v>Quality Maybole</v>
      </c>
    </row>
    <row r="85" spans="1:389" x14ac:dyDescent="0.3">
      <c r="A85" t="str">
        <f>$B$84&amp;"-"&amp;C85</f>
        <v>Quality Maybole-KPI P1</v>
      </c>
      <c r="B85" s="917" t="str">
        <f>+'KPI Stats'!B84</f>
        <v>Quality Maybole</v>
      </c>
      <c r="C85" s="133" t="str">
        <f>+'KPI Stats'!C84</f>
        <v>KPI P1</v>
      </c>
      <c r="D85" s="142" t="str">
        <f>+'KPI Stats'!D84</f>
        <v>Productivity</v>
      </c>
      <c r="E85" s="142" t="str">
        <f>+'KPI Stats'!E84</f>
        <v>Quality Internal Audit Plan  (Maybole only)</v>
      </c>
      <c r="F85" s="143" t="str">
        <f>+'KPI Stats'!F84</f>
        <v>Count</v>
      </c>
      <c r="G85" s="177" t="str">
        <f>+'KPI Stats'!G84</f>
        <v>Under</v>
      </c>
      <c r="J85" s="159" t="str">
        <f>_xlfn.XLOOKUP(J$7,$AM$7:$CM$7,$AM85:$CM85,,FALSE)</f>
        <v>G</v>
      </c>
      <c r="K85" s="262">
        <f>_xlfn.XLOOKUP(K$7,$FC$7:$HC$7,$FC85:$HC85,,FALSE)</f>
        <v>32</v>
      </c>
      <c r="L85" s="277">
        <f>_xlfn.XLOOKUP(L$7,$HJ$7:$JJ$7,$HJ85:$JJ85,,FALSE)</f>
        <v>32</v>
      </c>
      <c r="M85" s="274">
        <f>_xlfn.XLOOKUP(M$7,$CU$7:$EU$7,$CU85:$EU85,,FALSE)</f>
        <v>1</v>
      </c>
      <c r="P85" s="159" t="str">
        <f>_xlfn.XLOOKUP(P$7,$AM$7:$CM$7,$AM85:$CM85,,FALSE)</f>
        <v>G</v>
      </c>
      <c r="Q85" s="262">
        <f t="shared" ref="Q85:R88" si="293">_xlfn.XLOOKUP(Q$7,$FC$7:$HC$7,$FC85:$HC85,FALSE)</f>
        <v>32</v>
      </c>
      <c r="R85" s="277">
        <f t="shared" si="293"/>
        <v>40</v>
      </c>
      <c r="S85" s="262">
        <f t="shared" ref="S85:T88" si="294">_xlfn.XLOOKUP(S$7,$CU$7:$EU$7,$CU85:$EU85,,FALSE)</f>
        <v>1</v>
      </c>
      <c r="T85" s="277">
        <f t="shared" si="294"/>
        <v>1</v>
      </c>
      <c r="U85" s="294" t="str">
        <f>IF(F84&lt;$R$2,"Not Complete",IF(Q85=R85,"Same −",IF($G85="Over",IF(Q85&lt;R85,"Better ↑","Worse ↓"),IF($G85="Under",IF(Q85&gt;R85,"Better ↑","Worse ↓"),"err"))))</f>
        <v>Worse ↓</v>
      </c>
      <c r="X85" s="159" t="str">
        <f t="shared" ref="X85:X88" si="295">IF(Y85="","",IF(Y85="Blank","",IF(AND(G85="above zero",Y85&gt;0),"R",IF(AA85&gt;1,"G",IF(AA85&gt;0.95,"A","R")))))</f>
        <v>R</v>
      </c>
      <c r="Y85" s="161">
        <f>_xlfn.XLOOKUP(Y$7,$JR$7:$LR$7,$JR85:$LR85,FALSE)</f>
        <v>33.379310344827587</v>
      </c>
      <c r="Z85" s="161">
        <f>_xlfn.XLOOKUP(Z$7,$LY$7:$NY$7,$LY85:$NY85,FALSE)</f>
        <v>36.413793103448278</v>
      </c>
      <c r="AA85" s="162">
        <f>IFERROR(IF(G85="Undefined","",IF(G85="under",Y85/Z85,IF(G85="over",Z85/Y85,"err"))),0)</f>
        <v>0.91666666666666663</v>
      </c>
      <c r="AB85" s="294" t="str">
        <f>IF(F84&lt;$R$2,"TBC",IF(Y85=Z85,"Same −",IF($G85="Over",IF(Z85&lt;Y85,"Better ↑ ","Worse ↓ "),IF($G85="Under",IF(Y85&gt;Z85,"Better ↑ ","Worse ↓ "),"err"))))</f>
        <v xml:space="preserve">Worse ↓ </v>
      </c>
      <c r="AC85" s="159" t="str">
        <f>IF(AND(G85="above adero",AD85&gt;0),"R",IF(AF85&gt;1,"G",IF(AF85&gt;0.95,"A","R")))</f>
        <v>R</v>
      </c>
      <c r="AD85" s="161">
        <f>_xlfn.XLOOKUP(AD$7,$JR$7:$LR$7,$JR85:$LR85,FALSE)</f>
        <v>33.428571428571431</v>
      </c>
      <c r="AE85" s="161">
        <f>_xlfn.XLOOKUP(AE$7,$LY$7:$NY$7,$LY85:$NY85,FALSE)</f>
        <v>36.571428571428569</v>
      </c>
      <c r="AF85" s="162">
        <f t="shared" ref="AF85:AF88" si="296">IF(G85="Undefined","",IF(G85="under",AD85/AE85,IF(G85="over",AE85/AD85,"err")))</f>
        <v>0.91406250000000011</v>
      </c>
      <c r="AH85" s="465" t="str">
        <f>+$A85</f>
        <v>Quality Maybole-KPI P1</v>
      </c>
      <c r="AI85" s="133" t="str">
        <f t="shared" ref="AI85:AJ88" si="297">+C85</f>
        <v>KPI P1</v>
      </c>
      <c r="AJ85" s="142" t="str">
        <f t="shared" si="297"/>
        <v>Productivity</v>
      </c>
      <c r="AK85" s="142" t="str">
        <f t="shared" si="282"/>
        <v>Quality Internal Audit Plan  (Maybole only)</v>
      </c>
      <c r="AL85" s="143" t="str">
        <f t="shared" si="282"/>
        <v>Count</v>
      </c>
      <c r="AM85" s="159" t="str">
        <f>IF(AM$7&gt;$D$3,"",_xlfn.XLOOKUP(AM$7,'Quality MB'!$M$6:$BM$6,'Quality MB'!$M$10:$BM$10))</f>
        <v>Blank</v>
      </c>
      <c r="AN85" s="198" t="str">
        <f>IF(AN$7&gt;$D$3,"",_xlfn.XLOOKUP(AN$7,'Quality MB'!$M$6:$BM$6,'Quality MB'!$M$10:$BM$10))</f>
        <v>TBC</v>
      </c>
      <c r="AO85" s="159" t="str">
        <f>IF(AO$7&gt;$D$3,"",_xlfn.XLOOKUP(AO$7,'Quality MB'!$M$6:$BM$6,'Quality MB'!$M$10:$BM$10))</f>
        <v>TBC</v>
      </c>
      <c r="AP85" s="159" t="str">
        <f>IF(AP$7&gt;$D$3,"",_xlfn.XLOOKUP(AP$7,'Quality MB'!$M$6:$BM$6,'Quality MB'!$M$10:$BM$10))</f>
        <v>TBC</v>
      </c>
      <c r="AQ85" s="159" t="str">
        <f>IF(AQ$7&gt;$D$3,"",_xlfn.XLOOKUP(AQ$7,'Quality MB'!$M$6:$BM$6,'Quality MB'!$M$10:$BM$10))</f>
        <v>TBC</v>
      </c>
      <c r="AR85" s="159" t="str">
        <f>IF(AR$7&gt;$D$3,"",_xlfn.XLOOKUP(AR$7,'Quality MB'!$M$6:$BM$6,'Quality MB'!$M$10:$BM$10))</f>
        <v>TBC</v>
      </c>
      <c r="AS85" s="159" t="str">
        <f>IF(AS$7&gt;$D$3,"",_xlfn.XLOOKUP(AS$7,'Quality MB'!$M$6:$BM$6,'Quality MB'!$M$10:$BM$10))</f>
        <v>TBC</v>
      </c>
      <c r="AT85" s="159" t="str">
        <f>IF(AT$7&gt;$D$3,"",_xlfn.XLOOKUP(AT$7,'Quality MB'!$M$6:$BM$6,'Quality MB'!$M$10:$BM$10))</f>
        <v>TBC</v>
      </c>
      <c r="AU85" s="159" t="str">
        <f>IF(AU$7&gt;$D$3,"",_xlfn.XLOOKUP(AU$7,'Quality MB'!$M$6:$BM$6,'Quality MB'!$M$10:$BM$10))</f>
        <v>TBC</v>
      </c>
      <c r="AV85" s="159" t="str">
        <f>IF(AV$7&gt;$D$3,"",_xlfn.XLOOKUP(AV$7,'Quality MB'!$M$6:$BM$6,'Quality MB'!$M$10:$BM$10))</f>
        <v>TBC</v>
      </c>
      <c r="AW85" s="159" t="str">
        <f>IF(AW$7&gt;$D$3,"",_xlfn.XLOOKUP(AW$7,'Quality MB'!$M$6:$BM$6,'Quality MB'!$M$10:$BM$10))</f>
        <v>TBC</v>
      </c>
      <c r="AX85" s="159" t="str">
        <f>IF(AX$7&gt;$D$3,"",_xlfn.XLOOKUP(AX$7,'Quality MB'!$M$6:$BM$6,'Quality MB'!$M$10:$BM$10))</f>
        <v>TBC</v>
      </c>
      <c r="AY85" s="159" t="str">
        <f>IF(AY$7&gt;$D$3,"",_xlfn.XLOOKUP(AY$7,'Quality MB'!$M$6:$BM$6,'Quality MB'!$M$10:$BM$10))</f>
        <v>TBC</v>
      </c>
      <c r="AZ85" s="159" t="str">
        <f>IF(AZ$7&gt;$D$3,"",_xlfn.XLOOKUP(AZ$7,'Quality MB'!$M$6:$BM$6,'Quality MB'!$M$10:$BM$10))</f>
        <v>G</v>
      </c>
      <c r="BA85" s="159" t="str">
        <f>IF(BA$7&gt;$D$3,"",_xlfn.XLOOKUP(BA$7,'Quality MB'!$M$6:$BM$6,'Quality MB'!$M$10:$BM$10))</f>
        <v>G</v>
      </c>
      <c r="BB85" s="159" t="str">
        <f>IF(BB$7&gt;$D$3,"",_xlfn.XLOOKUP(BB$7,'Quality MB'!$M$6:$BM$6,'Quality MB'!$M$10:$BM$10))</f>
        <v>G</v>
      </c>
      <c r="BC85" s="159" t="str">
        <f>IF(BC$7&gt;$D$3,"",_xlfn.XLOOKUP(BC$7,'Quality MB'!$M$6:$BM$6,'Quality MB'!$M$10:$BM$10))</f>
        <v>G</v>
      </c>
      <c r="BD85" s="159" t="str">
        <f>IF(BD$7&gt;$D$3,"",_xlfn.XLOOKUP(BD$7,'Quality MB'!$M$6:$BM$6,'Quality MB'!$M$10:$BM$10))</f>
        <v>G</v>
      </c>
      <c r="BE85" s="159" t="str">
        <f>IF(BE$7&gt;$D$3,"",_xlfn.XLOOKUP(BE$7,'Quality MB'!$M$6:$BM$6,'Quality MB'!$M$10:$BM$10))</f>
        <v>G</v>
      </c>
      <c r="BF85" s="159" t="str">
        <f>IF(BF$7&gt;$D$3,"",_xlfn.XLOOKUP(BF$7,'Quality MB'!$M$6:$BM$6,'Quality MB'!$M$10:$BM$10))</f>
        <v>R</v>
      </c>
      <c r="BG85" s="159" t="str">
        <f>IF(BG$7&gt;$D$3,"",_xlfn.XLOOKUP(BG$7,'Quality MB'!$M$6:$BM$6,'Quality MB'!$M$10:$BM$10))</f>
        <v>G</v>
      </c>
      <c r="BH85" s="159" t="str">
        <f>IF(BH$7&gt;$D$3,"",_xlfn.XLOOKUP(BH$7,'Quality MB'!$M$6:$BM$6,'Quality MB'!$M$10:$BM$10))</f>
        <v>G</v>
      </c>
      <c r="BI85" s="159" t="str">
        <f>IF(BI$7&gt;$D$3,"",_xlfn.XLOOKUP(BI$7,'Quality MB'!$M$6:$BM$6,'Quality MB'!$M$10:$BM$10))</f>
        <v>G</v>
      </c>
      <c r="BJ85" s="159" t="str">
        <f>IF(BJ$7&gt;$D$3,"",_xlfn.XLOOKUP(BJ$7,'Quality MB'!$M$6:$BM$6,'Quality MB'!$M$10:$BM$10))</f>
        <v>G</v>
      </c>
      <c r="BK85" s="159" t="str">
        <f>IF(BK$7&gt;$D$3,"",_xlfn.XLOOKUP(BK$7,'Quality MB'!$M$6:$BM$6,'Quality MB'!$M$10:$BM$10))</f>
        <v>G</v>
      </c>
      <c r="BL85" s="159" t="str">
        <f>IF(BL$7&gt;$D$3,"",_xlfn.XLOOKUP(BL$7,'Quality MB'!$M$6:$BM$6,'Quality MB'!$M$10:$BM$10))</f>
        <v>G</v>
      </c>
      <c r="BM85" s="159" t="str">
        <f>IF(BM$7&gt;$D$3,"",_xlfn.XLOOKUP(BM$7,'Quality MB'!$M$6:$BM$6,'Quality MB'!$M$10:$BM$10))</f>
        <v>G</v>
      </c>
      <c r="BN85" s="159" t="str">
        <f>IF(BN$7&gt;$D$3,"",_xlfn.XLOOKUP(BN$7,'Quality MB'!$M$6:$BM$6,'Quality MB'!$M$10:$BM$10))</f>
        <v>G</v>
      </c>
      <c r="BO85" s="159" t="str">
        <f>IF(BO$7&gt;$D$3,"",_xlfn.XLOOKUP(BO$7,'Quality MB'!$M$6:$BM$6,'Quality MB'!$M$10:$BM$10))</f>
        <v>G</v>
      </c>
      <c r="BP85" s="159" t="str">
        <f>IF(BP$7&gt;$D$3,"",_xlfn.XLOOKUP(BP$7,'Quality MB'!$M$6:$BM$6,'Quality MB'!$M$10:$BM$10))</f>
        <v>G</v>
      </c>
      <c r="BQ85" s="159" t="str">
        <f>IF(BQ$7&gt;$D$3,"",_xlfn.XLOOKUP(BQ$7,'Quality MB'!$M$6:$BM$6,'Quality MB'!$M$10:$BM$10))</f>
        <v>G</v>
      </c>
      <c r="BR85" s="159" t="str">
        <f>IF(BR$7&gt;$D$3,"",_xlfn.XLOOKUP(BR$7,'Quality MB'!$M$6:$BM$6,'Quality MB'!$M$10:$BM$10))</f>
        <v>R</v>
      </c>
      <c r="BS85" s="159" t="str">
        <f>IF(BS$7&gt;$D$3,"",_xlfn.XLOOKUP(BS$7,'Quality MB'!$M$6:$BM$6,'Quality MB'!$M$10:$BM$10))</f>
        <v>R</v>
      </c>
      <c r="BT85" s="159" t="str">
        <f>IF(BT$7&gt;$D$3,"",_xlfn.XLOOKUP(BT$7,'Quality MB'!$M$6:$BM$6,'Quality MB'!$M$10:$BM$10))</f>
        <v>R</v>
      </c>
      <c r="BU85" s="159" t="str">
        <f>IF(BU$7&gt;$D$3,"",_xlfn.XLOOKUP(BU$7,'Quality MB'!$M$6:$BM$6,'Quality MB'!$M$10:$BM$10))</f>
        <v>R</v>
      </c>
      <c r="BV85" s="159" t="str">
        <f>IF(BV$7&gt;$D$3,"",_xlfn.XLOOKUP(BV$7,'Quality MB'!$M$6:$BM$6,'Quality MB'!$M$10:$BM$10))</f>
        <v>R</v>
      </c>
      <c r="BW85" s="159" t="str">
        <f>IF(BW$7&gt;$D$3,"",_xlfn.XLOOKUP(BW$7,'Quality MB'!$M$6:$BM$6,'Quality MB'!$M$10:$BM$10))</f>
        <v>G</v>
      </c>
      <c r="BX85" s="159" t="str">
        <f>IF(BX$7&gt;$D$3,"",_xlfn.XLOOKUP(BX$7,'Quality MB'!$M$6:$BM$6,'Quality MB'!$M$10:$BM$10))</f>
        <v>G</v>
      </c>
      <c r="BY85" s="159" t="str">
        <f>IF(BY$7&gt;$D$3,"",_xlfn.XLOOKUP(BY$7,'Quality MB'!$M$6:$BM$6,'Quality MB'!$M$10:$BM$10))</f>
        <v>G</v>
      </c>
      <c r="BZ85" s="159" t="str">
        <f>IF(BZ$7&gt;$D$3,"",_xlfn.XLOOKUP(BZ$7,'Quality MB'!$M$6:$BM$6,'Quality MB'!$M$10:$BM$10))</f>
        <v>G</v>
      </c>
      <c r="CA85" s="159" t="str">
        <f>IF(CA$7&gt;$D$3,"",_xlfn.XLOOKUP(CA$7,'Quality MB'!$M$6:$BM$6,'Quality MB'!$M$10:$BM$10))</f>
        <v>G</v>
      </c>
      <c r="CB85" s="159" t="str">
        <f>IF(CB$7&gt;$D$3,"",_xlfn.XLOOKUP(CB$7,'Quality MB'!$M$6:$BM$6,'Quality MB'!$M$10:$BM$10))</f>
        <v>G</v>
      </c>
      <c r="CC85" s="159" t="str">
        <f>IF(CC$7&gt;$D$3,"",_xlfn.XLOOKUP(CC$7,'Quality MB'!$M$6:$BM$6,'Quality MB'!$M$10:$BM$10))</f>
        <v/>
      </c>
      <c r="CD85" s="159" t="str">
        <f>IF(CD$7&gt;$D$3,"",_xlfn.XLOOKUP(CD$7,'Quality MB'!$M$6:$BM$6,'Quality MB'!$M$10:$BM$10))</f>
        <v/>
      </c>
      <c r="CE85" s="159" t="str">
        <f>IF(CE$7&gt;$D$3,"",_xlfn.XLOOKUP(CE$7,'Quality MB'!$M$6:$BM$6,'Quality MB'!$M$10:$BM$10))</f>
        <v/>
      </c>
      <c r="CF85" s="159" t="str">
        <f>IF(CF$7&gt;$D$3,"",_xlfn.XLOOKUP(CF$7,'Quality MB'!$M$6:$BM$6,'Quality MB'!$M$10:$BM$10))</f>
        <v/>
      </c>
      <c r="CG85" s="159" t="str">
        <f>IF(CG$7&gt;$D$3,"",_xlfn.XLOOKUP(CG$7,'Quality MB'!$M$6:$BM$6,'Quality MB'!$M$10:$BM$10))</f>
        <v/>
      </c>
      <c r="CH85" s="159" t="str">
        <f>IF(CH$7&gt;$D$3,"",_xlfn.XLOOKUP(CH$7,'Quality MB'!$M$6:$BM$6,'Quality MB'!$M$10:$BM$10))</f>
        <v/>
      </c>
      <c r="CI85" s="159" t="str">
        <f>IF(CI$7&gt;$D$3,"",_xlfn.XLOOKUP(CI$7,'Quality MB'!$M$6:$BM$6,'Quality MB'!$M$10:$BM$10))</f>
        <v/>
      </c>
      <c r="CJ85" s="159" t="str">
        <f>IF(CJ$7&gt;$D$3,"",_xlfn.XLOOKUP(CJ$7,'Quality MB'!$M$6:$BM$6,'Quality MB'!$M$10:$BM$10))</f>
        <v/>
      </c>
      <c r="CK85" s="159" t="str">
        <f>IF(CK$7&gt;$D$3,"",_xlfn.XLOOKUP(CK$7,'Quality MB'!$M$6:$BM$6,'Quality MB'!$M$10:$BM$10))</f>
        <v/>
      </c>
      <c r="CL85" s="159" t="str">
        <f>IF(CL$7&gt;$D$3,"",_xlfn.XLOOKUP(CL$7,'Quality MB'!$M$6:$BM$6,'Quality MB'!$M$10:$BM$10))</f>
        <v/>
      </c>
      <c r="CM85" s="159" t="str">
        <f>IF(CM$7&gt;$D$3,"",_xlfn.XLOOKUP(CM$7,'Quality MB'!$M$6:$BM$6,'Quality MB'!$M$10:$BM$10))</f>
        <v/>
      </c>
      <c r="CO85" s="465" t="str">
        <f>+$A85</f>
        <v>Quality Maybole-KPI P1</v>
      </c>
      <c r="CP85" s="133" t="str">
        <f t="shared" ref="CP85:CQ88" si="298">+C85</f>
        <v>KPI P1</v>
      </c>
      <c r="CQ85" s="142" t="str">
        <f t="shared" si="298"/>
        <v>Productivity</v>
      </c>
      <c r="CR85" s="142" t="str">
        <f t="shared" si="284"/>
        <v>Quality Internal Audit Plan  (Maybole only)</v>
      </c>
      <c r="CS85" s="143" t="str">
        <f t="shared" si="284"/>
        <v>Count</v>
      </c>
      <c r="CT85" s="206" t="s">
        <v>246</v>
      </c>
      <c r="CU85" s="624" t="str">
        <f>IF(CU$7&gt;$D$3,"",_xlfn.XLOOKUP(CU$7,'Quality MB'!$M$6:$BM$6,'Quality MB'!$M$10:$BM$10))</f>
        <v>Blank</v>
      </c>
      <c r="CV85" s="323" t="str">
        <f>IFERROR(IF(CV$7&gt;$D$3,"",IF(AN85="Missed","Missed",IF(AN85="OD","OD",IF(AN85="TBC","TBC",IF(AN85="Undefined","Undefined",_xlfn.XLOOKUP(CV$7,'Quality MB'!$M$6:$BM$6,'Quality MB'!$M$9:$BM$9)/_xlfn.XLOOKUP(CV$7,'Quality MB'!$M$6:$BM$6,'Quality MB'!$M$8:$BM$8)))))),"")</f>
        <v>TBC</v>
      </c>
      <c r="CW85" s="315" t="str">
        <f>IFERROR(IF(CW$7&gt;$D$3,"",IF(AO85="Missed","Missed",IF(AO85="OD","OD",IF(AO85="TBC","TBC",IF(AO85="Undefined","Undefined",_xlfn.XLOOKUP(CW$7,'Quality MB'!$M$6:$BM$6,'Quality MB'!$M$9:$BM$9)/_xlfn.XLOOKUP(CW$7,'Quality MB'!$M$6:$BM$6,'Quality MB'!$M$8:$BM$8)))))),"")</f>
        <v>TBC</v>
      </c>
      <c r="CX85" s="315" t="str">
        <f>IFERROR(IF(CX$7&gt;$D$3,"",IF(AP85="Missed","Missed",IF(AP85="OD","OD",IF(AP85="TBC","TBC",IF(AP85="Undefined","Undefined",_xlfn.XLOOKUP(CX$7,'Quality MB'!$M$6:$BM$6,'Quality MB'!$M$9:$BM$9)/_xlfn.XLOOKUP(CX$7,'Quality MB'!$M$6:$BM$6,'Quality MB'!$M$8:$BM$8)))))),"")</f>
        <v>TBC</v>
      </c>
      <c r="CY85" s="315" t="str">
        <f>IFERROR(IF(CY$7&gt;$D$3,"",IF(AQ85="Missed","Missed",IF(AQ85="OD","OD",IF(AQ85="TBC","TBC",IF(AQ85="Undefined","Undefined",_xlfn.XLOOKUP(CY$7,'Quality MB'!$M$6:$BM$6,'Quality MB'!$M$9:$BM$9)/_xlfn.XLOOKUP(CY$7,'Quality MB'!$M$6:$BM$6,'Quality MB'!$M$8:$BM$8)))))),"")</f>
        <v>TBC</v>
      </c>
      <c r="CZ85" s="315" t="str">
        <f>IFERROR(IF(CZ$7&gt;$D$3,"",IF(AR85="Missed","Missed",IF(AR85="OD","OD",IF(AR85="TBC","TBC",IF(AR85="Undefined","Undefined",_xlfn.XLOOKUP(CZ$7,'Quality MB'!$M$6:$BM$6,'Quality MB'!$M$9:$BM$9)/_xlfn.XLOOKUP(CZ$7,'Quality MB'!$M$6:$BM$6,'Quality MB'!$M$8:$BM$8)))))),"")</f>
        <v>TBC</v>
      </c>
      <c r="DA85" s="315" t="str">
        <f>IFERROR(IF(DA$7&gt;$D$3,"",IF(AS85="Missed","Missed",IF(AS85="OD","OD",IF(AS85="TBC","TBC",IF(AS85="Undefined","Undefined",_xlfn.XLOOKUP(DA$7,'Quality MB'!$M$6:$BM$6,'Quality MB'!$M$9:$BM$9)/_xlfn.XLOOKUP(DA$7,'Quality MB'!$M$6:$BM$6,'Quality MB'!$M$8:$BM$8)))))),"")</f>
        <v>TBC</v>
      </c>
      <c r="DB85" s="315" t="str">
        <f>IFERROR(IF(DB$7&gt;$D$3,"",IF(AT85="Missed","Missed",IF(AT85="OD","OD",IF(AT85="TBC","TBC",IF(AT85="Undefined","Undefined",_xlfn.XLOOKUP(DB$7,'Quality MB'!$M$6:$BM$6,'Quality MB'!$M$9:$BM$9)/_xlfn.XLOOKUP(DB$7,'Quality MB'!$M$6:$BM$6,'Quality MB'!$M$8:$BM$8)))))),"")</f>
        <v>TBC</v>
      </c>
      <c r="DC85" s="315" t="str">
        <f>IFERROR(IF(DC$7&gt;$D$3,"",IF(AU85="Missed","Missed",IF(AU85="OD","OD",IF(AU85="TBC","TBC",IF(AU85="Undefined","Undefined",_xlfn.XLOOKUP(DC$7,'Quality MB'!$M$6:$BM$6,'Quality MB'!$M$9:$BM$9)/_xlfn.XLOOKUP(DC$7,'Quality MB'!$M$6:$BM$6,'Quality MB'!$M$8:$BM$8)))))),"")</f>
        <v>TBC</v>
      </c>
      <c r="DD85" s="315" t="str">
        <f>IFERROR(IF(DD$7&gt;$D$3,"",IF(AV85="Missed","Missed",IF(AV85="OD","OD",IF(AV85="TBC","TBC",IF(AV85="Undefined","Undefined",_xlfn.XLOOKUP(DD$7,'Quality MB'!$M$6:$BM$6,'Quality MB'!$M$9:$BM$9)/_xlfn.XLOOKUP(DD$7,'Quality MB'!$M$6:$BM$6,'Quality MB'!$M$8:$BM$8)))))),"")</f>
        <v>TBC</v>
      </c>
      <c r="DE85" s="315" t="str">
        <f>IFERROR(IF(DE$7&gt;$D$3,"",IF(AW85="Missed","Missed",IF(AW85="OD","OD",IF(AW85="TBC","TBC",IF(AW85="Undefined","Undefined",_xlfn.XLOOKUP(DE$7,'Quality MB'!$M$6:$BM$6,'Quality MB'!$M$9:$BM$9)/_xlfn.XLOOKUP(DE$7,'Quality MB'!$M$6:$BM$6,'Quality MB'!$M$8:$BM$8)))))),"")</f>
        <v>TBC</v>
      </c>
      <c r="DF85" s="315" t="str">
        <f>IFERROR(IF(DF$7&gt;$D$3,"",IF(AX85="Missed","Missed",IF(AX85="OD","OD",IF(AX85="TBC","TBC",IF(AX85="Undefined","Undefined",_xlfn.XLOOKUP(DF$7,'Quality MB'!$M$6:$BM$6,'Quality MB'!$M$9:$BM$9)/_xlfn.XLOOKUP(DF$7,'Quality MB'!$M$6:$BM$6,'Quality MB'!$M$8:$BM$8)))))),"")</f>
        <v>TBC</v>
      </c>
      <c r="DG85" s="315" t="str">
        <f>IFERROR(IF(DG$7&gt;$D$3,"",IF(AY85="Missed","Missed",IF(AY85="OD","OD",IF(AY85="TBC","TBC",IF(AY85="Undefined","Undefined",_xlfn.XLOOKUP(DG$7,'Quality MB'!$M$6:$BM$6,'Quality MB'!$M$9:$BM$9)/_xlfn.XLOOKUP(DG$7,'Quality MB'!$M$6:$BM$6,'Quality MB'!$M$8:$BM$8)))))),"")</f>
        <v>TBC</v>
      </c>
      <c r="DH85" s="315">
        <f>IFERROR(IF(DH$7&gt;$D$3,"",IF(AZ85="Missed","Missed",IF(AZ85="OD","OD",IF(AZ85="TBC","TBC",IF(AZ85="Undefined","Undefined",_xlfn.XLOOKUP(DH$7,'Quality MB'!$M$6:$BM$6,'Quality MB'!$M$9:$BM$9)/_xlfn.XLOOKUP(DH$7,'Quality MB'!$M$6:$BM$6,'Quality MB'!$M$8:$BM$8)))))),"")</f>
        <v>1</v>
      </c>
      <c r="DI85" s="315">
        <f>IFERROR(IF(DI$7&gt;$D$3,"",IF(BA85="Missed","Missed",IF(BA85="OD","OD",IF(BA85="TBC","TBC",IF(BA85="Undefined","Undefined",_xlfn.XLOOKUP(DI$7,'Quality MB'!$M$6:$BM$6,'Quality MB'!$M$9:$BM$9)/_xlfn.XLOOKUP(DI$7,'Quality MB'!$M$6:$BM$6,'Quality MB'!$M$8:$BM$8)))))),"")</f>
        <v>1</v>
      </c>
      <c r="DJ85" s="315">
        <f>IFERROR(IF(DJ$7&gt;$D$3,"",IF(BB85="Missed","Missed",IF(BB85="OD","OD",IF(BB85="TBC","TBC",IF(BB85="Undefined","Undefined",_xlfn.XLOOKUP(DJ$7,'Quality MB'!$M$6:$BM$6,'Quality MB'!$M$9:$BM$9)/_xlfn.XLOOKUP(DJ$7,'Quality MB'!$M$6:$BM$6,'Quality MB'!$M$8:$BM$8)))))),"")</f>
        <v>1</v>
      </c>
      <c r="DK85" s="315">
        <f>IFERROR(IF(DK$7&gt;$D$3,"",IF(BC85="Missed","Missed",IF(BC85="OD","OD",IF(BC85="TBC","TBC",IF(BC85="Undefined","Undefined",_xlfn.XLOOKUP(DK$7,'Quality MB'!$M$6:$BM$6,'Quality MB'!$M$9:$BM$9)/_xlfn.XLOOKUP(DK$7,'Quality MB'!$M$6:$BM$6,'Quality MB'!$M$8:$BM$8)))))),"")</f>
        <v>1</v>
      </c>
      <c r="DL85" s="315">
        <f>IFERROR(IF(DL$7&gt;$D$3,"",IF(BD85="Missed","Missed",IF(BD85="OD","OD",IF(BD85="TBC","TBC",IF(BD85="Undefined","Undefined",_xlfn.XLOOKUP(DL$7,'Quality MB'!$M$6:$BM$6,'Quality MB'!$M$9:$BM$9)/_xlfn.XLOOKUP(DL$7,'Quality MB'!$M$6:$BM$6,'Quality MB'!$M$8:$BM$8)))))),"")</f>
        <v>1</v>
      </c>
      <c r="DM85" s="315">
        <f>IFERROR(IF(DM$7&gt;$D$3,"",IF(BE85="Missed","Missed",IF(BE85="OD","OD",IF(BE85="TBC","TBC",IF(BE85="Undefined","Undefined",_xlfn.XLOOKUP(DM$7,'Quality MB'!$M$6:$BM$6,'Quality MB'!$M$9:$BM$9)/_xlfn.XLOOKUP(DM$7,'Quality MB'!$M$6:$BM$6,'Quality MB'!$M$8:$BM$8)))))),"")</f>
        <v>1</v>
      </c>
      <c r="DN85" s="315">
        <f>IFERROR(IF(DN$7&gt;$D$3,"",IF(BF85="Missed","Missed",IF(BF85="OD","OD",IF(BF85="TBC","TBC",IF(BF85="Undefined","Undefined",_xlfn.XLOOKUP(DN$7,'Quality MB'!$M$6:$BM$6,'Quality MB'!$M$9:$BM$9)/_xlfn.XLOOKUP(DN$7,'Quality MB'!$M$6:$BM$6,'Quality MB'!$M$8:$BM$8)))))),"")</f>
        <v>0</v>
      </c>
      <c r="DO85" s="315">
        <f>IFERROR(IF(DO$7&gt;$D$3,"",IF(BG85="Missed","Missed",IF(BG85="OD","OD",IF(BG85="TBC","TBC",IF(BG85="Undefined","Undefined",_xlfn.XLOOKUP(DO$7,'Quality MB'!$M$6:$BM$6,'Quality MB'!$M$9:$BM$9)/_xlfn.XLOOKUP(DO$7,'Quality MB'!$M$6:$BM$6,'Quality MB'!$M$8:$BM$8)))))),"")</f>
        <v>1</v>
      </c>
      <c r="DP85" s="315">
        <f>IFERROR(IF(DP$7&gt;$D$3,"",IF(BH85="Missed","Missed",IF(BH85="OD","OD",IF(BH85="TBC","TBC",IF(BH85="Undefined","Undefined",_xlfn.XLOOKUP(DP$7,'Quality MB'!$M$6:$BM$6,'Quality MB'!$M$9:$BM$9)/_xlfn.XLOOKUP(DP$7,'Quality MB'!$M$6:$BM$6,'Quality MB'!$M$8:$BM$8)))))),"")</f>
        <v>1</v>
      </c>
      <c r="DQ85" s="315">
        <f>IFERROR(IF(DQ$7&gt;$D$3,"",IF(BI85="Missed","Missed",IF(BI85="OD","OD",IF(BI85="TBC","TBC",IF(BI85="Undefined","Undefined",_xlfn.XLOOKUP(DQ$7,'Quality MB'!$M$6:$BM$6,'Quality MB'!$M$9:$BM$9)/_xlfn.XLOOKUP(DQ$7,'Quality MB'!$M$6:$BM$6,'Quality MB'!$M$8:$BM$8)))))),"")</f>
        <v>1</v>
      </c>
      <c r="DR85" s="315">
        <f>IFERROR(IF(DR$7&gt;$D$3,"",IF(BJ85="Missed","Missed",IF(BJ85="OD","OD",IF(BJ85="TBC","TBC",IF(BJ85="Undefined","Undefined",_xlfn.XLOOKUP(DR$7,'Quality MB'!$M$6:$BM$6,'Quality MB'!$M$9:$BM$9)/_xlfn.XLOOKUP(DR$7,'Quality MB'!$M$6:$BM$6,'Quality MB'!$M$8:$BM$8)))))),"")</f>
        <v>1</v>
      </c>
      <c r="DS85" s="315">
        <f>IFERROR(IF(DS$7&gt;$D$3,"",IF(BK85="Missed","Missed",IF(BK85="OD","OD",IF(BK85="TBC","TBC",IF(BK85="Undefined","Undefined",_xlfn.XLOOKUP(DS$7,'Quality MB'!$M$6:$BM$6,'Quality MB'!$M$9:$BM$9)/_xlfn.XLOOKUP(DS$7,'Quality MB'!$M$6:$BM$6,'Quality MB'!$M$8:$BM$8)))))),"")</f>
        <v>1</v>
      </c>
      <c r="DT85" s="315">
        <f>IFERROR(IF(DT$7&gt;$D$3,"",IF(BL85="Missed","Missed",IF(BL85="OD","OD",IF(BL85="TBC","TBC",IF(BL85="Undefined","Undefined",_xlfn.XLOOKUP(DT$7,'Quality MB'!$M$6:$BM$6,'Quality MB'!$M$9:$BM$9)/_xlfn.XLOOKUP(DT$7,'Quality MB'!$M$6:$BM$6,'Quality MB'!$M$8:$BM$8)))))),"")</f>
        <v>1</v>
      </c>
      <c r="DU85" s="315">
        <f>IFERROR(IF(DU$7&gt;$D$3,"",IF(BM85="Missed","Missed",IF(BM85="OD","OD",IF(BM85="TBC","TBC",IF(BM85="Undefined","Undefined",_xlfn.XLOOKUP(DU$7,'Quality MB'!$M$6:$BM$6,'Quality MB'!$M$9:$BM$9)/_xlfn.XLOOKUP(DU$7,'Quality MB'!$M$6:$BM$6,'Quality MB'!$M$8:$BM$8)))))),"")</f>
        <v>1</v>
      </c>
      <c r="DV85" s="315">
        <f>IFERROR(IF(DV$7&gt;$D$3,"",IF(BN85="Missed","Missed",IF(BN85="OD","OD",IF(BN85="TBC","TBC",IF(BN85="Undefined","Undefined",_xlfn.XLOOKUP(DV$7,'Quality MB'!$M$6:$BM$6,'Quality MB'!$M$9:$BM$9)/_xlfn.XLOOKUP(DV$7,'Quality MB'!$M$6:$BM$6,'Quality MB'!$M$8:$BM$8)))))),"")</f>
        <v>1</v>
      </c>
      <c r="DW85" s="315">
        <f>IFERROR(IF(DW$7&gt;$D$3,"",IF(BO85="Missed","Missed",IF(BO85="OD","OD",IF(BO85="TBC","TBC",IF(BO85="Undefined","Undefined",_xlfn.XLOOKUP(DW$7,'Quality MB'!$M$6:$BM$6,'Quality MB'!$M$9:$BM$9)/_xlfn.XLOOKUP(DW$7,'Quality MB'!$M$6:$BM$6,'Quality MB'!$M$8:$BM$8)))))),"")</f>
        <v>1</v>
      </c>
      <c r="DX85" s="315">
        <f>IFERROR(IF(DX$7&gt;$D$3,"",IF(BP85="Missed","Missed",IF(BP85="OD","OD",IF(BP85="TBC","TBC",IF(BP85="Undefined","Undefined",_xlfn.XLOOKUP(DX$7,'Quality MB'!$M$6:$BM$6,'Quality MB'!$M$9:$BM$9)/_xlfn.XLOOKUP(DX$7,'Quality MB'!$M$6:$BM$6,'Quality MB'!$M$8:$BM$8)))))),"")</f>
        <v>1</v>
      </c>
      <c r="DY85" s="315">
        <f>IFERROR(IF(DY$7&gt;$D$3,"",IF(BQ85="Missed","Missed",IF(BQ85="OD","OD",IF(BQ85="TBC","TBC",IF(BQ85="Undefined","Undefined",_xlfn.XLOOKUP(DY$7,'Quality MB'!$M$6:$BM$6,'Quality MB'!$M$9:$BM$9)/_xlfn.XLOOKUP(DY$7,'Quality MB'!$M$6:$BM$6,'Quality MB'!$M$8:$BM$8)))))),"")</f>
        <v>1</v>
      </c>
      <c r="DZ85" s="315">
        <f>IFERROR(IF(DZ$7&gt;$D$3,"",IF(BR85="Missed","Missed",IF(BR85="OD","OD",IF(BR85="TBC","TBC",IF(BR85="Undefined","Undefined",_xlfn.XLOOKUP(DZ$7,'Quality MB'!$M$6:$BM$6,'Quality MB'!$M$9:$BM$9)/_xlfn.XLOOKUP(DZ$7,'Quality MB'!$M$6:$BM$6,'Quality MB'!$M$8:$BM$8)))))),"")</f>
        <v>0.8</v>
      </c>
      <c r="EA85" s="315">
        <f>IFERROR(IF(EA$7&gt;$D$3,"",IF(BS85="Missed","Missed",IF(BS85="OD","OD",IF(BS85="TBC","TBC",IF(BS85="Undefined","Undefined",_xlfn.XLOOKUP(EA$7,'Quality MB'!$M$6:$BM$6,'Quality MB'!$M$9:$BM$9)/_xlfn.XLOOKUP(EA$7,'Quality MB'!$M$6:$BM$6,'Quality MB'!$M$8:$BM$8)))))),"")</f>
        <v>0.8</v>
      </c>
      <c r="EB85" s="315">
        <f>IFERROR(IF(EB$7&gt;$D$3,"",IF(BT85="Missed","Missed",IF(BT85="OD","OD",IF(BT85="TBC","TBC",IF(BT85="Undefined","Undefined",_xlfn.XLOOKUP(EB$7,'Quality MB'!$M$6:$BM$6,'Quality MB'!$M$9:$BM$9)/_xlfn.XLOOKUP(EB$7,'Quality MB'!$M$6:$BM$6,'Quality MB'!$M$8:$BM$8)))))),"")</f>
        <v>0.6</v>
      </c>
      <c r="EC85" s="315">
        <f>IFERROR(IF(EC$7&gt;$D$3,"",IF(BU85="Missed","Missed",IF(BU85="OD","OD",IF(BU85="TBC","TBC",IF(BU85="Undefined","Undefined",_xlfn.XLOOKUP(EC$7,'Quality MB'!$M$6:$BM$6,'Quality MB'!$M$9:$BM$9)/_xlfn.XLOOKUP(EC$7,'Quality MB'!$M$6:$BM$6,'Quality MB'!$M$8:$BM$8)))))),"")</f>
        <v>0.8</v>
      </c>
      <c r="ED85" s="315">
        <f>IFERROR(IF(ED$7&gt;$D$3,"",IF(BV85="Missed","Missed",IF(BV85="OD","OD",IF(BV85="TBC","TBC",IF(BV85="Undefined","Undefined",_xlfn.XLOOKUP(ED$7,'Quality MB'!$M$6:$BM$6,'Quality MB'!$M$9:$BM$9)/_xlfn.XLOOKUP(ED$7,'Quality MB'!$M$6:$BM$6,'Quality MB'!$M$8:$BM$8)))))),"")</f>
        <v>0.8</v>
      </c>
      <c r="EE85" s="315">
        <f>IFERROR(IF(EE$7&gt;$D$3,"",IF(BW85="Missed","Missed",IF(BW85="OD","OD",IF(BW85="TBC","TBC",IF(BW85="Undefined","Undefined",_xlfn.XLOOKUP(EE$7,'Quality MB'!$M$6:$BM$6,'Quality MB'!$M$9:$BM$9)/_xlfn.XLOOKUP(EE$7,'Quality MB'!$M$6:$BM$6,'Quality MB'!$M$8:$BM$8)))))),"")</f>
        <v>1</v>
      </c>
      <c r="EF85" s="315">
        <f>IFERROR(IF(EF$7&gt;$D$3,"",IF(BX85="Missed","Missed",IF(BX85="OD","OD",IF(BX85="TBC","TBC",IF(BX85="Undefined","Undefined",_xlfn.XLOOKUP(EF$7,'Quality MB'!$M$6:$BM$6,'Quality MB'!$M$9:$BM$9)/_xlfn.XLOOKUP(EF$7,'Quality MB'!$M$6:$BM$6,'Quality MB'!$M$8:$BM$8)))))),"")</f>
        <v>1</v>
      </c>
      <c r="EG85" s="315">
        <f>IFERROR(IF(EG$7&gt;$D$3,"",IF(BY85="Missed","Missed",IF(BY85="OD","OD",IF(BY85="TBC","TBC",IF(BY85="Undefined","Undefined",_xlfn.XLOOKUP(EG$7,'Quality MB'!$M$6:$BM$6,'Quality MB'!$M$9:$BM$9)/_xlfn.XLOOKUP(EG$7,'Quality MB'!$M$6:$BM$6,'Quality MB'!$M$8:$BM$8)))))),"")</f>
        <v>1</v>
      </c>
      <c r="EH85" s="315">
        <f>IFERROR(IF(EH$7&gt;$D$3,"",IF(BZ85="Missed","Missed",IF(BZ85="OD","OD",IF(BZ85="TBC","TBC",IF(BZ85="Undefined","Undefined",_xlfn.XLOOKUP(EH$7,'Quality MB'!$M$6:$BM$6,'Quality MB'!$M$9:$BM$9)/_xlfn.XLOOKUP(EH$7,'Quality MB'!$M$6:$BM$6,'Quality MB'!$M$8:$BM$8)))))),"")</f>
        <v>1</v>
      </c>
      <c r="EI85" s="315">
        <f>IFERROR(IF(EI$7&gt;$D$3,"",IF(CA85="Missed","Missed",IF(CA85="OD","OD",IF(CA85="TBC","TBC",IF(CA85="Undefined","Undefined",_xlfn.XLOOKUP(EI$7,'Quality MB'!$M$6:$BM$6,'Quality MB'!$M$9:$BM$9)/_xlfn.XLOOKUP(EI$7,'Quality MB'!$M$6:$BM$6,'Quality MB'!$M$8:$BM$8)))))),"")</f>
        <v>1</v>
      </c>
      <c r="EJ85" s="315">
        <f>IFERROR(IF(EJ$7&gt;$D$3,"",IF(CB85="Missed","Missed",IF(CB85="OD","OD",IF(CB85="TBC","TBC",IF(CB85="Undefined","Undefined",_xlfn.XLOOKUP(EJ$7,'Quality MB'!$M$6:$BM$6,'Quality MB'!$M$9:$BM$9)/_xlfn.XLOOKUP(EJ$7,'Quality MB'!$M$6:$BM$6,'Quality MB'!$M$8:$BM$8)))))),"")</f>
        <v>1</v>
      </c>
      <c r="EK85" s="315" t="str">
        <f>IFERROR(IF(EK$7&gt;$D$3,"",IF(CC85="Missed","Missed",IF(CC85="OD","OD",IF(CC85="TBC","TBC",IF(CC85="Undefined","Undefined",_xlfn.XLOOKUP(EK$7,'Quality MB'!$M$6:$BM$6,'Quality MB'!$M$9:$BM$9)/_xlfn.XLOOKUP(EK$7,'Quality MB'!$M$6:$BM$6,'Quality MB'!$M$8:$BM$8)))))),"")</f>
        <v/>
      </c>
      <c r="EL85" s="315" t="str">
        <f>IFERROR(IF(EL$7&gt;$D$3,"",IF(CD85="Missed","Missed",IF(CD85="OD","OD",IF(CD85="TBC","TBC",IF(CD85="Undefined","Undefined",_xlfn.XLOOKUP(EL$7,'Quality MB'!$M$6:$BM$6,'Quality MB'!$M$9:$BM$9)/_xlfn.XLOOKUP(EL$7,'Quality MB'!$M$6:$BM$6,'Quality MB'!$M$8:$BM$8)))))),"")</f>
        <v/>
      </c>
      <c r="EM85" s="315" t="str">
        <f>IFERROR(IF(EM$7&gt;$D$3,"",IF(CE85="Missed","Missed",IF(CE85="OD","OD",IF(CE85="TBC","TBC",IF(CE85="Undefined","Undefined",_xlfn.XLOOKUP(EM$7,'Quality MB'!$M$6:$BM$6,'Quality MB'!$M$9:$BM$9)/_xlfn.XLOOKUP(EM$7,'Quality MB'!$M$6:$BM$6,'Quality MB'!$M$8:$BM$8)))))),"")</f>
        <v/>
      </c>
      <c r="EN85" s="315" t="str">
        <f>IFERROR(IF(EN$7&gt;$D$3,"",IF(CF85="Missed","Missed",IF(CF85="OD","OD",IF(CF85="TBC","TBC",IF(CF85="Undefined","Undefined",_xlfn.XLOOKUP(EN$7,'Quality MB'!$M$6:$BM$6,'Quality MB'!$M$9:$BM$9)/_xlfn.XLOOKUP(EN$7,'Quality MB'!$M$6:$BM$6,'Quality MB'!$M$8:$BM$8)))))),"")</f>
        <v/>
      </c>
      <c r="EO85" s="315" t="str">
        <f>IFERROR(IF(EO$7&gt;$D$3,"",IF(CG85="Missed","Missed",IF(CG85="OD","OD",IF(CG85="TBC","TBC",IF(CG85="Undefined","Undefined",_xlfn.XLOOKUP(EO$7,'Quality MB'!$M$6:$BM$6,'Quality MB'!$M$9:$BM$9)/_xlfn.XLOOKUP(EO$7,'Quality MB'!$M$6:$BM$6,'Quality MB'!$M$8:$BM$8)))))),"")</f>
        <v/>
      </c>
      <c r="EP85" s="315" t="str">
        <f>IFERROR(IF(EP$7&gt;$D$3,"",IF(CH85="Missed","Missed",IF(CH85="OD","OD",IF(CH85="TBC","TBC",IF(CH85="Undefined","Undefined",_xlfn.XLOOKUP(EP$7,'Quality MB'!$M$6:$BM$6,'Quality MB'!$M$9:$BM$9)/_xlfn.XLOOKUP(EP$7,'Quality MB'!$M$6:$BM$6,'Quality MB'!$M$8:$BM$8)))))),"")</f>
        <v/>
      </c>
      <c r="EQ85" s="315" t="str">
        <f>IFERROR(IF(EQ$7&gt;$D$3,"",IF(CI85="Missed","Missed",IF(CI85="OD","OD",IF(CI85="TBC","TBC",IF(CI85="Undefined","Undefined",_xlfn.XLOOKUP(EQ$7,'Quality MB'!$M$6:$BM$6,'Quality MB'!$M$9:$BM$9)/_xlfn.XLOOKUP(EQ$7,'Quality MB'!$M$6:$BM$6,'Quality MB'!$M$8:$BM$8)))))),"")</f>
        <v/>
      </c>
      <c r="ER85" s="315" t="str">
        <f>IFERROR(IF(ER$7&gt;$D$3,"",IF(CJ85="Missed","Missed",IF(CJ85="OD","OD",IF(CJ85="TBC","TBC",IF(CJ85="Undefined","Undefined",_xlfn.XLOOKUP(ER$7,'Quality MB'!$M$6:$BM$6,'Quality MB'!$M$9:$BM$9)/_xlfn.XLOOKUP(ER$7,'Quality MB'!$M$6:$BM$6,'Quality MB'!$M$8:$BM$8)))))),"")</f>
        <v/>
      </c>
      <c r="ES85" s="315" t="str">
        <f>IFERROR(IF(ES$7&gt;$D$3,"",IF(CK85="Missed","Missed",IF(CK85="OD","OD",IF(CK85="TBC","TBC",IF(CK85="Undefined","Undefined",_xlfn.XLOOKUP(ES$7,'Quality MB'!$M$6:$BM$6,'Quality MB'!$M$9:$BM$9)/_xlfn.XLOOKUP(ES$7,'Quality MB'!$M$6:$BM$6,'Quality MB'!$M$8:$BM$8)))))),"")</f>
        <v/>
      </c>
      <c r="ET85" s="315" t="str">
        <f>IFERROR(IF(ET$7&gt;$D$3,"",IF(CL85="Missed","Missed",IF(CL85="OD","OD",IF(CL85="TBC","TBC",IF(CL85="Undefined","Undefined",_xlfn.XLOOKUP(ET$7,'Quality MB'!$M$6:$BM$6,'Quality MB'!$M$9:$BM$9)/_xlfn.XLOOKUP(ET$7,'Quality MB'!$M$6:$BM$6,'Quality MB'!$M$8:$BM$8)))))),"")</f>
        <v/>
      </c>
      <c r="EU85" s="315" t="str">
        <f>IFERROR(IF(EU$7&gt;$D$3,"",IF(CM85="Missed","Missed",IF(CM85="OD","OD",IF(CM85="TBC","TBC",IF(CM85="Undefined","Undefined",_xlfn.XLOOKUP(EU$7,'Quality MB'!$M$6:$BM$6,'Quality MB'!$M$9:$BM$9)/_xlfn.XLOOKUP(EU$7,'Quality MB'!$M$6:$BM$6,'Quality MB'!$M$8:$BM$8)))))),"")</f>
        <v/>
      </c>
      <c r="EW85" s="465" t="str">
        <f>+$A85</f>
        <v>Quality Maybole-KPI P1</v>
      </c>
      <c r="EX85" s="133" t="str">
        <f>+$C85</f>
        <v>KPI P1</v>
      </c>
      <c r="EY85" s="142" t="str">
        <f>+$D85</f>
        <v>Productivity</v>
      </c>
      <c r="EZ85" s="142" t="str">
        <f>+$E85</f>
        <v>Quality Internal Audit Plan  (Maybole only)</v>
      </c>
      <c r="FA85" s="143" t="str">
        <f>+$F85</f>
        <v>Count</v>
      </c>
      <c r="FB85" s="143" t="s">
        <v>251</v>
      </c>
      <c r="FC85" s="198" t="str">
        <f>IF(FC$7&gt;$D$3,"",IF($FA84&lt;FC$7,"OD",_xlfn.XLOOKUP(FC$7,'Quality MB'!$M$6:$BM$6,'Quality MB'!$M$9:$BM$9)))</f>
        <v>Blank</v>
      </c>
      <c r="FD85" s="198" t="str">
        <f>IF(FD$7&gt;$D$3,"",IF($FA84&lt;FD$7,"OD",_xlfn.XLOOKUP(FD$7,'Quality MB'!$M$6:$BM$6,'Quality MB'!$M$9:$BM$9)))</f>
        <v>TBC</v>
      </c>
      <c r="FE85" s="198" t="str">
        <f>IF(FE$7&gt;$D$3,"",IF($FA84&lt;FE$7,"OD",_xlfn.XLOOKUP(FE$7,'Quality MB'!$M$6:$BM$6,'Quality MB'!$M$9:$BM$9)))</f>
        <v>TBC</v>
      </c>
      <c r="FF85" s="198" t="str">
        <f>IF(FF$7&gt;$D$3,"",IF($FA84&lt;FF$7,"OD",_xlfn.XLOOKUP(FF$7,'Quality MB'!$M$6:$BM$6,'Quality MB'!$M$9:$BM$9)))</f>
        <v>TBC</v>
      </c>
      <c r="FG85" s="198" t="str">
        <f>IF(FG$7&gt;$D$3,"",IF($FA84&lt;FG$7,"OD",_xlfn.XLOOKUP(FG$7,'Quality MB'!$M$6:$BM$6,'Quality MB'!$M$9:$BM$9)))</f>
        <v>TBC</v>
      </c>
      <c r="FH85" s="198" t="str">
        <f>IF(FH$7&gt;$D$3,"",IF($FA84&lt;FH$7,"OD",_xlfn.XLOOKUP(FH$7,'Quality MB'!$M$6:$BM$6,'Quality MB'!$M$9:$BM$9)))</f>
        <v>TBC</v>
      </c>
      <c r="FI85" s="198" t="str">
        <f>IF(FI$7&gt;$D$3,"",IF($FA84&lt;FI$7,"OD",_xlfn.XLOOKUP(FI$7,'Quality MB'!$M$6:$BM$6,'Quality MB'!$M$9:$BM$9)))</f>
        <v>TBC</v>
      </c>
      <c r="FJ85" s="198" t="str">
        <f>IF(FJ$7&gt;$D$3,"",IF($FA84&lt;FJ$7,"OD",_xlfn.XLOOKUP(FJ$7,'Quality MB'!$M$6:$BM$6,'Quality MB'!$M$9:$BM$9)))</f>
        <v>TBC</v>
      </c>
      <c r="FK85" s="198" t="str">
        <f>IF(FK$7&gt;$D$3,"",IF($FA84&lt;FK$7,"OD",_xlfn.XLOOKUP(FK$7,'Quality MB'!$M$6:$BM$6,'Quality MB'!$M$9:$BM$9)))</f>
        <v>TBC</v>
      </c>
      <c r="FL85" s="198" t="str">
        <f>IF(FL$7&gt;$D$3,"",IF($FA84&lt;FL$7,"OD",_xlfn.XLOOKUP(FL$7,'Quality MB'!$M$6:$BM$6,'Quality MB'!$M$9:$BM$9)))</f>
        <v>TBC</v>
      </c>
      <c r="FM85" s="198" t="str">
        <f>IF(FM$7&gt;$D$3,"",IF($FA84&lt;FM$7,"OD",_xlfn.XLOOKUP(FM$7,'Quality MB'!$M$6:$BM$6,'Quality MB'!$M$9:$BM$9)))</f>
        <v>TBC</v>
      </c>
      <c r="FN85" s="198" t="str">
        <f>IF(FN$7&gt;$D$3,"",IF($FA84&lt;FN$7,"OD",_xlfn.XLOOKUP(FN$7,'Quality MB'!$M$6:$BM$6,'Quality MB'!$M$9:$BM$9)))</f>
        <v>TBC</v>
      </c>
      <c r="FO85" s="198" t="str">
        <f>IF(FO$7&gt;$D$3,"",IF($FA84&lt;FO$7,"OD",_xlfn.XLOOKUP(FO$7,'Quality MB'!$M$6:$BM$6,'Quality MB'!$M$9:$BM$9)))</f>
        <v>TBC</v>
      </c>
      <c r="FP85" s="198">
        <f>IF(FP$7&gt;$D$3,"",IF($FA84&lt;FP$7,"OD",_xlfn.XLOOKUP(FP$7,'Quality MB'!$M$6:$BM$6,'Quality MB'!$M$9:$BM$9)))</f>
        <v>40</v>
      </c>
      <c r="FQ85" s="198">
        <f>IF(FQ$7&gt;$D$3,"",IF($FA84&lt;FQ$7,"OD",_xlfn.XLOOKUP(FQ$7,'Quality MB'!$M$6:$BM$6,'Quality MB'!$M$9:$BM$9)))</f>
        <v>40</v>
      </c>
      <c r="FR85" s="198">
        <f>IF(FR$7&gt;$D$3,"",IF($FA84&lt;FR$7,"OD",_xlfn.XLOOKUP(FR$7,'Quality MB'!$M$6:$BM$6,'Quality MB'!$M$9:$BM$9)))</f>
        <v>32</v>
      </c>
      <c r="FS85" s="198">
        <f>IF(FS$7&gt;$D$3,"",IF($FA84&lt;FS$7,"OD",_xlfn.XLOOKUP(FS$7,'Quality MB'!$M$6:$BM$6,'Quality MB'!$M$9:$BM$9)))</f>
        <v>32</v>
      </c>
      <c r="FT85" s="198">
        <f>IF(FT$7&gt;$D$3,"",IF($FA84&lt;FT$7,"OD",_xlfn.XLOOKUP(FT$7,'Quality MB'!$M$6:$BM$6,'Quality MB'!$M$9:$BM$9)))</f>
        <v>40</v>
      </c>
      <c r="FU85" s="198">
        <f>IF(FU$7&gt;$D$3,"",IF($FA84&lt;FU$7,"OD",_xlfn.XLOOKUP(FU$7,'Quality MB'!$M$6:$BM$6,'Quality MB'!$M$9:$BM$9)))</f>
        <v>32</v>
      </c>
      <c r="FV85" s="198">
        <f>IF(FV$7&gt;$D$3,"",IF($FA84&lt;FV$7,"OD",_xlfn.XLOOKUP(FV$7,'Quality MB'!$M$6:$BM$6,'Quality MB'!$M$9:$BM$9)))</f>
        <v>0</v>
      </c>
      <c r="FW85" s="198">
        <f>IF(FW$7&gt;$D$3,"",IF($FA84&lt;FW$7,"OD",_xlfn.XLOOKUP(FW$7,'Quality MB'!$M$6:$BM$6,'Quality MB'!$M$9:$BM$9)))</f>
        <v>24</v>
      </c>
      <c r="FX85" s="198">
        <f>IF(FX$7&gt;$D$3,"",IF($FA84&lt;FX$7,"OD",_xlfn.XLOOKUP(FX$7,'Quality MB'!$M$6:$BM$6,'Quality MB'!$M$9:$BM$9)))</f>
        <v>40</v>
      </c>
      <c r="FY85" s="198">
        <f>IF(FY$7&gt;$D$3,"",IF($FA84&lt;FY$7,"OD",_xlfn.XLOOKUP(FY$7,'Quality MB'!$M$6:$BM$6,'Quality MB'!$M$9:$BM$9)))</f>
        <v>40</v>
      </c>
      <c r="FZ85" s="198">
        <f>IF(FZ$7&gt;$D$3,"",IF($FA84&lt;FZ$7,"OD",_xlfn.XLOOKUP(FZ$7,'Quality MB'!$M$6:$BM$6,'Quality MB'!$M$9:$BM$9)))</f>
        <v>40</v>
      </c>
      <c r="GA85" s="198">
        <f>IF(GA$7&gt;$D$3,"",IF($FA84&lt;GA$7,"OD",_xlfn.XLOOKUP(GA$7,'Quality MB'!$M$6:$BM$6,'Quality MB'!$M$9:$BM$9)))</f>
        <v>40</v>
      </c>
      <c r="GB85" s="198">
        <f>IF(GB$7&gt;$D$3,"",IF($FA84&lt;GB$7,"OD",_xlfn.XLOOKUP(GB$7,'Quality MB'!$M$6:$BM$6,'Quality MB'!$M$9:$BM$9)))</f>
        <v>40</v>
      </c>
      <c r="GC85" s="198">
        <f>IF(GC$7&gt;$D$3,"",IF($FA84&lt;GC$7,"OD",_xlfn.XLOOKUP(GC$7,'Quality MB'!$M$6:$BM$6,'Quality MB'!$M$9:$BM$9)))</f>
        <v>32</v>
      </c>
      <c r="GD85" s="198">
        <f>IF(GD$7&gt;$D$3,"",IF($FA84&lt;GD$7,"OD",_xlfn.XLOOKUP(GD$7,'Quality MB'!$M$6:$BM$6,'Quality MB'!$M$9:$BM$9)))</f>
        <v>32</v>
      </c>
      <c r="GE85" s="198">
        <f>IF(GE$7&gt;$D$3,"",IF($FA84&lt;GE$7,"OD",_xlfn.XLOOKUP(GE$7,'Quality MB'!$M$6:$BM$6,'Quality MB'!$M$9:$BM$9)))</f>
        <v>32</v>
      </c>
      <c r="GF85" s="198">
        <f>IF(GF$7&gt;$D$3,"",IF($FA84&lt;GF$7,"OD",_xlfn.XLOOKUP(GF$7,'Quality MB'!$M$6:$BM$6,'Quality MB'!$M$9:$BM$9)))</f>
        <v>40</v>
      </c>
      <c r="GG85" s="198">
        <f>IF(GG$7&gt;$D$3,"",IF($FA84&lt;GG$7,"OD",_xlfn.XLOOKUP(GG$7,'Quality MB'!$M$6:$BM$6,'Quality MB'!$M$9:$BM$9)))</f>
        <v>40</v>
      </c>
      <c r="GH85" s="198">
        <f>IF(GH$7&gt;$D$3,"",IF($FA84&lt;GH$7,"OD",_xlfn.XLOOKUP(GH$7,'Quality MB'!$M$6:$BM$6,'Quality MB'!$M$9:$BM$9)))</f>
        <v>32</v>
      </c>
      <c r="GI85" s="198">
        <f>IF(GI$7&gt;$D$3,"",IF($FA84&lt;GI$7,"OD",_xlfn.XLOOKUP(GI$7,'Quality MB'!$M$6:$BM$6,'Quality MB'!$M$9:$BM$9)))</f>
        <v>32</v>
      </c>
      <c r="GJ85" s="198">
        <f>IF(GJ$7&gt;$D$3,"",IF($FA84&lt;GJ$7,"OD",_xlfn.XLOOKUP(GJ$7,'Quality MB'!$M$6:$BM$6,'Quality MB'!$M$9:$BM$9)))</f>
        <v>24</v>
      </c>
      <c r="GK85" s="198">
        <f>IF(GK$7&gt;$D$3,"",IF($FA84&lt;GK$7,"OD",_xlfn.XLOOKUP(GK$7,'Quality MB'!$M$6:$BM$6,'Quality MB'!$M$9:$BM$9)))</f>
        <v>32</v>
      </c>
      <c r="GL85" s="198">
        <f>IF(GL$7&gt;$D$3,"",IF($FA84&lt;GL$7,"OD",_xlfn.XLOOKUP(GL$7,'Quality MB'!$M$6:$BM$6,'Quality MB'!$M$9:$BM$9)))</f>
        <v>32</v>
      </c>
      <c r="GM85" s="198">
        <f>IF(GM$7&gt;$D$3,"",IF($FA84&lt;GM$7,"OD",_xlfn.XLOOKUP(GM$7,'Quality MB'!$M$6:$BM$6,'Quality MB'!$M$9:$BM$9)))</f>
        <v>40</v>
      </c>
      <c r="GN85" s="198">
        <f>IF(GN$7&gt;$D$3,"",IF($FA84&lt;GN$7,"OD",_xlfn.XLOOKUP(GN$7,'Quality MB'!$M$6:$BM$6,'Quality MB'!$M$9:$BM$9)))</f>
        <v>24</v>
      </c>
      <c r="GO85" s="198">
        <f>IF(GO$7&gt;$D$3,"",IF($FA84&lt;GO$7,"OD",_xlfn.XLOOKUP(GO$7,'Quality MB'!$M$6:$BM$6,'Quality MB'!$M$9:$BM$9)))</f>
        <v>32</v>
      </c>
      <c r="GP85" s="198">
        <f>IF(GP$7&gt;$D$3,"",IF($FA84&lt;GP$7,"OD",_xlfn.XLOOKUP(GP$7,'Quality MB'!$M$6:$BM$6,'Quality MB'!$M$9:$BM$9)))</f>
        <v>32</v>
      </c>
      <c r="GQ85" s="198">
        <f>IF(GQ$7&gt;$D$3,"",IF($FA84&lt;GQ$7,"OD",_xlfn.XLOOKUP(GQ$7,'Quality MB'!$M$6:$BM$6,'Quality MB'!$M$9:$BM$9)))</f>
        <v>40</v>
      </c>
      <c r="GR85" s="198">
        <f>IF(GR$7&gt;$D$3,"",IF($FA84&lt;GR$7,"OD",_xlfn.XLOOKUP(GR$7,'Quality MB'!$M$6:$BM$6,'Quality MB'!$M$9:$BM$9)))</f>
        <v>32</v>
      </c>
      <c r="GS85" s="198" t="str">
        <f>IF(GS$7&gt;$D$3,"",IF($FA84&lt;GS$7,"OD",_xlfn.XLOOKUP(GS$7,'Quality MB'!$M$6:$BM$6,'Quality MB'!$M$9:$BM$9)))</f>
        <v/>
      </c>
      <c r="GT85" s="198" t="str">
        <f>IF(GT$7&gt;$D$3,"",IF($FA84&lt;GT$7,"OD",_xlfn.XLOOKUP(GT$7,'Quality MB'!$M$6:$BM$6,'Quality MB'!$M$9:$BM$9)))</f>
        <v/>
      </c>
      <c r="GU85" s="198" t="str">
        <f>IF(GU$7&gt;$D$3,"",IF($FA84&lt;GU$7,"OD",_xlfn.XLOOKUP(GU$7,'Quality MB'!$M$6:$BM$6,'Quality MB'!$M$9:$BM$9)))</f>
        <v/>
      </c>
      <c r="GV85" s="198" t="str">
        <f>IF(GV$7&gt;$D$3,"",IF($FA84&lt;GV$7,"OD",_xlfn.XLOOKUP(GV$7,'Quality MB'!$M$6:$BM$6,'Quality MB'!$M$9:$BM$9)))</f>
        <v/>
      </c>
      <c r="GW85" s="198" t="str">
        <f>IF(GW$7&gt;$D$3,"",IF($FA84&lt;GW$7,"OD",_xlfn.XLOOKUP(GW$7,'Quality MB'!$M$6:$BM$6,'Quality MB'!$M$9:$BM$9)))</f>
        <v/>
      </c>
      <c r="GX85" s="198" t="str">
        <f>IF(GX$7&gt;$D$3,"",IF($FA84&lt;GX$7,"OD",_xlfn.XLOOKUP(GX$7,'Quality MB'!$M$6:$BM$6,'Quality MB'!$M$9:$BM$9)))</f>
        <v/>
      </c>
      <c r="GY85" s="198" t="str">
        <f>IF(GY$7&gt;$D$3,"",IF($FA84&lt;GY$7,"OD",_xlfn.XLOOKUP(GY$7,'Quality MB'!$M$6:$BM$6,'Quality MB'!$M$9:$BM$9)))</f>
        <v/>
      </c>
      <c r="GZ85" s="198" t="str">
        <f>IF(GZ$7&gt;$D$3,"",IF($FA84&lt;GZ$7,"OD",_xlfn.XLOOKUP(GZ$7,'Quality MB'!$M$6:$BM$6,'Quality MB'!$M$9:$BM$9)))</f>
        <v/>
      </c>
      <c r="HA85" s="198" t="str">
        <f>IF(HA$7&gt;$D$3,"",IF($FA84&lt;HA$7,"OD",_xlfn.XLOOKUP(HA$7,'Quality MB'!$M$6:$BM$6,'Quality MB'!$M$9:$BM$9)))</f>
        <v/>
      </c>
      <c r="HB85" s="198" t="str">
        <f>IF(HB$7&gt;$D$3,"",IF($FA84&lt;HB$7,"OD",_xlfn.XLOOKUP(HB$7,'Quality MB'!$M$6:$BM$6,'Quality MB'!$M$9:$BM$9)))</f>
        <v/>
      </c>
      <c r="HC85" s="198" t="str">
        <f>IF(HC$7&gt;$D$3,"",IF($FA84&lt;HC$7,"OD",_xlfn.XLOOKUP(HC$7,'Quality MB'!$M$6:$BM$6,'Quality MB'!$M$9:$BM$9)))</f>
        <v/>
      </c>
      <c r="HE85" s="133" t="str">
        <f>+$C85</f>
        <v>KPI P1</v>
      </c>
      <c r="HF85" s="142" t="str">
        <f>+$D85</f>
        <v>Productivity</v>
      </c>
      <c r="HG85" s="142" t="str">
        <f>+$E85</f>
        <v>Quality Internal Audit Plan  (Maybole only)</v>
      </c>
      <c r="HH85" s="143" t="str">
        <f>+$F85</f>
        <v>Count</v>
      </c>
      <c r="HI85" s="143" t="s">
        <v>44</v>
      </c>
      <c r="HJ85" s="198" t="str">
        <f>IF(HJ$7&gt;$D$3,"",IF($FA84&lt;HJ$7,"OD",_xlfn.XLOOKUP(HJ$7,'Quality MB'!$M$6:$BM$6,'Quality MB'!$M$8:$BM$8)))</f>
        <v>Blank</v>
      </c>
      <c r="HK85" s="198" t="str">
        <f>IF(HK$7&gt;$D$3,"",IF($FA84&lt;HK$7,"OD",_xlfn.XLOOKUP(HK$7,'Quality MB'!$M$6:$BM$6,'Quality MB'!$M$8:$BM$8)))</f>
        <v>TBC</v>
      </c>
      <c r="HL85" s="198" t="str">
        <f>IF(HL$7&gt;$D$3,"",IF($FA84&lt;HL$7,"OD",_xlfn.XLOOKUP(HL$7,'Quality MB'!$M$6:$BM$6,'Quality MB'!$M$8:$BM$8)))</f>
        <v>TBC</v>
      </c>
      <c r="HM85" s="198" t="str">
        <f>IF(HM$7&gt;$D$3,"",IF($FA84&lt;HM$7,"OD",_xlfn.XLOOKUP(HM$7,'Quality MB'!$M$6:$BM$6,'Quality MB'!$M$8:$BM$8)))</f>
        <v>TBC</v>
      </c>
      <c r="HN85" s="198" t="str">
        <f>IF(HN$7&gt;$D$3,"",IF($FA84&lt;HN$7,"OD",_xlfn.XLOOKUP(HN$7,'Quality MB'!$M$6:$BM$6,'Quality MB'!$M$8:$BM$8)))</f>
        <v>TBC</v>
      </c>
      <c r="HO85" s="198" t="str">
        <f>IF(HO$7&gt;$D$3,"",IF($FA84&lt;HO$7,"OD",_xlfn.XLOOKUP(HO$7,'Quality MB'!$M$6:$BM$6,'Quality MB'!$M$8:$BM$8)))</f>
        <v>TBC</v>
      </c>
      <c r="HP85" s="198" t="str">
        <f>IF(HP$7&gt;$D$3,"",IF($FA84&lt;HP$7,"OD",_xlfn.XLOOKUP(HP$7,'Quality MB'!$M$6:$BM$6,'Quality MB'!$M$8:$BM$8)))</f>
        <v>TBC</v>
      </c>
      <c r="HQ85" s="198" t="str">
        <f>IF(HQ$7&gt;$D$3,"",IF($FA84&lt;HQ$7,"OD",_xlfn.XLOOKUP(HQ$7,'Quality MB'!$M$6:$BM$6,'Quality MB'!$M$8:$BM$8)))</f>
        <v>TBC</v>
      </c>
      <c r="HR85" s="198" t="str">
        <f>IF(HR$7&gt;$D$3,"",IF($FA84&lt;HR$7,"OD",_xlfn.XLOOKUP(HR$7,'Quality MB'!$M$6:$BM$6,'Quality MB'!$M$8:$BM$8)))</f>
        <v>TBC</v>
      </c>
      <c r="HS85" s="198" t="str">
        <f>IF(HS$7&gt;$D$3,"",IF($FA84&lt;HS$7,"OD",_xlfn.XLOOKUP(HS$7,'Quality MB'!$M$6:$BM$6,'Quality MB'!$M$8:$BM$8)))</f>
        <v>TBC</v>
      </c>
      <c r="HT85" s="198" t="str">
        <f>IF(HT$7&gt;$D$3,"",IF($FA84&lt;HT$7,"OD",_xlfn.XLOOKUP(HT$7,'Quality MB'!$M$6:$BM$6,'Quality MB'!$M$8:$BM$8)))</f>
        <v>TBC</v>
      </c>
      <c r="HU85" s="198" t="str">
        <f>IF(HU$7&gt;$D$3,"",IF($FA84&lt;HU$7,"OD",_xlfn.XLOOKUP(HU$7,'Quality MB'!$M$6:$BM$6,'Quality MB'!$M$8:$BM$8)))</f>
        <v>TBC</v>
      </c>
      <c r="HV85" s="198" t="str">
        <f>IF(HV$7&gt;$D$3,"",IF($FA84&lt;HV$7,"OD",_xlfn.XLOOKUP(HV$7,'Quality MB'!$M$6:$BM$6,'Quality MB'!$M$8:$BM$8)))</f>
        <v>TBC</v>
      </c>
      <c r="HW85" s="198">
        <f>IF(HW$7&gt;$D$3,"",IF($FA84&lt;HW$7,"OD",_xlfn.XLOOKUP(HW$7,'Quality MB'!$M$6:$BM$6,'Quality MB'!$M$8:$BM$8)))</f>
        <v>40</v>
      </c>
      <c r="HX85" s="198">
        <f>IF(HX$7&gt;$D$3,"",IF($FA84&lt;HX$7,"OD",_xlfn.XLOOKUP(HX$7,'Quality MB'!$M$6:$BM$6,'Quality MB'!$M$8:$BM$8)))</f>
        <v>40</v>
      </c>
      <c r="HY85" s="198">
        <f>IF(HY$7&gt;$D$3,"",IF($FA84&lt;HY$7,"OD",_xlfn.XLOOKUP(HY$7,'Quality MB'!$M$6:$BM$6,'Quality MB'!$M$8:$BM$8)))</f>
        <v>32</v>
      </c>
      <c r="HZ85" s="198">
        <f>IF(HZ$7&gt;$D$3,"",IF($FA84&lt;HZ$7,"OD",_xlfn.XLOOKUP(HZ$7,'Quality MB'!$M$6:$BM$6,'Quality MB'!$M$8:$BM$8)))</f>
        <v>32</v>
      </c>
      <c r="IA85" s="198">
        <f>IF(IA$7&gt;$D$3,"",IF($FA84&lt;IA$7,"OD",_xlfn.XLOOKUP(IA$7,'Quality MB'!$M$6:$BM$6,'Quality MB'!$M$8:$BM$8)))</f>
        <v>40</v>
      </c>
      <c r="IB85" s="198">
        <f>IF(IB$7&gt;$D$3,"",IF($FA84&lt;IB$7,"OD",_xlfn.XLOOKUP(IB$7,'Quality MB'!$M$6:$BM$6,'Quality MB'!$M$8:$BM$8)))</f>
        <v>32</v>
      </c>
      <c r="IC85" s="198">
        <f>IF(IC$7&gt;$D$3,"",IF($FA84&lt;IC$7,"OD",_xlfn.XLOOKUP(IC$7,'Quality MB'!$M$6:$BM$6,'Quality MB'!$M$8:$BM$8)))</f>
        <v>40</v>
      </c>
      <c r="ID85" s="198">
        <f>IF(ID$7&gt;$D$3,"",IF($FA84&lt;ID$7,"OD",_xlfn.XLOOKUP(ID$7,'Quality MB'!$M$6:$BM$6,'Quality MB'!$M$8:$BM$8)))</f>
        <v>24</v>
      </c>
      <c r="IE85" s="198">
        <f>IF(IE$7&gt;$D$3,"",IF($FA84&lt;IE$7,"OD",_xlfn.XLOOKUP(IE$7,'Quality MB'!$M$6:$BM$6,'Quality MB'!$M$8:$BM$8)))</f>
        <v>40</v>
      </c>
      <c r="IF85" s="198">
        <f>IF(IF$7&gt;$D$3,"",IF($FA84&lt;IF$7,"OD",_xlfn.XLOOKUP(IF$7,'Quality MB'!$M$6:$BM$6,'Quality MB'!$M$8:$BM$8)))</f>
        <v>40</v>
      </c>
      <c r="IG85" s="198">
        <f>IF(IG$7&gt;$D$3,"",IF($FA84&lt;IG$7,"OD",_xlfn.XLOOKUP(IG$7,'Quality MB'!$M$6:$BM$6,'Quality MB'!$M$8:$BM$8)))</f>
        <v>40</v>
      </c>
      <c r="IH85" s="198">
        <f>IF(IH$7&gt;$D$3,"",IF($FA84&lt;IH$7,"OD",_xlfn.XLOOKUP(IH$7,'Quality MB'!$M$6:$BM$6,'Quality MB'!$M$8:$BM$8)))</f>
        <v>40</v>
      </c>
      <c r="II85" s="198">
        <f>IF(II$7&gt;$D$3,"",IF($FA84&lt;II$7,"OD",_xlfn.XLOOKUP(II$7,'Quality MB'!$M$6:$BM$6,'Quality MB'!$M$8:$BM$8)))</f>
        <v>40</v>
      </c>
      <c r="IJ85" s="198">
        <f>IF(IJ$7&gt;$D$3,"",IF($FA84&lt;IJ$7,"OD",_xlfn.XLOOKUP(IJ$7,'Quality MB'!$M$6:$BM$6,'Quality MB'!$M$8:$BM$8)))</f>
        <v>32</v>
      </c>
      <c r="IK85" s="198">
        <f>IF(IK$7&gt;$D$3,"",IF($FA84&lt;IK$7,"OD",_xlfn.XLOOKUP(IK$7,'Quality MB'!$M$6:$BM$6,'Quality MB'!$M$8:$BM$8)))</f>
        <v>32</v>
      </c>
      <c r="IL85" s="198">
        <f>IF(IL$7&gt;$D$3,"",IF($FA84&lt;IL$7,"OD",_xlfn.XLOOKUP(IL$7,'Quality MB'!$M$6:$BM$6,'Quality MB'!$M$8:$BM$8)))</f>
        <v>32</v>
      </c>
      <c r="IM85" s="198">
        <f>IF(IM$7&gt;$D$3,"",IF($FA84&lt;IM$7,"OD",_xlfn.XLOOKUP(IM$7,'Quality MB'!$M$6:$BM$6,'Quality MB'!$M$8:$BM$8)))</f>
        <v>40</v>
      </c>
      <c r="IN85" s="198">
        <f>IF(IN$7&gt;$D$3,"",IF($FA84&lt;IN$7,"OD",_xlfn.XLOOKUP(IN$7,'Quality MB'!$M$6:$BM$6,'Quality MB'!$M$8:$BM$8)))</f>
        <v>40</v>
      </c>
      <c r="IO85" s="198">
        <f>IF(IO$7&gt;$D$3,"",IF($FA84&lt;IO$7,"OD",_xlfn.XLOOKUP(IO$7,'Quality MB'!$M$6:$BM$6,'Quality MB'!$M$8:$BM$8)))</f>
        <v>40</v>
      </c>
      <c r="IP85" s="198">
        <f>IF(IP$7&gt;$D$3,"",IF($FA84&lt;IP$7,"OD",_xlfn.XLOOKUP(IP$7,'Quality MB'!$M$6:$BM$6,'Quality MB'!$M$8:$BM$8)))</f>
        <v>40</v>
      </c>
      <c r="IQ85" s="198">
        <f>IF(IQ$7&gt;$D$3,"",IF($FA84&lt;IQ$7,"OD",_xlfn.XLOOKUP(IQ$7,'Quality MB'!$M$6:$BM$6,'Quality MB'!$M$8:$BM$8)))</f>
        <v>40</v>
      </c>
      <c r="IR85" s="198">
        <f>IF(IR$7&gt;$D$3,"",IF($FA84&lt;IR$7,"OD",_xlfn.XLOOKUP(IR$7,'Quality MB'!$M$6:$BM$6,'Quality MB'!$M$8:$BM$8)))</f>
        <v>40</v>
      </c>
      <c r="IS85" s="198">
        <f>IF(IS$7&gt;$D$3,"",IF($FA84&lt;IS$7,"OD",_xlfn.XLOOKUP(IS$7,'Quality MB'!$M$6:$BM$6,'Quality MB'!$M$8:$BM$8)))</f>
        <v>40</v>
      </c>
      <c r="IT85" s="198">
        <f>IF(IT$7&gt;$D$3,"",IF($FA84&lt;IT$7,"OD",_xlfn.XLOOKUP(IT$7,'Quality MB'!$M$6:$BM$6,'Quality MB'!$M$8:$BM$8)))</f>
        <v>40</v>
      </c>
      <c r="IU85" s="198">
        <f>IF(IU$7&gt;$D$3,"",IF($FA84&lt;IU$7,"OD",_xlfn.XLOOKUP(IU$7,'Quality MB'!$M$6:$BM$6,'Quality MB'!$M$8:$BM$8)))</f>
        <v>24</v>
      </c>
      <c r="IV85" s="198">
        <f>IF(IV$7&gt;$D$3,"",IF($FA84&lt;IV$7,"OD",_xlfn.XLOOKUP(IV$7,'Quality MB'!$M$6:$BM$6,'Quality MB'!$M$8:$BM$8)))</f>
        <v>32</v>
      </c>
      <c r="IW85" s="198">
        <f>IF(IW$7&gt;$D$3,"",IF($FA84&lt;IW$7,"OD",_xlfn.XLOOKUP(IW$7,'Quality MB'!$M$6:$BM$6,'Quality MB'!$M$8:$BM$8)))</f>
        <v>32</v>
      </c>
      <c r="IX85" s="198">
        <f>IF(IX$7&gt;$D$3,"",IF($FA84&lt;IX$7,"OD",_xlfn.XLOOKUP(IX$7,'Quality MB'!$M$6:$BM$6,'Quality MB'!$M$8:$BM$8)))</f>
        <v>40</v>
      </c>
      <c r="IY85" s="198">
        <f>IF(IY$7&gt;$D$3,"",IF($FA84&lt;IY$7,"OD",_xlfn.XLOOKUP(IY$7,'Quality MB'!$M$6:$BM$6,'Quality MB'!$M$8:$BM$8)))</f>
        <v>32</v>
      </c>
      <c r="IZ85" s="198" t="str">
        <f>IF(IZ$7&gt;$D$3,"",IF($FA84&lt;IZ$7,"OD",_xlfn.XLOOKUP(IZ$7,'Quality MB'!$M$6:$BM$6,'Quality MB'!$M$8:$BM$8)))</f>
        <v/>
      </c>
      <c r="JA85" s="198" t="str">
        <f>IF(JA$7&gt;$D$3,"",IF($FA84&lt;JA$7,"OD",_xlfn.XLOOKUP(JA$7,'Quality MB'!$M$6:$BM$6,'Quality MB'!$M$8:$BM$8)))</f>
        <v/>
      </c>
      <c r="JB85" s="198" t="str">
        <f>IF(JB$7&gt;$D$3,"",IF($FA84&lt;JB$7,"OD",_xlfn.XLOOKUP(JB$7,'Quality MB'!$M$6:$BM$6,'Quality MB'!$M$8:$BM$8)))</f>
        <v/>
      </c>
      <c r="JC85" s="198" t="str">
        <f>IF(JC$7&gt;$D$3,"",IF($FA84&lt;JC$7,"OD",_xlfn.XLOOKUP(JC$7,'Quality MB'!$M$6:$BM$6,'Quality MB'!$M$8:$BM$8)))</f>
        <v/>
      </c>
      <c r="JD85" s="198" t="str">
        <f>IF(JD$7&gt;$D$3,"",IF($FA84&lt;JD$7,"OD",_xlfn.XLOOKUP(JD$7,'Quality MB'!$M$6:$BM$6,'Quality MB'!$M$8:$BM$8)))</f>
        <v/>
      </c>
      <c r="JE85" s="198" t="str">
        <f>IF(JE$7&gt;$D$3,"",IF($FA84&lt;JE$7,"OD",_xlfn.XLOOKUP(JE$7,'Quality MB'!$M$6:$BM$6,'Quality MB'!$M$8:$BM$8)))</f>
        <v/>
      </c>
      <c r="JF85" s="198" t="str">
        <f>IF(JF$7&gt;$D$3,"",IF($FA84&lt;JF$7,"OD",_xlfn.XLOOKUP(JF$7,'Quality MB'!$M$6:$BM$6,'Quality MB'!$M$8:$BM$8)))</f>
        <v/>
      </c>
      <c r="JG85" s="198" t="str">
        <f>IF(JG$7&gt;$D$3,"",IF($FA84&lt;JG$7,"OD",_xlfn.XLOOKUP(JG$7,'Quality MB'!$M$6:$BM$6,'Quality MB'!$M$8:$BM$8)))</f>
        <v/>
      </c>
      <c r="JH85" s="198" t="str">
        <f>IF(JH$7&gt;$D$3,"",IF($FA84&lt;JH$7,"OD",_xlfn.XLOOKUP(JH$7,'Quality MB'!$M$6:$BM$6,'Quality MB'!$M$8:$BM$8)))</f>
        <v/>
      </c>
      <c r="JI85" s="198" t="str">
        <f>IF(JI$7&gt;$D$3,"",IF($FA84&lt;JI$7,"OD",_xlfn.XLOOKUP(JI$7,'Quality MB'!$M$6:$BM$6,'Quality MB'!$M$8:$BM$8)))</f>
        <v/>
      </c>
      <c r="JJ85" s="198" t="str">
        <f>IF(JJ$7&gt;$D$3,"",IF($FA84&lt;JJ$7,"OD",_xlfn.XLOOKUP(JJ$7,'Quality MB'!$M$6:$BM$6,'Quality MB'!$M$8:$BM$8)))</f>
        <v/>
      </c>
      <c r="JM85" s="133" t="str">
        <f>+$C85</f>
        <v>KPI P1</v>
      </c>
      <c r="JN85" s="142" t="str">
        <f>+$D85</f>
        <v>Productivity</v>
      </c>
      <c r="JO85" s="142" t="str">
        <f>+$E85</f>
        <v>Quality Internal Audit Plan  (Maybole only)</v>
      </c>
      <c r="JP85" s="143" t="str">
        <f>+$F85</f>
        <v>Count</v>
      </c>
      <c r="JQ85" s="143" t="s">
        <v>284</v>
      </c>
      <c r="JR85" s="246" t="str">
        <f>IFERROR(AVERAGE(FC85:$FC85),"")</f>
        <v/>
      </c>
      <c r="JS85" s="246" t="str">
        <f>IFERROR(AVERAGE($FC85:FD85),"")</f>
        <v/>
      </c>
      <c r="JT85" s="246" t="str">
        <f>IFERROR(AVERAGE($FC85:FE85),"")</f>
        <v/>
      </c>
      <c r="JU85" s="246" t="str">
        <f>IFERROR(AVERAGE($FC85:FF85),"")</f>
        <v/>
      </c>
      <c r="JV85" s="246" t="str">
        <f>IFERROR(AVERAGE($FC85:FG85),"")</f>
        <v/>
      </c>
      <c r="JW85" s="246" t="str">
        <f>IFERROR(AVERAGE($FC85:FH85),"")</f>
        <v/>
      </c>
      <c r="JX85" s="246" t="str">
        <f>IFERROR(AVERAGE($FC85:FI85),"")</f>
        <v/>
      </c>
      <c r="JY85" s="246" t="str">
        <f>IFERROR(AVERAGE($FC85:FJ85),"")</f>
        <v/>
      </c>
      <c r="JZ85" s="246" t="str">
        <f>IFERROR(AVERAGE($FC85:FK85),"")</f>
        <v/>
      </c>
      <c r="KA85" s="246" t="str">
        <f>IFERROR(AVERAGE($FC85:FL85),"")</f>
        <v/>
      </c>
      <c r="KB85" s="246" t="str">
        <f>IFERROR(AVERAGE($FC85:FM85),"")</f>
        <v/>
      </c>
      <c r="KC85" s="246" t="str">
        <f>IFERROR(AVERAGE($FC85:FN85),"")</f>
        <v/>
      </c>
      <c r="KD85" s="246" t="str">
        <f>IFERROR(AVERAGE($FC85:FO85),"")</f>
        <v/>
      </c>
      <c r="KE85" s="246">
        <f>IFERROR(AVERAGE($FC85:FP85),"")</f>
        <v>40</v>
      </c>
      <c r="KF85" s="246">
        <f>IFERROR(AVERAGE($FC85:FQ85),"")</f>
        <v>40</v>
      </c>
      <c r="KG85" s="246">
        <f>IFERROR(AVERAGE($FC85:FR85),"")</f>
        <v>37.333333333333336</v>
      </c>
      <c r="KH85" s="246">
        <f>IFERROR(AVERAGE($FC85:FS85),"")</f>
        <v>36</v>
      </c>
      <c r="KI85" s="246">
        <f>IFERROR(AVERAGE($FC85:FT85),"")</f>
        <v>36.799999999999997</v>
      </c>
      <c r="KJ85" s="246">
        <f>IFERROR(AVERAGE($FC85:FU85),"")</f>
        <v>36</v>
      </c>
      <c r="KK85" s="246">
        <f>IFERROR(AVERAGE($FC85:FV85),"")</f>
        <v>30.857142857142858</v>
      </c>
      <c r="KL85" s="246">
        <f>IFERROR(AVERAGE($FC85:FW85),"")</f>
        <v>30</v>
      </c>
      <c r="KM85" s="246">
        <f>IFERROR(AVERAGE($FC85:FX85),"")</f>
        <v>31.111111111111111</v>
      </c>
      <c r="KN85" s="246">
        <f>IFERROR(AVERAGE($FC85:FY85),"")</f>
        <v>32</v>
      </c>
      <c r="KO85" s="246">
        <f>IFERROR(AVERAGE($FC85:FZ85),"")</f>
        <v>32.727272727272727</v>
      </c>
      <c r="KP85" s="246">
        <f>IFERROR(AVERAGE($FC85:GA85),"")</f>
        <v>33.333333333333336</v>
      </c>
      <c r="KQ85" s="246">
        <f>IFERROR(AVERAGE($FC85:GB85),"")</f>
        <v>33.846153846153847</v>
      </c>
      <c r="KR85" s="246">
        <f>IFERROR(AVERAGE($FC85:GC85),"")</f>
        <v>33.714285714285715</v>
      </c>
      <c r="KS85" s="246">
        <f>IFERROR(AVERAGE($FC85:GD85),"")</f>
        <v>33.6</v>
      </c>
      <c r="KT85" s="246">
        <f>IFERROR(AVERAGE($FC85:GE85),"")</f>
        <v>33.5</v>
      </c>
      <c r="KU85" s="246">
        <f>IFERROR(AVERAGE($FC85:GF85),"")</f>
        <v>33.882352941176471</v>
      </c>
      <c r="KV85" s="246">
        <f>IFERROR(AVERAGE($FC85:GG85),"")</f>
        <v>34.222222222222221</v>
      </c>
      <c r="KW85" s="246">
        <f>IFERROR(AVERAGE($FC85:GH85),"")</f>
        <v>34.10526315789474</v>
      </c>
      <c r="KX85" s="246">
        <f>IFERROR(AVERAGE($FC85:GI85),"")</f>
        <v>34</v>
      </c>
      <c r="KY85" s="246">
        <f>IFERROR(AVERAGE($FC85:GJ85),"")</f>
        <v>33.523809523809526</v>
      </c>
      <c r="KZ85" s="246">
        <f>IFERROR(AVERAGE($FC85:GK85),"")</f>
        <v>33.454545454545453</v>
      </c>
      <c r="LA85" s="246">
        <f>IFERROR(AVERAGE($FC85:GL85),"")</f>
        <v>33.391304347826086</v>
      </c>
      <c r="LB85" s="246">
        <f>IFERROR(AVERAGE($FC85:GM85),"")</f>
        <v>33.666666666666664</v>
      </c>
      <c r="LC85" s="246">
        <f>IFERROR(AVERAGE($FC85:GN85),"")</f>
        <v>33.28</v>
      </c>
      <c r="LD85" s="246">
        <f>IFERROR(AVERAGE($FC85:GO85),"")</f>
        <v>33.230769230769234</v>
      </c>
      <c r="LE85" s="246">
        <f>IFERROR(AVERAGE($FC85:GP85),"")</f>
        <v>33.185185185185183</v>
      </c>
      <c r="LF85" s="246">
        <f>IFERROR(AVERAGE($FC85:GQ85),"")</f>
        <v>33.428571428571431</v>
      </c>
      <c r="LG85" s="246">
        <f>IFERROR(AVERAGE($FC85:GR85),"")</f>
        <v>33.379310344827587</v>
      </c>
      <c r="LH85" s="246">
        <f>IFERROR(AVERAGE($FC85:GS85),"")</f>
        <v>33.379310344827587</v>
      </c>
      <c r="LI85" s="246">
        <f>IFERROR(AVERAGE($FC85:GT85),"")</f>
        <v>33.379310344827587</v>
      </c>
      <c r="LJ85" s="246">
        <f>IFERROR(AVERAGE($FC85:GU85),"")</f>
        <v>33.379310344827587</v>
      </c>
      <c r="LK85" s="246">
        <f>IFERROR(AVERAGE($FC85:GV85),"")</f>
        <v>33.379310344827587</v>
      </c>
      <c r="LL85" s="246">
        <f>IFERROR(AVERAGE($FC85:GW85),"")</f>
        <v>33.379310344827587</v>
      </c>
      <c r="LM85" s="246">
        <f>IFERROR(AVERAGE($FC85:GX85),"")</f>
        <v>33.379310344827587</v>
      </c>
      <c r="LN85" s="246">
        <f>IFERROR(AVERAGE($FC85:GY85),"")</f>
        <v>33.379310344827587</v>
      </c>
      <c r="LO85" s="246">
        <f>IFERROR(AVERAGE($FC85:GZ85),"")</f>
        <v>33.379310344827587</v>
      </c>
      <c r="LP85" s="246">
        <f>IFERROR(AVERAGE($FC85:HA85),"")</f>
        <v>33.379310344827587</v>
      </c>
      <c r="LQ85" s="246">
        <f>IFERROR(AVERAGE($FC85:HB85),"")</f>
        <v>33.379310344827587</v>
      </c>
      <c r="LR85" s="246">
        <f>IFERROR(AVERAGE($FC85:HC85),"")</f>
        <v>33.379310344827587</v>
      </c>
      <c r="LT85" s="133" t="str">
        <f>+$C85</f>
        <v>KPI P1</v>
      </c>
      <c r="LU85" s="142" t="str">
        <f>+$D85</f>
        <v>Productivity</v>
      </c>
      <c r="LV85" s="142" t="str">
        <f>+$E85</f>
        <v>Quality Internal Audit Plan  (Maybole only)</v>
      </c>
      <c r="LW85" s="143" t="str">
        <f>+$F85</f>
        <v>Count</v>
      </c>
      <c r="LX85" s="143" t="s">
        <v>285</v>
      </c>
      <c r="LY85" s="198" t="str">
        <f>IFERROR(AVERAGE($HJ85:HJ85),"")</f>
        <v/>
      </c>
      <c r="LZ85" s="198" t="str">
        <f>IFERROR(IF(LAD$7&gt;$D$3,"",AVERAGE($HJ85:HK85)),"")</f>
        <v/>
      </c>
      <c r="MA85" s="198" t="str">
        <f>IFERROR(IF(MA$7&gt;$D$3,"",AVERAGE($HJ85:HL85)),"")</f>
        <v/>
      </c>
      <c r="MB85" s="198" t="str">
        <f>IFERROR(IF(MB$7&gt;$D$3,"",AVERAGE($HJ85:HM85)),"")</f>
        <v/>
      </c>
      <c r="MC85" s="198" t="str">
        <f>IFERROR(IF(MC$7&gt;$D$3,"",AVERAGE($HJ85:HN85)),"")</f>
        <v/>
      </c>
      <c r="MD85" s="198" t="str">
        <f>IFERROR(IF(MD$7&gt;$D$3,"",AVERAGE($HJ85:HO85)),"")</f>
        <v/>
      </c>
      <c r="ME85" s="198" t="str">
        <f>IFERROR(IF(ME$7&gt;$D$3,"",AVERAGE($HJ85:HP85)),"")</f>
        <v/>
      </c>
      <c r="MF85" s="198" t="str">
        <f>IFERROR(IF(MF$7&gt;$D$3,"",AVERAGE($HJ85:HQ85)),"")</f>
        <v/>
      </c>
      <c r="MG85" s="198" t="str">
        <f>IFERROR(IF(MG$7&gt;$D$3,"",AVERAGE($HJ85:HR85)),"")</f>
        <v/>
      </c>
      <c r="MH85" s="198" t="str">
        <f>IFERROR(IF(MH$7&gt;$D$3,"",AVERAGE($HJ85:HS85)),"")</f>
        <v/>
      </c>
      <c r="MI85" s="198" t="str">
        <f>IFERROR(IF(MI$7&gt;$D$3,"",AVERAGE($HJ85:HT85)),"")</f>
        <v/>
      </c>
      <c r="MJ85" s="198" t="str">
        <f>IFERROR(IF(MJ$7&gt;$D$3,"",AVERAGE($HJ85:HU85)),"")</f>
        <v/>
      </c>
      <c r="MK85" s="198" t="str">
        <f>IFERROR(IF(MK$7&gt;$D$3,"",AVERAGE($HJ85:HV85)),"")</f>
        <v/>
      </c>
      <c r="ML85" s="198">
        <f>IFERROR(IF(ML$7&gt;$D$3,"",AVERAGE($HJ85:HW85)),"")</f>
        <v>40</v>
      </c>
      <c r="MM85" s="198">
        <f>IFERROR(IF(MM$7&gt;$D$3,"",AVERAGE($HJ85:HX85)),"")</f>
        <v>40</v>
      </c>
      <c r="MN85" s="198">
        <f>IFERROR(IF(MN$7&gt;$D$3,"",AVERAGE($HJ85:HY85)),"")</f>
        <v>37.333333333333336</v>
      </c>
      <c r="MO85" s="198">
        <f>IFERROR(IF(MO$7&gt;$D$3,"",AVERAGE($HJ85:HZ85)),"")</f>
        <v>36</v>
      </c>
      <c r="MP85" s="198">
        <f>IFERROR(IF(MP$7&gt;$D$3,"",AVERAGE($HJ85:IA85)),"")</f>
        <v>36.799999999999997</v>
      </c>
      <c r="MQ85" s="198">
        <f>IFERROR(IF(MQ$7&gt;$D$3,"",AVERAGE($HJ85:IB85)),"")</f>
        <v>36</v>
      </c>
      <c r="MR85" s="198">
        <f>IFERROR(IF(MR$7&gt;$D$3,"",AVERAGE($HJ85:IC85)),"")</f>
        <v>36.571428571428569</v>
      </c>
      <c r="MS85" s="198">
        <f>IFERROR(IF(MS$7&gt;$D$3,"",AVERAGE($HJ85:ID85)),"")</f>
        <v>35</v>
      </c>
      <c r="MT85" s="198">
        <f>IFERROR(IF(MT$7&gt;$D$3,"",AVERAGE($HJ85:IE85)),"")</f>
        <v>35.555555555555557</v>
      </c>
      <c r="MU85" s="198">
        <f>IFERROR(IF(MU$7&gt;$D$3,"",AVERAGE($HJ85:IF85)),"")</f>
        <v>36</v>
      </c>
      <c r="MV85" s="198">
        <f>IFERROR(IF(MV$7&gt;$D$3,"",AVERAGE($HJ85:IG85)),"")</f>
        <v>36.363636363636367</v>
      </c>
      <c r="MW85" s="198">
        <f>IFERROR(IF(MW$7&gt;$D$3,"",AVERAGE($HJ85:IH85)),"")</f>
        <v>36.666666666666664</v>
      </c>
      <c r="MX85" s="198">
        <f>IFERROR(IF(MX$7&gt;$D$3,"",AVERAGE($HJ85:II85)),"")</f>
        <v>36.92307692307692</v>
      </c>
      <c r="MY85" s="198">
        <f>IFERROR(IF(MY$7&gt;$D$3,"",AVERAGE($HJ85:IJ85)),"")</f>
        <v>36.571428571428569</v>
      </c>
      <c r="MZ85" s="198">
        <f>IFERROR(IF(MZ$7&gt;$D$3,"",AVERAGE($HJ85:IK85)),"")</f>
        <v>36.266666666666666</v>
      </c>
      <c r="NA85" s="198">
        <f>IFERROR(IF(NA$7&gt;$D$3,"",AVERAGE($HJ85:IL85)),"")</f>
        <v>36</v>
      </c>
      <c r="NB85" s="198">
        <f>IFERROR(IF(NB$7&gt;$D$3,"",AVERAGE($HJ85:IM85)),"")</f>
        <v>36.235294117647058</v>
      </c>
      <c r="NC85" s="198">
        <f>IFERROR(IF(NC$7&gt;$D$3,"",AVERAGE($HJ85:IN85)),"")</f>
        <v>36.444444444444443</v>
      </c>
      <c r="ND85" s="198">
        <f>IFERROR(IF(ND$7&gt;$D$3,"",AVERAGE($HJ85:IO85)),"")</f>
        <v>36.631578947368418</v>
      </c>
      <c r="NE85" s="198">
        <f>IFERROR(IF(NE$7&gt;$D$3,"",AVERAGE($HJ85:IP85)),"")</f>
        <v>36.799999999999997</v>
      </c>
      <c r="NF85" s="198">
        <f>IFERROR(IF(NF$7&gt;$D$3,"",AVERAGE($HJ85:IQ85)),"")</f>
        <v>36.952380952380949</v>
      </c>
      <c r="NG85" s="198">
        <f>IFERROR(IF(NG$7&gt;$D$3,"",AVERAGE($HJ85:IR85)),"")</f>
        <v>37.090909090909093</v>
      </c>
      <c r="NH85" s="198">
        <f>IFERROR(IF(NH$7&gt;$D$3,"",AVERAGE($HJ85:IS85)),"")</f>
        <v>37.217391304347828</v>
      </c>
      <c r="NI85" s="198">
        <f>IFERROR(IF(NI$7&gt;$D$3,"",AVERAGE($HJ85:IT85)),"")</f>
        <v>37.333333333333336</v>
      </c>
      <c r="NJ85" s="198">
        <f>IFERROR(IF(NJ$7&gt;$D$3,"",AVERAGE($HJ85:IU85)),"")</f>
        <v>36.799999999999997</v>
      </c>
      <c r="NK85" s="198">
        <f>IFERROR(IF(NK$7&gt;$D$3,"",AVERAGE($HJ85:IV85)),"")</f>
        <v>36.615384615384613</v>
      </c>
      <c r="NL85" s="198">
        <f>IFERROR(IF(NL$7&gt;$D$3,"",AVERAGE($HJ85:IW85)),"")</f>
        <v>36.444444444444443</v>
      </c>
      <c r="NM85" s="198">
        <f>IFERROR(IF(NM$7&gt;$D$3,"",AVERAGE($HJ85:IX85)),"")</f>
        <v>36.571428571428569</v>
      </c>
      <c r="NN85" s="198">
        <f>IFERROR(IF(NN$7&gt;$D$3,"",AVERAGE($HJ85:IY85)),"")</f>
        <v>36.413793103448278</v>
      </c>
      <c r="NO85" s="198" t="str">
        <f>IFERROR(IF(NO$7&gt;$D$3,"",AVERAGE($HJ85:IZ85)),"")</f>
        <v/>
      </c>
      <c r="NP85" s="198" t="str">
        <f>IFERROR(IF(NP$7&gt;$D$3,"",AVERAGE($HJ85:JA85)),"")</f>
        <v/>
      </c>
      <c r="NQ85" s="198" t="str">
        <f>IFERROR(IF(NQ$7&gt;$D$3,"",AVERAGE($HJ85:JB85)),"")</f>
        <v/>
      </c>
      <c r="NR85" s="198" t="str">
        <f>IFERROR(IF(NR$7&gt;$D$3,"",AVERAGE($HJ85:JC85)),"")</f>
        <v/>
      </c>
      <c r="NS85" s="198" t="str">
        <f>IFERROR(IF(NS$7&gt;$D$3,"",AVERAGE($HJ85:JD85)),"")</f>
        <v/>
      </c>
      <c r="NT85" s="198" t="str">
        <f>IFERROR(IF(NT$7&gt;$D$3,"",AVERAGE($HJ85:JE85)),"")</f>
        <v/>
      </c>
      <c r="NU85" s="198" t="str">
        <f>IFERROR(IF(NU$7&gt;$D$3,"",AVERAGE($HJ85:JF85)),"")</f>
        <v/>
      </c>
      <c r="NV85" s="198" t="str">
        <f>IFERROR(IF(NV$7&gt;$D$3,"",AVERAGE($HJ85:JG85)),"")</f>
        <v/>
      </c>
      <c r="NW85" s="198" t="str">
        <f>IFERROR(IF(NW$7&gt;$D$3,"",AVERAGE($HJ85:JH85)),"")</f>
        <v/>
      </c>
      <c r="NX85" s="198" t="str">
        <f>IFERROR(IF(NX$7&gt;$D$3,"",AVERAGE($HJ85:JI85)),"")</f>
        <v/>
      </c>
      <c r="NY85" s="198" t="str">
        <f>IFERROR(IF(NY$7&gt;$D$3,"",AVERAGE($HJ85:JJ85)),"")</f>
        <v/>
      </c>
    </row>
    <row r="86" spans="1:389" x14ac:dyDescent="0.3">
      <c r="A86" t="str">
        <f>$B$84&amp;"-"&amp;C86</f>
        <v>Quality Maybole-KPI D1</v>
      </c>
      <c r="B86" s="918" t="str">
        <f>+'KPI Stats'!B85</f>
        <v>Rees Nanney</v>
      </c>
      <c r="C86" s="136" t="str">
        <f>+'KPI Stats'!C85</f>
        <v>KPI D1</v>
      </c>
      <c r="D86" s="144" t="str">
        <f>+'KPI Stats'!D85</f>
        <v>Delivery</v>
      </c>
      <c r="E86" s="144" t="str">
        <f>+'KPI Stats'!E85</f>
        <v>Quality - Internal Rework orders raised  (Maybole only)</v>
      </c>
      <c r="F86" s="145" t="str">
        <f>+'KPI Stats'!F85</f>
        <v>£'s</v>
      </c>
      <c r="G86" s="178" t="str">
        <f>+'KPI Stats'!G85</f>
        <v>Over</v>
      </c>
      <c r="J86" s="69" t="str">
        <f>_xlfn.XLOOKUP(J$7,$AM$7:$CM$7,$AM86:$CM86,,FALSE)</f>
        <v>R</v>
      </c>
      <c r="K86" s="264">
        <f>_xlfn.XLOOKUP(K$7,$FC$7:$HC$7,$FC86:$HC86,,FALSE)</f>
        <v>3200</v>
      </c>
      <c r="L86" s="278">
        <f>_xlfn.XLOOKUP(L$7,$HJ$7:$JJ$7,$HJ86:$JJ86,,FALSE)</f>
        <v>1025</v>
      </c>
      <c r="M86" s="275">
        <f>_xlfn.XLOOKUP(M$7,$CU$7:$EU$7,$CU86:$EU86,,FALSE)</f>
        <v>0.3203125</v>
      </c>
      <c r="P86" s="69" t="str">
        <f>_xlfn.XLOOKUP(P$7,$AM$7:$CM$7,$AM86:$CM86,,FALSE)</f>
        <v>R</v>
      </c>
      <c r="Q86" s="264">
        <f t="shared" si="293"/>
        <v>3200</v>
      </c>
      <c r="R86" s="278">
        <f t="shared" si="293"/>
        <v>0</v>
      </c>
      <c r="S86" s="288">
        <f t="shared" si="294"/>
        <v>0.3203125</v>
      </c>
      <c r="T86" s="265" t="str">
        <f t="shared" si="294"/>
        <v/>
      </c>
      <c r="U86" s="295" t="str">
        <f>IF(F84&lt;$R$2,"Not Complete",IF(Q86=R86,"Same −",IF($G86="Over",IF(Q86&lt;R86,"Better ↑","Worse ↓"),IF($G86="Under",IF(Q86&gt;R86,"Better ↑","Worse ↓"),"err"))))</f>
        <v>Worse ↓</v>
      </c>
      <c r="X86" s="69" t="str">
        <f t="shared" si="295"/>
        <v>G</v>
      </c>
      <c r="Y86" s="114">
        <f>_xlfn.XLOOKUP(Y$7,$JR$7:$LR$7,$JR86:$LR86,FALSE)</f>
        <v>865.68965517241384</v>
      </c>
      <c r="Z86" s="114">
        <f>_xlfn.XLOOKUP(Z$7,$LY$7:$NY$7,$LY86:$NY86,FALSE)</f>
        <v>1014.6551724137931</v>
      </c>
      <c r="AA86" s="252">
        <f t="shared" ref="AA86:AA88" si="299">IFERROR(IF(G86="Undefined","",IF(G86="under",Y86/Z86,IF(G86="over",Z86/Y86,"err"))),0)</f>
        <v>1.1720772754431388</v>
      </c>
      <c r="AB86" s="295" t="str">
        <f>IF(F84&lt;$R$2,"TBC",IF(Y86=Z86,"Same −",IF($G86="Over",IF(Z86&lt;Y86,"Better ↑ ","Worse ↓ "),IF($G86="Under",IF(Y86&gt;Z86,"Better ↑ ","Worse ↓ "),"err"))))</f>
        <v xml:space="preserve">Worse ↓ </v>
      </c>
      <c r="AC86" s="69" t="str">
        <f>IF(AND(G86="above adero",AD86&gt;0),"R",IF(AF86&gt;1,"G",IF(AF86&gt;0.95,"A","R")))</f>
        <v>G</v>
      </c>
      <c r="AD86" s="114">
        <f>_xlfn.XLOOKUP(AD$7,$JR$7:$LR$7,$JR86:$LR86,FALSE)</f>
        <v>782.32142857142856</v>
      </c>
      <c r="AE86" s="114">
        <f>_xlfn.XLOOKUP(AE$7,$LY$7:$NY$7,$LY86:$NY86,FALSE)</f>
        <v>1014.2857142857143</v>
      </c>
      <c r="AF86" s="252">
        <f t="shared" si="296"/>
        <v>1.2965076466560146</v>
      </c>
      <c r="AH86" s="465" t="str">
        <f>+$A86</f>
        <v>Quality Maybole-KPI D1</v>
      </c>
      <c r="AI86" s="136" t="str">
        <f t="shared" si="297"/>
        <v>KPI D1</v>
      </c>
      <c r="AJ86" s="144" t="str">
        <f t="shared" si="297"/>
        <v>Delivery</v>
      </c>
      <c r="AK86" s="144" t="str">
        <f t="shared" si="282"/>
        <v>Quality - Internal Rework orders raised  (Maybole only)</v>
      </c>
      <c r="AL86" s="145" t="str">
        <f t="shared" si="282"/>
        <v>£'s</v>
      </c>
      <c r="AM86" s="69" t="str">
        <f>IF(AM$7&gt;$D$3,"",_xlfn.XLOOKUP(AM$7,'Quality MB'!$M$6:$BM$6,'Quality MB'!$M$13:$BM$13))</f>
        <v>Blank</v>
      </c>
      <c r="AN86" s="199" t="str">
        <f>IF(AN$7&gt;$D$3,"",_xlfn.XLOOKUP(AN$7,'Quality MB'!$M$6:$BM$6,'Quality MB'!$M$13:$BM$13))</f>
        <v>TBC</v>
      </c>
      <c r="AO86" s="69" t="str">
        <f>IF(AO$7&gt;$D$3,"",_xlfn.XLOOKUP(AO$7,'Quality MB'!$M$6:$BM$6,'Quality MB'!$M$13:$BM$13))</f>
        <v>TBC</v>
      </c>
      <c r="AP86" s="69" t="str">
        <f>IF(AP$7&gt;$D$3,"",_xlfn.XLOOKUP(AP$7,'Quality MB'!$M$6:$BM$6,'Quality MB'!$M$13:$BM$13))</f>
        <v>TBC</v>
      </c>
      <c r="AQ86" s="69" t="str">
        <f>IF(AQ$7&gt;$D$3,"",_xlfn.XLOOKUP(AQ$7,'Quality MB'!$M$6:$BM$6,'Quality MB'!$M$13:$BM$13))</f>
        <v>TBC</v>
      </c>
      <c r="AR86" s="69" t="str">
        <f>IF(AR$7&gt;$D$3,"",_xlfn.XLOOKUP(AR$7,'Quality MB'!$M$6:$BM$6,'Quality MB'!$M$13:$BM$13))</f>
        <v>TBC</v>
      </c>
      <c r="AS86" s="69" t="str">
        <f>IF(AS$7&gt;$D$3,"",_xlfn.XLOOKUP(AS$7,'Quality MB'!$M$6:$BM$6,'Quality MB'!$M$13:$BM$13))</f>
        <v>TBC</v>
      </c>
      <c r="AT86" s="69" t="str">
        <f>IF(AT$7&gt;$D$3,"",_xlfn.XLOOKUP(AT$7,'Quality MB'!$M$6:$BM$6,'Quality MB'!$M$13:$BM$13))</f>
        <v>TBC</v>
      </c>
      <c r="AU86" s="69" t="str">
        <f>IF(AU$7&gt;$D$3,"",_xlfn.XLOOKUP(AU$7,'Quality MB'!$M$6:$BM$6,'Quality MB'!$M$13:$BM$13))</f>
        <v>TBC</v>
      </c>
      <c r="AV86" s="69" t="str">
        <f>IF(AV$7&gt;$D$3,"",_xlfn.XLOOKUP(AV$7,'Quality MB'!$M$6:$BM$6,'Quality MB'!$M$13:$BM$13))</f>
        <v>TBC</v>
      </c>
      <c r="AW86" s="69" t="str">
        <f>IF(AW$7&gt;$D$3,"",_xlfn.XLOOKUP(AW$7,'Quality MB'!$M$6:$BM$6,'Quality MB'!$M$13:$BM$13))</f>
        <v>TBC</v>
      </c>
      <c r="AX86" s="69" t="str">
        <f>IF(AX$7&gt;$D$3,"",_xlfn.XLOOKUP(AX$7,'Quality MB'!$M$6:$BM$6,'Quality MB'!$M$13:$BM$13))</f>
        <v>TBC</v>
      </c>
      <c r="AY86" s="69" t="str">
        <f>IF(AY$7&gt;$D$3,"",_xlfn.XLOOKUP(AY$7,'Quality MB'!$M$6:$BM$6,'Quality MB'!$M$13:$BM$13))</f>
        <v>TBC</v>
      </c>
      <c r="AZ86" s="69" t="str">
        <f>IF(AZ$7&gt;$D$3,"",_xlfn.XLOOKUP(AZ$7,'Quality MB'!$M$6:$BM$6,'Quality MB'!$M$13:$BM$13))</f>
        <v>G</v>
      </c>
      <c r="BA86" s="69" t="str">
        <f>IF(BA$7&gt;$D$3,"",_xlfn.XLOOKUP(BA$7,'Quality MB'!$M$6:$BM$6,'Quality MB'!$M$13:$BM$13))</f>
        <v>G</v>
      </c>
      <c r="BB86" s="69" t="str">
        <f>IF(BB$7&gt;$D$3,"",_xlfn.XLOOKUP(BB$7,'Quality MB'!$M$6:$BM$6,'Quality MB'!$M$13:$BM$13))</f>
        <v>G</v>
      </c>
      <c r="BC86" s="69" t="str">
        <f>IF(BC$7&gt;$D$3,"",_xlfn.XLOOKUP(BC$7,'Quality MB'!$M$6:$BM$6,'Quality MB'!$M$13:$BM$13))</f>
        <v>G</v>
      </c>
      <c r="BD86" s="69" t="str">
        <f>IF(BD$7&gt;$D$3,"",_xlfn.XLOOKUP(BD$7,'Quality MB'!$M$6:$BM$6,'Quality MB'!$M$13:$BM$13))</f>
        <v>R</v>
      </c>
      <c r="BE86" s="69" t="str">
        <f>IF(BE$7&gt;$D$3,"",_xlfn.XLOOKUP(BE$7,'Quality MB'!$M$6:$BM$6,'Quality MB'!$M$13:$BM$13))</f>
        <v>R</v>
      </c>
      <c r="BF86" s="69" t="str">
        <f>IF(BF$7&gt;$D$3,"",_xlfn.XLOOKUP(BF$7,'Quality MB'!$M$6:$BM$6,'Quality MB'!$M$13:$BM$13))</f>
        <v>G</v>
      </c>
      <c r="BG86" s="69" t="str">
        <f>IF(BG$7&gt;$D$3,"",_xlfn.XLOOKUP(BG$7,'Quality MB'!$M$6:$BM$6,'Quality MB'!$M$13:$BM$13))</f>
        <v>G</v>
      </c>
      <c r="BH86" s="69" t="str">
        <f>IF(BH$7&gt;$D$3,"",_xlfn.XLOOKUP(BH$7,'Quality MB'!$M$6:$BM$6,'Quality MB'!$M$13:$BM$13))</f>
        <v>R</v>
      </c>
      <c r="BI86" s="69" t="str">
        <f>IF(BI$7&gt;$D$3,"",_xlfn.XLOOKUP(BI$7,'Quality MB'!$M$6:$BM$6,'Quality MB'!$M$13:$BM$13))</f>
        <v>G</v>
      </c>
      <c r="BJ86" s="69" t="str">
        <f>IF(BJ$7&gt;$D$3,"",_xlfn.XLOOKUP(BJ$7,'Quality MB'!$M$6:$BM$6,'Quality MB'!$M$13:$BM$13))</f>
        <v>G</v>
      </c>
      <c r="BK86" s="69" t="str">
        <f>IF(BK$7&gt;$D$3,"",_xlfn.XLOOKUP(BK$7,'Quality MB'!$M$6:$BM$6,'Quality MB'!$M$13:$BM$13))</f>
        <v>G</v>
      </c>
      <c r="BL86" s="69" t="str">
        <f>IF(BL$7&gt;$D$3,"",_xlfn.XLOOKUP(BL$7,'Quality MB'!$M$6:$BM$6,'Quality MB'!$M$13:$BM$13))</f>
        <v>R</v>
      </c>
      <c r="BM86" s="69" t="str">
        <f>IF(BM$7&gt;$D$3,"",_xlfn.XLOOKUP(BM$7,'Quality MB'!$M$6:$BM$6,'Quality MB'!$M$13:$BM$13))</f>
        <v>G</v>
      </c>
      <c r="BN86" s="69" t="str">
        <f>IF(BN$7&gt;$D$3,"",_xlfn.XLOOKUP(BN$7,'Quality MB'!$M$6:$BM$6,'Quality MB'!$M$13:$BM$13))</f>
        <v>G</v>
      </c>
      <c r="BO86" s="69" t="str">
        <f>IF(BO$7&gt;$D$3,"",_xlfn.XLOOKUP(BO$7,'Quality MB'!$M$6:$BM$6,'Quality MB'!$M$13:$BM$13))</f>
        <v>R</v>
      </c>
      <c r="BP86" s="69" t="str">
        <f>IF(BP$7&gt;$D$3,"",_xlfn.XLOOKUP(BP$7,'Quality MB'!$M$6:$BM$6,'Quality MB'!$M$13:$BM$13))</f>
        <v>R</v>
      </c>
      <c r="BQ86" s="69" t="str">
        <f>IF(BQ$7&gt;$D$3,"",_xlfn.XLOOKUP(BQ$7,'Quality MB'!$M$6:$BM$6,'Quality MB'!$M$13:$BM$13))</f>
        <v>R</v>
      </c>
      <c r="BR86" s="69" t="str">
        <f>IF(BR$7&gt;$D$3,"",_xlfn.XLOOKUP(BR$7,'Quality MB'!$M$6:$BM$6,'Quality MB'!$M$13:$BM$13))</f>
        <v>G</v>
      </c>
      <c r="BS86" s="69" t="str">
        <f>IF(BS$7&gt;$D$3,"",_xlfn.XLOOKUP(BS$7,'Quality MB'!$M$6:$BM$6,'Quality MB'!$M$13:$BM$13))</f>
        <v>G</v>
      </c>
      <c r="BT86" s="69" t="str">
        <f>IF(BT$7&gt;$D$3,"",_xlfn.XLOOKUP(BT$7,'Quality MB'!$M$6:$BM$6,'Quality MB'!$M$13:$BM$13))</f>
        <v>G</v>
      </c>
      <c r="BU86" s="69" t="str">
        <f>IF(BU$7&gt;$D$3,"",_xlfn.XLOOKUP(BU$7,'Quality MB'!$M$6:$BM$6,'Quality MB'!$M$13:$BM$13))</f>
        <v>G</v>
      </c>
      <c r="BV86" s="69" t="str">
        <f>IF(BV$7&gt;$D$3,"",_xlfn.XLOOKUP(BV$7,'Quality MB'!$M$6:$BM$6,'Quality MB'!$M$13:$BM$13))</f>
        <v>G</v>
      </c>
      <c r="BW86" s="69" t="str">
        <f>IF(BW$7&gt;$D$3,"",_xlfn.XLOOKUP(BW$7,'Quality MB'!$M$6:$BM$6,'Quality MB'!$M$13:$BM$13))</f>
        <v>G</v>
      </c>
      <c r="BX86" s="69" t="str">
        <f>IF(BX$7&gt;$D$3,"",_xlfn.XLOOKUP(BX$7,'Quality MB'!$M$6:$BM$6,'Quality MB'!$M$13:$BM$13))</f>
        <v>G</v>
      </c>
      <c r="BY86" s="69" t="str">
        <f>IF(BY$7&gt;$D$3,"",_xlfn.XLOOKUP(BY$7,'Quality MB'!$M$6:$BM$6,'Quality MB'!$M$13:$BM$13))</f>
        <v>G</v>
      </c>
      <c r="BZ86" s="69" t="str">
        <f>IF(BZ$7&gt;$D$3,"",_xlfn.XLOOKUP(BZ$7,'Quality MB'!$M$6:$BM$6,'Quality MB'!$M$13:$BM$13))</f>
        <v>G</v>
      </c>
      <c r="CA86" s="69" t="str">
        <f>IF(CA$7&gt;$D$3,"",_xlfn.XLOOKUP(CA$7,'Quality MB'!$M$6:$BM$6,'Quality MB'!$M$13:$BM$13))</f>
        <v>G</v>
      </c>
      <c r="CB86" s="69" t="str">
        <f>IF(CB$7&gt;$D$3,"",_xlfn.XLOOKUP(CB$7,'Quality MB'!$M$6:$BM$6,'Quality MB'!$M$13:$BM$13))</f>
        <v>R</v>
      </c>
      <c r="CC86" s="69" t="str">
        <f>IF(CC$7&gt;$D$3,"",_xlfn.XLOOKUP(CC$7,'Quality MB'!$M$6:$BM$6,'Quality MB'!$M$13:$BM$13))</f>
        <v/>
      </c>
      <c r="CD86" s="69" t="str">
        <f>IF(CD$7&gt;$D$3,"",_xlfn.XLOOKUP(CD$7,'Quality MB'!$M$6:$BM$6,'Quality MB'!$M$13:$BM$13))</f>
        <v/>
      </c>
      <c r="CE86" s="69" t="str">
        <f>IF(CE$7&gt;$D$3,"",_xlfn.XLOOKUP(CE$7,'Quality MB'!$M$6:$BM$6,'Quality MB'!$M$13:$BM$13))</f>
        <v/>
      </c>
      <c r="CF86" s="69" t="str">
        <f>IF(CF$7&gt;$D$3,"",_xlfn.XLOOKUP(CF$7,'Quality MB'!$M$6:$BM$6,'Quality MB'!$M$13:$BM$13))</f>
        <v/>
      </c>
      <c r="CG86" s="69" t="str">
        <f>IF(CG$7&gt;$D$3,"",_xlfn.XLOOKUP(CG$7,'Quality MB'!$M$6:$BM$6,'Quality MB'!$M$13:$BM$13))</f>
        <v/>
      </c>
      <c r="CH86" s="69" t="str">
        <f>IF(CH$7&gt;$D$3,"",_xlfn.XLOOKUP(CH$7,'Quality MB'!$M$6:$BM$6,'Quality MB'!$M$13:$BM$13))</f>
        <v/>
      </c>
      <c r="CI86" s="69" t="str">
        <f>IF(CI$7&gt;$D$3,"",_xlfn.XLOOKUP(CI$7,'Quality MB'!$M$6:$BM$6,'Quality MB'!$M$13:$BM$13))</f>
        <v/>
      </c>
      <c r="CJ86" s="69" t="str">
        <f>IF(CJ$7&gt;$D$3,"",_xlfn.XLOOKUP(CJ$7,'Quality MB'!$M$6:$BM$6,'Quality MB'!$M$13:$BM$13))</f>
        <v/>
      </c>
      <c r="CK86" s="69" t="str">
        <f>IF(CK$7&gt;$D$3,"",_xlfn.XLOOKUP(CK$7,'Quality MB'!$M$6:$BM$6,'Quality MB'!$M$13:$BM$13))</f>
        <v/>
      </c>
      <c r="CL86" s="69" t="str">
        <f>IF(CL$7&gt;$D$3,"",_xlfn.XLOOKUP(CL$7,'Quality MB'!$M$6:$BM$6,'Quality MB'!$M$13:$BM$13))</f>
        <v/>
      </c>
      <c r="CM86" s="69" t="str">
        <f>IF(CM$7&gt;$D$3,"",_xlfn.XLOOKUP(CM$7,'Quality MB'!$M$6:$BM$6,'Quality MB'!$M$13:$BM$13))</f>
        <v/>
      </c>
      <c r="CO86" s="465" t="str">
        <f>+$A86</f>
        <v>Quality Maybole-KPI D1</v>
      </c>
      <c r="CP86" s="136" t="str">
        <f t="shared" si="298"/>
        <v>KPI D1</v>
      </c>
      <c r="CQ86" s="144" t="str">
        <f t="shared" si="298"/>
        <v>Delivery</v>
      </c>
      <c r="CR86" s="144" t="str">
        <f t="shared" si="284"/>
        <v>Quality - Internal Rework orders raised  (Maybole only)</v>
      </c>
      <c r="CS86" s="145" t="str">
        <f t="shared" si="284"/>
        <v>£'s</v>
      </c>
      <c r="CT86" s="207" t="s">
        <v>246</v>
      </c>
      <c r="CU86" s="423" t="str">
        <f>IF(CU$7&gt;$D$3,"",_xlfn.XLOOKUP(CU$7,'Quality MB'!$M$6:$BM$6,'Quality MB'!$M$13:$BM$13))</f>
        <v>Blank</v>
      </c>
      <c r="CV86" s="323" t="str">
        <f>IFERROR(IF(CV$7&gt;$D$3,"",IF(AN86="Undefined","Undefined",IF(AN86="Missed","Missed",IF(AN86="OD","OD",IF(AN86="TBC","TBC",IF(AN85="OD","OD",_xlfn.XLOOKUP(CV$7,'Quality MB'!$M$6:$BM$6,'Quality MB'!$M$11:$BM$11)/_xlfn.XLOOKUP(CV$7,'Quality MB'!$M$6:$BM$6,'Quality MB'!$M$12:$BM$12))))))),"")</f>
        <v>TBC</v>
      </c>
      <c r="CW86" s="315" t="str">
        <f>IFERROR(IF(CW$7&gt;$D$3,"",IF(AO86="Undefined","Undefined",IF(AO86="Missed","Missed",IF(AO86="OD","OD",IF(AO86="TBC","TBC",IF(AO85="OD","OD",_xlfn.XLOOKUP(CW$7,'Quality MB'!$M$6:$BM$6,'Quality MB'!$M$11:$BM$11)/_xlfn.XLOOKUP(CW$7,'Quality MB'!$M$6:$BM$6,'Quality MB'!$M$12:$BM$12))))))),"")</f>
        <v>TBC</v>
      </c>
      <c r="CX86" s="315" t="str">
        <f>IFERROR(IF(CX$7&gt;$D$3,"",IF(AP86="Undefined","Undefined",IF(AP86="Missed","Missed",IF(AP86="OD","OD",IF(AP86="TBC","TBC",IF(AP85="OD","OD",_xlfn.XLOOKUP(CX$7,'Quality MB'!$M$6:$BM$6,'Quality MB'!$M$11:$BM$11)/_xlfn.XLOOKUP(CX$7,'Quality MB'!$M$6:$BM$6,'Quality MB'!$M$12:$BM$12))))))),"")</f>
        <v>TBC</v>
      </c>
      <c r="CY86" s="315" t="str">
        <f>IFERROR(IF(CY$7&gt;$D$3,"",IF(AQ86="Undefined","Undefined",IF(AQ86="Missed","Missed",IF(AQ86="OD","OD",IF(AQ86="TBC","TBC",IF(AQ85="OD","OD",_xlfn.XLOOKUP(CY$7,'Quality MB'!$M$6:$BM$6,'Quality MB'!$M$11:$BM$11)/_xlfn.XLOOKUP(CY$7,'Quality MB'!$M$6:$BM$6,'Quality MB'!$M$12:$BM$12))))))),"")</f>
        <v>TBC</v>
      </c>
      <c r="CZ86" s="315" t="str">
        <f>IFERROR(IF(CZ$7&gt;$D$3,"",IF(AR86="Undefined","Undefined",IF(AR86="Missed","Missed",IF(AR86="OD","OD",IF(AR86="TBC","TBC",IF(AR85="OD","OD",_xlfn.XLOOKUP(CZ$7,'Quality MB'!$M$6:$BM$6,'Quality MB'!$M$11:$BM$11)/_xlfn.XLOOKUP(CZ$7,'Quality MB'!$M$6:$BM$6,'Quality MB'!$M$12:$BM$12))))))),"")</f>
        <v>TBC</v>
      </c>
      <c r="DA86" s="315" t="str">
        <f>IFERROR(IF(DA$7&gt;$D$3,"",IF(AS86="Undefined","Undefined",IF(AS86="Missed","Missed",IF(AS86="OD","OD",IF(AS86="TBC","TBC",IF(AS85="OD","OD",_xlfn.XLOOKUP(DA$7,'Quality MB'!$M$6:$BM$6,'Quality MB'!$M$11:$BM$11)/_xlfn.XLOOKUP(DA$7,'Quality MB'!$M$6:$BM$6,'Quality MB'!$M$12:$BM$12))))))),"")</f>
        <v>TBC</v>
      </c>
      <c r="DB86" s="315" t="str">
        <f>IFERROR(IF(DB$7&gt;$D$3,"",IF(AT86="Undefined","Undefined",IF(AT86="Missed","Missed",IF(AT86="OD","OD",IF(AT86="TBC","TBC",IF(AT85="OD","OD",_xlfn.XLOOKUP(DB$7,'Quality MB'!$M$6:$BM$6,'Quality MB'!$M$11:$BM$11)/_xlfn.XLOOKUP(DB$7,'Quality MB'!$M$6:$BM$6,'Quality MB'!$M$12:$BM$12))))))),"")</f>
        <v>TBC</v>
      </c>
      <c r="DC86" s="315" t="str">
        <f>IFERROR(IF(DC$7&gt;$D$3,"",IF(AU86="Undefined","Undefined",IF(AU86="Missed","Missed",IF(AU86="OD","OD",IF(AU86="TBC","TBC",IF(AU85="OD","OD",_xlfn.XLOOKUP(DC$7,'Quality MB'!$M$6:$BM$6,'Quality MB'!$M$11:$BM$11)/_xlfn.XLOOKUP(DC$7,'Quality MB'!$M$6:$BM$6,'Quality MB'!$M$12:$BM$12))))))),"")</f>
        <v>TBC</v>
      </c>
      <c r="DD86" s="315" t="str">
        <f>IFERROR(IF(DD$7&gt;$D$3,"",IF(AV86="Undefined","Undefined",IF(AV86="Missed","Missed",IF(AV86="OD","OD",IF(AV86="TBC","TBC",IF(AV85="OD","OD",_xlfn.XLOOKUP(DD$7,'Quality MB'!$M$6:$BM$6,'Quality MB'!$M$11:$BM$11)/_xlfn.XLOOKUP(DD$7,'Quality MB'!$M$6:$BM$6,'Quality MB'!$M$12:$BM$12))))))),"")</f>
        <v>TBC</v>
      </c>
      <c r="DE86" s="315" t="str">
        <f>IFERROR(IF(DE$7&gt;$D$3,"",IF(AW86="Undefined","Undefined",IF(AW86="Missed","Missed",IF(AW86="OD","OD",IF(AW86="TBC","TBC",IF(AW85="OD","OD",_xlfn.XLOOKUP(DE$7,'Quality MB'!$M$6:$BM$6,'Quality MB'!$M$11:$BM$11)/_xlfn.XLOOKUP(DE$7,'Quality MB'!$M$6:$BM$6,'Quality MB'!$M$12:$BM$12))))))),"")</f>
        <v>TBC</v>
      </c>
      <c r="DF86" s="315" t="str">
        <f>IFERROR(IF(DF$7&gt;$D$3,"",IF(AX86="Undefined","Undefined",IF(AX86="Missed","Missed",IF(AX86="OD","OD",IF(AX86="TBC","TBC",IF(AX85="OD","OD",_xlfn.XLOOKUP(DF$7,'Quality MB'!$M$6:$BM$6,'Quality MB'!$M$11:$BM$11)/_xlfn.XLOOKUP(DF$7,'Quality MB'!$M$6:$BM$6,'Quality MB'!$M$12:$BM$12))))))),"")</f>
        <v>TBC</v>
      </c>
      <c r="DG86" s="315" t="str">
        <f>IFERROR(IF(DG$7&gt;$D$3,"",IF(AY86="Undefined","Undefined",IF(AY86="Missed","Missed",IF(AY86="OD","OD",IF(AY86="TBC","TBC",IF(AY85="OD","OD",_xlfn.XLOOKUP(DG$7,'Quality MB'!$M$6:$BM$6,'Quality MB'!$M$11:$BM$11)/_xlfn.XLOOKUP(DG$7,'Quality MB'!$M$6:$BM$6,'Quality MB'!$M$12:$BM$12))))))),"")</f>
        <v>TBC</v>
      </c>
      <c r="DH86" s="315">
        <f>IFERROR(IF(DH$7&gt;$D$3,"",IF(AZ86="Undefined","Undefined",IF(AZ86="Missed","Missed",IF(AZ86="OD","OD",IF(AZ86="TBC","TBC",IF(AZ85="OD","OD",_xlfn.XLOOKUP(DH$7,'Quality MB'!$M$6:$BM$6,'Quality MB'!$M$11:$BM$11)/_xlfn.XLOOKUP(DH$7,'Quality MB'!$M$6:$BM$6,'Quality MB'!$M$12:$BM$12))))))),"")</f>
        <v>1.9</v>
      </c>
      <c r="DI86" s="315">
        <f>IFERROR(IF(DI$7&gt;$D$3,"",IF(BA86="Undefined","Undefined",IF(BA86="Missed","Missed",IF(BA86="OD","OD",IF(BA86="TBC","TBC",IF(BA85="OD","OD",_xlfn.XLOOKUP(DI$7,'Quality MB'!$M$6:$BM$6,'Quality MB'!$M$11:$BM$11)/_xlfn.XLOOKUP(DI$7,'Quality MB'!$M$6:$BM$6,'Quality MB'!$M$12:$BM$12))))))),"")</f>
        <v>2.4739583333333335</v>
      </c>
      <c r="DJ86" s="315">
        <f>IFERROR(IF(DJ$7&gt;$D$3,"",IF(BB86="Undefined","Undefined",IF(BB86="Missed","Missed",IF(BB86="OD","OD",IF(BB86="TBC","TBC",IF(BB85="OD","OD",_xlfn.XLOOKUP(DJ$7,'Quality MB'!$M$6:$BM$6,'Quality MB'!$M$11:$BM$11)/_xlfn.XLOOKUP(DJ$7,'Quality MB'!$M$6:$BM$6,'Quality MB'!$M$12:$BM$12))))))),"")</f>
        <v>1.7272727272727273</v>
      </c>
      <c r="DK86" s="315">
        <f>IFERROR(IF(DK$7&gt;$D$3,"",IF(BC86="Undefined","Undefined",IF(BC86="Missed","Missed",IF(BC86="OD","OD",IF(BC86="TBC","TBC",IF(BC85="OD","OD",_xlfn.XLOOKUP(DK$7,'Quality MB'!$M$6:$BM$6,'Quality MB'!$M$11:$BM$11)/_xlfn.XLOOKUP(DK$7,'Quality MB'!$M$6:$BM$6,'Quality MB'!$M$12:$BM$12))))))),"")</f>
        <v>2.1111111111111112</v>
      </c>
      <c r="DL86" s="315">
        <f>IFERROR(IF(DL$7&gt;$D$3,"",IF(BD86="Undefined","Undefined",IF(BD86="Missed","Missed",IF(BD86="OD","OD",IF(BD86="TBC","TBC",IF(BD85="OD","OD",_xlfn.XLOOKUP(DL$7,'Quality MB'!$M$6:$BM$6,'Quality MB'!$M$11:$BM$11)/_xlfn.XLOOKUP(DL$7,'Quality MB'!$M$6:$BM$6,'Quality MB'!$M$12:$BM$12))))))),"")</f>
        <v>0.7321428571428571</v>
      </c>
      <c r="DM86" s="315">
        <f>IFERROR(IF(DM$7&gt;$D$3,"",IF(BE86="Undefined","Undefined",IF(BE86="Missed","Missed",IF(BE86="OD","OD",IF(BE86="TBC","TBC",IF(BE85="OD","OD",_xlfn.XLOOKUP(DM$7,'Quality MB'!$M$6:$BM$6,'Quality MB'!$M$11:$BM$11)/_xlfn.XLOOKUP(DM$7,'Quality MB'!$M$6:$BM$6,'Quality MB'!$M$12:$BM$12))))))),"")</f>
        <v>0.89130434782608692</v>
      </c>
      <c r="DN86" s="315">
        <f>IFERROR(IF(DN$7&gt;$D$3,"",IF(BF86="Undefined","Undefined",IF(BF86="Missed","Missed",IF(BF86="OD","OD",IF(BF86="TBC","TBC",IF(BF85="OD","OD",_xlfn.XLOOKUP(DN$7,'Quality MB'!$M$6:$BM$6,'Quality MB'!$M$11:$BM$11)/_xlfn.XLOOKUP(DN$7,'Quality MB'!$M$6:$BM$6,'Quality MB'!$M$12:$BM$12))))))),"")</f>
        <v>3.8679245283018866</v>
      </c>
      <c r="DO86" s="315">
        <f>IFERROR(IF(DO$7&gt;$D$3,"",IF(BG86="Undefined","Undefined",IF(BG86="Missed","Missed",IF(BG86="OD","OD",IF(BG86="TBC","TBC",IF(BG85="OD","OD",_xlfn.XLOOKUP(DO$7,'Quality MB'!$M$6:$BM$6,'Quality MB'!$M$11:$BM$11)/_xlfn.XLOOKUP(DO$7,'Quality MB'!$M$6:$BM$6,'Quality MB'!$M$12:$BM$12))))))),"")</f>
        <v>2.9710144927536231</v>
      </c>
      <c r="DP86" s="315">
        <f>IFERROR(IF(DP$7&gt;$D$3,"",IF(BH86="Undefined","Undefined",IF(BH86="Missed","Missed",IF(BH86="OD","OD",IF(BH86="TBC","TBC",IF(BH85="OD","OD",_xlfn.XLOOKUP(DP$7,'Quality MB'!$M$6:$BM$6,'Quality MB'!$M$11:$BM$11)/_xlfn.XLOOKUP(DP$7,'Quality MB'!$M$6:$BM$6,'Quality MB'!$M$12:$BM$12))))))),"")</f>
        <v>0.53947368421052633</v>
      </c>
      <c r="DQ86" s="315">
        <f>IFERROR(IF(DQ$7&gt;$D$3,"",IF(BI86="Undefined","Undefined",IF(BI86="Missed","Missed",IF(BI86="OD","OD",IF(BI86="TBC","TBC",IF(BI85="OD","OD",_xlfn.XLOOKUP(DQ$7,'Quality MB'!$M$6:$BM$6,'Quality MB'!$M$11:$BM$11)/_xlfn.XLOOKUP(DQ$7,'Quality MB'!$M$6:$BM$6,'Quality MB'!$M$12:$BM$12))))))),"")</f>
        <v>1.2058823529411764</v>
      </c>
      <c r="DR86" s="315">
        <f>IFERROR(IF(DR$7&gt;$D$3,"",IF(BJ86="Undefined","Undefined",IF(BJ86="Missed","Missed",IF(BJ86="OD","OD",IF(BJ86="TBC","TBC",IF(BJ85="OD","OD",_xlfn.XLOOKUP(DR$7,'Quality MB'!$M$6:$BM$6,'Quality MB'!$M$11:$BM$11)/_xlfn.XLOOKUP(DR$7,'Quality MB'!$M$6:$BM$6,'Quality MB'!$M$12:$BM$12))))))),"")</f>
        <v>1.5073529411764706</v>
      </c>
      <c r="DS86" s="315">
        <f>IFERROR(IF(DS$7&gt;$D$3,"",IF(BK86="Undefined","Undefined",IF(BK86="Missed","Missed",IF(BK86="OD","OD",IF(BK86="TBC","TBC",IF(BK85="OD","OD",_xlfn.XLOOKUP(DS$7,'Quality MB'!$M$6:$BM$6,'Quality MB'!$M$11:$BM$11)/_xlfn.XLOOKUP(DS$7,'Quality MB'!$M$6:$BM$6,'Quality MB'!$M$12:$BM$12))))))),"")</f>
        <v>2.3295454545454546</v>
      </c>
      <c r="DT86" s="315">
        <f>IFERROR(IF(DT$7&gt;$D$3,"",IF(BL86="Undefined","Undefined",IF(BL86="Missed","Missed",IF(BL86="OD","OD",IF(BL86="TBC","TBC",IF(BL85="OD","OD",_xlfn.XLOOKUP(DT$7,'Quality MB'!$M$6:$BM$6,'Quality MB'!$M$11:$BM$11)/_xlfn.XLOOKUP(DT$7,'Quality MB'!$M$6:$BM$6,'Quality MB'!$M$12:$BM$12))))))),"")</f>
        <v>0.66129032258064513</v>
      </c>
      <c r="DU86" s="315">
        <f>IFERROR(IF(DU$7&gt;$D$3,"",IF(BM86="Undefined","Undefined",IF(BM86="Missed","Missed",IF(BM86="OD","OD",IF(BM86="TBC","TBC",IF(BM85="OD","OD",_xlfn.XLOOKUP(DU$7,'Quality MB'!$M$6:$BM$6,'Quality MB'!$M$11:$BM$11)/_xlfn.XLOOKUP(DU$7,'Quality MB'!$M$6:$BM$6,'Quality MB'!$M$12:$BM$12))))))),"")</f>
        <v>1.191860465116279</v>
      </c>
      <c r="DV86" s="315">
        <f>IFERROR(IF(DV$7&gt;$D$3,"",IF(BN86="Undefined","Undefined",IF(BN86="Missed","Missed",IF(BN86="OD","OD",IF(BN86="TBC","TBC",IF(BN85="OD","OD",_xlfn.XLOOKUP(DV$7,'Quality MB'!$M$6:$BM$6,'Quality MB'!$M$11:$BM$11)/_xlfn.XLOOKUP(DV$7,'Quality MB'!$M$6:$BM$6,'Quality MB'!$M$12:$BM$12))))))),"")</f>
        <v>4.6590909090909092</v>
      </c>
      <c r="DW86" s="315">
        <f>IFERROR(IF(DW$7&gt;$D$3,"",IF(BO86="Undefined","Undefined",IF(BO86="Missed","Missed",IF(BO86="OD","OD",IF(BO86="TBC","TBC",IF(BO85="OD","OD",_xlfn.XLOOKUP(DW$7,'Quality MB'!$M$6:$BM$6,'Quality MB'!$M$11:$BM$11)/_xlfn.XLOOKUP(DW$7,'Quality MB'!$M$6:$BM$6,'Quality MB'!$M$12:$BM$12))))))),"")</f>
        <v>0.29710144927536231</v>
      </c>
      <c r="DX86" s="315">
        <f>IFERROR(IF(DX$7&gt;$D$3,"",IF(BP86="Undefined","Undefined",IF(BP86="Missed","Missed",IF(BP86="OD","OD",IF(BP86="TBC","TBC",IF(BP85="OD","OD",_xlfn.XLOOKUP(DX$7,'Quality MB'!$M$6:$BM$6,'Quality MB'!$M$11:$BM$11)/_xlfn.XLOOKUP(DX$7,'Quality MB'!$M$6:$BM$6,'Quality MB'!$M$12:$BM$12))))))),"")</f>
        <v>0.58571428571428574</v>
      </c>
      <c r="DY86" s="315">
        <f>IFERROR(IF(DY$7&gt;$D$3,"",IF(BQ86="Undefined","Undefined",IF(BQ86="Missed","Missed",IF(BQ86="OD","OD",IF(BQ86="TBC","TBC",IF(BQ85="OD","OD",_xlfn.XLOOKUP(DY$7,'Quality MB'!$M$6:$BM$6,'Quality MB'!$M$11:$BM$11)/_xlfn.XLOOKUP(DY$7,'Quality MB'!$M$6:$BM$6,'Quality MB'!$M$12:$BM$12))))))),"")</f>
        <v>0.56010928961748629</v>
      </c>
      <c r="DZ86" s="315">
        <f>IFERROR(IF(DZ$7&gt;$D$3,"",IF(BR86="Undefined","Undefined",IF(BR86="Missed","Missed",IF(BR86="OD","OD",IF(BR86="TBC","TBC",IF(BR85="OD","OD",_xlfn.XLOOKUP(DZ$7,'Quality MB'!$M$6:$BM$6,'Quality MB'!$M$11:$BM$11)/_xlfn.XLOOKUP(DZ$7,'Quality MB'!$M$6:$BM$6,'Quality MB'!$M$12:$BM$12))))))),"")</f>
        <v>1.7226890756302522</v>
      </c>
      <c r="EA86" s="315">
        <f>IFERROR(IF(EA$7&gt;$D$3,"",IF(BS86="Undefined","Undefined",IF(BS86="Missed","Missed",IF(BS86="OD","OD",IF(BS86="TBC","TBC",IF(BS85="OD","OD",_xlfn.XLOOKUP(EA$7,'Quality MB'!$M$6:$BM$6,'Quality MB'!$M$11:$BM$11)/_xlfn.XLOOKUP(EA$7,'Quality MB'!$M$6:$BM$6,'Quality MB'!$M$12:$BM$12))))))),"")</f>
        <v>1.6015625</v>
      </c>
      <c r="EB86" s="315">
        <f>IFERROR(IF(EB$7&gt;$D$3,"",IF(BT86="Undefined","Undefined",IF(BT86="Missed","Missed",IF(BT86="OD","OD",IF(BT86="TBC","TBC",IF(BT85="OD","OD",_xlfn.XLOOKUP(EB$7,'Quality MB'!$M$6:$BM$6,'Quality MB'!$M$11:$BM$11)/_xlfn.XLOOKUP(EB$7,'Quality MB'!$M$6:$BM$6,'Quality MB'!$M$12:$BM$12))))))),"")</f>
        <v>4.4565217391304346</v>
      </c>
      <c r="EC86" s="315">
        <f>IFERROR(IF(EC$7&gt;$D$3,"",IF(BU86="Undefined","Undefined",IF(BU86="Missed","Missed",IF(BU86="OD","OD",IF(BU86="TBC","TBC",IF(BU85="OD","OD",_xlfn.XLOOKUP(EC$7,'Quality MB'!$M$6:$BM$6,'Quality MB'!$M$11:$BM$11)/_xlfn.XLOOKUP(EC$7,'Quality MB'!$M$6:$BM$6,'Quality MB'!$M$12:$BM$12))))))),"")</f>
        <v>2.2282608695652173</v>
      </c>
      <c r="ED86" s="315">
        <f>IFERROR(IF(ED$7&gt;$D$3,"",IF(BV86="Undefined","Undefined",IF(BV86="Missed","Missed",IF(BV86="OD","OD",IF(BV86="TBC","TBC",IF(BV85="OD","OD",_xlfn.XLOOKUP(ED$7,'Quality MB'!$M$6:$BM$6,'Quality MB'!$M$11:$BM$11)/_xlfn.XLOOKUP(ED$7,'Quality MB'!$M$6:$BM$6,'Quality MB'!$M$12:$BM$12))))))),"")</f>
        <v>1.7551369863013699</v>
      </c>
      <c r="EE86" s="315">
        <f>IFERROR(IF(EE$7&gt;$D$3,"",IF(BW86="Undefined","Undefined",IF(BW86="Missed","Missed",IF(BW86="OD","OD",IF(BW86="TBC","TBC",IF(BW85="OD","OD",_xlfn.XLOOKUP(EE$7,'Quality MB'!$M$6:$BM$6,'Quality MB'!$M$11:$BM$11)/_xlfn.XLOOKUP(EE$7,'Quality MB'!$M$6:$BM$6,'Quality MB'!$M$12:$BM$12))))))),"")</f>
        <v>5.8571428571428568</v>
      </c>
      <c r="EF86" s="315">
        <f>IFERROR(IF(EF$7&gt;$D$3,"",IF(BX86="Undefined","Undefined",IF(BX86="Missed","Missed",IF(BX86="OD","OD",IF(BX86="TBC","TBC",IF(BX85="OD","OD",_xlfn.XLOOKUP(EF$7,'Quality MB'!$M$6:$BM$6,'Quality MB'!$M$11:$BM$11)/_xlfn.XLOOKUP(EF$7,'Quality MB'!$M$6:$BM$6,'Quality MB'!$M$12:$BM$12))))))),"")</f>
        <v>4.1836734693877551</v>
      </c>
      <c r="EG86" s="315">
        <f>IFERROR(IF(EG$7&gt;$D$3,"",IF(BY86="Undefined","Undefined",IF(BY86="Missed","Missed",IF(BY86="OD","OD",IF(BY86="TBC","TBC",IF(BY85="OD","OD",_xlfn.XLOOKUP(EG$7,'Quality MB'!$M$6:$BM$6,'Quality MB'!$M$11:$BM$11)/_xlfn.XLOOKUP(EG$7,'Quality MB'!$M$6:$BM$6,'Quality MB'!$M$12:$BM$12))))))),"")</f>
        <v>3.7962962962962963</v>
      </c>
      <c r="EH86" s="315">
        <f>IFERROR(IF(EH$7&gt;$D$3,"",IF(BZ86="Undefined","Undefined",IF(BZ86="Missed","Missed",IF(BZ86="OD","OD",IF(BZ86="TBC","TBC",IF(BZ85="OD","OD",_xlfn.XLOOKUP(EH$7,'Quality MB'!$M$6:$BM$6,'Quality MB'!$M$11:$BM$11)/_xlfn.XLOOKUP(EH$7,'Quality MB'!$M$6:$BM$6,'Quality MB'!$M$12:$BM$12))))))),"")</f>
        <v>7.7651515151515156</v>
      </c>
      <c r="EI86" s="315" t="str">
        <f>IFERROR(IF(EI$7&gt;$D$3,"",IF(CA86="Undefined","Undefined",IF(CA86="Missed","Missed",IF(CA86="OD","OD",IF(CA86="TBC","TBC",IF(CA85="OD","OD",_xlfn.XLOOKUP(EI$7,'Quality MB'!$M$6:$BM$6,'Quality MB'!$M$11:$BM$11)/_xlfn.XLOOKUP(EI$7,'Quality MB'!$M$6:$BM$6,'Quality MB'!$M$12:$BM$12))))))),"")</f>
        <v/>
      </c>
      <c r="EJ86" s="315">
        <f>IFERROR(IF(EJ$7&gt;$D$3,"",IF(CB86="Undefined","Undefined",IF(CB86="Missed","Missed",IF(CB86="OD","OD",IF(CB86="TBC","TBC",IF(CB85="OD","OD",_xlfn.XLOOKUP(EJ$7,'Quality MB'!$M$6:$BM$6,'Quality MB'!$M$11:$BM$11)/_xlfn.XLOOKUP(EJ$7,'Quality MB'!$M$6:$BM$6,'Quality MB'!$M$12:$BM$12))))))),"")</f>
        <v>0.3203125</v>
      </c>
      <c r="EK86" s="315" t="str">
        <f>IFERROR(IF(EK$7&gt;$D$3,"",IF(CC86="Undefined","Undefined",IF(CC86="Missed","Missed",IF(CC86="OD","OD",IF(CC86="TBC","TBC",IF(CC85="OD","OD",_xlfn.XLOOKUP(EK$7,'Quality MB'!$M$6:$BM$6,'Quality MB'!$M$11:$BM$11)/_xlfn.XLOOKUP(EK$7,'Quality MB'!$M$6:$BM$6,'Quality MB'!$M$12:$BM$12))))))),"")</f>
        <v/>
      </c>
      <c r="EL86" s="315" t="str">
        <f>IFERROR(IF(EL$7&gt;$D$3,"",IF(CD86="Undefined","Undefined",IF(CD86="Missed","Missed",IF(CD86="OD","OD",IF(CD86="TBC","TBC",IF(CD85="OD","OD",_xlfn.XLOOKUP(EL$7,'Quality MB'!$M$6:$BM$6,'Quality MB'!$M$11:$BM$11)/_xlfn.XLOOKUP(EL$7,'Quality MB'!$M$6:$BM$6,'Quality MB'!$M$12:$BM$12))))))),"")</f>
        <v/>
      </c>
      <c r="EM86" s="315" t="str">
        <f>IFERROR(IF(EM$7&gt;$D$3,"",IF(CE86="Undefined","Undefined",IF(CE86="Missed","Missed",IF(CE86="OD","OD",IF(CE86="TBC","TBC",IF(CE85="OD","OD",_xlfn.XLOOKUP(EM$7,'Quality MB'!$M$6:$BM$6,'Quality MB'!$M$11:$BM$11)/_xlfn.XLOOKUP(EM$7,'Quality MB'!$M$6:$BM$6,'Quality MB'!$M$12:$BM$12))))))),"")</f>
        <v/>
      </c>
      <c r="EN86" s="315" t="str">
        <f>IFERROR(IF(EN$7&gt;$D$3,"",IF(CF86="Undefined","Undefined",IF(CF86="Missed","Missed",IF(CF86="OD","OD",IF(CF86="TBC","TBC",IF(CF85="OD","OD",_xlfn.XLOOKUP(EN$7,'Quality MB'!$M$6:$BM$6,'Quality MB'!$M$11:$BM$11)/_xlfn.XLOOKUP(EN$7,'Quality MB'!$M$6:$BM$6,'Quality MB'!$M$12:$BM$12))))))),"")</f>
        <v/>
      </c>
      <c r="EO86" s="315" t="str">
        <f>IFERROR(IF(EO$7&gt;$D$3,"",IF(CG86="Undefined","Undefined",IF(CG86="Missed","Missed",IF(CG86="OD","OD",IF(CG86="TBC","TBC",IF(CG85="OD","OD",_xlfn.XLOOKUP(EO$7,'Quality MB'!$M$6:$BM$6,'Quality MB'!$M$11:$BM$11)/_xlfn.XLOOKUP(EO$7,'Quality MB'!$M$6:$BM$6,'Quality MB'!$M$12:$BM$12))))))),"")</f>
        <v/>
      </c>
      <c r="EP86" s="315" t="str">
        <f>IFERROR(IF(EP$7&gt;$D$3,"",IF(CH86="Undefined","Undefined",IF(CH86="Missed","Missed",IF(CH86="OD","OD",IF(CH86="TBC","TBC",IF(CH85="OD","OD",_xlfn.XLOOKUP(EP$7,'Quality MB'!$M$6:$BM$6,'Quality MB'!$M$11:$BM$11)/_xlfn.XLOOKUP(EP$7,'Quality MB'!$M$6:$BM$6,'Quality MB'!$M$12:$BM$12))))))),"")</f>
        <v/>
      </c>
      <c r="EQ86" s="315" t="str">
        <f>IFERROR(IF(EQ$7&gt;$D$3,"",IF(CI86="Undefined","Undefined",IF(CI86="Missed","Missed",IF(CI86="OD","OD",IF(CI86="TBC","TBC",IF(CI85="OD","OD",_xlfn.XLOOKUP(EQ$7,'Quality MB'!$M$6:$BM$6,'Quality MB'!$M$11:$BM$11)/_xlfn.XLOOKUP(EQ$7,'Quality MB'!$M$6:$BM$6,'Quality MB'!$M$12:$BM$12))))))),"")</f>
        <v/>
      </c>
      <c r="ER86" s="315" t="str">
        <f>IFERROR(IF(ER$7&gt;$D$3,"",IF(CJ86="Undefined","Undefined",IF(CJ86="Missed","Missed",IF(CJ86="OD","OD",IF(CJ86="TBC","TBC",IF(CJ85="OD","OD",_xlfn.XLOOKUP(ER$7,'Quality MB'!$M$6:$BM$6,'Quality MB'!$M$11:$BM$11)/_xlfn.XLOOKUP(ER$7,'Quality MB'!$M$6:$BM$6,'Quality MB'!$M$12:$BM$12))))))),"")</f>
        <v/>
      </c>
      <c r="ES86" s="315" t="str">
        <f>IFERROR(IF(ES$7&gt;$D$3,"",IF(CK86="Undefined","Undefined",IF(CK86="Missed","Missed",IF(CK86="OD","OD",IF(CK86="TBC","TBC",IF(CK85="OD","OD",_xlfn.XLOOKUP(ES$7,'Quality MB'!$M$6:$BM$6,'Quality MB'!$M$11:$BM$11)/_xlfn.XLOOKUP(ES$7,'Quality MB'!$M$6:$BM$6,'Quality MB'!$M$12:$BM$12))))))),"")</f>
        <v/>
      </c>
      <c r="ET86" s="315" t="str">
        <f>IFERROR(IF(ET$7&gt;$D$3,"",IF(CL86="Undefined","Undefined",IF(CL86="Missed","Missed",IF(CL86="OD","OD",IF(CL86="TBC","TBC",IF(CL85="OD","OD",_xlfn.XLOOKUP(ET$7,'Quality MB'!$M$6:$BM$6,'Quality MB'!$M$11:$BM$11)/_xlfn.XLOOKUP(ET$7,'Quality MB'!$M$6:$BM$6,'Quality MB'!$M$12:$BM$12))))))),"")</f>
        <v/>
      </c>
      <c r="EU86" s="315" t="str">
        <f>IFERROR(IF(EU$7&gt;$D$3,"",IF(CM86="Undefined","Undefined",IF(CM86="Missed","Missed",IF(CM86="OD","OD",IF(CM86="TBC","TBC",IF(CM85="OD","OD",_xlfn.XLOOKUP(EU$7,'Quality MB'!$M$6:$BM$6,'Quality MB'!$M$11:$BM$11)/_xlfn.XLOOKUP(EU$7,'Quality MB'!$M$6:$BM$6,'Quality MB'!$M$12:$BM$12))))))),"")</f>
        <v/>
      </c>
      <c r="EW86" s="465" t="str">
        <f>+$A86</f>
        <v>Quality Maybole-KPI D1</v>
      </c>
      <c r="EX86" s="136" t="str">
        <f>+$C86</f>
        <v>KPI D1</v>
      </c>
      <c r="EY86" s="144" t="str">
        <f>+$D86</f>
        <v>Delivery</v>
      </c>
      <c r="EZ86" s="144" t="str">
        <f>+$E86</f>
        <v>Quality - Internal Rework orders raised  (Maybole only)</v>
      </c>
      <c r="FA86" s="145" t="str">
        <f>+$F86</f>
        <v>£'s</v>
      </c>
      <c r="FB86" s="145" t="s">
        <v>251</v>
      </c>
      <c r="FC86" s="199" t="str">
        <f>IF(FC$7&gt;$D$3,"",IF($FA84&lt;FC$7,"OD",_xlfn.XLOOKUP(FC$7,'Quality MB'!$M$6:$BM$6,'Quality MB'!$M$12:$BM$12)))</f>
        <v>Blank</v>
      </c>
      <c r="FD86" s="199" t="str">
        <f>IF(FD$7&gt;$D$3,"",IF($FA84&lt;FD$7,"OD",_xlfn.XLOOKUP(FD$7,'Quality MB'!$M$6:$BM$6,'Quality MB'!$M$12:$BM$12)))</f>
        <v>TBC</v>
      </c>
      <c r="FE86" s="199" t="str">
        <f>IF(FE$7&gt;$D$3,"",IF($FA84&lt;FE$7,"OD",_xlfn.XLOOKUP(FE$7,'Quality MB'!$M$6:$BM$6,'Quality MB'!$M$12:$BM$12)))</f>
        <v>TBC</v>
      </c>
      <c r="FF86" s="199" t="str">
        <f>IF(FF$7&gt;$D$3,"",IF($FA84&lt;FF$7,"OD",_xlfn.XLOOKUP(FF$7,'Quality MB'!$M$6:$BM$6,'Quality MB'!$M$12:$BM$12)))</f>
        <v>TBC</v>
      </c>
      <c r="FG86" s="199" t="str">
        <f>IF(FG$7&gt;$D$3,"",IF($FA84&lt;FG$7,"OD",_xlfn.XLOOKUP(FG$7,'Quality MB'!$M$6:$BM$6,'Quality MB'!$M$12:$BM$12)))</f>
        <v>TBC</v>
      </c>
      <c r="FH86" s="199" t="str">
        <f>IF(FH$7&gt;$D$3,"",IF($FA84&lt;FH$7,"OD",_xlfn.XLOOKUP(FH$7,'Quality MB'!$M$6:$BM$6,'Quality MB'!$M$12:$BM$12)))</f>
        <v>TBC</v>
      </c>
      <c r="FI86" s="199" t="str">
        <f>IF(FI$7&gt;$D$3,"",IF($FA84&lt;FI$7,"OD",_xlfn.XLOOKUP(FI$7,'Quality MB'!$M$6:$BM$6,'Quality MB'!$M$12:$BM$12)))</f>
        <v>TBC</v>
      </c>
      <c r="FJ86" s="199" t="str">
        <f>IF(FJ$7&gt;$D$3,"",IF($FA84&lt;FJ$7,"OD",_xlfn.XLOOKUP(FJ$7,'Quality MB'!$M$6:$BM$6,'Quality MB'!$M$12:$BM$12)))</f>
        <v>TBC</v>
      </c>
      <c r="FK86" s="199" t="str">
        <f>IF(FK$7&gt;$D$3,"",IF($FA84&lt;FK$7,"OD",_xlfn.XLOOKUP(FK$7,'Quality MB'!$M$6:$BM$6,'Quality MB'!$M$12:$BM$12)))</f>
        <v>TBC</v>
      </c>
      <c r="FL86" s="199" t="str">
        <f>IF(FL$7&gt;$D$3,"",IF($FA84&lt;FL$7,"OD",_xlfn.XLOOKUP(FL$7,'Quality MB'!$M$6:$BM$6,'Quality MB'!$M$12:$BM$12)))</f>
        <v>TBC</v>
      </c>
      <c r="FM86" s="199" t="str">
        <f>IF(FM$7&gt;$D$3,"",IF($FA84&lt;FM$7,"OD",_xlfn.XLOOKUP(FM$7,'Quality MB'!$M$6:$BM$6,'Quality MB'!$M$12:$BM$12)))</f>
        <v>TBC</v>
      </c>
      <c r="FN86" s="199" t="str">
        <f>IF(FN$7&gt;$D$3,"",IF($FA84&lt;FN$7,"OD",_xlfn.XLOOKUP(FN$7,'Quality MB'!$M$6:$BM$6,'Quality MB'!$M$12:$BM$12)))</f>
        <v>TBC</v>
      </c>
      <c r="FO86" s="199" t="str">
        <f>IF(FO$7&gt;$D$3,"",IF($FA84&lt;FO$7,"OD",_xlfn.XLOOKUP(FO$7,'Quality MB'!$M$6:$BM$6,'Quality MB'!$M$12:$BM$12)))</f>
        <v>TBC</v>
      </c>
      <c r="FP86" s="199">
        <f>IF(FP$7&gt;$D$3,"",IF($FA84&lt;FP$7,"OD",_xlfn.XLOOKUP(FP$7,'Quality MB'!$M$6:$BM$6,'Quality MB'!$M$12:$BM$12)))</f>
        <v>500</v>
      </c>
      <c r="FQ86" s="199">
        <f>IF(FQ$7&gt;$D$3,"",IF($FA84&lt;FQ$7,"OD",_xlfn.XLOOKUP(FQ$7,'Quality MB'!$M$6:$BM$6,'Quality MB'!$M$12:$BM$12)))</f>
        <v>384</v>
      </c>
      <c r="FR86" s="199">
        <f>IF(FR$7&gt;$D$3,"",IF($FA84&lt;FR$7,"OD",_xlfn.XLOOKUP(FR$7,'Quality MB'!$M$6:$BM$6,'Quality MB'!$M$12:$BM$12)))</f>
        <v>550</v>
      </c>
      <c r="FS86" s="199">
        <f>IF(FS$7&gt;$D$3,"",IF($FA84&lt;FS$7,"OD",_xlfn.XLOOKUP(FS$7,'Quality MB'!$M$6:$BM$6,'Quality MB'!$M$12:$BM$12)))</f>
        <v>450</v>
      </c>
      <c r="FT86" s="199">
        <f>IF(FT$7&gt;$D$3,"",IF($FA84&lt;FT$7,"OD",_xlfn.XLOOKUP(FT$7,'Quality MB'!$M$6:$BM$6,'Quality MB'!$M$12:$BM$12)))</f>
        <v>1400</v>
      </c>
      <c r="FU86" s="199">
        <f>IF(FU$7&gt;$D$3,"",IF($FA84&lt;FU$7,"OD",_xlfn.XLOOKUP(FU$7,'Quality MB'!$M$6:$BM$6,'Quality MB'!$M$12:$BM$12)))</f>
        <v>1150</v>
      </c>
      <c r="FV86" s="199">
        <f>IF(FV$7&gt;$D$3,"",IF($FA84&lt;FV$7,"OD",_xlfn.XLOOKUP(FV$7,'Quality MB'!$M$6:$BM$6,'Quality MB'!$M$12:$BM$12)))</f>
        <v>265</v>
      </c>
      <c r="FW86" s="199">
        <f>IF(FW$7&gt;$D$3,"",IF($FA84&lt;FW$7,"OD",_xlfn.XLOOKUP(FW$7,'Quality MB'!$M$6:$BM$6,'Quality MB'!$M$12:$BM$12)))</f>
        <v>345</v>
      </c>
      <c r="FX86" s="199">
        <f>IF(FX$7&gt;$D$3,"",IF($FA84&lt;FX$7,"OD",_xlfn.XLOOKUP(FX$7,'Quality MB'!$M$6:$BM$6,'Quality MB'!$M$12:$BM$12)))</f>
        <v>1900</v>
      </c>
      <c r="FY86" s="199">
        <f>IF(FY$7&gt;$D$3,"",IF($FA84&lt;FY$7,"OD",_xlfn.XLOOKUP(FY$7,'Quality MB'!$M$6:$BM$6,'Quality MB'!$M$12:$BM$12)))</f>
        <v>850</v>
      </c>
      <c r="FZ86" s="199">
        <f>IF(FZ$7&gt;$D$3,"",IF($FA84&lt;FZ$7,"OD",_xlfn.XLOOKUP(FZ$7,'Quality MB'!$M$6:$BM$6,'Quality MB'!$M$12:$BM$12)))</f>
        <v>680</v>
      </c>
      <c r="GA86" s="199">
        <f>IF(GA$7&gt;$D$3,"",IF($FA84&lt;GA$7,"OD",_xlfn.XLOOKUP(GA$7,'Quality MB'!$M$6:$BM$6,'Quality MB'!$M$12:$BM$12)))</f>
        <v>440</v>
      </c>
      <c r="GB86" s="199">
        <f>IF(GB$7&gt;$D$3,"",IF($FA84&lt;GB$7,"OD",_xlfn.XLOOKUP(GB$7,'Quality MB'!$M$6:$BM$6,'Quality MB'!$M$12:$BM$12)))</f>
        <v>1550</v>
      </c>
      <c r="GC86" s="199">
        <f>IF(GC$7&gt;$D$3,"",IF($FA84&lt;GC$7,"OD",_xlfn.XLOOKUP(GC$7,'Quality MB'!$M$6:$BM$6,'Quality MB'!$M$12:$BM$12)))</f>
        <v>860</v>
      </c>
      <c r="GD86" s="199">
        <f>IF(GD$7&gt;$D$3,"",IF($FA84&lt;GD$7,"OD",_xlfn.XLOOKUP(GD$7,'Quality MB'!$M$6:$BM$6,'Quality MB'!$M$12:$BM$12)))</f>
        <v>220</v>
      </c>
      <c r="GE86" s="199">
        <f>IF(GE$7&gt;$D$3,"",IF($FA84&lt;GE$7,"OD",_xlfn.XLOOKUP(GE$7,'Quality MB'!$M$6:$BM$6,'Quality MB'!$M$12:$BM$12)))</f>
        <v>3450</v>
      </c>
      <c r="GF86" s="199">
        <f>IF(GF$7&gt;$D$3,"",IF($FA84&lt;GF$7,"OD",_xlfn.XLOOKUP(GF$7,'Quality MB'!$M$6:$BM$6,'Quality MB'!$M$12:$BM$12)))</f>
        <v>1750</v>
      </c>
      <c r="GG86" s="199">
        <f>IF(GG$7&gt;$D$3,"",IF($FA84&lt;GG$7,"OD",_xlfn.XLOOKUP(GG$7,'Quality MB'!$M$6:$BM$6,'Quality MB'!$M$12:$BM$12)))</f>
        <v>1830</v>
      </c>
      <c r="GH86" s="199">
        <f>IF(GH$7&gt;$D$3,"",IF($FA84&lt;GH$7,"OD",_xlfn.XLOOKUP(GH$7,'Quality MB'!$M$6:$BM$6,'Quality MB'!$M$12:$BM$12)))</f>
        <v>595</v>
      </c>
      <c r="GI86" s="199">
        <f>IF(GI$7&gt;$D$3,"",IF($FA84&lt;GI$7,"OD",_xlfn.XLOOKUP(GI$7,'Quality MB'!$M$6:$BM$6,'Quality MB'!$M$12:$BM$12)))</f>
        <v>640</v>
      </c>
      <c r="GJ86" s="199">
        <f>IF(GJ$7&gt;$D$3,"",IF($FA84&lt;GJ$7,"OD",_xlfn.XLOOKUP(GJ$7,'Quality MB'!$M$6:$BM$6,'Quality MB'!$M$12:$BM$12)))</f>
        <v>230</v>
      </c>
      <c r="GK86" s="199">
        <f>IF(GK$7&gt;$D$3,"",IF($FA84&lt;GK$7,"OD",_xlfn.XLOOKUP(GK$7,'Quality MB'!$M$6:$BM$6,'Quality MB'!$M$12:$BM$12)))</f>
        <v>460</v>
      </c>
      <c r="GL86" s="199">
        <f>IF(GL$7&gt;$D$3,"",IF($FA84&lt;GL$7,"OD",_xlfn.XLOOKUP(GL$7,'Quality MB'!$M$6:$BM$6,'Quality MB'!$M$12:$BM$12)))</f>
        <v>584</v>
      </c>
      <c r="GM86" s="199">
        <f>IF(GM$7&gt;$D$3,"",IF($FA84&lt;GM$7,"OD",_xlfn.XLOOKUP(GM$7,'Quality MB'!$M$6:$BM$6,'Quality MB'!$M$12:$BM$12)))</f>
        <v>175</v>
      </c>
      <c r="GN86" s="199">
        <f>IF(GN$7&gt;$D$3,"",IF($FA84&lt;GN$7,"OD",_xlfn.XLOOKUP(GN$7,'Quality MB'!$M$6:$BM$6,'Quality MB'!$M$12:$BM$12)))</f>
        <v>245</v>
      </c>
      <c r="GO86" s="199">
        <f>IF(GO$7&gt;$D$3,"",IF($FA84&lt;GO$7,"OD",_xlfn.XLOOKUP(GO$7,'Quality MB'!$M$6:$BM$6,'Quality MB'!$M$12:$BM$12)))</f>
        <v>270</v>
      </c>
      <c r="GP86" s="199">
        <f>IF(GP$7&gt;$D$3,"",IF($FA84&lt;GP$7,"OD",_xlfn.XLOOKUP(GP$7,'Quality MB'!$M$6:$BM$6,'Quality MB'!$M$12:$BM$12)))</f>
        <v>132</v>
      </c>
      <c r="GQ86" s="199">
        <f>IF(GQ$7&gt;$D$3,"",IF($FA84&lt;GQ$7,"OD",_xlfn.XLOOKUP(GQ$7,'Quality MB'!$M$6:$BM$6,'Quality MB'!$M$12:$BM$12)))</f>
        <v>0</v>
      </c>
      <c r="GR86" s="199">
        <f>IF(GR$7&gt;$D$3,"",IF($FA84&lt;GR$7,"OD",_xlfn.XLOOKUP(GR$7,'Quality MB'!$M$6:$BM$6,'Quality MB'!$M$12:$BM$12)))</f>
        <v>3200</v>
      </c>
      <c r="GS86" s="199" t="str">
        <f>IF(GS$7&gt;$D$3,"",IF($FA84&lt;GS$7,"OD",_xlfn.XLOOKUP(GS$7,'Quality MB'!$M$6:$BM$6,'Quality MB'!$M$12:$BM$12)))</f>
        <v/>
      </c>
      <c r="GT86" s="199" t="str">
        <f>IF(GT$7&gt;$D$3,"",IF($FA84&lt;GT$7,"OD",_xlfn.XLOOKUP(GT$7,'Quality MB'!$M$6:$BM$6,'Quality MB'!$M$12:$BM$12)))</f>
        <v/>
      </c>
      <c r="GU86" s="199" t="str">
        <f>IF(GU$7&gt;$D$3,"",IF($FA84&lt;GU$7,"OD",_xlfn.XLOOKUP(GU$7,'Quality MB'!$M$6:$BM$6,'Quality MB'!$M$12:$BM$12)))</f>
        <v/>
      </c>
      <c r="GV86" s="199" t="str">
        <f>IF(GV$7&gt;$D$3,"",IF($FA84&lt;GV$7,"OD",_xlfn.XLOOKUP(GV$7,'Quality MB'!$M$6:$BM$6,'Quality MB'!$M$12:$BM$12)))</f>
        <v/>
      </c>
      <c r="GW86" s="199" t="str">
        <f>IF(GW$7&gt;$D$3,"",IF($FA84&lt;GW$7,"OD",_xlfn.XLOOKUP(GW$7,'Quality MB'!$M$6:$BM$6,'Quality MB'!$M$12:$BM$12)))</f>
        <v/>
      </c>
      <c r="GX86" s="199" t="str">
        <f>IF(GX$7&gt;$D$3,"",IF($FA84&lt;GX$7,"OD",_xlfn.XLOOKUP(GX$7,'Quality MB'!$M$6:$BM$6,'Quality MB'!$M$12:$BM$12)))</f>
        <v/>
      </c>
      <c r="GY86" s="199" t="str">
        <f>IF(GY$7&gt;$D$3,"",IF($FA84&lt;GY$7,"OD",_xlfn.XLOOKUP(GY$7,'Quality MB'!$M$6:$BM$6,'Quality MB'!$M$12:$BM$12)))</f>
        <v/>
      </c>
      <c r="GZ86" s="199" t="str">
        <f>IF(GZ$7&gt;$D$3,"",IF($FA84&lt;GZ$7,"OD",_xlfn.XLOOKUP(GZ$7,'Quality MB'!$M$6:$BM$6,'Quality MB'!$M$12:$BM$12)))</f>
        <v/>
      </c>
      <c r="HA86" s="199" t="str">
        <f>IF(HA$7&gt;$D$3,"",IF($FA84&lt;HA$7,"OD",_xlfn.XLOOKUP(HA$7,'Quality MB'!$M$6:$BM$6,'Quality MB'!$M$12:$BM$12)))</f>
        <v/>
      </c>
      <c r="HB86" s="199" t="str">
        <f>IF(HB$7&gt;$D$3,"",IF($FA84&lt;HB$7,"OD",_xlfn.XLOOKUP(HB$7,'Quality MB'!$M$6:$BM$6,'Quality MB'!$M$12:$BM$12)))</f>
        <v/>
      </c>
      <c r="HC86" s="199" t="str">
        <f>IF(HC$7&gt;$D$3,"",IF($FA84&lt;HC$7,"OD",_xlfn.XLOOKUP(HC$7,'Quality MB'!$M$6:$BM$6,'Quality MB'!$M$12:$BM$12)))</f>
        <v/>
      </c>
      <c r="HE86" s="136" t="str">
        <f>+$C86</f>
        <v>KPI D1</v>
      </c>
      <c r="HF86" s="144" t="str">
        <f>+$D86</f>
        <v>Delivery</v>
      </c>
      <c r="HG86" s="144" t="str">
        <f>+$E86</f>
        <v>Quality - Internal Rework orders raised  (Maybole only)</v>
      </c>
      <c r="HH86" s="145" t="str">
        <f>+$F86</f>
        <v>£'s</v>
      </c>
      <c r="HI86" s="145" t="s">
        <v>44</v>
      </c>
      <c r="HJ86" s="199" t="str">
        <f>IF(HJ$7&gt;$D$3,"",IF($FA84&lt;HJ$7,"OD",_xlfn.XLOOKUP(HJ$7,'Quality MB'!$M$6:$BM$6,'Quality MB'!$M$11:$BM$11)))</f>
        <v>Blank</v>
      </c>
      <c r="HK86" s="199" t="str">
        <f>IF(HK$7&gt;$D$3,"",IF($FA84&lt;HK$7,"OD",_xlfn.XLOOKUP(HK$7,'Quality MB'!$M$6:$BM$6,'Quality MB'!$M$11:$BM$11)))</f>
        <v>TBC</v>
      </c>
      <c r="HL86" s="199" t="str">
        <f>IF(HL$7&gt;$D$3,"",IF($FA84&lt;HL$7,"OD",_xlfn.XLOOKUP(HL$7,'Quality MB'!$M$6:$BM$6,'Quality MB'!$M$11:$BM$11)))</f>
        <v>TBC</v>
      </c>
      <c r="HM86" s="199" t="str">
        <f>IF(HM$7&gt;$D$3,"",IF($FA84&lt;HM$7,"OD",_xlfn.XLOOKUP(HM$7,'Quality MB'!$M$6:$BM$6,'Quality MB'!$M$11:$BM$11)))</f>
        <v>TBC</v>
      </c>
      <c r="HN86" s="199" t="str">
        <f>IF(HN$7&gt;$D$3,"",IF($FA84&lt;HN$7,"OD",_xlfn.XLOOKUP(HN$7,'Quality MB'!$M$6:$BM$6,'Quality MB'!$M$11:$BM$11)))</f>
        <v>TBC</v>
      </c>
      <c r="HO86" s="199" t="str">
        <f>IF(HO$7&gt;$D$3,"",IF($FA84&lt;HO$7,"OD",_xlfn.XLOOKUP(HO$7,'Quality MB'!$M$6:$BM$6,'Quality MB'!$M$11:$BM$11)))</f>
        <v>TBC</v>
      </c>
      <c r="HP86" s="199" t="str">
        <f>IF(HP$7&gt;$D$3,"",IF($FA84&lt;HP$7,"OD",_xlfn.XLOOKUP(HP$7,'Quality MB'!$M$6:$BM$6,'Quality MB'!$M$11:$BM$11)))</f>
        <v>TBC</v>
      </c>
      <c r="HQ86" s="199" t="str">
        <f>IF(HQ$7&gt;$D$3,"",IF($FA84&lt;HQ$7,"OD",_xlfn.XLOOKUP(HQ$7,'Quality MB'!$M$6:$BM$6,'Quality MB'!$M$11:$BM$11)))</f>
        <v>TBC</v>
      </c>
      <c r="HR86" s="199" t="str">
        <f>IF(HR$7&gt;$D$3,"",IF($FA84&lt;HR$7,"OD",_xlfn.XLOOKUP(HR$7,'Quality MB'!$M$6:$BM$6,'Quality MB'!$M$11:$BM$11)))</f>
        <v>TBC</v>
      </c>
      <c r="HS86" s="199" t="str">
        <f>IF(HS$7&gt;$D$3,"",IF($FA84&lt;HS$7,"OD",_xlfn.XLOOKUP(HS$7,'Quality MB'!$M$6:$BM$6,'Quality MB'!$M$11:$BM$11)))</f>
        <v>TBC</v>
      </c>
      <c r="HT86" s="199" t="str">
        <f>IF(HT$7&gt;$D$3,"",IF($FA84&lt;HT$7,"OD",_xlfn.XLOOKUP(HT$7,'Quality MB'!$M$6:$BM$6,'Quality MB'!$M$11:$BM$11)))</f>
        <v>TBC</v>
      </c>
      <c r="HU86" s="199" t="str">
        <f>IF(HU$7&gt;$D$3,"",IF($FA84&lt;HU$7,"OD",_xlfn.XLOOKUP(HU$7,'Quality MB'!$M$6:$BM$6,'Quality MB'!$M$11:$BM$11)))</f>
        <v>TBC</v>
      </c>
      <c r="HV86" s="199" t="str">
        <f>IF(HV$7&gt;$D$3,"",IF($FA84&lt;HV$7,"OD",_xlfn.XLOOKUP(HV$7,'Quality MB'!$M$6:$BM$6,'Quality MB'!$M$11:$BM$11)))</f>
        <v>TBC</v>
      </c>
      <c r="HW86" s="199">
        <f>IF(HW$7&gt;$D$3,"",IF($FA84&lt;HW$7,"OD",_xlfn.XLOOKUP(HW$7,'Quality MB'!$M$6:$BM$6,'Quality MB'!$M$11:$BM$11)))</f>
        <v>950</v>
      </c>
      <c r="HX86" s="199">
        <f>IF(HX$7&gt;$D$3,"",IF($FA84&lt;HX$7,"OD",_xlfn.XLOOKUP(HX$7,'Quality MB'!$M$6:$BM$6,'Quality MB'!$M$11:$BM$11)))</f>
        <v>950</v>
      </c>
      <c r="HY86" s="199">
        <f>IF(HY$7&gt;$D$3,"",IF($FA84&lt;HY$7,"OD",_xlfn.XLOOKUP(HY$7,'Quality MB'!$M$6:$BM$6,'Quality MB'!$M$11:$BM$11)))</f>
        <v>950</v>
      </c>
      <c r="HZ86" s="199">
        <f>IF(HZ$7&gt;$D$3,"",IF($FA84&lt;HZ$7,"OD",_xlfn.XLOOKUP(HZ$7,'Quality MB'!$M$6:$BM$6,'Quality MB'!$M$11:$BM$11)))</f>
        <v>950</v>
      </c>
      <c r="IA86" s="199">
        <f>IF(IA$7&gt;$D$3,"",IF($FA84&lt;IA$7,"OD",_xlfn.XLOOKUP(IA$7,'Quality MB'!$M$6:$BM$6,'Quality MB'!$M$11:$BM$11)))</f>
        <v>1025</v>
      </c>
      <c r="IB86" s="199">
        <f>IF(IB$7&gt;$D$3,"",IF($FA84&lt;IB$7,"OD",_xlfn.XLOOKUP(IB$7,'Quality MB'!$M$6:$BM$6,'Quality MB'!$M$11:$BM$11)))</f>
        <v>1025</v>
      </c>
      <c r="IC86" s="199">
        <f>IF(IC$7&gt;$D$3,"",IF($FA84&lt;IC$7,"OD",_xlfn.XLOOKUP(IC$7,'Quality MB'!$M$6:$BM$6,'Quality MB'!$M$11:$BM$11)))</f>
        <v>1025</v>
      </c>
      <c r="ID86" s="199">
        <f>IF(ID$7&gt;$D$3,"",IF($FA84&lt;ID$7,"OD",_xlfn.XLOOKUP(ID$7,'Quality MB'!$M$6:$BM$6,'Quality MB'!$M$11:$BM$11)))</f>
        <v>1025</v>
      </c>
      <c r="IE86" s="199">
        <f>IF(IE$7&gt;$D$3,"",IF($FA84&lt;IE$7,"OD",_xlfn.XLOOKUP(IE$7,'Quality MB'!$M$6:$BM$6,'Quality MB'!$M$11:$BM$11)))</f>
        <v>1025</v>
      </c>
      <c r="IF86" s="199">
        <f>IF(IF$7&gt;$D$3,"",IF($FA84&lt;IF$7,"OD",_xlfn.XLOOKUP(IF$7,'Quality MB'!$M$6:$BM$6,'Quality MB'!$M$11:$BM$11)))</f>
        <v>1025</v>
      </c>
      <c r="IG86" s="199">
        <f>IF(IG$7&gt;$D$3,"",IF($FA84&lt;IG$7,"OD",_xlfn.XLOOKUP(IG$7,'Quality MB'!$M$6:$BM$6,'Quality MB'!$M$11:$BM$11)))</f>
        <v>1025</v>
      </c>
      <c r="IH86" s="199">
        <f>IF(IH$7&gt;$D$3,"",IF($FA84&lt;IH$7,"OD",_xlfn.XLOOKUP(IH$7,'Quality MB'!$M$6:$BM$6,'Quality MB'!$M$11:$BM$11)))</f>
        <v>1025</v>
      </c>
      <c r="II86" s="199">
        <f>IF(II$7&gt;$D$3,"",IF($FA84&lt;II$7,"OD",_xlfn.XLOOKUP(II$7,'Quality MB'!$M$6:$BM$6,'Quality MB'!$M$11:$BM$11)))</f>
        <v>1025</v>
      </c>
      <c r="IJ86" s="199">
        <f>IF(IJ$7&gt;$D$3,"",IF($FA84&lt;IJ$7,"OD",_xlfn.XLOOKUP(IJ$7,'Quality MB'!$M$6:$BM$6,'Quality MB'!$M$11:$BM$11)))</f>
        <v>1025</v>
      </c>
      <c r="IK86" s="199">
        <f>IF(IK$7&gt;$D$3,"",IF($FA84&lt;IK$7,"OD",_xlfn.XLOOKUP(IK$7,'Quality MB'!$M$6:$BM$6,'Quality MB'!$M$11:$BM$11)))</f>
        <v>1025</v>
      </c>
      <c r="IL86" s="199">
        <f>IF(IL$7&gt;$D$3,"",IF($FA84&lt;IL$7,"OD",_xlfn.XLOOKUP(IL$7,'Quality MB'!$M$6:$BM$6,'Quality MB'!$M$11:$BM$11)))</f>
        <v>1025</v>
      </c>
      <c r="IM86" s="199">
        <f>IF(IM$7&gt;$D$3,"",IF($FA84&lt;IM$7,"OD",_xlfn.XLOOKUP(IM$7,'Quality MB'!$M$6:$BM$6,'Quality MB'!$M$11:$BM$11)))</f>
        <v>1025</v>
      </c>
      <c r="IN86" s="199">
        <f>IF(IN$7&gt;$D$3,"",IF($FA84&lt;IN$7,"OD",_xlfn.XLOOKUP(IN$7,'Quality MB'!$M$6:$BM$6,'Quality MB'!$M$11:$BM$11)))</f>
        <v>1025</v>
      </c>
      <c r="IO86" s="199">
        <f>IF(IO$7&gt;$D$3,"",IF($FA84&lt;IO$7,"OD",_xlfn.XLOOKUP(IO$7,'Quality MB'!$M$6:$BM$6,'Quality MB'!$M$11:$BM$11)))</f>
        <v>1025</v>
      </c>
      <c r="IP86" s="199">
        <f>IF(IP$7&gt;$D$3,"",IF($FA84&lt;IP$7,"OD",_xlfn.XLOOKUP(IP$7,'Quality MB'!$M$6:$BM$6,'Quality MB'!$M$11:$BM$11)))</f>
        <v>1025</v>
      </c>
      <c r="IQ86" s="199">
        <f>IF(IQ$7&gt;$D$3,"",IF($FA84&lt;IQ$7,"OD",_xlfn.XLOOKUP(IQ$7,'Quality MB'!$M$6:$BM$6,'Quality MB'!$M$11:$BM$11)))</f>
        <v>1025</v>
      </c>
      <c r="IR86" s="199">
        <f>IF(IR$7&gt;$D$3,"",IF($FA84&lt;IR$7,"OD",_xlfn.XLOOKUP(IR$7,'Quality MB'!$M$6:$BM$6,'Quality MB'!$M$11:$BM$11)))</f>
        <v>1025</v>
      </c>
      <c r="IS86" s="199">
        <f>IF(IS$7&gt;$D$3,"",IF($FA84&lt;IS$7,"OD",_xlfn.XLOOKUP(IS$7,'Quality MB'!$M$6:$BM$6,'Quality MB'!$M$11:$BM$11)))</f>
        <v>1025</v>
      </c>
      <c r="IT86" s="199">
        <f>IF(IT$7&gt;$D$3,"",IF($FA84&lt;IT$7,"OD",_xlfn.XLOOKUP(IT$7,'Quality MB'!$M$6:$BM$6,'Quality MB'!$M$11:$BM$11)))</f>
        <v>1025</v>
      </c>
      <c r="IU86" s="199">
        <f>IF(IU$7&gt;$D$3,"",IF($FA84&lt;IU$7,"OD",_xlfn.XLOOKUP(IU$7,'Quality MB'!$M$6:$BM$6,'Quality MB'!$M$11:$BM$11)))</f>
        <v>1025</v>
      </c>
      <c r="IV86" s="199">
        <f>IF(IV$7&gt;$D$3,"",IF($FA84&lt;IV$7,"OD",_xlfn.XLOOKUP(IV$7,'Quality MB'!$M$6:$BM$6,'Quality MB'!$M$11:$BM$11)))</f>
        <v>1025</v>
      </c>
      <c r="IW86" s="199">
        <f>IF(IW$7&gt;$D$3,"",IF($FA84&lt;IW$7,"OD",_xlfn.XLOOKUP(IW$7,'Quality MB'!$M$6:$BM$6,'Quality MB'!$M$11:$BM$11)))</f>
        <v>1025</v>
      </c>
      <c r="IX86" s="199">
        <f>IF(IX$7&gt;$D$3,"",IF($FA84&lt;IX$7,"OD",_xlfn.XLOOKUP(IX$7,'Quality MB'!$M$6:$BM$6,'Quality MB'!$M$11:$BM$11)))</f>
        <v>1025</v>
      </c>
      <c r="IY86" s="199">
        <f>IF(IY$7&gt;$D$3,"",IF($FA84&lt;IY$7,"OD",_xlfn.XLOOKUP(IY$7,'Quality MB'!$M$6:$BM$6,'Quality MB'!$M$11:$BM$11)))</f>
        <v>1025</v>
      </c>
      <c r="IZ86" s="199" t="str">
        <f>IF(IZ$7&gt;$D$3,"",IF($FA84&lt;IZ$7,"OD",_xlfn.XLOOKUP(IZ$7,'Quality MB'!$M$6:$BM$6,'Quality MB'!$M$11:$BM$11)))</f>
        <v/>
      </c>
      <c r="JA86" s="199" t="str">
        <f>IF(JA$7&gt;$D$3,"",IF($FA84&lt;JA$7,"OD",_xlfn.XLOOKUP(JA$7,'Quality MB'!$M$6:$BM$6,'Quality MB'!$M$11:$BM$11)))</f>
        <v/>
      </c>
      <c r="JB86" s="199" t="str">
        <f>IF(JB$7&gt;$D$3,"",IF($FA84&lt;JB$7,"OD",_xlfn.XLOOKUP(JB$7,'Quality MB'!$M$6:$BM$6,'Quality MB'!$M$11:$BM$11)))</f>
        <v/>
      </c>
      <c r="JC86" s="199" t="str">
        <f>IF(JC$7&gt;$D$3,"",IF($FA84&lt;JC$7,"OD",_xlfn.XLOOKUP(JC$7,'Quality MB'!$M$6:$BM$6,'Quality MB'!$M$11:$BM$11)))</f>
        <v/>
      </c>
      <c r="JD86" s="199" t="str">
        <f>IF(JD$7&gt;$D$3,"",IF($FA84&lt;JD$7,"OD",_xlfn.XLOOKUP(JD$7,'Quality MB'!$M$6:$BM$6,'Quality MB'!$M$11:$BM$11)))</f>
        <v/>
      </c>
      <c r="JE86" s="199" t="str">
        <f>IF(JE$7&gt;$D$3,"",IF($FA84&lt;JE$7,"OD",_xlfn.XLOOKUP(JE$7,'Quality MB'!$M$6:$BM$6,'Quality MB'!$M$11:$BM$11)))</f>
        <v/>
      </c>
      <c r="JF86" s="199" t="str">
        <f>IF(JF$7&gt;$D$3,"",IF($FA84&lt;JF$7,"OD",_xlfn.XLOOKUP(JF$7,'Quality MB'!$M$6:$BM$6,'Quality MB'!$M$11:$BM$11)))</f>
        <v/>
      </c>
      <c r="JG86" s="199" t="str">
        <f>IF(JG$7&gt;$D$3,"",IF($FA84&lt;JG$7,"OD",_xlfn.XLOOKUP(JG$7,'Quality MB'!$M$6:$BM$6,'Quality MB'!$M$11:$BM$11)))</f>
        <v/>
      </c>
      <c r="JH86" s="199" t="str">
        <f>IF(JH$7&gt;$D$3,"",IF($FA84&lt;JH$7,"OD",_xlfn.XLOOKUP(JH$7,'Quality MB'!$M$6:$BM$6,'Quality MB'!$M$11:$BM$11)))</f>
        <v/>
      </c>
      <c r="JI86" s="199" t="str">
        <f>IF(JI$7&gt;$D$3,"",IF($FA84&lt;JI$7,"OD",_xlfn.XLOOKUP(JI$7,'Quality MB'!$M$6:$BM$6,'Quality MB'!$M$11:$BM$11)))</f>
        <v/>
      </c>
      <c r="JJ86" s="199" t="str">
        <f>IF(JJ$7&gt;$D$3,"",IF($FA84&lt;JJ$7,"OD",_xlfn.XLOOKUP(JJ$7,'Quality MB'!$M$6:$BM$6,'Quality MB'!$M$11:$BM$11)))</f>
        <v/>
      </c>
      <c r="JM86" s="136" t="str">
        <f>+$C86</f>
        <v>KPI D1</v>
      </c>
      <c r="JN86" s="144" t="str">
        <f>+$D86</f>
        <v>Delivery</v>
      </c>
      <c r="JO86" s="144" t="str">
        <f>+$E86</f>
        <v>Quality - Internal Rework orders raised  (Maybole only)</v>
      </c>
      <c r="JP86" s="145" t="str">
        <f>+$F86</f>
        <v>£'s</v>
      </c>
      <c r="JQ86" s="145" t="s">
        <v>284</v>
      </c>
      <c r="JR86" s="247" t="str">
        <f>IFERROR(AVERAGE(FC86:$FC86),"")</f>
        <v/>
      </c>
      <c r="JS86" s="247" t="str">
        <f>IFERROR(AVERAGE($FC86:FD86),"")</f>
        <v/>
      </c>
      <c r="JT86" s="247" t="str">
        <f>IFERROR(AVERAGE($FC86:FE86),"")</f>
        <v/>
      </c>
      <c r="JU86" s="247" t="str">
        <f>IFERROR(AVERAGE($FC86:FF86),"")</f>
        <v/>
      </c>
      <c r="JV86" s="247" t="str">
        <f>IFERROR(AVERAGE($FC86:FG86),"")</f>
        <v/>
      </c>
      <c r="JW86" s="247" t="str">
        <f>IFERROR(AVERAGE($FC86:FH86),"")</f>
        <v/>
      </c>
      <c r="JX86" s="247" t="str">
        <f>IFERROR(AVERAGE($FC86:FI86),"")</f>
        <v/>
      </c>
      <c r="JY86" s="247" t="str">
        <f>IFERROR(AVERAGE($FC86:FJ86),"")</f>
        <v/>
      </c>
      <c r="JZ86" s="247" t="str">
        <f>IFERROR(AVERAGE($FC86:FK86),"")</f>
        <v/>
      </c>
      <c r="KA86" s="247" t="str">
        <f>IFERROR(AVERAGE($FC86:FL86),"")</f>
        <v/>
      </c>
      <c r="KB86" s="247" t="str">
        <f>IFERROR(AVERAGE($FC86:FM86),"")</f>
        <v/>
      </c>
      <c r="KC86" s="247" t="str">
        <f>IFERROR(AVERAGE($FC86:FN86),"")</f>
        <v/>
      </c>
      <c r="KD86" s="247" t="str">
        <f>IFERROR(AVERAGE($FC86:FO86),"")</f>
        <v/>
      </c>
      <c r="KE86" s="247">
        <f>IFERROR(AVERAGE($FC86:FP86),"")</f>
        <v>500</v>
      </c>
      <c r="KF86" s="247">
        <f>IFERROR(AVERAGE($FC86:FQ86),"")</f>
        <v>442</v>
      </c>
      <c r="KG86" s="247">
        <f>IFERROR(AVERAGE($FC86:FR86),"")</f>
        <v>478</v>
      </c>
      <c r="KH86" s="247">
        <f>IFERROR(AVERAGE($FC86:FS86),"")</f>
        <v>471</v>
      </c>
      <c r="KI86" s="247">
        <f>IFERROR(AVERAGE($FC86:FT86),"")</f>
        <v>656.8</v>
      </c>
      <c r="KJ86" s="247">
        <f>IFERROR(AVERAGE($FC86:FU86),"")</f>
        <v>739</v>
      </c>
      <c r="KK86" s="247">
        <f>IFERROR(AVERAGE($FC86:FV86),"")</f>
        <v>671.28571428571433</v>
      </c>
      <c r="KL86" s="247">
        <f>IFERROR(AVERAGE($FC86:FW86),"")</f>
        <v>630.5</v>
      </c>
      <c r="KM86" s="247">
        <f>IFERROR(AVERAGE($FC86:FX86),"")</f>
        <v>771.55555555555554</v>
      </c>
      <c r="KN86" s="247">
        <f>IFERROR(AVERAGE($FC86:FY86),"")</f>
        <v>779.4</v>
      </c>
      <c r="KO86" s="247">
        <f>IFERROR(AVERAGE($FC86:FZ86),"")</f>
        <v>770.36363636363637</v>
      </c>
      <c r="KP86" s="247">
        <f>IFERROR(AVERAGE($FC86:GA86),"")</f>
        <v>742.83333333333337</v>
      </c>
      <c r="KQ86" s="247">
        <f>IFERROR(AVERAGE($FC86:GB86),"")</f>
        <v>804.92307692307691</v>
      </c>
      <c r="KR86" s="247">
        <f>IFERROR(AVERAGE($FC86:GC86),"")</f>
        <v>808.85714285714289</v>
      </c>
      <c r="KS86" s="247">
        <f>IFERROR(AVERAGE($FC86:GD86),"")</f>
        <v>769.6</v>
      </c>
      <c r="KT86" s="247">
        <f>IFERROR(AVERAGE($FC86:GE86),"")</f>
        <v>937.125</v>
      </c>
      <c r="KU86" s="247">
        <f>IFERROR(AVERAGE($FC86:GF86),"")</f>
        <v>984.94117647058829</v>
      </c>
      <c r="KV86" s="247">
        <f>IFERROR(AVERAGE($FC86:GG86),"")</f>
        <v>1031.8888888888889</v>
      </c>
      <c r="KW86" s="247">
        <f>IFERROR(AVERAGE($FC86:GH86),"")</f>
        <v>1008.8947368421053</v>
      </c>
      <c r="KX86" s="247">
        <f>IFERROR(AVERAGE($FC86:GI86),"")</f>
        <v>990.45</v>
      </c>
      <c r="KY86" s="247">
        <f>IFERROR(AVERAGE($FC86:GJ86),"")</f>
        <v>954.23809523809518</v>
      </c>
      <c r="KZ86" s="247">
        <f>IFERROR(AVERAGE($FC86:GK86),"")</f>
        <v>931.77272727272725</v>
      </c>
      <c r="LA86" s="247">
        <f>IFERROR(AVERAGE($FC86:GL86),"")</f>
        <v>916.6521739130435</v>
      </c>
      <c r="LB86" s="247">
        <f>IFERROR(AVERAGE($FC86:GM86),"")</f>
        <v>885.75</v>
      </c>
      <c r="LC86" s="247">
        <f>IFERROR(AVERAGE($FC86:GN86),"")</f>
        <v>860.12</v>
      </c>
      <c r="LD86" s="247">
        <f>IFERROR(AVERAGE($FC86:GO86),"")</f>
        <v>837.42307692307691</v>
      </c>
      <c r="LE86" s="247">
        <f>IFERROR(AVERAGE($FC86:GP86),"")</f>
        <v>811.2962962962963</v>
      </c>
      <c r="LF86" s="247">
        <f>IFERROR(AVERAGE($FC86:GQ86),"")</f>
        <v>782.32142857142856</v>
      </c>
      <c r="LG86" s="247">
        <f>IFERROR(AVERAGE($FC86:GR86),"")</f>
        <v>865.68965517241384</v>
      </c>
      <c r="LH86" s="247">
        <f>IFERROR(AVERAGE($FC86:GS86),"")</f>
        <v>865.68965517241384</v>
      </c>
      <c r="LI86" s="247">
        <f>IFERROR(AVERAGE($FC86:GT86),"")</f>
        <v>865.68965517241384</v>
      </c>
      <c r="LJ86" s="247">
        <f>IFERROR(AVERAGE($FC86:GU86),"")</f>
        <v>865.68965517241384</v>
      </c>
      <c r="LK86" s="247">
        <f>IFERROR(AVERAGE($FC86:GV86),"")</f>
        <v>865.68965517241384</v>
      </c>
      <c r="LL86" s="247">
        <f>IFERROR(AVERAGE($FC86:GW86),"")</f>
        <v>865.68965517241384</v>
      </c>
      <c r="LM86" s="247">
        <f>IFERROR(AVERAGE($FC86:GX86),"")</f>
        <v>865.68965517241384</v>
      </c>
      <c r="LN86" s="247">
        <f>IFERROR(AVERAGE($FC86:GY86),"")</f>
        <v>865.68965517241384</v>
      </c>
      <c r="LO86" s="247">
        <f>IFERROR(AVERAGE($FC86:GZ86),"")</f>
        <v>865.68965517241384</v>
      </c>
      <c r="LP86" s="247">
        <f>IFERROR(AVERAGE($FC86:HA86),"")</f>
        <v>865.68965517241384</v>
      </c>
      <c r="LQ86" s="247">
        <f>IFERROR(AVERAGE($FC86:HB86),"")</f>
        <v>865.68965517241384</v>
      </c>
      <c r="LR86" s="247">
        <f>IFERROR(AVERAGE($FC86:HC86),"")</f>
        <v>865.68965517241384</v>
      </c>
      <c r="LT86" s="136" t="str">
        <f>+$C86</f>
        <v>KPI D1</v>
      </c>
      <c r="LU86" s="144" t="str">
        <f>+$D86</f>
        <v>Delivery</v>
      </c>
      <c r="LV86" s="144" t="str">
        <f>+$E86</f>
        <v>Quality - Internal Rework orders raised  (Maybole only)</v>
      </c>
      <c r="LW86" s="145" t="str">
        <f>+$F86</f>
        <v>£'s</v>
      </c>
      <c r="LX86" s="145" t="s">
        <v>285</v>
      </c>
      <c r="LY86" s="199" t="str">
        <f>IFERROR(AVERAGE($HJ86:HJ86),"")</f>
        <v/>
      </c>
      <c r="LZ86" s="199" t="str">
        <f>IFERROR(IF(LAD$7&gt;$D$3,"",AVERAGE($HJ86:HK86)),"")</f>
        <v/>
      </c>
      <c r="MA86" s="199" t="str">
        <f>IFERROR(IF(MA$7&gt;$D$3,"",AVERAGE($HJ86:HL86)),"")</f>
        <v/>
      </c>
      <c r="MB86" s="199" t="str">
        <f>IFERROR(IF(MB$7&gt;$D$3,"",AVERAGE($HJ86:HM86)),"")</f>
        <v/>
      </c>
      <c r="MC86" s="199" t="str">
        <f>IFERROR(IF(MC$7&gt;$D$3,"",AVERAGE($HJ86:HN86)),"")</f>
        <v/>
      </c>
      <c r="MD86" s="199" t="str">
        <f>IFERROR(IF(MD$7&gt;$D$3,"",AVERAGE($HJ86:HO86)),"")</f>
        <v/>
      </c>
      <c r="ME86" s="199" t="str">
        <f>IFERROR(IF(ME$7&gt;$D$3,"",AVERAGE($HJ86:HP86)),"")</f>
        <v/>
      </c>
      <c r="MF86" s="199" t="str">
        <f>IFERROR(IF(MF$7&gt;$D$3,"",AVERAGE($HJ86:HQ86)),"")</f>
        <v/>
      </c>
      <c r="MG86" s="199" t="str">
        <f>IFERROR(IF(MG$7&gt;$D$3,"",AVERAGE($HJ86:HR86)),"")</f>
        <v/>
      </c>
      <c r="MH86" s="199" t="str">
        <f>IFERROR(IF(MH$7&gt;$D$3,"",AVERAGE($HJ86:HS86)),"")</f>
        <v/>
      </c>
      <c r="MI86" s="199" t="str">
        <f>IFERROR(IF(MI$7&gt;$D$3,"",AVERAGE($HJ86:HT86)),"")</f>
        <v/>
      </c>
      <c r="MJ86" s="199" t="str">
        <f>IFERROR(IF(MJ$7&gt;$D$3,"",AVERAGE($HJ86:HU86)),"")</f>
        <v/>
      </c>
      <c r="MK86" s="199" t="str">
        <f>IFERROR(IF(MK$7&gt;$D$3,"",AVERAGE($HJ86:HV86)),"")</f>
        <v/>
      </c>
      <c r="ML86" s="199">
        <f>IFERROR(IF(ML$7&gt;$D$3,"",AVERAGE($HJ86:HW86)),"")</f>
        <v>950</v>
      </c>
      <c r="MM86" s="199">
        <f>IFERROR(IF(MM$7&gt;$D$3,"",AVERAGE($HJ86:HX86)),"")</f>
        <v>950</v>
      </c>
      <c r="MN86" s="199">
        <f>IFERROR(IF(MN$7&gt;$D$3,"",AVERAGE($HJ86:HY86)),"")</f>
        <v>950</v>
      </c>
      <c r="MO86" s="199">
        <f>IFERROR(IF(MO$7&gt;$D$3,"",AVERAGE($HJ86:HZ86)),"")</f>
        <v>950</v>
      </c>
      <c r="MP86" s="199">
        <f>IFERROR(IF(MP$7&gt;$D$3,"",AVERAGE($HJ86:IA86)),"")</f>
        <v>965</v>
      </c>
      <c r="MQ86" s="199">
        <f>IFERROR(IF(MQ$7&gt;$D$3,"",AVERAGE($HJ86:IB86)),"")</f>
        <v>975</v>
      </c>
      <c r="MR86" s="199">
        <f>IFERROR(IF(MR$7&gt;$D$3,"",AVERAGE($HJ86:IC86)),"")</f>
        <v>982.14285714285711</v>
      </c>
      <c r="MS86" s="199">
        <f>IFERROR(IF(MS$7&gt;$D$3,"",AVERAGE($HJ86:ID86)),"")</f>
        <v>987.5</v>
      </c>
      <c r="MT86" s="199">
        <f>IFERROR(IF(MT$7&gt;$D$3,"",AVERAGE($HJ86:IE86)),"")</f>
        <v>991.66666666666663</v>
      </c>
      <c r="MU86" s="199">
        <f>IFERROR(IF(MU$7&gt;$D$3,"",AVERAGE($HJ86:IF86)),"")</f>
        <v>995</v>
      </c>
      <c r="MV86" s="199">
        <f>IFERROR(IF(MV$7&gt;$D$3,"",AVERAGE($HJ86:IG86)),"")</f>
        <v>997.72727272727275</v>
      </c>
      <c r="MW86" s="199">
        <f>IFERROR(IF(MW$7&gt;$D$3,"",AVERAGE($HJ86:IH86)),"")</f>
        <v>1000</v>
      </c>
      <c r="MX86" s="199">
        <f>IFERROR(IF(MX$7&gt;$D$3,"",AVERAGE($HJ86:II86)),"")</f>
        <v>1001.9230769230769</v>
      </c>
      <c r="MY86" s="199">
        <f>IFERROR(IF(MY$7&gt;$D$3,"",AVERAGE($HJ86:IJ86)),"")</f>
        <v>1003.5714285714286</v>
      </c>
      <c r="MZ86" s="199">
        <f>IFERROR(IF(MZ$7&gt;$D$3,"",AVERAGE($HJ86:IK86)),"")</f>
        <v>1005</v>
      </c>
      <c r="NA86" s="199">
        <f>IFERROR(IF(NA$7&gt;$D$3,"",AVERAGE($HJ86:IL86)),"")</f>
        <v>1006.25</v>
      </c>
      <c r="NB86" s="199">
        <f>IFERROR(IF(NB$7&gt;$D$3,"",AVERAGE($HJ86:IM86)),"")</f>
        <v>1007.3529411764706</v>
      </c>
      <c r="NC86" s="199">
        <f>IFERROR(IF(NC$7&gt;$D$3,"",AVERAGE($HJ86:IN86)),"")</f>
        <v>1008.3333333333334</v>
      </c>
      <c r="ND86" s="199">
        <f>IFERROR(IF(ND$7&gt;$D$3,"",AVERAGE($HJ86:IO86)),"")</f>
        <v>1009.2105263157895</v>
      </c>
      <c r="NE86" s="199">
        <f>IFERROR(IF(NE$7&gt;$D$3,"",AVERAGE($HJ86:IP86)),"")</f>
        <v>1010</v>
      </c>
      <c r="NF86" s="199">
        <f>IFERROR(IF(NF$7&gt;$D$3,"",AVERAGE($HJ86:IQ86)),"")</f>
        <v>1010.7142857142857</v>
      </c>
      <c r="NG86" s="199">
        <f>IFERROR(IF(NG$7&gt;$D$3,"",AVERAGE($HJ86:IR86)),"")</f>
        <v>1011.3636363636364</v>
      </c>
      <c r="NH86" s="199">
        <f>IFERROR(IF(NH$7&gt;$D$3,"",AVERAGE($HJ86:IS86)),"")</f>
        <v>1011.9565217391304</v>
      </c>
      <c r="NI86" s="199">
        <f>IFERROR(IF(NI$7&gt;$D$3,"",AVERAGE($HJ86:IT86)),"")</f>
        <v>1012.5</v>
      </c>
      <c r="NJ86" s="199">
        <f>IFERROR(IF(NJ$7&gt;$D$3,"",AVERAGE($HJ86:IU86)),"")</f>
        <v>1013</v>
      </c>
      <c r="NK86" s="199">
        <f>IFERROR(IF(NK$7&gt;$D$3,"",AVERAGE($HJ86:IV86)),"")</f>
        <v>1013.4615384615385</v>
      </c>
      <c r="NL86" s="199">
        <f>IFERROR(IF(NL$7&gt;$D$3,"",AVERAGE($HJ86:IW86)),"")</f>
        <v>1013.8888888888889</v>
      </c>
      <c r="NM86" s="199">
        <f>IFERROR(IF(NM$7&gt;$D$3,"",AVERAGE($HJ86:IX86)),"")</f>
        <v>1014.2857142857143</v>
      </c>
      <c r="NN86" s="199">
        <f>IFERROR(IF(NN$7&gt;$D$3,"",AVERAGE($HJ86:IY86)),"")</f>
        <v>1014.6551724137931</v>
      </c>
      <c r="NO86" s="199" t="str">
        <f>IFERROR(IF(NO$7&gt;$D$3,"",AVERAGE($HJ86:IZ86)),"")</f>
        <v/>
      </c>
      <c r="NP86" s="199" t="str">
        <f>IFERROR(IF(NP$7&gt;$D$3,"",AVERAGE($HJ86:JA86)),"")</f>
        <v/>
      </c>
      <c r="NQ86" s="199" t="str">
        <f>IFERROR(IF(NQ$7&gt;$D$3,"",AVERAGE($HJ86:JB86)),"")</f>
        <v/>
      </c>
      <c r="NR86" s="199" t="str">
        <f>IFERROR(IF(NR$7&gt;$D$3,"",AVERAGE($HJ86:JC86)),"")</f>
        <v/>
      </c>
      <c r="NS86" s="199" t="str">
        <f>IFERROR(IF(NS$7&gt;$D$3,"",AVERAGE($HJ86:JD86)),"")</f>
        <v/>
      </c>
      <c r="NT86" s="199" t="str">
        <f>IFERROR(IF(NT$7&gt;$D$3,"",AVERAGE($HJ86:JE86)),"")</f>
        <v/>
      </c>
      <c r="NU86" s="199" t="str">
        <f>IFERROR(IF(NU$7&gt;$D$3,"",AVERAGE($HJ86:JF86)),"")</f>
        <v/>
      </c>
      <c r="NV86" s="199" t="str">
        <f>IFERROR(IF(NV$7&gt;$D$3,"",AVERAGE($HJ86:JG86)),"")</f>
        <v/>
      </c>
      <c r="NW86" s="199" t="str">
        <f>IFERROR(IF(NW$7&gt;$D$3,"",AVERAGE($HJ86:JH86)),"")</f>
        <v/>
      </c>
      <c r="NX86" s="199" t="str">
        <f>IFERROR(IF(NX$7&gt;$D$3,"",AVERAGE($HJ86:JI86)),"")</f>
        <v/>
      </c>
      <c r="NY86" s="199" t="str">
        <f>IFERROR(IF(NY$7&gt;$D$3,"",AVERAGE($HJ86:JJ86)),"")</f>
        <v/>
      </c>
    </row>
    <row r="87" spans="1:389" x14ac:dyDescent="0.3">
      <c r="A87" t="str">
        <f>$B$84&amp;"-"&amp;C87</f>
        <v>Quality Maybole-KPI Q1</v>
      </c>
      <c r="B87" s="918">
        <f>+'KPI Stats'!B86</f>
        <v>0</v>
      </c>
      <c r="C87" s="136" t="str">
        <f>+'KPI Stats'!C86</f>
        <v>KPI Q1</v>
      </c>
      <c r="D87" s="144" t="str">
        <f>+'KPI Stats'!D86</f>
        <v>Quality</v>
      </c>
      <c r="E87" s="144" t="str">
        <f>+'KPI Stats'!E86</f>
        <v>Customer Complaints (Maybole only)</v>
      </c>
      <c r="F87" s="145" t="str">
        <f>+'KPI Stats'!F86</f>
        <v>Count</v>
      </c>
      <c r="G87" s="178" t="str">
        <f>+'KPI Stats'!G86</f>
        <v>Over</v>
      </c>
      <c r="J87" s="69" t="str">
        <f>_xlfn.XLOOKUP(J$7,$AM$7:$CM$7,$AM87:$CM87,,FALSE)</f>
        <v>G</v>
      </c>
      <c r="K87" s="264">
        <f>_xlfn.XLOOKUP(K$7,$FC$7:$HC$7,$FC87:$HC87,,FALSE)</f>
        <v>0</v>
      </c>
      <c r="L87" s="278">
        <f>_xlfn.XLOOKUP(L$7,$HJ$7:$JJ$7,$HJ87:$JJ87,,FALSE)</f>
        <v>1</v>
      </c>
      <c r="M87" s="275">
        <f>_xlfn.XLOOKUP(M$7,$CU$7:$EU$7,$CU87:$EU87,,FALSE)</f>
        <v>1</v>
      </c>
      <c r="P87" s="69" t="str">
        <f>_xlfn.XLOOKUP(P$7,$AM$7:$CM$7,$AM87:$CM87,,FALSE)</f>
        <v>G</v>
      </c>
      <c r="Q87" s="264">
        <f t="shared" si="293"/>
        <v>0</v>
      </c>
      <c r="R87" s="278">
        <f t="shared" si="293"/>
        <v>0</v>
      </c>
      <c r="S87" s="288">
        <f t="shared" si="294"/>
        <v>1</v>
      </c>
      <c r="T87" s="265">
        <f t="shared" si="294"/>
        <v>1</v>
      </c>
      <c r="U87" s="295" t="str">
        <f>IF(F84&lt;$R$2,"Not Complete",IF(Q87=R87,"Same −",IF($G87="Over",IF(Q87&lt;R87,"Better ↑","Worse ↓"),IF($G87="Under",IF(Q87&gt;R87,"Better ↑","Worse ↓"),"err"))))</f>
        <v>Same −</v>
      </c>
      <c r="X87" s="69" t="str">
        <f t="shared" si="295"/>
        <v>G</v>
      </c>
      <c r="Y87" s="114">
        <f>_xlfn.XLOOKUP(Y$7,$JR$7:$LR$7,$JR87:$LR87,FALSE)</f>
        <v>0.75862068965517238</v>
      </c>
      <c r="Z87" s="114">
        <f>_xlfn.XLOOKUP(Z$7,$LY$7:$NY$7,$LY87:$NY87,FALSE)</f>
        <v>1</v>
      </c>
      <c r="AA87" s="252">
        <f t="shared" si="299"/>
        <v>1.3181818181818183</v>
      </c>
      <c r="AB87" s="295" t="str">
        <f>IF(F84&lt;$R$2,"TBC",IF(Y87=Z87,"Same −",IF($G87="Over",IF(Z87&lt;Y87,"Better ↑ ","Worse ↓ "),IF($G87="Under",IF(Y87&gt;Z87,"Better ↑ ","Worse ↓ "),"err"))))</f>
        <v xml:space="preserve">Worse ↓ </v>
      </c>
      <c r="AC87" s="69" t="str">
        <f>IF(AND(G87="above adero",AD87&gt;0),"R",IF(AF87&gt;1,"G",IF(AF87&gt;0.95,"A","R")))</f>
        <v>G</v>
      </c>
      <c r="AD87" s="114">
        <f>_xlfn.XLOOKUP(AD$7,$JR$7:$LR$7,$JR87:$LR87,FALSE)</f>
        <v>0.7857142857142857</v>
      </c>
      <c r="AE87" s="114">
        <f>_xlfn.XLOOKUP(AE$7,$LY$7:$NY$7,$LY87:$NY87,FALSE)</f>
        <v>1</v>
      </c>
      <c r="AF87" s="252">
        <f t="shared" si="296"/>
        <v>1.2727272727272727</v>
      </c>
      <c r="AH87" s="465" t="str">
        <f>+$A87</f>
        <v>Quality Maybole-KPI Q1</v>
      </c>
      <c r="AI87" s="136" t="str">
        <f t="shared" si="297"/>
        <v>KPI Q1</v>
      </c>
      <c r="AJ87" s="144" t="str">
        <f t="shared" si="297"/>
        <v>Quality</v>
      </c>
      <c r="AK87" s="144" t="str">
        <f t="shared" si="282"/>
        <v>Customer Complaints (Maybole only)</v>
      </c>
      <c r="AL87" s="145" t="str">
        <f t="shared" si="282"/>
        <v>Count</v>
      </c>
      <c r="AM87" s="69" t="str">
        <f>IF(AM$7&gt;$D$3,"",_xlfn.XLOOKUP(AM$7,'Quality MB'!$M$6:$BM$6,'Quality MB'!$M$16:$BM$16))</f>
        <v>Blank</v>
      </c>
      <c r="AN87" s="199" t="str">
        <f>IF(AN$7&gt;$D$3,"",_xlfn.XLOOKUP(AN$7,'Quality MB'!$M$6:$BM$6,'Quality MB'!$M$16:$BM$16))</f>
        <v>TBC</v>
      </c>
      <c r="AO87" s="69" t="str">
        <f>IF(AO$7&gt;$D$3,"",_xlfn.XLOOKUP(AO$7,'Quality MB'!$M$6:$BM$6,'Quality MB'!$M$16:$BM$16))</f>
        <v>TBC</v>
      </c>
      <c r="AP87" s="69" t="str">
        <f>IF(AP$7&gt;$D$3,"",_xlfn.XLOOKUP(AP$7,'Quality MB'!$M$6:$BM$6,'Quality MB'!$M$16:$BM$16))</f>
        <v>TBC</v>
      </c>
      <c r="AQ87" s="69" t="str">
        <f>IF(AQ$7&gt;$D$3,"",_xlfn.XLOOKUP(AQ$7,'Quality MB'!$M$6:$BM$6,'Quality MB'!$M$16:$BM$16))</f>
        <v>TBC</v>
      </c>
      <c r="AR87" s="69" t="str">
        <f>IF(AR$7&gt;$D$3,"",_xlfn.XLOOKUP(AR$7,'Quality MB'!$M$6:$BM$6,'Quality MB'!$M$16:$BM$16))</f>
        <v>TBC</v>
      </c>
      <c r="AS87" s="69" t="str">
        <f>IF(AS$7&gt;$D$3,"",_xlfn.XLOOKUP(AS$7,'Quality MB'!$M$6:$BM$6,'Quality MB'!$M$16:$BM$16))</f>
        <v>TBC</v>
      </c>
      <c r="AT87" s="69" t="str">
        <f>IF(AT$7&gt;$D$3,"",_xlfn.XLOOKUP(AT$7,'Quality MB'!$M$6:$BM$6,'Quality MB'!$M$16:$BM$16))</f>
        <v>TBC</v>
      </c>
      <c r="AU87" s="69" t="str">
        <f>IF(AU$7&gt;$D$3,"",_xlfn.XLOOKUP(AU$7,'Quality MB'!$M$6:$BM$6,'Quality MB'!$M$16:$BM$16))</f>
        <v>TBC</v>
      </c>
      <c r="AV87" s="69" t="str">
        <f>IF(AV$7&gt;$D$3,"",_xlfn.XLOOKUP(AV$7,'Quality MB'!$M$6:$BM$6,'Quality MB'!$M$16:$BM$16))</f>
        <v>TBC</v>
      </c>
      <c r="AW87" s="69" t="str">
        <f>IF(AW$7&gt;$D$3,"",_xlfn.XLOOKUP(AW$7,'Quality MB'!$M$6:$BM$6,'Quality MB'!$M$16:$BM$16))</f>
        <v>TBC</v>
      </c>
      <c r="AX87" s="69" t="str">
        <f>IF(AX$7&gt;$D$3,"",_xlfn.XLOOKUP(AX$7,'Quality MB'!$M$6:$BM$6,'Quality MB'!$M$16:$BM$16))</f>
        <v>TBC</v>
      </c>
      <c r="AY87" s="69" t="str">
        <f>IF(AY$7&gt;$D$3,"",_xlfn.XLOOKUP(AY$7,'Quality MB'!$M$6:$BM$6,'Quality MB'!$M$16:$BM$16))</f>
        <v>TBC</v>
      </c>
      <c r="AZ87" s="69" t="str">
        <f>IF(AZ$7&gt;$D$3,"",_xlfn.XLOOKUP(AZ$7,'Quality MB'!$M$6:$BM$6,'Quality MB'!$M$16:$BM$16))</f>
        <v>R</v>
      </c>
      <c r="BA87" s="69" t="str">
        <f>IF(BA$7&gt;$D$3,"",_xlfn.XLOOKUP(BA$7,'Quality MB'!$M$6:$BM$6,'Quality MB'!$M$16:$BM$16))</f>
        <v>R</v>
      </c>
      <c r="BB87" s="69" t="str">
        <f>IF(BB$7&gt;$D$3,"",_xlfn.XLOOKUP(BB$7,'Quality MB'!$M$6:$BM$6,'Quality MB'!$M$16:$BM$16))</f>
        <v>G</v>
      </c>
      <c r="BC87" s="69" t="str">
        <f>IF(BC$7&gt;$D$3,"",_xlfn.XLOOKUP(BC$7,'Quality MB'!$M$6:$BM$6,'Quality MB'!$M$16:$BM$16))</f>
        <v>G</v>
      </c>
      <c r="BD87" s="69" t="str">
        <f>IF(BD$7&gt;$D$3,"",_xlfn.XLOOKUP(BD$7,'Quality MB'!$M$6:$BM$6,'Quality MB'!$M$16:$BM$16))</f>
        <v>G</v>
      </c>
      <c r="BE87" s="69" t="str">
        <f>IF(BE$7&gt;$D$3,"",_xlfn.XLOOKUP(BE$7,'Quality MB'!$M$6:$BM$6,'Quality MB'!$M$16:$BM$16))</f>
        <v>G</v>
      </c>
      <c r="BF87" s="69" t="str">
        <f>IF(BF$7&gt;$D$3,"",_xlfn.XLOOKUP(BF$7,'Quality MB'!$M$6:$BM$6,'Quality MB'!$M$16:$BM$16))</f>
        <v>G</v>
      </c>
      <c r="BG87" s="69" t="str">
        <f>IF(BG$7&gt;$D$3,"",_xlfn.XLOOKUP(BG$7,'Quality MB'!$M$6:$BM$6,'Quality MB'!$M$16:$BM$16))</f>
        <v>G</v>
      </c>
      <c r="BH87" s="69" t="str">
        <f>IF(BH$7&gt;$D$3,"",_xlfn.XLOOKUP(BH$7,'Quality MB'!$M$6:$BM$6,'Quality MB'!$M$16:$BM$16))</f>
        <v>G</v>
      </c>
      <c r="BI87" s="69" t="str">
        <f>IF(BI$7&gt;$D$3,"",_xlfn.XLOOKUP(BI$7,'Quality MB'!$M$6:$BM$6,'Quality MB'!$M$16:$BM$16))</f>
        <v>G</v>
      </c>
      <c r="BJ87" s="69" t="str">
        <f>IF(BJ$7&gt;$D$3,"",_xlfn.XLOOKUP(BJ$7,'Quality MB'!$M$6:$BM$6,'Quality MB'!$M$16:$BM$16))</f>
        <v>G</v>
      </c>
      <c r="BK87" s="69" t="str">
        <f>IF(BK$7&gt;$D$3,"",_xlfn.XLOOKUP(BK$7,'Quality MB'!$M$6:$BM$6,'Quality MB'!$M$16:$BM$16))</f>
        <v>G</v>
      </c>
      <c r="BL87" s="69" t="str">
        <f>IF(BL$7&gt;$D$3,"",_xlfn.XLOOKUP(BL$7,'Quality MB'!$M$6:$BM$6,'Quality MB'!$M$16:$BM$16))</f>
        <v>R</v>
      </c>
      <c r="BM87" s="69" t="str">
        <f>IF(BM$7&gt;$D$3,"",_xlfn.XLOOKUP(BM$7,'Quality MB'!$M$6:$BM$6,'Quality MB'!$M$16:$BM$16))</f>
        <v>G</v>
      </c>
      <c r="BN87" s="69" t="str">
        <f>IF(BN$7&gt;$D$3,"",_xlfn.XLOOKUP(BN$7,'Quality MB'!$M$6:$BM$6,'Quality MB'!$M$16:$BM$16))</f>
        <v>R</v>
      </c>
      <c r="BO87" s="69" t="str">
        <f>IF(BO$7&gt;$D$3,"",_xlfn.XLOOKUP(BO$7,'Quality MB'!$M$6:$BM$6,'Quality MB'!$M$16:$BM$16))</f>
        <v>R</v>
      </c>
      <c r="BP87" s="69" t="str">
        <f>IF(BP$7&gt;$D$3,"",_xlfn.XLOOKUP(BP$7,'Quality MB'!$M$6:$BM$6,'Quality MB'!$M$16:$BM$16))</f>
        <v>R</v>
      </c>
      <c r="BQ87" s="69" t="str">
        <f>IF(BQ$7&gt;$D$3,"",_xlfn.XLOOKUP(BQ$7,'Quality MB'!$M$6:$BM$6,'Quality MB'!$M$16:$BM$16))</f>
        <v>G</v>
      </c>
      <c r="BR87" s="69" t="str">
        <f>IF(BR$7&gt;$D$3,"",_xlfn.XLOOKUP(BR$7,'Quality MB'!$M$6:$BM$6,'Quality MB'!$M$16:$BM$16))</f>
        <v>G</v>
      </c>
      <c r="BS87" s="69" t="str">
        <f>IF(BS$7&gt;$D$3,"",_xlfn.XLOOKUP(BS$7,'Quality MB'!$M$6:$BM$6,'Quality MB'!$M$16:$BM$16))</f>
        <v>G</v>
      </c>
      <c r="BT87" s="69" t="str">
        <f>IF(BT$7&gt;$D$3,"",_xlfn.XLOOKUP(BT$7,'Quality MB'!$M$6:$BM$6,'Quality MB'!$M$16:$BM$16))</f>
        <v>G</v>
      </c>
      <c r="BU87" s="69" t="str">
        <f>IF(BU$7&gt;$D$3,"",_xlfn.XLOOKUP(BU$7,'Quality MB'!$M$6:$BM$6,'Quality MB'!$M$16:$BM$16))</f>
        <v>G</v>
      </c>
      <c r="BV87" s="69" t="str">
        <f>IF(BV$7&gt;$D$3,"",_xlfn.XLOOKUP(BV$7,'Quality MB'!$M$6:$BM$6,'Quality MB'!$M$16:$BM$16))</f>
        <v>G</v>
      </c>
      <c r="BW87" s="69" t="str">
        <f>IF(BW$7&gt;$D$3,"",_xlfn.XLOOKUP(BW$7,'Quality MB'!$M$6:$BM$6,'Quality MB'!$M$16:$BM$16))</f>
        <v>G</v>
      </c>
      <c r="BX87" s="69" t="str">
        <f>IF(BX$7&gt;$D$3,"",_xlfn.XLOOKUP(BX$7,'Quality MB'!$M$6:$BM$6,'Quality MB'!$M$16:$BM$16))</f>
        <v>G</v>
      </c>
      <c r="BY87" s="69" t="str">
        <f>IF(BY$7&gt;$D$3,"",_xlfn.XLOOKUP(BY$7,'Quality MB'!$M$6:$BM$6,'Quality MB'!$M$16:$BM$16))</f>
        <v>G</v>
      </c>
      <c r="BZ87" s="69" t="str">
        <f>IF(BZ$7&gt;$D$3,"",_xlfn.XLOOKUP(BZ$7,'Quality MB'!$M$6:$BM$6,'Quality MB'!$M$16:$BM$16))</f>
        <v>G</v>
      </c>
      <c r="CA87" s="69" t="str">
        <f>IF(CA$7&gt;$D$3,"",_xlfn.XLOOKUP(CA$7,'Quality MB'!$M$6:$BM$6,'Quality MB'!$M$16:$BM$16))</f>
        <v>G</v>
      </c>
      <c r="CB87" s="69" t="str">
        <f>IF(CB$7&gt;$D$3,"",_xlfn.XLOOKUP(CB$7,'Quality MB'!$M$6:$BM$6,'Quality MB'!$M$16:$BM$16))</f>
        <v>G</v>
      </c>
      <c r="CC87" s="69" t="str">
        <f>IF(CC$7&gt;$D$3,"",_xlfn.XLOOKUP(CC$7,'Quality MB'!$M$6:$BM$6,'Quality MB'!$M$16:$BM$16))</f>
        <v/>
      </c>
      <c r="CD87" s="69" t="str">
        <f>IF(CD$7&gt;$D$3,"",_xlfn.XLOOKUP(CD$7,'Quality MB'!$M$6:$BM$6,'Quality MB'!$M$16:$BM$16))</f>
        <v/>
      </c>
      <c r="CE87" s="69" t="str">
        <f>IF(CE$7&gt;$D$3,"",_xlfn.XLOOKUP(CE$7,'Quality MB'!$M$6:$BM$6,'Quality MB'!$M$16:$BM$16))</f>
        <v/>
      </c>
      <c r="CF87" s="69" t="str">
        <f>IF(CF$7&gt;$D$3,"",_xlfn.XLOOKUP(CF$7,'Quality MB'!$M$6:$BM$6,'Quality MB'!$M$16:$BM$16))</f>
        <v/>
      </c>
      <c r="CG87" s="69" t="str">
        <f>IF(CG$7&gt;$D$3,"",_xlfn.XLOOKUP(CG$7,'Quality MB'!$M$6:$BM$6,'Quality MB'!$M$16:$BM$16))</f>
        <v/>
      </c>
      <c r="CH87" s="69" t="str">
        <f>IF(CH$7&gt;$D$3,"",_xlfn.XLOOKUP(CH$7,'Quality MB'!$M$6:$BM$6,'Quality MB'!$M$16:$BM$16))</f>
        <v/>
      </c>
      <c r="CI87" s="69" t="str">
        <f>IF(CI$7&gt;$D$3,"",_xlfn.XLOOKUP(CI$7,'Quality MB'!$M$6:$BM$6,'Quality MB'!$M$16:$BM$16))</f>
        <v/>
      </c>
      <c r="CJ87" s="69" t="str">
        <f>IF(CJ$7&gt;$D$3,"",_xlfn.XLOOKUP(CJ$7,'Quality MB'!$M$6:$BM$6,'Quality MB'!$M$16:$BM$16))</f>
        <v/>
      </c>
      <c r="CK87" s="69" t="str">
        <f>IF(CK$7&gt;$D$3,"",_xlfn.XLOOKUP(CK$7,'Quality MB'!$M$6:$BM$6,'Quality MB'!$M$16:$BM$16))</f>
        <v/>
      </c>
      <c r="CL87" s="69" t="str">
        <f>IF(CL$7&gt;$D$3,"",_xlfn.XLOOKUP(CL$7,'Quality MB'!$M$6:$BM$6,'Quality MB'!$M$16:$BM$16))</f>
        <v/>
      </c>
      <c r="CM87" s="69" t="str">
        <f>IF(CM$7&gt;$D$3,"",_xlfn.XLOOKUP(CM$7,'Quality MB'!$M$6:$BM$6,'Quality MB'!$M$16:$BM$16))</f>
        <v/>
      </c>
      <c r="CO87" s="465" t="str">
        <f>+$A87</f>
        <v>Quality Maybole-KPI Q1</v>
      </c>
      <c r="CP87" s="136" t="str">
        <f t="shared" si="298"/>
        <v>KPI Q1</v>
      </c>
      <c r="CQ87" s="144" t="str">
        <f t="shared" si="298"/>
        <v>Quality</v>
      </c>
      <c r="CR87" s="144" t="str">
        <f t="shared" si="284"/>
        <v>Customer Complaints (Maybole only)</v>
      </c>
      <c r="CS87" s="145" t="str">
        <f t="shared" si="284"/>
        <v>Count</v>
      </c>
      <c r="CT87" s="207" t="s">
        <v>246</v>
      </c>
      <c r="CU87" s="423" t="str">
        <f>IF(CU$7&gt;$D$3,"",_xlfn.XLOOKUP(CU$7,'Quality MB'!$M$6:$BM$6,'Quality MB'!$M$16:$BM$16))</f>
        <v>Blank</v>
      </c>
      <c r="CV87" s="323" t="str">
        <f>IFERROR(IF(CV$7&gt;$D$3,"",IF(AN87="OD","OD",IF(AN87="Undefined","Undefined",IF(AN87="Missed","Missed",IF(AN85="TBC","TBC",IF(AN85="OD","OD",IF(_xlfn.XLOOKUP(CV$7,'Quality MB'!$M$6:$BM$6,'Quality MB'!$M$15:$BM$15)=0,100%,_xlfn.XLOOKUP(CV$7,'Quality MB'!$M$6:$BM$6,'Quality MB'!$M$15:$BM$15)/_xlfn.XLOOKUP(CV$7,'Quality MB'!$M$6:$BM$6,'Quality MB'!$M$14:$BM$14)))))))),CR6)</f>
        <v>TBC</v>
      </c>
      <c r="CW87" s="315" t="str">
        <f>IFERROR(IF(CW$7&gt;$D$3,"",IF(AO87="OD","OD",IF(AO87="Undefined","Undefined",IF(AO87="Missed","Missed",IF(AO85="TBC","TBC",IF(AO85="OD","OD",IF(_xlfn.XLOOKUP(CW$7,'Quality MB'!$M$6:$BM$6,'Quality MB'!$M$15:$BM$15)=0,100%,_xlfn.XLOOKUP(CW$7,'Quality MB'!$M$6:$BM$6,'Quality MB'!$M$15:$BM$15)/_xlfn.XLOOKUP(CW$7,'Quality MB'!$M$6:$BM$6,'Quality MB'!$M$14:$BM$14)))))))),CS6)</f>
        <v>TBC</v>
      </c>
      <c r="CX87" s="315" t="str">
        <f>IFERROR(IF(CX$7&gt;$D$3,"",IF(AP87="OD","OD",IF(AP87="Undefined","Undefined",IF(AP87="Missed","Missed",IF(AP85="TBC","TBC",IF(AP85="OD","OD",IF(_xlfn.XLOOKUP(CX$7,'Quality MB'!$M$6:$BM$6,'Quality MB'!$M$15:$BM$15)=0,100%,_xlfn.XLOOKUP(CX$7,'Quality MB'!$M$6:$BM$6,'Quality MB'!$M$15:$BM$15)/_xlfn.XLOOKUP(CX$7,'Quality MB'!$M$6:$BM$6,'Quality MB'!$M$14:$BM$14)))))))),CT6)</f>
        <v>TBC</v>
      </c>
      <c r="CY87" s="315" t="str">
        <f>IFERROR(IF(CY$7&gt;$D$3,"",IF(AQ87="OD","OD",IF(AQ87="Undefined","Undefined",IF(AQ87="Missed","Missed",IF(AQ85="TBC","TBC",IF(AQ85="OD","OD",IF(_xlfn.XLOOKUP(CY$7,'Quality MB'!$M$6:$BM$6,'Quality MB'!$M$15:$BM$15)=0,100%,_xlfn.XLOOKUP(CY$7,'Quality MB'!$M$6:$BM$6,'Quality MB'!$M$15:$BM$15)/_xlfn.XLOOKUP(CY$7,'Quality MB'!$M$6:$BM$6,'Quality MB'!$M$14:$BM$14)))))))),CU6)</f>
        <v>TBC</v>
      </c>
      <c r="CZ87" s="315" t="str">
        <f>IFERROR(IF(CZ$7&gt;$D$3,"",IF(AR87="OD","OD",IF(AR87="Undefined","Undefined",IF(AR87="Missed","Missed",IF(AR85="TBC","TBC",IF(AR85="OD","OD",IF(_xlfn.XLOOKUP(CZ$7,'Quality MB'!$M$6:$BM$6,'Quality MB'!$M$15:$BM$15)=0,100%,_xlfn.XLOOKUP(CZ$7,'Quality MB'!$M$6:$BM$6,'Quality MB'!$M$15:$BM$15)/_xlfn.XLOOKUP(CZ$7,'Quality MB'!$M$6:$BM$6,'Quality MB'!$M$14:$BM$14)))))))),CV6)</f>
        <v>TBC</v>
      </c>
      <c r="DA87" s="315" t="str">
        <f>IFERROR(IF(DA$7&gt;$D$3,"",IF(AS87="OD","OD",IF(AS87="Undefined","Undefined",IF(AS87="Missed","Missed",IF(AS85="TBC","TBC",IF(AS85="OD","OD",IF(_xlfn.XLOOKUP(DA$7,'Quality MB'!$M$6:$BM$6,'Quality MB'!$M$15:$BM$15)=0,100%,_xlfn.XLOOKUP(DA$7,'Quality MB'!$M$6:$BM$6,'Quality MB'!$M$15:$BM$15)/_xlfn.XLOOKUP(DA$7,'Quality MB'!$M$6:$BM$6,'Quality MB'!$M$14:$BM$14)))))))),CW6)</f>
        <v>TBC</v>
      </c>
      <c r="DB87" s="315" t="str">
        <f>IFERROR(IF(DB$7&gt;$D$3,"",IF(AT87="OD","OD",IF(AT87="Undefined","Undefined",IF(AT87="Missed","Missed",IF(AT85="TBC","TBC",IF(AT85="OD","OD",IF(_xlfn.XLOOKUP(DB$7,'Quality MB'!$M$6:$BM$6,'Quality MB'!$M$15:$BM$15)=0,100%,_xlfn.XLOOKUP(DB$7,'Quality MB'!$M$6:$BM$6,'Quality MB'!$M$15:$BM$15)/_xlfn.XLOOKUP(DB$7,'Quality MB'!$M$6:$BM$6,'Quality MB'!$M$14:$BM$14)))))))),CX6)</f>
        <v>TBC</v>
      </c>
      <c r="DC87" s="315" t="str">
        <f>IFERROR(IF(DC$7&gt;$D$3,"",IF(AU87="OD","OD",IF(AU87="Undefined","Undefined",IF(AU87="Missed","Missed",IF(AU85="TBC","TBC",IF(AU85="OD","OD",IF(_xlfn.XLOOKUP(DC$7,'Quality MB'!$M$6:$BM$6,'Quality MB'!$M$15:$BM$15)=0,100%,_xlfn.XLOOKUP(DC$7,'Quality MB'!$M$6:$BM$6,'Quality MB'!$M$15:$BM$15)/_xlfn.XLOOKUP(DC$7,'Quality MB'!$M$6:$BM$6,'Quality MB'!$M$14:$BM$14)))))))),CY6)</f>
        <v>TBC</v>
      </c>
      <c r="DD87" s="315" t="str">
        <f>IFERROR(IF(DD$7&gt;$D$3,"",IF(AV87="OD","OD",IF(AV87="Undefined","Undefined",IF(AV87="Missed","Missed",IF(AV85="TBC","TBC",IF(AV85="OD","OD",IF(_xlfn.XLOOKUP(DD$7,'Quality MB'!$M$6:$BM$6,'Quality MB'!$M$15:$BM$15)=0,100%,_xlfn.XLOOKUP(DD$7,'Quality MB'!$M$6:$BM$6,'Quality MB'!$M$15:$BM$15)/_xlfn.XLOOKUP(DD$7,'Quality MB'!$M$6:$BM$6,'Quality MB'!$M$14:$BM$14)))))))),CZ6)</f>
        <v>TBC</v>
      </c>
      <c r="DE87" s="315" t="str">
        <f>IFERROR(IF(DE$7&gt;$D$3,"",IF(AW87="OD","OD",IF(AW87="Undefined","Undefined",IF(AW87="Missed","Missed",IF(AW85="TBC","TBC",IF(AW85="OD","OD",IF(_xlfn.XLOOKUP(DE$7,'Quality MB'!$M$6:$BM$6,'Quality MB'!$M$15:$BM$15)=0,100%,_xlfn.XLOOKUP(DE$7,'Quality MB'!$M$6:$BM$6,'Quality MB'!$M$15:$BM$15)/_xlfn.XLOOKUP(DE$7,'Quality MB'!$M$6:$BM$6,'Quality MB'!$M$14:$BM$14)))))))),DA6)</f>
        <v>TBC</v>
      </c>
      <c r="DF87" s="315" t="str">
        <f>IFERROR(IF(DF$7&gt;$D$3,"",IF(AX87="OD","OD",IF(AX87="Undefined","Undefined",IF(AX87="Missed","Missed",IF(AX85="TBC","TBC",IF(AX85="OD","OD",IF(_xlfn.XLOOKUP(DF$7,'Quality MB'!$M$6:$BM$6,'Quality MB'!$M$15:$BM$15)=0,100%,_xlfn.XLOOKUP(DF$7,'Quality MB'!$M$6:$BM$6,'Quality MB'!$M$15:$BM$15)/_xlfn.XLOOKUP(DF$7,'Quality MB'!$M$6:$BM$6,'Quality MB'!$M$14:$BM$14)))))))),DB6)</f>
        <v>TBC</v>
      </c>
      <c r="DG87" s="315" t="str">
        <f>IFERROR(IF(DG$7&gt;$D$3,"",IF(AY87="OD","OD",IF(AY87="Undefined","Undefined",IF(AY87="Missed","Missed",IF(AY85="TBC","TBC",IF(AY85="OD","OD",IF(_xlfn.XLOOKUP(DG$7,'Quality MB'!$M$6:$BM$6,'Quality MB'!$M$15:$BM$15)=0,100%,_xlfn.XLOOKUP(DG$7,'Quality MB'!$M$6:$BM$6,'Quality MB'!$M$15:$BM$15)/_xlfn.XLOOKUP(DG$7,'Quality MB'!$M$6:$BM$6,'Quality MB'!$M$14:$BM$14)))))))),DC6)</f>
        <v>TBC</v>
      </c>
      <c r="DH87" s="315">
        <f>IFERROR(IF(DH$7&gt;$D$3,"",IF(AZ87="OD","OD",IF(AZ87="Undefined","Undefined",IF(AZ87="Missed","Missed",IF(AZ85="TBC","TBC",IF(AZ85="OD","OD",IF(_xlfn.XLOOKUP(DH$7,'Quality MB'!$M$6:$BM$6,'Quality MB'!$M$15:$BM$15)=0,100%,_xlfn.XLOOKUP(DH$7,'Quality MB'!$M$6:$BM$6,'Quality MB'!$M$15:$BM$15)/_xlfn.XLOOKUP(DH$7,'Quality MB'!$M$6:$BM$6,'Quality MB'!$M$14:$BM$14)))))))),DD6)</f>
        <v>3</v>
      </c>
      <c r="DI87" s="315">
        <f>IFERROR(IF(DI$7&gt;$D$3,"",IF(BA87="OD","OD",IF(BA87="Undefined","Undefined",IF(BA87="Missed","Missed",IF(BA85="TBC","TBC",IF(BA85="OD","OD",IF(_xlfn.XLOOKUP(DI$7,'Quality MB'!$M$6:$BM$6,'Quality MB'!$M$15:$BM$15)=0,100%,_xlfn.XLOOKUP(DI$7,'Quality MB'!$M$6:$BM$6,'Quality MB'!$M$15:$BM$15)/_xlfn.XLOOKUP(DI$7,'Quality MB'!$M$6:$BM$6,'Quality MB'!$M$14:$BM$14)))))))),DE6)</f>
        <v>3</v>
      </c>
      <c r="DJ87" s="315">
        <f>IFERROR(IF(DJ$7&gt;$D$3,"",IF(BB87="OD","OD",IF(BB87="Undefined","Undefined",IF(BB87="Missed","Missed",IF(BB85="TBC","TBC",IF(BB85="OD","OD",IF(_xlfn.XLOOKUP(DJ$7,'Quality MB'!$M$6:$BM$6,'Quality MB'!$M$15:$BM$15)=0,100%,_xlfn.XLOOKUP(DJ$7,'Quality MB'!$M$6:$BM$6,'Quality MB'!$M$15:$BM$15)/_xlfn.XLOOKUP(DJ$7,'Quality MB'!$M$6:$BM$6,'Quality MB'!$M$14:$BM$14)))))))),DF6)</f>
        <v>1</v>
      </c>
      <c r="DK87" s="315">
        <f>IFERROR(IF(DK$7&gt;$D$3,"",IF(BC87="OD","OD",IF(BC87="Undefined","Undefined",IF(BC87="Missed","Missed",IF(BC85="TBC","TBC",IF(BC85="OD","OD",IF(_xlfn.XLOOKUP(DK$7,'Quality MB'!$M$6:$BM$6,'Quality MB'!$M$15:$BM$15)=0,100%,_xlfn.XLOOKUP(DK$7,'Quality MB'!$M$6:$BM$6,'Quality MB'!$M$15:$BM$15)/_xlfn.XLOOKUP(DK$7,'Quality MB'!$M$6:$BM$6,'Quality MB'!$M$14:$BM$14)))))))),DG6)</f>
        <v>1</v>
      </c>
      <c r="DL87" s="315">
        <f>IFERROR(IF(DL$7&gt;$D$3,"",IF(BD87="OD","OD",IF(BD87="Undefined","Undefined",IF(BD87="Missed","Missed",IF(BD85="TBC","TBC",IF(BD85="OD","OD",IF(_xlfn.XLOOKUP(DL$7,'Quality MB'!$M$6:$BM$6,'Quality MB'!$M$15:$BM$15)=0,100%,_xlfn.XLOOKUP(DL$7,'Quality MB'!$M$6:$BM$6,'Quality MB'!$M$15:$BM$15)/_xlfn.XLOOKUP(DL$7,'Quality MB'!$M$6:$BM$6,'Quality MB'!$M$14:$BM$14)))))))),DH6)</f>
        <v>1</v>
      </c>
      <c r="DM87" s="315">
        <f>IFERROR(IF(DM$7&gt;$D$3,"",IF(BE87="OD","OD",IF(BE87="Undefined","Undefined",IF(BE87="Missed","Missed",IF(BE85="TBC","TBC",IF(BE85="OD","OD",IF(_xlfn.XLOOKUP(DM$7,'Quality MB'!$M$6:$BM$6,'Quality MB'!$M$15:$BM$15)=0,100%,_xlfn.XLOOKUP(DM$7,'Quality MB'!$M$6:$BM$6,'Quality MB'!$M$15:$BM$15)/_xlfn.XLOOKUP(DM$7,'Quality MB'!$M$6:$BM$6,'Quality MB'!$M$14:$BM$14)))))))),DI6)</f>
        <v>1</v>
      </c>
      <c r="DN87" s="315">
        <f>IFERROR(IF(DN$7&gt;$D$3,"",IF(BF87="OD","OD",IF(BF87="Undefined","Undefined",IF(BF87="Missed","Missed",IF(BF85="TBC","TBC",IF(BF85="OD","OD",IF(_xlfn.XLOOKUP(DN$7,'Quality MB'!$M$6:$BM$6,'Quality MB'!$M$15:$BM$15)=0,100%,_xlfn.XLOOKUP(DN$7,'Quality MB'!$M$6:$BM$6,'Quality MB'!$M$15:$BM$15)/_xlfn.XLOOKUP(DN$7,'Quality MB'!$M$6:$BM$6,'Quality MB'!$M$14:$BM$14)))))))),DJ6)</f>
        <v>1</v>
      </c>
      <c r="DO87" s="315">
        <f>IFERROR(IF(DO$7&gt;$D$3,"",IF(BG87="OD","OD",IF(BG87="Undefined","Undefined",IF(BG87="Missed","Missed",IF(BG85="TBC","TBC",IF(BG85="OD","OD",IF(_xlfn.XLOOKUP(DO$7,'Quality MB'!$M$6:$BM$6,'Quality MB'!$M$15:$BM$15)=0,100%,_xlfn.XLOOKUP(DO$7,'Quality MB'!$M$6:$BM$6,'Quality MB'!$M$15:$BM$15)/_xlfn.XLOOKUP(DO$7,'Quality MB'!$M$6:$BM$6,'Quality MB'!$M$14:$BM$14)))))))),DK6)</f>
        <v>1</v>
      </c>
      <c r="DP87" s="315">
        <f>IFERROR(IF(DP$7&gt;$D$3,"",IF(BH87="OD","OD",IF(BH87="Undefined","Undefined",IF(BH87="Missed","Missed",IF(BH85="TBC","TBC",IF(BH85="OD","OD",IF(_xlfn.XLOOKUP(DP$7,'Quality MB'!$M$6:$BM$6,'Quality MB'!$M$15:$BM$15)=0,100%,_xlfn.XLOOKUP(DP$7,'Quality MB'!$M$6:$BM$6,'Quality MB'!$M$15:$BM$15)/_xlfn.XLOOKUP(DP$7,'Quality MB'!$M$6:$BM$6,'Quality MB'!$M$14:$BM$14)))))))),DL6)</f>
        <v>1</v>
      </c>
      <c r="DQ87" s="315">
        <f>IFERROR(IF(DQ$7&gt;$D$3,"",IF(BI87="OD","OD",IF(BI87="Undefined","Undefined",IF(BI87="Missed","Missed",IF(BI85="TBC","TBC",IF(BI85="OD","OD",IF(_xlfn.XLOOKUP(DQ$7,'Quality MB'!$M$6:$BM$6,'Quality MB'!$M$15:$BM$15)=0,100%,_xlfn.XLOOKUP(DQ$7,'Quality MB'!$M$6:$BM$6,'Quality MB'!$M$15:$BM$15)/_xlfn.XLOOKUP(DQ$7,'Quality MB'!$M$6:$BM$6,'Quality MB'!$M$14:$BM$14)))))))),DM6)</f>
        <v>1</v>
      </c>
      <c r="DR87" s="315">
        <f>IFERROR(IF(DR$7&gt;$D$3,"",IF(BJ87="OD","OD",IF(BJ87="Undefined","Undefined",IF(BJ87="Missed","Missed",IF(BJ85="TBC","TBC",IF(BJ85="OD","OD",IF(_xlfn.XLOOKUP(DR$7,'Quality MB'!$M$6:$BM$6,'Quality MB'!$M$15:$BM$15)=0,100%,_xlfn.XLOOKUP(DR$7,'Quality MB'!$M$6:$BM$6,'Quality MB'!$M$15:$BM$15)/_xlfn.XLOOKUP(DR$7,'Quality MB'!$M$6:$BM$6,'Quality MB'!$M$14:$BM$14)))))))),DN6)</f>
        <v>1</v>
      </c>
      <c r="DS87" s="315">
        <f>IFERROR(IF(DS$7&gt;$D$3,"",IF(BK87="OD","OD",IF(BK87="Undefined","Undefined",IF(BK87="Missed","Missed",IF(BK85="TBC","TBC",IF(BK85="OD","OD",IF(_xlfn.XLOOKUP(DS$7,'Quality MB'!$M$6:$BM$6,'Quality MB'!$M$15:$BM$15)=0,100%,_xlfn.XLOOKUP(DS$7,'Quality MB'!$M$6:$BM$6,'Quality MB'!$M$15:$BM$15)/_xlfn.XLOOKUP(DS$7,'Quality MB'!$M$6:$BM$6,'Quality MB'!$M$14:$BM$14)))))))),DO6)</f>
        <v>1</v>
      </c>
      <c r="DT87" s="315">
        <f>IFERROR(IF(DT$7&gt;$D$3,"",IF(BL87="OD","OD",IF(BL87="Undefined","Undefined",IF(BL87="Missed","Missed",IF(BL85="TBC","TBC",IF(BL85="OD","OD",IF(_xlfn.XLOOKUP(DT$7,'Quality MB'!$M$6:$BM$6,'Quality MB'!$M$15:$BM$15)=0,100%,_xlfn.XLOOKUP(DT$7,'Quality MB'!$M$6:$BM$6,'Quality MB'!$M$15:$BM$15)/_xlfn.XLOOKUP(DT$7,'Quality MB'!$M$6:$BM$6,'Quality MB'!$M$14:$BM$14)))))))),DP6)</f>
        <v>2</v>
      </c>
      <c r="DU87" s="315">
        <f>IFERROR(IF(DU$7&gt;$D$3,"",IF(BM87="OD","OD",IF(BM87="Undefined","Undefined",IF(BM87="Missed","Missed",IF(BM85="TBC","TBC",IF(BM85="OD","OD",IF(_xlfn.XLOOKUP(DU$7,'Quality MB'!$M$6:$BM$6,'Quality MB'!$M$15:$BM$15)=0,100%,_xlfn.XLOOKUP(DU$7,'Quality MB'!$M$6:$BM$6,'Quality MB'!$M$15:$BM$15)/_xlfn.XLOOKUP(DU$7,'Quality MB'!$M$6:$BM$6,'Quality MB'!$M$14:$BM$14)))))))),DQ6)</f>
        <v>1</v>
      </c>
      <c r="DV87" s="315">
        <f>IFERROR(IF(DV$7&gt;$D$3,"",IF(BN87="OD","OD",IF(BN87="Undefined","Undefined",IF(BN87="Missed","Missed",IF(BN85="TBC","TBC",IF(BN85="OD","OD",IF(_xlfn.XLOOKUP(DV$7,'Quality MB'!$M$6:$BM$6,'Quality MB'!$M$15:$BM$15)=0,100%,_xlfn.XLOOKUP(DV$7,'Quality MB'!$M$6:$BM$6,'Quality MB'!$M$15:$BM$15)/_xlfn.XLOOKUP(DV$7,'Quality MB'!$M$6:$BM$6,'Quality MB'!$M$14:$BM$14)))))))),DR6)</f>
        <v>2</v>
      </c>
      <c r="DW87" s="315">
        <f>IFERROR(IF(DW$7&gt;$D$3,"",IF(BO87="OD","OD",IF(BO87="Undefined","Undefined",IF(BO87="Missed","Missed",IF(BO85="TBC","TBC",IF(BO85="OD","OD",IF(_xlfn.XLOOKUP(DW$7,'Quality MB'!$M$6:$BM$6,'Quality MB'!$M$15:$BM$15)=0,100%,_xlfn.XLOOKUP(DW$7,'Quality MB'!$M$6:$BM$6,'Quality MB'!$M$15:$BM$15)/_xlfn.XLOOKUP(DW$7,'Quality MB'!$M$6:$BM$6,'Quality MB'!$M$14:$BM$14)))))))),DS6)</f>
        <v>2</v>
      </c>
      <c r="DX87" s="315">
        <f>IFERROR(IF(DX$7&gt;$D$3,"",IF(BP87="OD","OD",IF(BP87="Undefined","Undefined",IF(BP87="Missed","Missed",IF(BP85="TBC","TBC",IF(BP85="OD","OD",IF(_xlfn.XLOOKUP(DX$7,'Quality MB'!$M$6:$BM$6,'Quality MB'!$M$15:$BM$15)=0,100%,_xlfn.XLOOKUP(DX$7,'Quality MB'!$M$6:$BM$6,'Quality MB'!$M$15:$BM$15)/_xlfn.XLOOKUP(DX$7,'Quality MB'!$M$6:$BM$6,'Quality MB'!$M$14:$BM$14)))))))),DT6)</f>
        <v>2</v>
      </c>
      <c r="DY87" s="315">
        <f>IFERROR(IF(DY$7&gt;$D$3,"",IF(BQ87="OD","OD",IF(BQ87="Undefined","Undefined",IF(BQ87="Missed","Missed",IF(BQ85="TBC","TBC",IF(BQ85="OD","OD",IF(_xlfn.XLOOKUP(DY$7,'Quality MB'!$M$6:$BM$6,'Quality MB'!$M$15:$BM$15)=0,100%,_xlfn.XLOOKUP(DY$7,'Quality MB'!$M$6:$BM$6,'Quality MB'!$M$15:$BM$15)/_xlfn.XLOOKUP(DY$7,'Quality MB'!$M$6:$BM$6,'Quality MB'!$M$14:$BM$14)))))))),DU6)</f>
        <v>1</v>
      </c>
      <c r="DZ87" s="315">
        <f>IFERROR(IF(DZ$7&gt;$D$3,"",IF(BR87="OD","OD",IF(BR87="Undefined","Undefined",IF(BR87="Missed","Missed",IF(BR85="TBC","TBC",IF(BR85="OD","OD",IF(_xlfn.XLOOKUP(DZ$7,'Quality MB'!$M$6:$BM$6,'Quality MB'!$M$15:$BM$15)=0,100%,_xlfn.XLOOKUP(DZ$7,'Quality MB'!$M$6:$BM$6,'Quality MB'!$M$15:$BM$15)/_xlfn.XLOOKUP(DZ$7,'Quality MB'!$M$6:$BM$6,'Quality MB'!$M$14:$BM$14)))))))),DV6)</f>
        <v>1</v>
      </c>
      <c r="EA87" s="315">
        <f>IFERROR(IF(EA$7&gt;$D$3,"",IF(BS87="OD","OD",IF(BS87="Undefined","Undefined",IF(BS87="Missed","Missed",IF(BS85="TBC","TBC",IF(BS85="OD","OD",IF(_xlfn.XLOOKUP(EA$7,'Quality MB'!$M$6:$BM$6,'Quality MB'!$M$15:$BM$15)=0,100%,_xlfn.XLOOKUP(EA$7,'Quality MB'!$M$6:$BM$6,'Quality MB'!$M$15:$BM$15)/_xlfn.XLOOKUP(EA$7,'Quality MB'!$M$6:$BM$6,'Quality MB'!$M$14:$BM$14)))))))),DW6)</f>
        <v>1</v>
      </c>
      <c r="EB87" s="315">
        <f>IFERROR(IF(EB$7&gt;$D$3,"",IF(BT87="OD","OD",IF(BT87="Undefined","Undefined",IF(BT87="Missed","Missed",IF(BT85="TBC","TBC",IF(BT85="OD","OD",IF(_xlfn.XLOOKUP(EB$7,'Quality MB'!$M$6:$BM$6,'Quality MB'!$M$15:$BM$15)=0,100%,_xlfn.XLOOKUP(EB$7,'Quality MB'!$M$6:$BM$6,'Quality MB'!$M$15:$BM$15)/_xlfn.XLOOKUP(EB$7,'Quality MB'!$M$6:$BM$6,'Quality MB'!$M$14:$BM$14)))))))),DX6)</f>
        <v>1</v>
      </c>
      <c r="EC87" s="315">
        <f>IFERROR(IF(EC$7&gt;$D$3,"",IF(BU87="OD","OD",IF(BU87="Undefined","Undefined",IF(BU87="Missed","Missed",IF(BU85="TBC","TBC",IF(BU85="OD","OD",IF(_xlfn.XLOOKUP(EC$7,'Quality MB'!$M$6:$BM$6,'Quality MB'!$M$15:$BM$15)=0,100%,_xlfn.XLOOKUP(EC$7,'Quality MB'!$M$6:$BM$6,'Quality MB'!$M$15:$BM$15)/_xlfn.XLOOKUP(EC$7,'Quality MB'!$M$6:$BM$6,'Quality MB'!$M$14:$BM$14)))))))),DY6)</f>
        <v>1</v>
      </c>
      <c r="ED87" s="315">
        <f>IFERROR(IF(ED$7&gt;$D$3,"",IF(BV87="OD","OD",IF(BV87="Undefined","Undefined",IF(BV87="Missed","Missed",IF(BV85="TBC","TBC",IF(BV85="OD","OD",IF(_xlfn.XLOOKUP(ED$7,'Quality MB'!$M$6:$BM$6,'Quality MB'!$M$15:$BM$15)=0,100%,_xlfn.XLOOKUP(ED$7,'Quality MB'!$M$6:$BM$6,'Quality MB'!$M$15:$BM$15)/_xlfn.XLOOKUP(ED$7,'Quality MB'!$M$6:$BM$6,'Quality MB'!$M$14:$BM$14)))))))),DZ6)</f>
        <v>1</v>
      </c>
      <c r="EE87" s="315">
        <f>IFERROR(IF(EE$7&gt;$D$3,"",IF(BW87="OD","OD",IF(BW87="Undefined","Undefined",IF(BW87="Missed","Missed",IF(BW85="TBC","TBC",IF(BW85="OD","OD",IF(_xlfn.XLOOKUP(EE$7,'Quality MB'!$M$6:$BM$6,'Quality MB'!$M$15:$BM$15)=0,100%,_xlfn.XLOOKUP(EE$7,'Quality MB'!$M$6:$BM$6,'Quality MB'!$M$15:$BM$15)/_xlfn.XLOOKUP(EE$7,'Quality MB'!$M$6:$BM$6,'Quality MB'!$M$14:$BM$14)))))))),EA6)</f>
        <v>1</v>
      </c>
      <c r="EF87" s="315">
        <f>IFERROR(IF(EF$7&gt;$D$3,"",IF(BX87="OD","OD",IF(BX87="Undefined","Undefined",IF(BX87="Missed","Missed",IF(BX85="TBC","TBC",IF(BX85="OD","OD",IF(_xlfn.XLOOKUP(EF$7,'Quality MB'!$M$6:$BM$6,'Quality MB'!$M$15:$BM$15)=0,100%,_xlfn.XLOOKUP(EF$7,'Quality MB'!$M$6:$BM$6,'Quality MB'!$M$15:$BM$15)/_xlfn.XLOOKUP(EF$7,'Quality MB'!$M$6:$BM$6,'Quality MB'!$M$14:$BM$14)))))))),EB6)</f>
        <v>1</v>
      </c>
      <c r="EG87" s="315">
        <f>IFERROR(IF(EG$7&gt;$D$3,"",IF(BY87="OD","OD",IF(BY87="Undefined","Undefined",IF(BY87="Missed","Missed",IF(BY85="TBC","TBC",IF(BY85="OD","OD",IF(_xlfn.XLOOKUP(EG$7,'Quality MB'!$M$6:$BM$6,'Quality MB'!$M$15:$BM$15)=0,100%,_xlfn.XLOOKUP(EG$7,'Quality MB'!$M$6:$BM$6,'Quality MB'!$M$15:$BM$15)/_xlfn.XLOOKUP(EG$7,'Quality MB'!$M$6:$BM$6,'Quality MB'!$M$14:$BM$14)))))))),EC6)</f>
        <v>1</v>
      </c>
      <c r="EH87" s="315">
        <f>IFERROR(IF(EH$7&gt;$D$3,"",IF(BZ87="OD","OD",IF(BZ87="Undefined","Undefined",IF(BZ87="Missed","Missed",IF(BZ85="TBC","TBC",IF(BZ85="OD","OD",IF(_xlfn.XLOOKUP(EH$7,'Quality MB'!$M$6:$BM$6,'Quality MB'!$M$15:$BM$15)=0,100%,_xlfn.XLOOKUP(EH$7,'Quality MB'!$M$6:$BM$6,'Quality MB'!$M$15:$BM$15)/_xlfn.XLOOKUP(EH$7,'Quality MB'!$M$6:$BM$6,'Quality MB'!$M$14:$BM$14)))))))),ED6)</f>
        <v>1</v>
      </c>
      <c r="EI87" s="315">
        <f>IFERROR(IF(EI$7&gt;$D$3,"",IF(CA87="OD","OD",IF(CA87="Undefined","Undefined",IF(CA87="Missed","Missed",IF(CA85="TBC","TBC",IF(CA85="OD","OD",IF(_xlfn.XLOOKUP(EI$7,'Quality MB'!$M$6:$BM$6,'Quality MB'!$M$15:$BM$15)=0,100%,_xlfn.XLOOKUP(EI$7,'Quality MB'!$M$6:$BM$6,'Quality MB'!$M$15:$BM$15)/_xlfn.XLOOKUP(EI$7,'Quality MB'!$M$6:$BM$6,'Quality MB'!$M$14:$BM$14)))))))),EE6)</f>
        <v>1</v>
      </c>
      <c r="EJ87" s="315">
        <f>IFERROR(IF(EJ$7&gt;$D$3,"",IF(CB87="OD","OD",IF(CB87="Undefined","Undefined",IF(CB87="Missed","Missed",IF(CB85="TBC","TBC",IF(CB85="OD","OD",IF(_xlfn.XLOOKUP(EJ$7,'Quality MB'!$M$6:$BM$6,'Quality MB'!$M$15:$BM$15)=0,100%,_xlfn.XLOOKUP(EJ$7,'Quality MB'!$M$6:$BM$6,'Quality MB'!$M$15:$BM$15)/_xlfn.XLOOKUP(EJ$7,'Quality MB'!$M$6:$BM$6,'Quality MB'!$M$14:$BM$14)))))))),EF6)</f>
        <v>1</v>
      </c>
      <c r="EK87" s="315" t="str">
        <f>IFERROR(IF(EK$7&gt;$D$3,"",IF(CC87="OD","OD",IF(CC87="Undefined","Undefined",IF(CC87="Missed","Missed",IF(CC85="TBC","TBC",IF(CC85="OD","OD",IF(_xlfn.XLOOKUP(EK$7,'Quality MB'!$M$6:$BM$6,'Quality MB'!$M$15:$BM$15)=0,100%,_xlfn.XLOOKUP(EK$7,'Quality MB'!$M$6:$BM$6,'Quality MB'!$M$15:$BM$15)/_xlfn.XLOOKUP(EK$7,'Quality MB'!$M$6:$BM$6,'Quality MB'!$M$14:$BM$14)))))))),EG6)</f>
        <v/>
      </c>
      <c r="EL87" s="315" t="str">
        <f>IFERROR(IF(EL$7&gt;$D$3,"",IF(CD87="OD","OD",IF(CD87="Undefined","Undefined",IF(CD87="Missed","Missed",IF(CD85="TBC","TBC",IF(CD85="OD","OD",IF(_xlfn.XLOOKUP(EL$7,'Quality MB'!$M$6:$BM$6,'Quality MB'!$M$15:$BM$15)=0,100%,_xlfn.XLOOKUP(EL$7,'Quality MB'!$M$6:$BM$6,'Quality MB'!$M$15:$BM$15)/_xlfn.XLOOKUP(EL$7,'Quality MB'!$M$6:$BM$6,'Quality MB'!$M$14:$BM$14)))))))),EH6)</f>
        <v/>
      </c>
      <c r="EM87" s="315" t="str">
        <f>IFERROR(IF(EM$7&gt;$D$3,"",IF(CE87="OD","OD",IF(CE87="Undefined","Undefined",IF(CE87="Missed","Missed",IF(CE85="TBC","TBC",IF(CE85="OD","OD",IF(_xlfn.XLOOKUP(EM$7,'Quality MB'!$M$6:$BM$6,'Quality MB'!$M$15:$BM$15)=0,100%,_xlfn.XLOOKUP(EM$7,'Quality MB'!$M$6:$BM$6,'Quality MB'!$M$15:$BM$15)/_xlfn.XLOOKUP(EM$7,'Quality MB'!$M$6:$BM$6,'Quality MB'!$M$14:$BM$14)))))))),EI6)</f>
        <v/>
      </c>
      <c r="EN87" s="315" t="str">
        <f>IFERROR(IF(EN$7&gt;$D$3,"",IF(CF87="OD","OD",IF(CF87="Undefined","Undefined",IF(CF87="Missed","Missed",IF(CF85="TBC","TBC",IF(CF85="OD","OD",IF(_xlfn.XLOOKUP(EN$7,'Quality MB'!$M$6:$BM$6,'Quality MB'!$M$15:$BM$15)=0,100%,_xlfn.XLOOKUP(EN$7,'Quality MB'!$M$6:$BM$6,'Quality MB'!$M$15:$BM$15)/_xlfn.XLOOKUP(EN$7,'Quality MB'!$M$6:$BM$6,'Quality MB'!$M$14:$BM$14)))))))),EJ6)</f>
        <v/>
      </c>
      <c r="EO87" s="315" t="str">
        <f>IFERROR(IF(EO$7&gt;$D$3,"",IF(CG87="OD","OD",IF(CG87="Undefined","Undefined",IF(CG87="Missed","Missed",IF(CG85="TBC","TBC",IF(CG85="OD","OD",IF(_xlfn.XLOOKUP(EO$7,'Quality MB'!$M$6:$BM$6,'Quality MB'!$M$15:$BM$15)=0,100%,_xlfn.XLOOKUP(EO$7,'Quality MB'!$M$6:$BM$6,'Quality MB'!$M$15:$BM$15)/_xlfn.XLOOKUP(EO$7,'Quality MB'!$M$6:$BM$6,'Quality MB'!$M$14:$BM$14)))))))),EK6)</f>
        <v/>
      </c>
      <c r="EP87" s="315" t="str">
        <f>IFERROR(IF(EP$7&gt;$D$3,"",IF(CH87="OD","OD",IF(CH87="Undefined","Undefined",IF(CH87="Missed","Missed",IF(CH85="TBC","TBC",IF(CH85="OD","OD",IF(_xlfn.XLOOKUP(EP$7,'Quality MB'!$M$6:$BM$6,'Quality MB'!$M$15:$BM$15)=0,100%,_xlfn.XLOOKUP(EP$7,'Quality MB'!$M$6:$BM$6,'Quality MB'!$M$15:$BM$15)/_xlfn.XLOOKUP(EP$7,'Quality MB'!$M$6:$BM$6,'Quality MB'!$M$14:$BM$14)))))))),EL6)</f>
        <v/>
      </c>
      <c r="EQ87" s="315" t="str">
        <f>IFERROR(IF(EQ$7&gt;$D$3,"",IF(CI87="OD","OD",IF(CI87="Undefined","Undefined",IF(CI87="Missed","Missed",IF(CI85="TBC","TBC",IF(CI85="OD","OD",IF(_xlfn.XLOOKUP(EQ$7,'Quality MB'!$M$6:$BM$6,'Quality MB'!$M$15:$BM$15)=0,100%,_xlfn.XLOOKUP(EQ$7,'Quality MB'!$M$6:$BM$6,'Quality MB'!$M$15:$BM$15)/_xlfn.XLOOKUP(EQ$7,'Quality MB'!$M$6:$BM$6,'Quality MB'!$M$14:$BM$14)))))))),EM6)</f>
        <v/>
      </c>
      <c r="ER87" s="315" t="str">
        <f>IFERROR(IF(ER$7&gt;$D$3,"",IF(CJ87="OD","OD",IF(CJ87="Undefined","Undefined",IF(CJ87="Missed","Missed",IF(CJ85="TBC","TBC",IF(CJ85="OD","OD",IF(_xlfn.XLOOKUP(ER$7,'Quality MB'!$M$6:$BM$6,'Quality MB'!$M$15:$BM$15)=0,100%,_xlfn.XLOOKUP(ER$7,'Quality MB'!$M$6:$BM$6,'Quality MB'!$M$15:$BM$15)/_xlfn.XLOOKUP(ER$7,'Quality MB'!$M$6:$BM$6,'Quality MB'!$M$14:$BM$14)))))))),EN6)</f>
        <v/>
      </c>
      <c r="ES87" s="315" t="str">
        <f>IFERROR(IF(ES$7&gt;$D$3,"",IF(CK87="OD","OD",IF(CK87="Undefined","Undefined",IF(CK87="Missed","Missed",IF(CK85="TBC","TBC",IF(CK85="OD","OD",IF(_xlfn.XLOOKUP(ES$7,'Quality MB'!$M$6:$BM$6,'Quality MB'!$M$15:$BM$15)=0,100%,_xlfn.XLOOKUP(ES$7,'Quality MB'!$M$6:$BM$6,'Quality MB'!$M$15:$BM$15)/_xlfn.XLOOKUP(ES$7,'Quality MB'!$M$6:$BM$6,'Quality MB'!$M$14:$BM$14)))))))),EO6)</f>
        <v/>
      </c>
      <c r="ET87" s="315" t="str">
        <f>IFERROR(IF(ET$7&gt;$D$3,"",IF(CL87="OD","OD",IF(CL87="Undefined","Undefined",IF(CL87="Missed","Missed",IF(CL85="TBC","TBC",IF(CL85="OD","OD",IF(_xlfn.XLOOKUP(ET$7,'Quality MB'!$M$6:$BM$6,'Quality MB'!$M$15:$BM$15)=0,100%,_xlfn.XLOOKUP(ET$7,'Quality MB'!$M$6:$BM$6,'Quality MB'!$M$15:$BM$15)/_xlfn.XLOOKUP(ET$7,'Quality MB'!$M$6:$BM$6,'Quality MB'!$M$14:$BM$14)))))))),EP6)</f>
        <v/>
      </c>
      <c r="EU87" s="315" t="str">
        <f>IFERROR(IF(EU$7&gt;$D$3,"",IF(CM87="OD","OD",IF(CM87="Undefined","Undefined",IF(CM87="Missed","Missed",IF(CM85="TBC","TBC",IF(CM85="OD","OD",IF(_xlfn.XLOOKUP(EU$7,'Quality MB'!$M$6:$BM$6,'Quality MB'!$M$15:$BM$15)=0,100%,_xlfn.XLOOKUP(EU$7,'Quality MB'!$M$6:$BM$6,'Quality MB'!$M$15:$BM$15)/_xlfn.XLOOKUP(EU$7,'Quality MB'!$M$6:$BM$6,'Quality MB'!$M$14:$BM$14)))))))),EQ6)</f>
        <v/>
      </c>
      <c r="EW87" s="465" t="str">
        <f>+$A87</f>
        <v>Quality Maybole-KPI Q1</v>
      </c>
      <c r="EX87" s="136" t="str">
        <f>+$C87</f>
        <v>KPI Q1</v>
      </c>
      <c r="EY87" s="144" t="str">
        <f>+$D87</f>
        <v>Quality</v>
      </c>
      <c r="EZ87" s="144" t="str">
        <f>+$E87</f>
        <v>Customer Complaints (Maybole only)</v>
      </c>
      <c r="FA87" s="145" t="str">
        <f>+$F87</f>
        <v>Count</v>
      </c>
      <c r="FB87" s="145" t="s">
        <v>251</v>
      </c>
      <c r="FC87" s="199" t="str">
        <f>IF(FC$7&gt;$D$3,"",IF($FA84&lt;FC$7,"OD",_xlfn.XLOOKUP(FC$7,'Quality MB'!$M$6:$BM$6,'Quality MB'!$M$15:$BM$15)))</f>
        <v>Blank</v>
      </c>
      <c r="FD87" s="199" t="str">
        <f>IF(FD$7&gt;$D$3,"",IF($FA84&lt;FD$7,"OD",_xlfn.XLOOKUP(FD$7,'Quality MB'!$M$6:$BM$6,'Quality MB'!$M$15:$BM$15)))</f>
        <v>TBC</v>
      </c>
      <c r="FE87" s="199" t="str">
        <f>IF(FE$7&gt;$D$3,"",IF($FA84&lt;FE$7,"OD",_xlfn.XLOOKUP(FE$7,'Quality MB'!$M$6:$BM$6,'Quality MB'!$M$15:$BM$15)))</f>
        <v>TBC</v>
      </c>
      <c r="FF87" s="199" t="str">
        <f>IF(FF$7&gt;$D$3,"",IF($FA84&lt;FF$7,"OD",_xlfn.XLOOKUP(FF$7,'Quality MB'!$M$6:$BM$6,'Quality MB'!$M$15:$BM$15)))</f>
        <v>TBC</v>
      </c>
      <c r="FG87" s="199" t="str">
        <f>IF(FG$7&gt;$D$3,"",IF($FA84&lt;FG$7,"OD",_xlfn.XLOOKUP(FG$7,'Quality MB'!$M$6:$BM$6,'Quality MB'!$M$15:$BM$15)))</f>
        <v>TBC</v>
      </c>
      <c r="FH87" s="199" t="str">
        <f>IF(FH$7&gt;$D$3,"",IF($FA84&lt;FH$7,"OD",_xlfn.XLOOKUP(FH$7,'Quality MB'!$M$6:$BM$6,'Quality MB'!$M$15:$BM$15)))</f>
        <v>TBC</v>
      </c>
      <c r="FI87" s="199" t="str">
        <f>IF(FI$7&gt;$D$3,"",IF($FA84&lt;FI$7,"OD",_xlfn.XLOOKUP(FI$7,'Quality MB'!$M$6:$BM$6,'Quality MB'!$M$15:$BM$15)))</f>
        <v>TBC</v>
      </c>
      <c r="FJ87" s="199" t="str">
        <f>IF(FJ$7&gt;$D$3,"",IF($FA84&lt;FJ$7,"OD",_xlfn.XLOOKUP(FJ$7,'Quality MB'!$M$6:$BM$6,'Quality MB'!$M$15:$BM$15)))</f>
        <v>TBC</v>
      </c>
      <c r="FK87" s="199" t="str">
        <f>IF(FK$7&gt;$D$3,"",IF($FA84&lt;FK$7,"OD",_xlfn.XLOOKUP(FK$7,'Quality MB'!$M$6:$BM$6,'Quality MB'!$M$15:$BM$15)))</f>
        <v>TBC</v>
      </c>
      <c r="FL87" s="199" t="str">
        <f>IF(FL$7&gt;$D$3,"",IF($FA84&lt;FL$7,"OD",_xlfn.XLOOKUP(FL$7,'Quality MB'!$M$6:$BM$6,'Quality MB'!$M$15:$BM$15)))</f>
        <v>TBC</v>
      </c>
      <c r="FM87" s="199" t="str">
        <f>IF(FM$7&gt;$D$3,"",IF($FA84&lt;FM$7,"OD",_xlfn.XLOOKUP(FM$7,'Quality MB'!$M$6:$BM$6,'Quality MB'!$M$15:$BM$15)))</f>
        <v>TBC</v>
      </c>
      <c r="FN87" s="199" t="str">
        <f>IF(FN$7&gt;$D$3,"",IF($FA84&lt;FN$7,"OD",_xlfn.XLOOKUP(FN$7,'Quality MB'!$M$6:$BM$6,'Quality MB'!$M$15:$BM$15)))</f>
        <v>TBC</v>
      </c>
      <c r="FO87" s="199" t="str">
        <f>IF(FO$7&gt;$D$3,"",IF($FA84&lt;FO$7,"OD",_xlfn.XLOOKUP(FO$7,'Quality MB'!$M$6:$BM$6,'Quality MB'!$M$15:$BM$15)))</f>
        <v>TBC</v>
      </c>
      <c r="FP87" s="199">
        <f>IF(FP$7&gt;$D$3,"",IF($FA84&lt;FP$7,"OD",_xlfn.XLOOKUP(FP$7,'Quality MB'!$M$6:$BM$6,'Quality MB'!$M$15:$BM$15)))</f>
        <v>3</v>
      </c>
      <c r="FQ87" s="199">
        <f>IF(FQ$7&gt;$D$3,"",IF($FA84&lt;FQ$7,"OD",_xlfn.XLOOKUP(FQ$7,'Quality MB'!$M$6:$BM$6,'Quality MB'!$M$15:$BM$15)))</f>
        <v>3</v>
      </c>
      <c r="FR87" s="199">
        <f>IF(FR$7&gt;$D$3,"",IF($FA84&lt;FR$7,"OD",_xlfn.XLOOKUP(FR$7,'Quality MB'!$M$6:$BM$6,'Quality MB'!$M$15:$BM$15)))</f>
        <v>1</v>
      </c>
      <c r="FS87" s="199">
        <f>IF(FS$7&gt;$D$3,"",IF($FA84&lt;FS$7,"OD",_xlfn.XLOOKUP(FS$7,'Quality MB'!$M$6:$BM$6,'Quality MB'!$M$15:$BM$15)))</f>
        <v>0</v>
      </c>
      <c r="FT87" s="199">
        <f>IF(FT$7&gt;$D$3,"",IF($FA84&lt;FT$7,"OD",_xlfn.XLOOKUP(FT$7,'Quality MB'!$M$6:$BM$6,'Quality MB'!$M$15:$BM$15)))</f>
        <v>0</v>
      </c>
      <c r="FU87" s="199">
        <f>IF(FU$7&gt;$D$3,"",IF($FA84&lt;FU$7,"OD",_xlfn.XLOOKUP(FU$7,'Quality MB'!$M$6:$BM$6,'Quality MB'!$M$15:$BM$15)))</f>
        <v>0</v>
      </c>
      <c r="FV87" s="199">
        <f>IF(FV$7&gt;$D$3,"",IF($FA84&lt;FV$7,"OD",_xlfn.XLOOKUP(FV$7,'Quality MB'!$M$6:$BM$6,'Quality MB'!$M$15:$BM$15)))</f>
        <v>1</v>
      </c>
      <c r="FW87" s="199">
        <f>IF(FW$7&gt;$D$3,"",IF($FA84&lt;FW$7,"OD",_xlfn.XLOOKUP(FW$7,'Quality MB'!$M$6:$BM$6,'Quality MB'!$M$15:$BM$15)))</f>
        <v>0</v>
      </c>
      <c r="FX87" s="199">
        <f>IF(FX$7&gt;$D$3,"",IF($FA84&lt;FX$7,"OD",_xlfn.XLOOKUP(FX$7,'Quality MB'!$M$6:$BM$6,'Quality MB'!$M$15:$BM$15)))</f>
        <v>0</v>
      </c>
      <c r="FY87" s="199">
        <f>IF(FY$7&gt;$D$3,"",IF($FA84&lt;FY$7,"OD",_xlfn.XLOOKUP(FY$7,'Quality MB'!$M$6:$BM$6,'Quality MB'!$M$15:$BM$15)))</f>
        <v>0</v>
      </c>
      <c r="FZ87" s="199">
        <f>IF(FZ$7&gt;$D$3,"",IF($FA84&lt;FZ$7,"OD",_xlfn.XLOOKUP(FZ$7,'Quality MB'!$M$6:$BM$6,'Quality MB'!$M$15:$BM$15)))</f>
        <v>1</v>
      </c>
      <c r="GA87" s="199">
        <f>IF(GA$7&gt;$D$3,"",IF($FA84&lt;GA$7,"OD",_xlfn.XLOOKUP(GA$7,'Quality MB'!$M$6:$BM$6,'Quality MB'!$M$15:$BM$15)))</f>
        <v>0</v>
      </c>
      <c r="GB87" s="199">
        <f>IF(GB$7&gt;$D$3,"",IF($FA84&lt;GB$7,"OD",_xlfn.XLOOKUP(GB$7,'Quality MB'!$M$6:$BM$6,'Quality MB'!$M$15:$BM$15)))</f>
        <v>2</v>
      </c>
      <c r="GC87" s="199">
        <f>IF(GC$7&gt;$D$3,"",IF($FA84&lt;GC$7,"OD",_xlfn.XLOOKUP(GC$7,'Quality MB'!$M$6:$BM$6,'Quality MB'!$M$15:$BM$15)))</f>
        <v>1</v>
      </c>
      <c r="GD87" s="199">
        <f>IF(GD$7&gt;$D$3,"",IF($FA84&lt;GD$7,"OD",_xlfn.XLOOKUP(GD$7,'Quality MB'!$M$6:$BM$6,'Quality MB'!$M$15:$BM$15)))</f>
        <v>2</v>
      </c>
      <c r="GE87" s="199">
        <f>IF(GE$7&gt;$D$3,"",IF($FA84&lt;GE$7,"OD",_xlfn.XLOOKUP(GE$7,'Quality MB'!$M$6:$BM$6,'Quality MB'!$M$15:$BM$15)))</f>
        <v>2</v>
      </c>
      <c r="GF87" s="199">
        <f>IF(GF$7&gt;$D$3,"",IF($FA84&lt;GF$7,"OD",_xlfn.XLOOKUP(GF$7,'Quality MB'!$M$6:$BM$6,'Quality MB'!$M$15:$BM$15)))</f>
        <v>2</v>
      </c>
      <c r="GG87" s="199">
        <f>IF(GG$7&gt;$D$3,"",IF($FA84&lt;GG$7,"OD",_xlfn.XLOOKUP(GG$7,'Quality MB'!$M$6:$BM$6,'Quality MB'!$M$15:$BM$15)))</f>
        <v>1</v>
      </c>
      <c r="GH87" s="199">
        <f>IF(GH$7&gt;$D$3,"",IF($FA84&lt;GH$7,"OD",_xlfn.XLOOKUP(GH$7,'Quality MB'!$M$6:$BM$6,'Quality MB'!$M$15:$BM$15)))</f>
        <v>0</v>
      </c>
      <c r="GI87" s="199">
        <f>IF(GI$7&gt;$D$3,"",IF($FA84&lt;GI$7,"OD",_xlfn.XLOOKUP(GI$7,'Quality MB'!$M$6:$BM$6,'Quality MB'!$M$15:$BM$15)))</f>
        <v>0</v>
      </c>
      <c r="GJ87" s="199">
        <f>IF(GJ$7&gt;$D$3,"",IF($FA84&lt;GJ$7,"OD",_xlfn.XLOOKUP(GJ$7,'Quality MB'!$M$6:$BM$6,'Quality MB'!$M$15:$BM$15)))</f>
        <v>1</v>
      </c>
      <c r="GK87" s="199">
        <f>IF(GK$7&gt;$D$3,"",IF($FA84&lt;GK$7,"OD",_xlfn.XLOOKUP(GK$7,'Quality MB'!$M$6:$BM$6,'Quality MB'!$M$15:$BM$15)))</f>
        <v>0</v>
      </c>
      <c r="GL87" s="199">
        <f>IF(GL$7&gt;$D$3,"",IF($FA84&lt;GL$7,"OD",_xlfn.XLOOKUP(GL$7,'Quality MB'!$M$6:$BM$6,'Quality MB'!$M$15:$BM$15)))</f>
        <v>1</v>
      </c>
      <c r="GM87" s="199">
        <f>IF(GM$7&gt;$D$3,"",IF($FA84&lt;GM$7,"OD",_xlfn.XLOOKUP(GM$7,'Quality MB'!$M$6:$BM$6,'Quality MB'!$M$15:$BM$15)))</f>
        <v>0</v>
      </c>
      <c r="GN87" s="199">
        <f>IF(GN$7&gt;$D$3,"",IF($FA84&lt;GN$7,"OD",_xlfn.XLOOKUP(GN$7,'Quality MB'!$M$6:$BM$6,'Quality MB'!$M$15:$BM$15)))</f>
        <v>1</v>
      </c>
      <c r="GO87" s="199">
        <f>IF(GO$7&gt;$D$3,"",IF($FA84&lt;GO$7,"OD",_xlfn.XLOOKUP(GO$7,'Quality MB'!$M$6:$BM$6,'Quality MB'!$M$15:$BM$15)))</f>
        <v>0</v>
      </c>
      <c r="GP87" s="199">
        <f>IF(GP$7&gt;$D$3,"",IF($FA84&lt;GP$7,"OD",_xlfn.XLOOKUP(GP$7,'Quality MB'!$M$6:$BM$6,'Quality MB'!$M$15:$BM$15)))</f>
        <v>0</v>
      </c>
      <c r="GQ87" s="199">
        <f>IF(GQ$7&gt;$D$3,"",IF($FA84&lt;GQ$7,"OD",_xlfn.XLOOKUP(GQ$7,'Quality MB'!$M$6:$BM$6,'Quality MB'!$M$15:$BM$15)))</f>
        <v>0</v>
      </c>
      <c r="GR87" s="199">
        <f>IF(GR$7&gt;$D$3,"",IF($FA84&lt;GR$7,"OD",_xlfn.XLOOKUP(GR$7,'Quality MB'!$M$6:$BM$6,'Quality MB'!$M$15:$BM$15)))</f>
        <v>0</v>
      </c>
      <c r="GS87" s="199" t="str">
        <f>IF(GS$7&gt;$D$3,"",IF($FA84&lt;GS$7,"OD",_xlfn.XLOOKUP(GS$7,'Quality MB'!$M$6:$BM$6,'Quality MB'!$M$15:$BM$15)))</f>
        <v/>
      </c>
      <c r="GT87" s="199" t="str">
        <f>IF(GT$7&gt;$D$3,"",IF($FA84&lt;GT$7,"OD",_xlfn.XLOOKUP(GT$7,'Quality MB'!$M$6:$BM$6,'Quality MB'!$M$15:$BM$15)))</f>
        <v/>
      </c>
      <c r="GU87" s="199" t="str">
        <f>IF(GU$7&gt;$D$3,"",IF($FA84&lt;GU$7,"OD",_xlfn.XLOOKUP(GU$7,'Quality MB'!$M$6:$BM$6,'Quality MB'!$M$15:$BM$15)))</f>
        <v/>
      </c>
      <c r="GV87" s="199" t="str">
        <f>IF(GV$7&gt;$D$3,"",IF($FA84&lt;GV$7,"OD",_xlfn.XLOOKUP(GV$7,'Quality MB'!$M$6:$BM$6,'Quality MB'!$M$15:$BM$15)))</f>
        <v/>
      </c>
      <c r="GW87" s="199" t="str">
        <f>IF(GW$7&gt;$D$3,"",IF($FA84&lt;GW$7,"OD",_xlfn.XLOOKUP(GW$7,'Quality MB'!$M$6:$BM$6,'Quality MB'!$M$15:$BM$15)))</f>
        <v/>
      </c>
      <c r="GX87" s="199" t="str">
        <f>IF(GX$7&gt;$D$3,"",IF($FA84&lt;GX$7,"OD",_xlfn.XLOOKUP(GX$7,'Quality MB'!$M$6:$BM$6,'Quality MB'!$M$15:$BM$15)))</f>
        <v/>
      </c>
      <c r="GY87" s="199" t="str">
        <f>IF(GY$7&gt;$D$3,"",IF($FA84&lt;GY$7,"OD",_xlfn.XLOOKUP(GY$7,'Quality MB'!$M$6:$BM$6,'Quality MB'!$M$15:$BM$15)))</f>
        <v/>
      </c>
      <c r="GZ87" s="199" t="str">
        <f>IF(GZ$7&gt;$D$3,"",IF($FA84&lt;GZ$7,"OD",_xlfn.XLOOKUP(GZ$7,'Quality MB'!$M$6:$BM$6,'Quality MB'!$M$15:$BM$15)))</f>
        <v/>
      </c>
      <c r="HA87" s="199" t="str">
        <f>IF(HA$7&gt;$D$3,"",IF($FA84&lt;HA$7,"OD",_xlfn.XLOOKUP(HA$7,'Quality MB'!$M$6:$BM$6,'Quality MB'!$M$15:$BM$15)))</f>
        <v/>
      </c>
      <c r="HB87" s="199" t="str">
        <f>IF(HB$7&gt;$D$3,"",IF($FA84&lt;HB$7,"OD",_xlfn.XLOOKUP(HB$7,'Quality MB'!$M$6:$BM$6,'Quality MB'!$M$15:$BM$15)))</f>
        <v/>
      </c>
      <c r="HC87" s="199" t="str">
        <f>IF(HC$7&gt;$D$3,"",IF($FA84&lt;HC$7,"OD",_xlfn.XLOOKUP(HC$7,'Quality MB'!$M$6:$BM$6,'Quality MB'!$M$15:$BM$15)))</f>
        <v/>
      </c>
      <c r="HE87" s="136" t="str">
        <f>+$C87</f>
        <v>KPI Q1</v>
      </c>
      <c r="HF87" s="144" t="str">
        <f>+$D87</f>
        <v>Quality</v>
      </c>
      <c r="HG87" s="144" t="str">
        <f>+$E87</f>
        <v>Customer Complaints (Maybole only)</v>
      </c>
      <c r="HH87" s="145" t="str">
        <f>+$F87</f>
        <v>Count</v>
      </c>
      <c r="HI87" s="145" t="s">
        <v>44</v>
      </c>
      <c r="HJ87" s="199" t="str">
        <f>IF(HJ$7&gt;$D$3,"",IF($FA84&lt;HJ$7,"OD",_xlfn.XLOOKUP(HJ$7,'Quality MB'!$M$6:$BM$6,'Quality MB'!$M$14:$BM$14)))</f>
        <v>Blank</v>
      </c>
      <c r="HK87" s="199" t="str">
        <f>IF(HK$7&gt;$D$3,"",IF($FA84&lt;HK$7,"OD",_xlfn.XLOOKUP(HK$7,'Quality MB'!$M$6:$BM$6,'Quality MB'!$M$14:$BM$14)))</f>
        <v>TBC</v>
      </c>
      <c r="HL87" s="199" t="str">
        <f>IF(HL$7&gt;$D$3,"",IF($FA84&lt;HL$7,"OD",_xlfn.XLOOKUP(HL$7,'Quality MB'!$M$6:$BM$6,'Quality MB'!$M$14:$BM$14)))</f>
        <v>TBC</v>
      </c>
      <c r="HM87" s="199" t="str">
        <f>IF(HM$7&gt;$D$3,"",IF($FA84&lt;HM$7,"OD",_xlfn.XLOOKUP(HM$7,'Quality MB'!$M$6:$BM$6,'Quality MB'!$M$14:$BM$14)))</f>
        <v>TBC</v>
      </c>
      <c r="HN87" s="199" t="str">
        <f>IF(HN$7&gt;$D$3,"",IF($FA84&lt;HN$7,"OD",_xlfn.XLOOKUP(HN$7,'Quality MB'!$M$6:$BM$6,'Quality MB'!$M$14:$BM$14)))</f>
        <v>TBC</v>
      </c>
      <c r="HO87" s="199" t="str">
        <f>IF(HO$7&gt;$D$3,"",IF($FA84&lt;HO$7,"OD",_xlfn.XLOOKUP(HO$7,'Quality MB'!$M$6:$BM$6,'Quality MB'!$M$14:$BM$14)))</f>
        <v>TBC</v>
      </c>
      <c r="HP87" s="199" t="str">
        <f>IF(HP$7&gt;$D$3,"",IF($FA84&lt;HP$7,"OD",_xlfn.XLOOKUP(HP$7,'Quality MB'!$M$6:$BM$6,'Quality MB'!$M$14:$BM$14)))</f>
        <v>TBC</v>
      </c>
      <c r="HQ87" s="199" t="str">
        <f>IF(HQ$7&gt;$D$3,"",IF($FA84&lt;HQ$7,"OD",_xlfn.XLOOKUP(HQ$7,'Quality MB'!$M$6:$BM$6,'Quality MB'!$M$14:$BM$14)))</f>
        <v>TBC</v>
      </c>
      <c r="HR87" s="199" t="str">
        <f>IF(HR$7&gt;$D$3,"",IF($FA84&lt;HR$7,"OD",_xlfn.XLOOKUP(HR$7,'Quality MB'!$M$6:$BM$6,'Quality MB'!$M$14:$BM$14)))</f>
        <v>TBC</v>
      </c>
      <c r="HS87" s="199" t="str">
        <f>IF(HS$7&gt;$D$3,"",IF($FA84&lt;HS$7,"OD",_xlfn.XLOOKUP(HS$7,'Quality MB'!$M$6:$BM$6,'Quality MB'!$M$14:$BM$14)))</f>
        <v>TBC</v>
      </c>
      <c r="HT87" s="199" t="str">
        <f>IF(HT$7&gt;$D$3,"",IF($FA84&lt;HT$7,"OD",_xlfn.XLOOKUP(HT$7,'Quality MB'!$M$6:$BM$6,'Quality MB'!$M$14:$BM$14)))</f>
        <v>TBC</v>
      </c>
      <c r="HU87" s="199" t="str">
        <f>IF(HU$7&gt;$D$3,"",IF($FA84&lt;HU$7,"OD",_xlfn.XLOOKUP(HU$7,'Quality MB'!$M$6:$BM$6,'Quality MB'!$M$14:$BM$14)))</f>
        <v>TBC</v>
      </c>
      <c r="HV87" s="199" t="str">
        <f>IF(HV$7&gt;$D$3,"",IF($FA84&lt;HV$7,"OD",_xlfn.XLOOKUP(HV$7,'Quality MB'!$M$6:$BM$6,'Quality MB'!$M$14:$BM$14)))</f>
        <v>TBC</v>
      </c>
      <c r="HW87" s="199">
        <f>IF(HW$7&gt;$D$3,"",IF($FA84&lt;HW$7,"OD",_xlfn.XLOOKUP(HW$7,'Quality MB'!$M$6:$BM$6,'Quality MB'!$M$14:$BM$14)))</f>
        <v>1</v>
      </c>
      <c r="HX87" s="199">
        <f>IF(HX$7&gt;$D$3,"",IF($FA84&lt;HX$7,"OD",_xlfn.XLOOKUP(HX$7,'Quality MB'!$M$6:$BM$6,'Quality MB'!$M$14:$BM$14)))</f>
        <v>1</v>
      </c>
      <c r="HY87" s="199">
        <f>IF(HY$7&gt;$D$3,"",IF($FA84&lt;HY$7,"OD",_xlfn.XLOOKUP(HY$7,'Quality MB'!$M$6:$BM$6,'Quality MB'!$M$14:$BM$14)))</f>
        <v>1</v>
      </c>
      <c r="HZ87" s="199">
        <f>IF(HZ$7&gt;$D$3,"",IF($FA84&lt;HZ$7,"OD",_xlfn.XLOOKUP(HZ$7,'Quality MB'!$M$6:$BM$6,'Quality MB'!$M$14:$BM$14)))</f>
        <v>1</v>
      </c>
      <c r="IA87" s="199">
        <f>IF(IA$7&gt;$D$3,"",IF($FA84&lt;IA$7,"OD",_xlfn.XLOOKUP(IA$7,'Quality MB'!$M$6:$BM$6,'Quality MB'!$M$14:$BM$14)))</f>
        <v>1</v>
      </c>
      <c r="IB87" s="199">
        <f>IF(IB$7&gt;$D$3,"",IF($FA84&lt;IB$7,"OD",_xlfn.XLOOKUP(IB$7,'Quality MB'!$M$6:$BM$6,'Quality MB'!$M$14:$BM$14)))</f>
        <v>1</v>
      </c>
      <c r="IC87" s="199">
        <f>IF(IC$7&gt;$D$3,"",IF($FA84&lt;IC$7,"OD",_xlfn.XLOOKUP(IC$7,'Quality MB'!$M$6:$BM$6,'Quality MB'!$M$14:$BM$14)))</f>
        <v>1</v>
      </c>
      <c r="ID87" s="199">
        <f>IF(ID$7&gt;$D$3,"",IF($FA84&lt;ID$7,"OD",_xlfn.XLOOKUP(ID$7,'Quality MB'!$M$6:$BM$6,'Quality MB'!$M$14:$BM$14)))</f>
        <v>1</v>
      </c>
      <c r="IE87" s="199">
        <f>IF(IE$7&gt;$D$3,"",IF($FA84&lt;IE$7,"OD",_xlfn.XLOOKUP(IE$7,'Quality MB'!$M$6:$BM$6,'Quality MB'!$M$14:$BM$14)))</f>
        <v>1</v>
      </c>
      <c r="IF87" s="199">
        <f>IF(IF$7&gt;$D$3,"",IF($FA84&lt;IF$7,"OD",_xlfn.XLOOKUP(IF$7,'Quality MB'!$M$6:$BM$6,'Quality MB'!$M$14:$BM$14)))</f>
        <v>1</v>
      </c>
      <c r="IG87" s="199">
        <f>IF(IG$7&gt;$D$3,"",IF($FA84&lt;IG$7,"OD",_xlfn.XLOOKUP(IG$7,'Quality MB'!$M$6:$BM$6,'Quality MB'!$M$14:$BM$14)))</f>
        <v>1</v>
      </c>
      <c r="IH87" s="199">
        <f>IF(IH$7&gt;$D$3,"",IF($FA84&lt;IH$7,"OD",_xlfn.XLOOKUP(IH$7,'Quality MB'!$M$6:$BM$6,'Quality MB'!$M$14:$BM$14)))</f>
        <v>1</v>
      </c>
      <c r="II87" s="199">
        <f>IF(II$7&gt;$D$3,"",IF($FA84&lt;II$7,"OD",_xlfn.XLOOKUP(II$7,'Quality MB'!$M$6:$BM$6,'Quality MB'!$M$14:$BM$14)))</f>
        <v>1</v>
      </c>
      <c r="IJ87" s="199">
        <f>IF(IJ$7&gt;$D$3,"",IF($FA84&lt;IJ$7,"OD",_xlfn.XLOOKUP(IJ$7,'Quality MB'!$M$6:$BM$6,'Quality MB'!$M$14:$BM$14)))</f>
        <v>1</v>
      </c>
      <c r="IK87" s="199">
        <f>IF(IK$7&gt;$D$3,"",IF($FA84&lt;IK$7,"OD",_xlfn.XLOOKUP(IK$7,'Quality MB'!$M$6:$BM$6,'Quality MB'!$M$14:$BM$14)))</f>
        <v>1</v>
      </c>
      <c r="IL87" s="199">
        <f>IF(IL$7&gt;$D$3,"",IF($FA84&lt;IL$7,"OD",_xlfn.XLOOKUP(IL$7,'Quality MB'!$M$6:$BM$6,'Quality MB'!$M$14:$BM$14)))</f>
        <v>1</v>
      </c>
      <c r="IM87" s="199">
        <f>IF(IM$7&gt;$D$3,"",IF($FA84&lt;IM$7,"OD",_xlfn.XLOOKUP(IM$7,'Quality MB'!$M$6:$BM$6,'Quality MB'!$M$14:$BM$14)))</f>
        <v>1</v>
      </c>
      <c r="IN87" s="199">
        <f>IF(IN$7&gt;$D$3,"",IF($FA84&lt;IN$7,"OD",_xlfn.XLOOKUP(IN$7,'Quality MB'!$M$6:$BM$6,'Quality MB'!$M$14:$BM$14)))</f>
        <v>1</v>
      </c>
      <c r="IO87" s="199">
        <f>IF(IO$7&gt;$D$3,"",IF($FA84&lt;IO$7,"OD",_xlfn.XLOOKUP(IO$7,'Quality MB'!$M$6:$BM$6,'Quality MB'!$M$14:$BM$14)))</f>
        <v>1</v>
      </c>
      <c r="IP87" s="199">
        <f>IF(IP$7&gt;$D$3,"",IF($FA84&lt;IP$7,"OD",_xlfn.XLOOKUP(IP$7,'Quality MB'!$M$6:$BM$6,'Quality MB'!$M$14:$BM$14)))</f>
        <v>1</v>
      </c>
      <c r="IQ87" s="199">
        <f>IF(IQ$7&gt;$D$3,"",IF($FA84&lt;IQ$7,"OD",_xlfn.XLOOKUP(IQ$7,'Quality MB'!$M$6:$BM$6,'Quality MB'!$M$14:$BM$14)))</f>
        <v>1</v>
      </c>
      <c r="IR87" s="199">
        <f>IF(IR$7&gt;$D$3,"",IF($FA84&lt;IR$7,"OD",_xlfn.XLOOKUP(IR$7,'Quality MB'!$M$6:$BM$6,'Quality MB'!$M$14:$BM$14)))</f>
        <v>1</v>
      </c>
      <c r="IS87" s="199">
        <f>IF(IS$7&gt;$D$3,"",IF($FA84&lt;IS$7,"OD",_xlfn.XLOOKUP(IS$7,'Quality MB'!$M$6:$BM$6,'Quality MB'!$M$14:$BM$14)))</f>
        <v>1</v>
      </c>
      <c r="IT87" s="199">
        <f>IF(IT$7&gt;$D$3,"",IF($FA84&lt;IT$7,"OD",_xlfn.XLOOKUP(IT$7,'Quality MB'!$M$6:$BM$6,'Quality MB'!$M$14:$BM$14)))</f>
        <v>1</v>
      </c>
      <c r="IU87" s="199">
        <f>IF(IU$7&gt;$D$3,"",IF($FA84&lt;IU$7,"OD",_xlfn.XLOOKUP(IU$7,'Quality MB'!$M$6:$BM$6,'Quality MB'!$M$14:$BM$14)))</f>
        <v>1</v>
      </c>
      <c r="IV87" s="199">
        <f>IF(IV$7&gt;$D$3,"",IF($FA84&lt;IV$7,"OD",_xlfn.XLOOKUP(IV$7,'Quality MB'!$M$6:$BM$6,'Quality MB'!$M$14:$BM$14)))</f>
        <v>1</v>
      </c>
      <c r="IW87" s="199">
        <f>IF(IW$7&gt;$D$3,"",IF($FA84&lt;IW$7,"OD",_xlfn.XLOOKUP(IW$7,'Quality MB'!$M$6:$BM$6,'Quality MB'!$M$14:$BM$14)))</f>
        <v>1</v>
      </c>
      <c r="IX87" s="199">
        <f>IF(IX$7&gt;$D$3,"",IF($FA84&lt;IX$7,"OD",_xlfn.XLOOKUP(IX$7,'Quality MB'!$M$6:$BM$6,'Quality MB'!$M$14:$BM$14)))</f>
        <v>1</v>
      </c>
      <c r="IY87" s="199">
        <f>IF(IY$7&gt;$D$3,"",IF($FA84&lt;IY$7,"OD",_xlfn.XLOOKUP(IY$7,'Quality MB'!$M$6:$BM$6,'Quality MB'!$M$14:$BM$14)))</f>
        <v>1</v>
      </c>
      <c r="IZ87" s="199" t="str">
        <f>IF(IZ$7&gt;$D$3,"",IF($FA84&lt;IZ$7,"OD",_xlfn.XLOOKUP(IZ$7,'Quality MB'!$M$6:$BM$6,'Quality MB'!$M$14:$BM$14)))</f>
        <v/>
      </c>
      <c r="JA87" s="199" t="str">
        <f>IF(JA$7&gt;$D$3,"",IF($FA84&lt;JA$7,"OD",_xlfn.XLOOKUP(JA$7,'Quality MB'!$M$6:$BM$6,'Quality MB'!$M$14:$BM$14)))</f>
        <v/>
      </c>
      <c r="JB87" s="199" t="str">
        <f>IF(JB$7&gt;$D$3,"",IF($FA84&lt;JB$7,"OD",_xlfn.XLOOKUP(JB$7,'Quality MB'!$M$6:$BM$6,'Quality MB'!$M$14:$BM$14)))</f>
        <v/>
      </c>
      <c r="JC87" s="199" t="str">
        <f>IF(JC$7&gt;$D$3,"",IF($FA84&lt;JC$7,"OD",_xlfn.XLOOKUP(JC$7,'Quality MB'!$M$6:$BM$6,'Quality MB'!$M$14:$BM$14)))</f>
        <v/>
      </c>
      <c r="JD87" s="199" t="str">
        <f>IF(JD$7&gt;$D$3,"",IF($FA84&lt;JD$7,"OD",_xlfn.XLOOKUP(JD$7,'Quality MB'!$M$6:$BM$6,'Quality MB'!$M$14:$BM$14)))</f>
        <v/>
      </c>
      <c r="JE87" s="199" t="str">
        <f>IF(JE$7&gt;$D$3,"",IF($FA84&lt;JE$7,"OD",_xlfn.XLOOKUP(JE$7,'Quality MB'!$M$6:$BM$6,'Quality MB'!$M$14:$BM$14)))</f>
        <v/>
      </c>
      <c r="JF87" s="199" t="str">
        <f>IF(JF$7&gt;$D$3,"",IF($FA84&lt;JF$7,"OD",_xlfn.XLOOKUP(JF$7,'Quality MB'!$M$6:$BM$6,'Quality MB'!$M$14:$BM$14)))</f>
        <v/>
      </c>
      <c r="JG87" s="199" t="str">
        <f>IF(JG$7&gt;$D$3,"",IF($FA84&lt;JG$7,"OD",_xlfn.XLOOKUP(JG$7,'Quality MB'!$M$6:$BM$6,'Quality MB'!$M$14:$BM$14)))</f>
        <v/>
      </c>
      <c r="JH87" s="199" t="str">
        <f>IF(JH$7&gt;$D$3,"",IF($FA84&lt;JH$7,"OD",_xlfn.XLOOKUP(JH$7,'Quality MB'!$M$6:$BM$6,'Quality MB'!$M$14:$BM$14)))</f>
        <v/>
      </c>
      <c r="JI87" s="199" t="str">
        <f>IF(JI$7&gt;$D$3,"",IF($FA84&lt;JI$7,"OD",_xlfn.XLOOKUP(JI$7,'Quality MB'!$M$6:$BM$6,'Quality MB'!$M$14:$BM$14)))</f>
        <v/>
      </c>
      <c r="JJ87" s="199" t="str">
        <f>IF(JJ$7&gt;$D$3,"",IF($FA84&lt;JJ$7,"OD",_xlfn.XLOOKUP(JJ$7,'Quality MB'!$M$6:$BM$6,'Quality MB'!$M$14:$BM$14)))</f>
        <v/>
      </c>
      <c r="JM87" s="136" t="str">
        <f>+$C87</f>
        <v>KPI Q1</v>
      </c>
      <c r="JN87" s="144" t="str">
        <f>+$D87</f>
        <v>Quality</v>
      </c>
      <c r="JO87" s="144" t="str">
        <f>+$E87</f>
        <v>Customer Complaints (Maybole only)</v>
      </c>
      <c r="JP87" s="145" t="str">
        <f>+$F87</f>
        <v>Count</v>
      </c>
      <c r="JQ87" s="145" t="s">
        <v>284</v>
      </c>
      <c r="JR87" s="247" t="str">
        <f>IFERROR(AVERAGE(FC87:$FC87),"")</f>
        <v/>
      </c>
      <c r="JS87" s="247" t="str">
        <f>IFERROR(AVERAGE($FC87:FD87),"")</f>
        <v/>
      </c>
      <c r="JT87" s="247" t="str">
        <f>IFERROR(AVERAGE($FC87:FE87),"")</f>
        <v/>
      </c>
      <c r="JU87" s="247" t="str">
        <f>IFERROR(AVERAGE($FC87:FF87),"")</f>
        <v/>
      </c>
      <c r="JV87" s="247" t="str">
        <f>IFERROR(AVERAGE($FC87:FG87),"")</f>
        <v/>
      </c>
      <c r="JW87" s="247" t="str">
        <f>IFERROR(AVERAGE($FC87:FH87),"")</f>
        <v/>
      </c>
      <c r="JX87" s="247" t="str">
        <f>IFERROR(AVERAGE($FC87:FI87),"")</f>
        <v/>
      </c>
      <c r="JY87" s="247" t="str">
        <f>IFERROR(AVERAGE($FC87:FJ87),"")</f>
        <v/>
      </c>
      <c r="JZ87" s="247" t="str">
        <f>IFERROR(AVERAGE($FC87:FK87),"")</f>
        <v/>
      </c>
      <c r="KA87" s="247" t="str">
        <f>IFERROR(AVERAGE($FC87:FL87),"")</f>
        <v/>
      </c>
      <c r="KB87" s="247" t="str">
        <f>IFERROR(AVERAGE($FC87:FM87),"")</f>
        <v/>
      </c>
      <c r="KC87" s="247" t="str">
        <f>IFERROR(AVERAGE($FC87:FN87),"")</f>
        <v/>
      </c>
      <c r="KD87" s="247" t="str">
        <f>IFERROR(AVERAGE($FC87:FO87),"")</f>
        <v/>
      </c>
      <c r="KE87" s="247">
        <f>IFERROR(AVERAGE($FC87:FP87),"")</f>
        <v>3</v>
      </c>
      <c r="KF87" s="247">
        <f>IFERROR(AVERAGE($FC87:FQ87),"")</f>
        <v>3</v>
      </c>
      <c r="KG87" s="247">
        <f>IFERROR(AVERAGE($FC87:FR87),"")</f>
        <v>2.3333333333333335</v>
      </c>
      <c r="KH87" s="247">
        <f>IFERROR(AVERAGE($FC87:FS87),"")</f>
        <v>1.75</v>
      </c>
      <c r="KI87" s="247">
        <f>IFERROR(AVERAGE($FC87:FT87),"")</f>
        <v>1.4</v>
      </c>
      <c r="KJ87" s="247">
        <f>IFERROR(AVERAGE($FC87:FU87),"")</f>
        <v>1.1666666666666667</v>
      </c>
      <c r="KK87" s="247">
        <f>IFERROR(AVERAGE($FC87:FV87),"")</f>
        <v>1.1428571428571428</v>
      </c>
      <c r="KL87" s="247">
        <f>IFERROR(AVERAGE($FC87:FW87),"")</f>
        <v>1</v>
      </c>
      <c r="KM87" s="247">
        <f>IFERROR(AVERAGE($FC87:FX87),"")</f>
        <v>0.88888888888888884</v>
      </c>
      <c r="KN87" s="247">
        <f>IFERROR(AVERAGE($FC87:FY87),"")</f>
        <v>0.8</v>
      </c>
      <c r="KO87" s="247">
        <f>IFERROR(AVERAGE($FC87:FZ87),"")</f>
        <v>0.81818181818181823</v>
      </c>
      <c r="KP87" s="247">
        <f>IFERROR(AVERAGE($FC87:GA87),"")</f>
        <v>0.75</v>
      </c>
      <c r="KQ87" s="247">
        <f>IFERROR(AVERAGE($FC87:GB87),"")</f>
        <v>0.84615384615384615</v>
      </c>
      <c r="KR87" s="247">
        <f>IFERROR(AVERAGE($FC87:GC87),"")</f>
        <v>0.8571428571428571</v>
      </c>
      <c r="KS87" s="247">
        <f>IFERROR(AVERAGE($FC87:GD87),"")</f>
        <v>0.93333333333333335</v>
      </c>
      <c r="KT87" s="247">
        <f>IFERROR(AVERAGE($FC87:GE87),"")</f>
        <v>1</v>
      </c>
      <c r="KU87" s="247">
        <f>IFERROR(AVERAGE($FC87:GF87),"")</f>
        <v>1.0588235294117647</v>
      </c>
      <c r="KV87" s="247">
        <f>IFERROR(AVERAGE($FC87:GG87),"")</f>
        <v>1.0555555555555556</v>
      </c>
      <c r="KW87" s="247">
        <f>IFERROR(AVERAGE($FC87:GH87),"")</f>
        <v>1</v>
      </c>
      <c r="KX87" s="247">
        <f>IFERROR(AVERAGE($FC87:GI87),"")</f>
        <v>0.95</v>
      </c>
      <c r="KY87" s="247">
        <f>IFERROR(AVERAGE($FC87:GJ87),"")</f>
        <v>0.95238095238095233</v>
      </c>
      <c r="KZ87" s="247">
        <f>IFERROR(AVERAGE($FC87:GK87),"")</f>
        <v>0.90909090909090906</v>
      </c>
      <c r="LA87" s="247">
        <f>IFERROR(AVERAGE($FC87:GL87),"")</f>
        <v>0.91304347826086951</v>
      </c>
      <c r="LB87" s="247">
        <f>IFERROR(AVERAGE($FC87:GM87),"")</f>
        <v>0.875</v>
      </c>
      <c r="LC87" s="247">
        <f>IFERROR(AVERAGE($FC87:GN87),"")</f>
        <v>0.88</v>
      </c>
      <c r="LD87" s="247">
        <f>IFERROR(AVERAGE($FC87:GO87),"")</f>
        <v>0.84615384615384615</v>
      </c>
      <c r="LE87" s="247">
        <f>IFERROR(AVERAGE($FC87:GP87),"")</f>
        <v>0.81481481481481477</v>
      </c>
      <c r="LF87" s="247">
        <f>IFERROR(AVERAGE($FC87:GQ87),"")</f>
        <v>0.7857142857142857</v>
      </c>
      <c r="LG87" s="247">
        <f>IFERROR(AVERAGE($FC87:GR87),"")</f>
        <v>0.75862068965517238</v>
      </c>
      <c r="LH87" s="247">
        <f>IFERROR(AVERAGE($FC87:GS87),"")</f>
        <v>0.75862068965517238</v>
      </c>
      <c r="LI87" s="247">
        <f>IFERROR(AVERAGE($FC87:GT87),"")</f>
        <v>0.75862068965517238</v>
      </c>
      <c r="LJ87" s="247">
        <f>IFERROR(AVERAGE($FC87:GU87),"")</f>
        <v>0.75862068965517238</v>
      </c>
      <c r="LK87" s="247">
        <f>IFERROR(AVERAGE($FC87:GV87),"")</f>
        <v>0.75862068965517238</v>
      </c>
      <c r="LL87" s="247">
        <f>IFERROR(AVERAGE($FC87:GW87),"")</f>
        <v>0.75862068965517238</v>
      </c>
      <c r="LM87" s="247">
        <f>IFERROR(AVERAGE($FC87:GX87),"")</f>
        <v>0.75862068965517238</v>
      </c>
      <c r="LN87" s="247">
        <f>IFERROR(AVERAGE($FC87:GY87),"")</f>
        <v>0.75862068965517238</v>
      </c>
      <c r="LO87" s="247">
        <f>IFERROR(AVERAGE($FC87:GZ87),"")</f>
        <v>0.75862068965517238</v>
      </c>
      <c r="LP87" s="247">
        <f>IFERROR(AVERAGE($FC87:HA87),"")</f>
        <v>0.75862068965517238</v>
      </c>
      <c r="LQ87" s="247">
        <f>IFERROR(AVERAGE($FC87:HB87),"")</f>
        <v>0.75862068965517238</v>
      </c>
      <c r="LR87" s="247">
        <f>IFERROR(AVERAGE($FC87:HC87),"")</f>
        <v>0.75862068965517238</v>
      </c>
      <c r="LT87" s="136" t="str">
        <f>+$C87</f>
        <v>KPI Q1</v>
      </c>
      <c r="LU87" s="144" t="str">
        <f>+$D87</f>
        <v>Quality</v>
      </c>
      <c r="LV87" s="144" t="str">
        <f>+$E87</f>
        <v>Customer Complaints (Maybole only)</v>
      </c>
      <c r="LW87" s="145" t="str">
        <f>+$F87</f>
        <v>Count</v>
      </c>
      <c r="LX87" s="145" t="s">
        <v>285</v>
      </c>
      <c r="LY87" s="199" t="str">
        <f>IFERROR(AVERAGE($HJ87:HJ87),"")</f>
        <v/>
      </c>
      <c r="LZ87" s="199" t="str">
        <f>IFERROR(IF(LAD$7&gt;$D$3,"",AVERAGE($HJ87:HK87)),"")</f>
        <v/>
      </c>
      <c r="MA87" s="199" t="str">
        <f>IFERROR(IF(MA$7&gt;$D$3,"",AVERAGE($HJ87:HL87)),"")</f>
        <v/>
      </c>
      <c r="MB87" s="199" t="str">
        <f>IFERROR(IF(MB$7&gt;$D$3,"",AVERAGE($HJ87:HM87)),"")</f>
        <v/>
      </c>
      <c r="MC87" s="199" t="str">
        <f>IFERROR(IF(MC$7&gt;$D$3,"",AVERAGE($HJ87:HN87)),"")</f>
        <v/>
      </c>
      <c r="MD87" s="199" t="str">
        <f>IFERROR(IF(MD$7&gt;$D$3,"",AVERAGE($HJ87:HO87)),"")</f>
        <v/>
      </c>
      <c r="ME87" s="199" t="str">
        <f>IFERROR(IF(ME$7&gt;$D$3,"",AVERAGE($HJ87:HP87)),"")</f>
        <v/>
      </c>
      <c r="MF87" s="199" t="str">
        <f>IFERROR(IF(MF$7&gt;$D$3,"",AVERAGE($HJ87:HQ87)),"")</f>
        <v/>
      </c>
      <c r="MG87" s="199" t="str">
        <f>IFERROR(IF(MG$7&gt;$D$3,"",AVERAGE($HJ87:HR87)),"")</f>
        <v/>
      </c>
      <c r="MH87" s="199" t="str">
        <f>IFERROR(IF(MH$7&gt;$D$3,"",AVERAGE($HJ87:HS87)),"")</f>
        <v/>
      </c>
      <c r="MI87" s="199" t="str">
        <f>IFERROR(IF(MI$7&gt;$D$3,"",AVERAGE($HJ87:HT87)),"")</f>
        <v/>
      </c>
      <c r="MJ87" s="199" t="str">
        <f>IFERROR(IF(MJ$7&gt;$D$3,"",AVERAGE($HJ87:HU87)),"")</f>
        <v/>
      </c>
      <c r="MK87" s="199" t="str">
        <f>IFERROR(IF(MK$7&gt;$D$3,"",AVERAGE($HJ87:HV87)),"")</f>
        <v/>
      </c>
      <c r="ML87" s="199">
        <f>IFERROR(IF(ML$7&gt;$D$3,"",AVERAGE($HJ87:HW87)),"")</f>
        <v>1</v>
      </c>
      <c r="MM87" s="199">
        <f>IFERROR(IF(MM$7&gt;$D$3,"",AVERAGE($HJ87:HX87)),"")</f>
        <v>1</v>
      </c>
      <c r="MN87" s="199">
        <f>IFERROR(IF(MN$7&gt;$D$3,"",AVERAGE($HJ87:HY87)),"")</f>
        <v>1</v>
      </c>
      <c r="MO87" s="199">
        <f>IFERROR(IF(MO$7&gt;$D$3,"",AVERAGE($HJ87:HZ87)),"")</f>
        <v>1</v>
      </c>
      <c r="MP87" s="199">
        <f>IFERROR(IF(MP$7&gt;$D$3,"",AVERAGE($HJ87:IA87)),"")</f>
        <v>1</v>
      </c>
      <c r="MQ87" s="199">
        <f>IFERROR(IF(MQ$7&gt;$D$3,"",AVERAGE($HJ87:IB87)),"")</f>
        <v>1</v>
      </c>
      <c r="MR87" s="199">
        <f>IFERROR(IF(MR$7&gt;$D$3,"",AVERAGE($HJ87:IC87)),"")</f>
        <v>1</v>
      </c>
      <c r="MS87" s="199">
        <f>IFERROR(IF(MS$7&gt;$D$3,"",AVERAGE($HJ87:ID87)),"")</f>
        <v>1</v>
      </c>
      <c r="MT87" s="199">
        <f>IFERROR(IF(MT$7&gt;$D$3,"",AVERAGE($HJ87:IE87)),"")</f>
        <v>1</v>
      </c>
      <c r="MU87" s="199">
        <f>IFERROR(IF(MU$7&gt;$D$3,"",AVERAGE($HJ87:IF87)),"")</f>
        <v>1</v>
      </c>
      <c r="MV87" s="199">
        <f>IFERROR(IF(MV$7&gt;$D$3,"",AVERAGE($HJ87:IG87)),"")</f>
        <v>1</v>
      </c>
      <c r="MW87" s="199">
        <f>IFERROR(IF(MW$7&gt;$D$3,"",AVERAGE($HJ87:IH87)),"")</f>
        <v>1</v>
      </c>
      <c r="MX87" s="199">
        <f>IFERROR(IF(MX$7&gt;$D$3,"",AVERAGE($HJ87:II87)),"")</f>
        <v>1</v>
      </c>
      <c r="MY87" s="199">
        <f>IFERROR(IF(MY$7&gt;$D$3,"",AVERAGE($HJ87:IJ87)),"")</f>
        <v>1</v>
      </c>
      <c r="MZ87" s="199">
        <f>IFERROR(IF(MZ$7&gt;$D$3,"",AVERAGE($HJ87:IK87)),"")</f>
        <v>1</v>
      </c>
      <c r="NA87" s="199">
        <f>IFERROR(IF(NA$7&gt;$D$3,"",AVERAGE($HJ87:IL87)),"")</f>
        <v>1</v>
      </c>
      <c r="NB87" s="199">
        <f>IFERROR(IF(NB$7&gt;$D$3,"",AVERAGE($HJ87:IM87)),"")</f>
        <v>1</v>
      </c>
      <c r="NC87" s="199">
        <f>IFERROR(IF(NC$7&gt;$D$3,"",AVERAGE($HJ87:IN87)),"")</f>
        <v>1</v>
      </c>
      <c r="ND87" s="199">
        <f>IFERROR(IF(ND$7&gt;$D$3,"",AVERAGE($HJ87:IO87)),"")</f>
        <v>1</v>
      </c>
      <c r="NE87" s="199">
        <f>IFERROR(IF(NE$7&gt;$D$3,"",AVERAGE($HJ87:IP87)),"")</f>
        <v>1</v>
      </c>
      <c r="NF87" s="199">
        <f>IFERROR(IF(NF$7&gt;$D$3,"",AVERAGE($HJ87:IQ87)),"")</f>
        <v>1</v>
      </c>
      <c r="NG87" s="199">
        <f>IFERROR(IF(NG$7&gt;$D$3,"",AVERAGE($HJ87:IR87)),"")</f>
        <v>1</v>
      </c>
      <c r="NH87" s="199">
        <f>IFERROR(IF(NH$7&gt;$D$3,"",AVERAGE($HJ87:IS87)),"")</f>
        <v>1</v>
      </c>
      <c r="NI87" s="199">
        <f>IFERROR(IF(NI$7&gt;$D$3,"",AVERAGE($HJ87:IT87)),"")</f>
        <v>1</v>
      </c>
      <c r="NJ87" s="199">
        <f>IFERROR(IF(NJ$7&gt;$D$3,"",AVERAGE($HJ87:IU87)),"")</f>
        <v>1</v>
      </c>
      <c r="NK87" s="199">
        <f>IFERROR(IF(NK$7&gt;$D$3,"",AVERAGE($HJ87:IV87)),"")</f>
        <v>1</v>
      </c>
      <c r="NL87" s="199">
        <f>IFERROR(IF(NL$7&gt;$D$3,"",AVERAGE($HJ87:IW87)),"")</f>
        <v>1</v>
      </c>
      <c r="NM87" s="199">
        <f>IFERROR(IF(NM$7&gt;$D$3,"",AVERAGE($HJ87:IX87)),"")</f>
        <v>1</v>
      </c>
      <c r="NN87" s="199">
        <f>IFERROR(IF(NN$7&gt;$D$3,"",AVERAGE($HJ87:IY87)),"")</f>
        <v>1</v>
      </c>
      <c r="NO87" s="199" t="str">
        <f>IFERROR(IF(NO$7&gt;$D$3,"",AVERAGE($HJ87:IZ87)),"")</f>
        <v/>
      </c>
      <c r="NP87" s="199" t="str">
        <f>IFERROR(IF(NP$7&gt;$D$3,"",AVERAGE($HJ87:JA87)),"")</f>
        <v/>
      </c>
      <c r="NQ87" s="199" t="str">
        <f>IFERROR(IF(NQ$7&gt;$D$3,"",AVERAGE($HJ87:JB87)),"")</f>
        <v/>
      </c>
      <c r="NR87" s="199" t="str">
        <f>IFERROR(IF(NR$7&gt;$D$3,"",AVERAGE($HJ87:JC87)),"")</f>
        <v/>
      </c>
      <c r="NS87" s="199" t="str">
        <f>IFERROR(IF(NS$7&gt;$D$3,"",AVERAGE($HJ87:JD87)),"")</f>
        <v/>
      </c>
      <c r="NT87" s="199" t="str">
        <f>IFERROR(IF(NT$7&gt;$D$3,"",AVERAGE($HJ87:JE87)),"")</f>
        <v/>
      </c>
      <c r="NU87" s="199" t="str">
        <f>IFERROR(IF(NU$7&gt;$D$3,"",AVERAGE($HJ87:JF87)),"")</f>
        <v/>
      </c>
      <c r="NV87" s="199" t="str">
        <f>IFERROR(IF(NV$7&gt;$D$3,"",AVERAGE($HJ87:JG87)),"")</f>
        <v/>
      </c>
      <c r="NW87" s="199" t="str">
        <f>IFERROR(IF(NW$7&gt;$D$3,"",AVERAGE($HJ87:JH87)),"")</f>
        <v/>
      </c>
      <c r="NX87" s="199" t="str">
        <f>IFERROR(IF(NX$7&gt;$D$3,"",AVERAGE($HJ87:JI87)),"")</f>
        <v/>
      </c>
      <c r="NY87" s="199" t="str">
        <f>IFERROR(IF(NY$7&gt;$D$3,"",AVERAGE($HJ87:JJ87)),"")</f>
        <v/>
      </c>
    </row>
    <row r="88" spans="1:389" ht="15" thickBot="1" x14ac:dyDescent="0.35">
      <c r="A88" t="str">
        <f>$B$84&amp;"-"&amp;C88</f>
        <v>Quality Maybole-KPI C1</v>
      </c>
      <c r="B88" s="138"/>
      <c r="C88" s="138" t="str">
        <f>+'KPI Stats'!C87</f>
        <v>KPI C1</v>
      </c>
      <c r="D88" s="146" t="str">
        <f>+'KPI Stats'!D87</f>
        <v>Cost</v>
      </c>
      <c r="E88" s="146" t="str">
        <f>+'KPI Stats'!E87</f>
        <v>Cost of Quality - (Maybole only)</v>
      </c>
      <c r="F88" s="147" t="str">
        <f>+'KPI Stats'!F87</f>
        <v>£'s</v>
      </c>
      <c r="G88" s="188" t="str">
        <f>+'KPI Stats'!G87</f>
        <v>Over</v>
      </c>
      <c r="J88" s="160" t="str">
        <f>_xlfn.XLOOKUP(J$7,$AM$7:$CM$7,$AM88:$CM88,,FALSE)</f>
        <v>G</v>
      </c>
      <c r="K88" s="266">
        <f>_xlfn.XLOOKUP(K$7,$FC$7:$HC$7,$FC88:$HC88,,FALSE)</f>
        <v>0</v>
      </c>
      <c r="L88" s="279">
        <f>_xlfn.XLOOKUP(L$7,$HJ$7:$JJ$7,$HJ88:$JJ88,,FALSE)</f>
        <v>654</v>
      </c>
      <c r="M88" s="276" t="str">
        <f>_xlfn.XLOOKUP(M$7,$CU$7:$EU$7,$CU88:$EU88,,FALSE)</f>
        <v>100%</v>
      </c>
      <c r="P88" s="160" t="str">
        <f>_xlfn.XLOOKUP(P$7,$AM$7:$CM$7,$AM88:$CM88,,FALSE)</f>
        <v>G</v>
      </c>
      <c r="Q88" s="266">
        <f t="shared" si="293"/>
        <v>0</v>
      </c>
      <c r="R88" s="279">
        <f t="shared" si="293"/>
        <v>0</v>
      </c>
      <c r="S88" s="289" t="str">
        <f t="shared" si="294"/>
        <v>100%</v>
      </c>
      <c r="T88" s="267" t="str">
        <f t="shared" si="294"/>
        <v>100%</v>
      </c>
      <c r="U88" s="296" t="str">
        <f>IF(F84&lt;$R$2,"Not Complete",IF(Q88=R88,"Same −",IF($G88="Over",IF(Q88&lt;R88,"Better ↑","Worse ↓"),IF($G88="Under",IF(Q88&gt;R88,"Better ↑","Worse ↓"),"err"))))</f>
        <v>Same −</v>
      </c>
      <c r="X88" s="160" t="str">
        <f t="shared" si="295"/>
        <v>R</v>
      </c>
      <c r="Y88" s="164">
        <f>_xlfn.XLOOKUP(Y$7,$JR$7:$LR$7,$JR88:$LR88,FALSE)</f>
        <v>693.06896551724139</v>
      </c>
      <c r="Z88" s="164">
        <f>_xlfn.XLOOKUP(Z$7,$LY$7:$NY$7,$LY88:$NY88,FALSE)</f>
        <v>654</v>
      </c>
      <c r="AA88" s="255">
        <f t="shared" si="299"/>
        <v>0.94362903627046124</v>
      </c>
      <c r="AB88" s="296" t="str">
        <f>IF(F84&lt;$R$2,"TBC",IF(Y88=Z88,"Same −",IF($G88="Over",IF(Z88&lt;Y88,"Better ↑ ","Worse ↓ "),IF($G88="Under",IF(Y88&gt;Z88,"Better ↑ ","Worse ↓ "),"err"))))</f>
        <v xml:space="preserve">Better ↑ </v>
      </c>
      <c r="AC88" s="160" t="str">
        <f>IF(AND(G88="above adero",AD88&gt;0),"R",IF(AF88&gt;1,"G",IF(AF88&gt;0.95,"A","R")))</f>
        <v>R</v>
      </c>
      <c r="AD88" s="164">
        <f>_xlfn.XLOOKUP(AD$7,$JR$7:$LR$7,$JR88:$LR88,FALSE)</f>
        <v>717.82142857142856</v>
      </c>
      <c r="AE88" s="164">
        <f>_xlfn.XLOOKUP(AE$7,$LY$7:$NY$7,$LY88:$NY88,FALSE)</f>
        <v>654</v>
      </c>
      <c r="AF88" s="255">
        <f t="shared" si="296"/>
        <v>0.9110901039852729</v>
      </c>
      <c r="AH88" s="465" t="str">
        <f>+$A88</f>
        <v>Quality Maybole-KPI C1</v>
      </c>
      <c r="AI88" s="138" t="str">
        <f t="shared" si="297"/>
        <v>KPI C1</v>
      </c>
      <c r="AJ88" s="146" t="str">
        <f t="shared" si="297"/>
        <v>Cost</v>
      </c>
      <c r="AK88" s="146" t="str">
        <f t="shared" si="282"/>
        <v>Cost of Quality - (Maybole only)</v>
      </c>
      <c r="AL88" s="147" t="str">
        <f t="shared" si="282"/>
        <v>£'s</v>
      </c>
      <c r="AM88" s="160" t="str">
        <f>IF(AM$7&gt;$D$3,"",_xlfn.XLOOKUP(AM$7,'Quality MB'!$M$6:$BM$6,'Quality MB'!$M$19:$BM$19))</f>
        <v>Blank</v>
      </c>
      <c r="AN88" s="200" t="str">
        <f>IF(AN$7&gt;$D$3,"",_xlfn.XLOOKUP(AN$7,'Quality MB'!$M$6:$BM$6,'Quality MB'!$M$19:$BM$19))</f>
        <v>TBC</v>
      </c>
      <c r="AO88" s="160" t="str">
        <f>IF(AO$7&gt;$D$3,"",_xlfn.XLOOKUP(AO$7,'Quality MB'!$M$6:$BM$6,'Quality MB'!$M$19:$BM$19))</f>
        <v>TBC</v>
      </c>
      <c r="AP88" s="160" t="str">
        <f>IF(AP$7&gt;$D$3,"",_xlfn.XLOOKUP(AP$7,'Quality MB'!$M$6:$BM$6,'Quality MB'!$M$19:$BM$19))</f>
        <v>TBC</v>
      </c>
      <c r="AQ88" s="160" t="str">
        <f>IF(AQ$7&gt;$D$3,"",_xlfn.XLOOKUP(AQ$7,'Quality MB'!$M$6:$BM$6,'Quality MB'!$M$19:$BM$19))</f>
        <v>TBC</v>
      </c>
      <c r="AR88" s="160" t="str">
        <f>IF(AR$7&gt;$D$3,"",_xlfn.XLOOKUP(AR$7,'Quality MB'!$M$6:$BM$6,'Quality MB'!$M$19:$BM$19))</f>
        <v>TBC</v>
      </c>
      <c r="AS88" s="160" t="str">
        <f>IF(AS$7&gt;$D$3,"",_xlfn.XLOOKUP(AS$7,'Quality MB'!$M$6:$BM$6,'Quality MB'!$M$19:$BM$19))</f>
        <v>TBC</v>
      </c>
      <c r="AT88" s="160" t="str">
        <f>IF(AT$7&gt;$D$3,"",_xlfn.XLOOKUP(AT$7,'Quality MB'!$M$6:$BM$6,'Quality MB'!$M$19:$BM$19))</f>
        <v>TBC</v>
      </c>
      <c r="AU88" s="160" t="str">
        <f>IF(AU$7&gt;$D$3,"",_xlfn.XLOOKUP(AU$7,'Quality MB'!$M$6:$BM$6,'Quality MB'!$M$19:$BM$19))</f>
        <v>TBC</v>
      </c>
      <c r="AV88" s="160" t="str">
        <f>IF(AV$7&gt;$D$3,"",_xlfn.XLOOKUP(AV$7,'Quality MB'!$M$6:$BM$6,'Quality MB'!$M$19:$BM$19))</f>
        <v>TBC</v>
      </c>
      <c r="AW88" s="160" t="str">
        <f>IF(AW$7&gt;$D$3,"",_xlfn.XLOOKUP(AW$7,'Quality MB'!$M$6:$BM$6,'Quality MB'!$M$19:$BM$19))</f>
        <v>TBC</v>
      </c>
      <c r="AX88" s="160" t="str">
        <f>IF(AX$7&gt;$D$3,"",_xlfn.XLOOKUP(AX$7,'Quality MB'!$M$6:$BM$6,'Quality MB'!$M$19:$BM$19))</f>
        <v>TBC</v>
      </c>
      <c r="AY88" s="160" t="str">
        <f>IF(AY$7&gt;$D$3,"",_xlfn.XLOOKUP(AY$7,'Quality MB'!$M$6:$BM$6,'Quality MB'!$M$19:$BM$19))</f>
        <v>TBC</v>
      </c>
      <c r="AZ88" s="160" t="str">
        <f>IF(AZ$7&gt;$D$3,"",_xlfn.XLOOKUP(AZ$7,'Quality MB'!$M$6:$BM$6,'Quality MB'!$M$19:$BM$19))</f>
        <v>G</v>
      </c>
      <c r="BA88" s="160" t="str">
        <f>IF(BA$7&gt;$D$3,"",_xlfn.XLOOKUP(BA$7,'Quality MB'!$M$6:$BM$6,'Quality MB'!$M$19:$BM$19))</f>
        <v>G</v>
      </c>
      <c r="BB88" s="160" t="str">
        <f>IF(BB$7&gt;$D$3,"",_xlfn.XLOOKUP(BB$7,'Quality MB'!$M$6:$BM$6,'Quality MB'!$M$19:$BM$19))</f>
        <v>R</v>
      </c>
      <c r="BC88" s="160" t="str">
        <f>IF(BC$7&gt;$D$3,"",_xlfn.XLOOKUP(BC$7,'Quality MB'!$M$6:$BM$6,'Quality MB'!$M$19:$BM$19))</f>
        <v>G</v>
      </c>
      <c r="BD88" s="160" t="str">
        <f>IF(BD$7&gt;$D$3,"",_xlfn.XLOOKUP(BD$7,'Quality MB'!$M$6:$BM$6,'Quality MB'!$M$19:$BM$19))</f>
        <v>G</v>
      </c>
      <c r="BE88" s="160" t="str">
        <f>IF(BE$7&gt;$D$3,"",_xlfn.XLOOKUP(BE$7,'Quality MB'!$M$6:$BM$6,'Quality MB'!$M$19:$BM$19))</f>
        <v>G</v>
      </c>
      <c r="BF88" s="160" t="str">
        <f>IF(BF$7&gt;$D$3,"",_xlfn.XLOOKUP(BF$7,'Quality MB'!$M$6:$BM$6,'Quality MB'!$M$19:$BM$19))</f>
        <v>R</v>
      </c>
      <c r="BG88" s="160" t="str">
        <f>IF(BG$7&gt;$D$3,"",_xlfn.XLOOKUP(BG$7,'Quality MB'!$M$6:$BM$6,'Quality MB'!$M$19:$BM$19))</f>
        <v>G</v>
      </c>
      <c r="BH88" s="160" t="str">
        <f>IF(BH$7&gt;$D$3,"",_xlfn.XLOOKUP(BH$7,'Quality MB'!$M$6:$BM$6,'Quality MB'!$M$19:$BM$19))</f>
        <v>G</v>
      </c>
      <c r="BI88" s="160" t="str">
        <f>IF(BI$7&gt;$D$3,"",_xlfn.XLOOKUP(BI$7,'Quality MB'!$M$6:$BM$6,'Quality MB'!$M$19:$BM$19))</f>
        <v>G</v>
      </c>
      <c r="BJ88" s="160" t="str">
        <f>IF(BJ$7&gt;$D$3,"",_xlfn.XLOOKUP(BJ$7,'Quality MB'!$M$6:$BM$6,'Quality MB'!$M$19:$BM$19))</f>
        <v>G</v>
      </c>
      <c r="BK88" s="160" t="str">
        <f>IF(BK$7&gt;$D$3,"",_xlfn.XLOOKUP(BK$7,'Quality MB'!$M$6:$BM$6,'Quality MB'!$M$19:$BM$19))</f>
        <v>G</v>
      </c>
      <c r="BL88" s="160" t="str">
        <f>IF(BL$7&gt;$D$3,"",_xlfn.XLOOKUP(BL$7,'Quality MB'!$M$6:$BM$6,'Quality MB'!$M$19:$BM$19))</f>
        <v>G</v>
      </c>
      <c r="BM88" s="160" t="str">
        <f>IF(BM$7&gt;$D$3,"",_xlfn.XLOOKUP(BM$7,'Quality MB'!$M$6:$BM$6,'Quality MB'!$M$19:$BM$19))</f>
        <v>G</v>
      </c>
      <c r="BN88" s="160" t="str">
        <f>IF(BN$7&gt;$D$3,"",_xlfn.XLOOKUP(BN$7,'Quality MB'!$M$6:$BM$6,'Quality MB'!$M$19:$BM$19))</f>
        <v>G</v>
      </c>
      <c r="BO88" s="160" t="str">
        <f>IF(BO$7&gt;$D$3,"",_xlfn.XLOOKUP(BO$7,'Quality MB'!$M$6:$BM$6,'Quality MB'!$M$19:$BM$19))</f>
        <v>G</v>
      </c>
      <c r="BP88" s="160" t="str">
        <f>IF(BP$7&gt;$D$3,"",_xlfn.XLOOKUP(BP$7,'Quality MB'!$M$6:$BM$6,'Quality MB'!$M$19:$BM$19))</f>
        <v>G</v>
      </c>
      <c r="BQ88" s="160" t="str">
        <f>IF(BQ$7&gt;$D$3,"",_xlfn.XLOOKUP(BQ$7,'Quality MB'!$M$6:$BM$6,'Quality MB'!$M$19:$BM$19))</f>
        <v>G</v>
      </c>
      <c r="BR88" s="160" t="str">
        <f>IF(BR$7&gt;$D$3,"",_xlfn.XLOOKUP(BR$7,'Quality MB'!$M$6:$BM$6,'Quality MB'!$M$19:$BM$19))</f>
        <v>G</v>
      </c>
      <c r="BS88" s="160" t="str">
        <f>IF(BS$7&gt;$D$3,"",_xlfn.XLOOKUP(BS$7,'Quality MB'!$M$6:$BM$6,'Quality MB'!$M$19:$BM$19))</f>
        <v>G</v>
      </c>
      <c r="BT88" s="160" t="str">
        <f>IF(BT$7&gt;$D$3,"",_xlfn.XLOOKUP(BT$7,'Quality MB'!$M$6:$BM$6,'Quality MB'!$M$19:$BM$19))</f>
        <v>G</v>
      </c>
      <c r="BU88" s="160" t="str">
        <f>IF(BU$7&gt;$D$3,"",_xlfn.XLOOKUP(BU$7,'Quality MB'!$M$6:$BM$6,'Quality MB'!$M$19:$BM$19))</f>
        <v>G</v>
      </c>
      <c r="BV88" s="160" t="str">
        <f>IF(BV$7&gt;$D$3,"",_xlfn.XLOOKUP(BV$7,'Quality MB'!$M$6:$BM$6,'Quality MB'!$M$19:$BM$19))</f>
        <v>G</v>
      </c>
      <c r="BW88" s="160" t="str">
        <f>IF(BW$7&gt;$D$3,"",_xlfn.XLOOKUP(BW$7,'Quality MB'!$M$6:$BM$6,'Quality MB'!$M$19:$BM$19))</f>
        <v>G</v>
      </c>
      <c r="BX88" s="160" t="str">
        <f>IF(BX$7&gt;$D$3,"",_xlfn.XLOOKUP(BX$7,'Quality MB'!$M$6:$BM$6,'Quality MB'!$M$19:$BM$19))</f>
        <v>G</v>
      </c>
      <c r="BY88" s="160" t="str">
        <f>IF(BY$7&gt;$D$3,"",_xlfn.XLOOKUP(BY$7,'Quality MB'!$M$6:$BM$6,'Quality MB'!$M$19:$BM$19))</f>
        <v>G</v>
      </c>
      <c r="BZ88" s="160" t="str">
        <f>IF(BZ$7&gt;$D$3,"",_xlfn.XLOOKUP(BZ$7,'Quality MB'!$M$6:$BM$6,'Quality MB'!$M$19:$BM$19))</f>
        <v>R</v>
      </c>
      <c r="CA88" s="160" t="str">
        <f>IF(CA$7&gt;$D$3,"",_xlfn.XLOOKUP(CA$7,'Quality MB'!$M$6:$BM$6,'Quality MB'!$M$19:$BM$19))</f>
        <v>G</v>
      </c>
      <c r="CB88" s="160" t="str">
        <f>IF(CB$7&gt;$D$3,"",_xlfn.XLOOKUP(CB$7,'Quality MB'!$M$6:$BM$6,'Quality MB'!$M$19:$BM$19))</f>
        <v>G</v>
      </c>
      <c r="CC88" s="160" t="str">
        <f>IF(CC$7&gt;$D$3,"",_xlfn.XLOOKUP(CC$7,'Quality MB'!$M$6:$BM$6,'Quality MB'!$M$19:$BM$19))</f>
        <v/>
      </c>
      <c r="CD88" s="160" t="str">
        <f>IF(CD$7&gt;$D$3,"",_xlfn.XLOOKUP(CD$7,'Quality MB'!$M$6:$BM$6,'Quality MB'!$M$19:$BM$19))</f>
        <v/>
      </c>
      <c r="CE88" s="160" t="str">
        <f>IF(CE$7&gt;$D$3,"",_xlfn.XLOOKUP(CE$7,'Quality MB'!$M$6:$BM$6,'Quality MB'!$M$19:$BM$19))</f>
        <v/>
      </c>
      <c r="CF88" s="160" t="str">
        <f>IF(CF$7&gt;$D$3,"",_xlfn.XLOOKUP(CF$7,'Quality MB'!$M$6:$BM$6,'Quality MB'!$M$19:$BM$19))</f>
        <v/>
      </c>
      <c r="CG88" s="160" t="str">
        <f>IF(CG$7&gt;$D$3,"",_xlfn.XLOOKUP(CG$7,'Quality MB'!$M$6:$BM$6,'Quality MB'!$M$19:$BM$19))</f>
        <v/>
      </c>
      <c r="CH88" s="160" t="str">
        <f>IF(CH$7&gt;$D$3,"",_xlfn.XLOOKUP(CH$7,'Quality MB'!$M$6:$BM$6,'Quality MB'!$M$19:$BM$19))</f>
        <v/>
      </c>
      <c r="CI88" s="160" t="str">
        <f>IF(CI$7&gt;$D$3,"",_xlfn.XLOOKUP(CI$7,'Quality MB'!$M$6:$BM$6,'Quality MB'!$M$19:$BM$19))</f>
        <v/>
      </c>
      <c r="CJ88" s="160" t="str">
        <f>IF(CJ$7&gt;$D$3,"",_xlfn.XLOOKUP(CJ$7,'Quality MB'!$M$6:$BM$6,'Quality MB'!$M$19:$BM$19))</f>
        <v/>
      </c>
      <c r="CK88" s="160" t="str">
        <f>IF(CK$7&gt;$D$3,"",_xlfn.XLOOKUP(CK$7,'Quality MB'!$M$6:$BM$6,'Quality MB'!$M$19:$BM$19))</f>
        <v/>
      </c>
      <c r="CL88" s="160" t="str">
        <f>IF(CL$7&gt;$D$3,"",_xlfn.XLOOKUP(CL$7,'Quality MB'!$M$6:$BM$6,'Quality MB'!$M$19:$BM$19))</f>
        <v/>
      </c>
      <c r="CM88" s="160" t="str">
        <f>IF(CM$7&gt;$D$3,"",_xlfn.XLOOKUP(CM$7,'Quality MB'!$M$6:$BM$6,'Quality MB'!$M$19:$BM$19))</f>
        <v/>
      </c>
      <c r="CO88" s="465" t="str">
        <f>+$A88</f>
        <v>Quality Maybole-KPI C1</v>
      </c>
      <c r="CP88" s="138" t="str">
        <f t="shared" si="298"/>
        <v>KPI C1</v>
      </c>
      <c r="CQ88" s="146" t="str">
        <f t="shared" si="298"/>
        <v>Cost</v>
      </c>
      <c r="CR88" s="146" t="str">
        <f t="shared" si="284"/>
        <v>Cost of Quality - (Maybole only)</v>
      </c>
      <c r="CS88" s="147" t="str">
        <f t="shared" si="284"/>
        <v>£'s</v>
      </c>
      <c r="CT88" s="208" t="s">
        <v>246</v>
      </c>
      <c r="CU88" s="424" t="str">
        <f>IF(CU$7&gt;$D$3,"",_xlfn.XLOOKUP(CU$7,'Quality MB'!$M$6:$BM$6,'Quality MB'!$M$19:$BM$19))</f>
        <v>Blank</v>
      </c>
      <c r="CV88" s="324" t="str">
        <f>IFERROR(IF(CV$7&gt;$D$3,"",IF(AN88="OD","OD",IF(AN88="Undefined","Undefined",IF(AN88="Missed","Missed",IF(AN88="TBC","TBC",IF(_xlfn.XLOOKUP(CV$7,'Quality MB'!$M$6:$BM$6,'Quality MB'!$M$17:$BM$17)/_xlfn.XLOOKUP(CV$7,'Quality MB'!$M$6:$BM$6,'Quality MB'!$M$18:$BM$18)=0,100%,_xlfn.XLOOKUP(CV$7,'Quality MB'!$M$6:$BM$6,'Quality MB'!$M$17:$BM$17)/_xlfn.XLOOKUP(CV$7,'Quality MB'!$M$6:$BM$6,'Quality MB'!$M$18:$BM$18))))))),"100%")</f>
        <v>TBC</v>
      </c>
      <c r="CW88" s="325" t="str">
        <f>IFERROR(IF(CW$7&gt;$D$3,"",IF(AO88="OD","OD",IF(AO88="Undefined","Undefined",IF(AO88="Missed","Missed",IF(AO88="TBC","TBC",IF(_xlfn.XLOOKUP(CW$7,'Quality MB'!$M$6:$BM$6,'Quality MB'!$M$17:$BM$17)/_xlfn.XLOOKUP(CW$7,'Quality MB'!$M$6:$BM$6,'Quality MB'!$M$18:$BM$18)=0,100%,_xlfn.XLOOKUP(CW$7,'Quality MB'!$M$6:$BM$6,'Quality MB'!$M$17:$BM$17)/_xlfn.XLOOKUP(CW$7,'Quality MB'!$M$6:$BM$6,'Quality MB'!$M$18:$BM$18))))))),"100%")</f>
        <v>TBC</v>
      </c>
      <c r="CX88" s="325" t="str">
        <f>IFERROR(IF(CX$7&gt;$D$3,"",IF(AP88="OD","OD",IF(AP88="Undefined","Undefined",IF(AP88="Missed","Missed",IF(AP88="TBC","TBC",IF(_xlfn.XLOOKUP(CX$7,'Quality MB'!$M$6:$BM$6,'Quality MB'!$M$17:$BM$17)/_xlfn.XLOOKUP(CX$7,'Quality MB'!$M$6:$BM$6,'Quality MB'!$M$18:$BM$18)=0,100%,_xlfn.XLOOKUP(CX$7,'Quality MB'!$M$6:$BM$6,'Quality MB'!$M$17:$BM$17)/_xlfn.XLOOKUP(CX$7,'Quality MB'!$M$6:$BM$6,'Quality MB'!$M$18:$BM$18))))))),"100%")</f>
        <v>TBC</v>
      </c>
      <c r="CY88" s="325" t="str">
        <f>IFERROR(IF(CY$7&gt;$D$3,"",IF(AQ88="OD","OD",IF(AQ88="Undefined","Undefined",IF(AQ88="Missed","Missed",IF(AQ88="TBC","TBC",IF(_xlfn.XLOOKUP(CY$7,'Quality MB'!$M$6:$BM$6,'Quality MB'!$M$17:$BM$17)/_xlfn.XLOOKUP(CY$7,'Quality MB'!$M$6:$BM$6,'Quality MB'!$M$18:$BM$18)=0,100%,_xlfn.XLOOKUP(CY$7,'Quality MB'!$M$6:$BM$6,'Quality MB'!$M$17:$BM$17)/_xlfn.XLOOKUP(CY$7,'Quality MB'!$M$6:$BM$6,'Quality MB'!$M$18:$BM$18))))))),"100%")</f>
        <v>TBC</v>
      </c>
      <c r="CZ88" s="325" t="str">
        <f>IFERROR(IF(CZ$7&gt;$D$3,"",IF(AR88="OD","OD",IF(AR88="Undefined","Undefined",IF(AR88="Missed","Missed",IF(AR88="TBC","TBC",IF(_xlfn.XLOOKUP(CZ$7,'Quality MB'!$M$6:$BM$6,'Quality MB'!$M$17:$BM$17)/_xlfn.XLOOKUP(CZ$7,'Quality MB'!$M$6:$BM$6,'Quality MB'!$M$18:$BM$18)=0,100%,_xlfn.XLOOKUP(CZ$7,'Quality MB'!$M$6:$BM$6,'Quality MB'!$M$17:$BM$17)/_xlfn.XLOOKUP(CZ$7,'Quality MB'!$M$6:$BM$6,'Quality MB'!$M$18:$BM$18))))))),"100%")</f>
        <v>TBC</v>
      </c>
      <c r="DA88" s="325" t="str">
        <f>IFERROR(IF(DA$7&gt;$D$3,"",IF(AS88="OD","OD",IF(AS88="Undefined","Undefined",IF(AS88="Missed","Missed",IF(AS88="TBC","TBC",IF(_xlfn.XLOOKUP(DA$7,'Quality MB'!$M$6:$BM$6,'Quality MB'!$M$17:$BM$17)/_xlfn.XLOOKUP(DA$7,'Quality MB'!$M$6:$BM$6,'Quality MB'!$M$18:$BM$18)=0,100%,_xlfn.XLOOKUP(DA$7,'Quality MB'!$M$6:$BM$6,'Quality MB'!$M$17:$BM$17)/_xlfn.XLOOKUP(DA$7,'Quality MB'!$M$6:$BM$6,'Quality MB'!$M$18:$BM$18))))))),"100%")</f>
        <v>TBC</v>
      </c>
      <c r="DB88" s="325" t="str">
        <f>IFERROR(IF(DB$7&gt;$D$3,"",IF(AT88="OD","OD",IF(AT88="Undefined","Undefined",IF(AT88="Missed","Missed",IF(AT88="TBC","TBC",IF(_xlfn.XLOOKUP(DB$7,'Quality MB'!$M$6:$BM$6,'Quality MB'!$M$17:$BM$17)/_xlfn.XLOOKUP(DB$7,'Quality MB'!$M$6:$BM$6,'Quality MB'!$M$18:$BM$18)=0,100%,_xlfn.XLOOKUP(DB$7,'Quality MB'!$M$6:$BM$6,'Quality MB'!$M$17:$BM$17)/_xlfn.XLOOKUP(DB$7,'Quality MB'!$M$6:$BM$6,'Quality MB'!$M$18:$BM$18))))))),"100%")</f>
        <v>TBC</v>
      </c>
      <c r="DC88" s="325" t="str">
        <f>IFERROR(IF(DC$7&gt;$D$3,"",IF(AU88="OD","OD",IF(AU88="Undefined","Undefined",IF(AU88="Missed","Missed",IF(AU88="TBC","TBC",IF(_xlfn.XLOOKUP(DC$7,'Quality MB'!$M$6:$BM$6,'Quality MB'!$M$17:$BM$17)/_xlfn.XLOOKUP(DC$7,'Quality MB'!$M$6:$BM$6,'Quality MB'!$M$18:$BM$18)=0,100%,_xlfn.XLOOKUP(DC$7,'Quality MB'!$M$6:$BM$6,'Quality MB'!$M$17:$BM$17)/_xlfn.XLOOKUP(DC$7,'Quality MB'!$M$6:$BM$6,'Quality MB'!$M$18:$BM$18))))))),"100%")</f>
        <v>TBC</v>
      </c>
      <c r="DD88" s="325" t="str">
        <f>IFERROR(IF(DD$7&gt;$D$3,"",IF(AV88="OD","OD",IF(AV88="Undefined","Undefined",IF(AV88="Missed","Missed",IF(AV88="TBC","TBC",IF(_xlfn.XLOOKUP(DD$7,'Quality MB'!$M$6:$BM$6,'Quality MB'!$M$17:$BM$17)/_xlfn.XLOOKUP(DD$7,'Quality MB'!$M$6:$BM$6,'Quality MB'!$M$18:$BM$18)=0,100%,_xlfn.XLOOKUP(DD$7,'Quality MB'!$M$6:$BM$6,'Quality MB'!$M$17:$BM$17)/_xlfn.XLOOKUP(DD$7,'Quality MB'!$M$6:$BM$6,'Quality MB'!$M$18:$BM$18))))))),"100%")</f>
        <v>TBC</v>
      </c>
      <c r="DE88" s="325" t="str">
        <f>IFERROR(IF(DE$7&gt;$D$3,"",IF(AW88="OD","OD",IF(AW88="Undefined","Undefined",IF(AW88="Missed","Missed",IF(AW88="TBC","TBC",IF(_xlfn.XLOOKUP(DE$7,'Quality MB'!$M$6:$BM$6,'Quality MB'!$M$17:$BM$17)/_xlfn.XLOOKUP(DE$7,'Quality MB'!$M$6:$BM$6,'Quality MB'!$M$18:$BM$18)=0,100%,_xlfn.XLOOKUP(DE$7,'Quality MB'!$M$6:$BM$6,'Quality MB'!$M$17:$BM$17)/_xlfn.XLOOKUP(DE$7,'Quality MB'!$M$6:$BM$6,'Quality MB'!$M$18:$BM$18))))))),"100%")</f>
        <v>TBC</v>
      </c>
      <c r="DF88" s="325" t="str">
        <f>IFERROR(IF(DF$7&gt;$D$3,"",IF(AX88="OD","OD",IF(AX88="Undefined","Undefined",IF(AX88="Missed","Missed",IF(AX88="TBC","TBC",IF(_xlfn.XLOOKUP(DF$7,'Quality MB'!$M$6:$BM$6,'Quality MB'!$M$17:$BM$17)/_xlfn.XLOOKUP(DF$7,'Quality MB'!$M$6:$BM$6,'Quality MB'!$M$18:$BM$18)=0,100%,_xlfn.XLOOKUP(DF$7,'Quality MB'!$M$6:$BM$6,'Quality MB'!$M$17:$BM$17)/_xlfn.XLOOKUP(DF$7,'Quality MB'!$M$6:$BM$6,'Quality MB'!$M$18:$BM$18))))))),"100%")</f>
        <v>TBC</v>
      </c>
      <c r="DG88" s="325" t="str">
        <f>IFERROR(IF(DG$7&gt;$D$3,"",IF(AY88="OD","OD",IF(AY88="Undefined","Undefined",IF(AY88="Missed","Missed",IF(AY88="TBC","TBC",IF(_xlfn.XLOOKUP(DG$7,'Quality MB'!$M$6:$BM$6,'Quality MB'!$M$17:$BM$17)/_xlfn.XLOOKUP(DG$7,'Quality MB'!$M$6:$BM$6,'Quality MB'!$M$18:$BM$18)=0,100%,_xlfn.XLOOKUP(DG$7,'Quality MB'!$M$6:$BM$6,'Quality MB'!$M$17:$BM$17)/_xlfn.XLOOKUP(DG$7,'Quality MB'!$M$6:$BM$6,'Quality MB'!$M$18:$BM$18))))))),"100%")</f>
        <v>TBC</v>
      </c>
      <c r="DH88" s="325" t="str">
        <f>IFERROR(IF(DH$7&gt;$D$3,"",IF(AZ88="OD","OD",IF(AZ88="Undefined","Undefined",IF(AZ88="Missed","Missed",IF(AZ88="TBC","TBC",IF(_xlfn.XLOOKUP(DH$7,'Quality MB'!$M$6:$BM$6,'Quality MB'!$M$17:$BM$17)/_xlfn.XLOOKUP(DH$7,'Quality MB'!$M$6:$BM$6,'Quality MB'!$M$18:$BM$18)=0,100%,_xlfn.XLOOKUP(DH$7,'Quality MB'!$M$6:$BM$6,'Quality MB'!$M$17:$BM$17)/_xlfn.XLOOKUP(DH$7,'Quality MB'!$M$6:$BM$6,'Quality MB'!$M$18:$BM$18))))))),"100%")</f>
        <v>100%</v>
      </c>
      <c r="DI88" s="325" t="str">
        <f>IFERROR(IF(DI$7&gt;$D$3,"",IF(BA88="OD","OD",IF(BA88="Undefined","Undefined",IF(BA88="Missed","Missed",IF(BA88="TBC","TBC",IF(_xlfn.XLOOKUP(DI$7,'Quality MB'!$M$6:$BM$6,'Quality MB'!$M$17:$BM$17)/_xlfn.XLOOKUP(DI$7,'Quality MB'!$M$6:$BM$6,'Quality MB'!$M$18:$BM$18)=0,100%,_xlfn.XLOOKUP(DI$7,'Quality MB'!$M$6:$BM$6,'Quality MB'!$M$17:$BM$17)/_xlfn.XLOOKUP(DI$7,'Quality MB'!$M$6:$BM$6,'Quality MB'!$M$18:$BM$18))))))),"100%")</f>
        <v>100%</v>
      </c>
      <c r="DJ88" s="325">
        <f>IFERROR(IF(DJ$7&gt;$D$3,"",IF(BB88="OD","OD",IF(BB88="Undefined","Undefined",IF(BB88="Missed","Missed",IF(BB88="TBC","TBC",IF(_xlfn.XLOOKUP(DJ$7,'Quality MB'!$M$6:$BM$6,'Quality MB'!$M$17:$BM$17)/_xlfn.XLOOKUP(DJ$7,'Quality MB'!$M$6:$BM$6,'Quality MB'!$M$18:$BM$18)=0,100%,_xlfn.XLOOKUP(DJ$7,'Quality MB'!$M$6:$BM$6,'Quality MB'!$M$17:$BM$17)/_xlfn.XLOOKUP(DJ$7,'Quality MB'!$M$6:$BM$6,'Quality MB'!$M$18:$BM$18))))))),"100%")</f>
        <v>0.5472803347280335</v>
      </c>
      <c r="DK88" s="325">
        <f>IFERROR(IF(DK$7&gt;$D$3,"",IF(BC88="OD","OD",IF(BC88="Undefined","Undefined",IF(BC88="Missed","Missed",IF(BC88="TBC","TBC",IF(_xlfn.XLOOKUP(DK$7,'Quality MB'!$M$6:$BM$6,'Quality MB'!$M$17:$BM$17)/_xlfn.XLOOKUP(DK$7,'Quality MB'!$M$6:$BM$6,'Quality MB'!$M$18:$BM$18)=0,100%,_xlfn.XLOOKUP(DK$7,'Quality MB'!$M$6:$BM$6,'Quality MB'!$M$17:$BM$17)/_xlfn.XLOOKUP(DK$7,'Quality MB'!$M$6:$BM$6,'Quality MB'!$M$18:$BM$18))))))),"100%")</f>
        <v>2.5447470817120621</v>
      </c>
      <c r="DL88" s="325">
        <f>IFERROR(IF(DL$7&gt;$D$3,"",IF(BD88="OD","OD",IF(BD88="Undefined","Undefined",IF(BD88="Missed","Missed",IF(BD88="TBC","TBC",IF(_xlfn.XLOOKUP(DL$7,'Quality MB'!$M$6:$BM$6,'Quality MB'!$M$17:$BM$17)/_xlfn.XLOOKUP(DL$7,'Quality MB'!$M$6:$BM$6,'Quality MB'!$M$18:$BM$18)=0,100%,_xlfn.XLOOKUP(DL$7,'Quality MB'!$M$6:$BM$6,'Quality MB'!$M$17:$BM$17)/_xlfn.XLOOKUP(DL$7,'Quality MB'!$M$6:$BM$6,'Quality MB'!$M$18:$BM$18))))))),"100%")</f>
        <v>4.1656050955414017</v>
      </c>
      <c r="DM88" s="325" t="str">
        <f>IFERROR(IF(DM$7&gt;$D$3,"",IF(BE88="OD","OD",IF(BE88="Undefined","Undefined",IF(BE88="Missed","Missed",IF(BE88="TBC","TBC",IF(_xlfn.XLOOKUP(DM$7,'Quality MB'!$M$6:$BM$6,'Quality MB'!$M$17:$BM$17)/_xlfn.XLOOKUP(DM$7,'Quality MB'!$M$6:$BM$6,'Quality MB'!$M$18:$BM$18)=0,100%,_xlfn.XLOOKUP(DM$7,'Quality MB'!$M$6:$BM$6,'Quality MB'!$M$17:$BM$17)/_xlfn.XLOOKUP(DM$7,'Quality MB'!$M$6:$BM$6,'Quality MB'!$M$18:$BM$18))))))),"100%")</f>
        <v>100%</v>
      </c>
      <c r="DN88" s="325">
        <f>IFERROR(IF(DN$7&gt;$D$3,"",IF(BF88="OD","OD",IF(BF88="Undefined","Undefined",IF(BF88="Missed","Missed",IF(BF88="TBC","TBC",IF(_xlfn.XLOOKUP(DN$7,'Quality MB'!$M$6:$BM$6,'Quality MB'!$M$17:$BM$17)/_xlfn.XLOOKUP(DN$7,'Quality MB'!$M$6:$BM$6,'Quality MB'!$M$18:$BM$18)=0,100%,_xlfn.XLOOKUP(DN$7,'Quality MB'!$M$6:$BM$6,'Quality MB'!$M$17:$BM$17)/_xlfn.XLOOKUP(DN$7,'Quality MB'!$M$6:$BM$6,'Quality MB'!$M$18:$BM$18))))))),"100%")</f>
        <v>5.2504816955684007E-2</v>
      </c>
      <c r="DO88" s="325" t="str">
        <f>IFERROR(IF(DO$7&gt;$D$3,"",IF(BG88="OD","OD",IF(BG88="Undefined","Undefined",IF(BG88="Missed","Missed",IF(BG88="TBC","TBC",IF(_xlfn.XLOOKUP(DO$7,'Quality MB'!$M$6:$BM$6,'Quality MB'!$M$17:$BM$17)/_xlfn.XLOOKUP(DO$7,'Quality MB'!$M$6:$BM$6,'Quality MB'!$M$18:$BM$18)=0,100%,_xlfn.XLOOKUP(DO$7,'Quality MB'!$M$6:$BM$6,'Quality MB'!$M$17:$BM$17)/_xlfn.XLOOKUP(DO$7,'Quality MB'!$M$6:$BM$6,'Quality MB'!$M$18:$BM$18))))))),"100%")</f>
        <v>100%</v>
      </c>
      <c r="DP88" s="325" t="str">
        <f>IFERROR(IF(DP$7&gt;$D$3,"",IF(BH88="OD","OD",IF(BH88="Undefined","Undefined",IF(BH88="Missed","Missed",IF(BH88="TBC","TBC",IF(_xlfn.XLOOKUP(DP$7,'Quality MB'!$M$6:$BM$6,'Quality MB'!$M$17:$BM$17)/_xlfn.XLOOKUP(DP$7,'Quality MB'!$M$6:$BM$6,'Quality MB'!$M$18:$BM$18)=0,100%,_xlfn.XLOOKUP(DP$7,'Quality MB'!$M$6:$BM$6,'Quality MB'!$M$17:$BM$17)/_xlfn.XLOOKUP(DP$7,'Quality MB'!$M$6:$BM$6,'Quality MB'!$M$18:$BM$18))))))),"100%")</f>
        <v>100%</v>
      </c>
      <c r="DQ88" s="325">
        <f>IFERROR(IF(DQ$7&gt;$D$3,"",IF(BI88="OD","OD",IF(BI88="Undefined","Undefined",IF(BI88="Missed","Missed",IF(BI88="TBC","TBC",IF(_xlfn.XLOOKUP(DQ$7,'Quality MB'!$M$6:$BM$6,'Quality MB'!$M$17:$BM$17)/_xlfn.XLOOKUP(DQ$7,'Quality MB'!$M$6:$BM$6,'Quality MB'!$M$18:$BM$18)=0,100%,_xlfn.XLOOKUP(DQ$7,'Quality MB'!$M$6:$BM$6,'Quality MB'!$M$17:$BM$17)/_xlfn.XLOOKUP(DQ$7,'Quality MB'!$M$6:$BM$6,'Quality MB'!$M$18:$BM$18))))))),"100%")</f>
        <v>24.222222222222221</v>
      </c>
      <c r="DR88" s="325">
        <f>IFERROR(IF(DR$7&gt;$D$3,"",IF(BJ88="OD","OD",IF(BJ88="Undefined","Undefined",IF(BJ88="Missed","Missed",IF(BJ88="TBC","TBC",IF(_xlfn.XLOOKUP(DR$7,'Quality MB'!$M$6:$BM$6,'Quality MB'!$M$17:$BM$17)/_xlfn.XLOOKUP(DR$7,'Quality MB'!$M$6:$BM$6,'Quality MB'!$M$18:$BM$18)=0,100%,_xlfn.XLOOKUP(DR$7,'Quality MB'!$M$6:$BM$6,'Quality MB'!$M$17:$BM$17)/_xlfn.XLOOKUP(DR$7,'Quality MB'!$M$6:$BM$6,'Quality MB'!$M$18:$BM$18))))))),"100%")</f>
        <v>25.153846153846153</v>
      </c>
      <c r="DS88" s="325" t="str">
        <f>IFERROR(IF(DS$7&gt;$D$3,"",IF(BK88="OD","OD",IF(BK88="Undefined","Undefined",IF(BK88="Missed","Missed",IF(BK88="TBC","TBC",IF(_xlfn.XLOOKUP(DS$7,'Quality MB'!$M$6:$BM$6,'Quality MB'!$M$17:$BM$17)/_xlfn.XLOOKUP(DS$7,'Quality MB'!$M$6:$BM$6,'Quality MB'!$M$18:$BM$18)=0,100%,_xlfn.XLOOKUP(DS$7,'Quality MB'!$M$6:$BM$6,'Quality MB'!$M$17:$BM$17)/_xlfn.XLOOKUP(DS$7,'Quality MB'!$M$6:$BM$6,'Quality MB'!$M$18:$BM$18))))))),"100%")</f>
        <v>100%</v>
      </c>
      <c r="DT88" s="325">
        <f>IFERROR(IF(DT$7&gt;$D$3,"",IF(BL88="OD","OD",IF(BL88="Undefined","Undefined",IF(BL88="Missed","Missed",IF(BL88="TBC","TBC",IF(_xlfn.XLOOKUP(DT$7,'Quality MB'!$M$6:$BM$6,'Quality MB'!$M$17:$BM$17)/_xlfn.XLOOKUP(DT$7,'Quality MB'!$M$6:$BM$6,'Quality MB'!$M$18:$BM$18)=0,100%,_xlfn.XLOOKUP(DT$7,'Quality MB'!$M$6:$BM$6,'Quality MB'!$M$17:$BM$17)/_xlfn.XLOOKUP(DT$7,'Quality MB'!$M$6:$BM$6,'Quality MB'!$M$18:$BM$18))))))),"100%")</f>
        <v>5.5897435897435894</v>
      </c>
      <c r="DU88" s="325" t="str">
        <f>IFERROR(IF(DU$7&gt;$D$3,"",IF(BM88="OD","OD",IF(BM88="Undefined","Undefined",IF(BM88="Missed","Missed",IF(BM88="TBC","TBC",IF(_xlfn.XLOOKUP(DU$7,'Quality MB'!$M$6:$BM$6,'Quality MB'!$M$17:$BM$17)/_xlfn.XLOOKUP(DU$7,'Quality MB'!$M$6:$BM$6,'Quality MB'!$M$18:$BM$18)=0,100%,_xlfn.XLOOKUP(DU$7,'Quality MB'!$M$6:$BM$6,'Quality MB'!$M$17:$BM$17)/_xlfn.XLOOKUP(DU$7,'Quality MB'!$M$6:$BM$6,'Quality MB'!$M$18:$BM$18))))))),"100%")</f>
        <v>100%</v>
      </c>
      <c r="DV88" s="325">
        <f>IFERROR(IF(DV$7&gt;$D$3,"",IF(BN88="OD","OD",IF(BN88="Undefined","Undefined",IF(BN88="Missed","Missed",IF(BN88="TBC","TBC",IF(_xlfn.XLOOKUP(DV$7,'Quality MB'!$M$6:$BM$6,'Quality MB'!$M$17:$BM$17)/_xlfn.XLOOKUP(DV$7,'Quality MB'!$M$6:$BM$6,'Quality MB'!$M$18:$BM$18)=0,100%,_xlfn.XLOOKUP(DV$7,'Quality MB'!$M$6:$BM$6,'Quality MB'!$M$17:$BM$17)/_xlfn.XLOOKUP(DV$7,'Quality MB'!$M$6:$BM$6,'Quality MB'!$M$18:$BM$18))))))),"100%")</f>
        <v>1.248091603053435</v>
      </c>
      <c r="DW88" s="325">
        <f>IFERROR(IF(DW$7&gt;$D$3,"",IF(BO88="OD","OD",IF(BO88="Undefined","Undefined",IF(BO88="Missed","Missed",IF(BO88="TBC","TBC",IF(_xlfn.XLOOKUP(DW$7,'Quality MB'!$M$6:$BM$6,'Quality MB'!$M$17:$BM$17)/_xlfn.XLOOKUP(DW$7,'Quality MB'!$M$6:$BM$6,'Quality MB'!$M$18:$BM$18)=0,100%,_xlfn.XLOOKUP(DW$7,'Quality MB'!$M$6:$BM$6,'Quality MB'!$M$17:$BM$17)/_xlfn.XLOOKUP(DW$7,'Quality MB'!$M$6:$BM$6,'Quality MB'!$M$18:$BM$18))))))),"100%")</f>
        <v>2.7250000000000001</v>
      </c>
      <c r="DX88" s="325" t="str">
        <f>IFERROR(IF(DX$7&gt;$D$3,"",IF(BP88="OD","OD",IF(BP88="Undefined","Undefined",IF(BP88="Missed","Missed",IF(BP88="TBC","TBC",IF(_xlfn.XLOOKUP(DX$7,'Quality MB'!$M$6:$BM$6,'Quality MB'!$M$17:$BM$17)/_xlfn.XLOOKUP(DX$7,'Quality MB'!$M$6:$BM$6,'Quality MB'!$M$18:$BM$18)=0,100%,_xlfn.XLOOKUP(DX$7,'Quality MB'!$M$6:$BM$6,'Quality MB'!$M$17:$BM$17)/_xlfn.XLOOKUP(DX$7,'Quality MB'!$M$6:$BM$6,'Quality MB'!$M$18:$BM$18))))))),"100%")</f>
        <v>100%</v>
      </c>
      <c r="DY88" s="325" t="str">
        <f>IFERROR(IF(DY$7&gt;$D$3,"",IF(BQ88="OD","OD",IF(BQ88="Undefined","Undefined",IF(BQ88="Missed","Missed",IF(BQ88="TBC","TBC",IF(_xlfn.XLOOKUP(DY$7,'Quality MB'!$M$6:$BM$6,'Quality MB'!$M$17:$BM$17)/_xlfn.XLOOKUP(DY$7,'Quality MB'!$M$6:$BM$6,'Quality MB'!$M$18:$BM$18)=0,100%,_xlfn.XLOOKUP(DY$7,'Quality MB'!$M$6:$BM$6,'Quality MB'!$M$17:$BM$17)/_xlfn.XLOOKUP(DY$7,'Quality MB'!$M$6:$BM$6,'Quality MB'!$M$18:$BM$18))))))),"100%")</f>
        <v>100%</v>
      </c>
      <c r="DZ88" s="325" t="str">
        <f>IFERROR(IF(DZ$7&gt;$D$3,"",IF(BR88="OD","OD",IF(BR88="Undefined","Undefined",IF(BR88="Missed","Missed",IF(BR88="TBC","TBC",IF(_xlfn.XLOOKUP(DZ$7,'Quality MB'!$M$6:$BM$6,'Quality MB'!$M$17:$BM$17)/_xlfn.XLOOKUP(DZ$7,'Quality MB'!$M$6:$BM$6,'Quality MB'!$M$18:$BM$18)=0,100%,_xlfn.XLOOKUP(DZ$7,'Quality MB'!$M$6:$BM$6,'Quality MB'!$M$17:$BM$17)/_xlfn.XLOOKUP(DZ$7,'Quality MB'!$M$6:$BM$6,'Quality MB'!$M$18:$BM$18))))))),"100%")</f>
        <v>100%</v>
      </c>
      <c r="EA88" s="325" t="str">
        <f>IFERROR(IF(EA$7&gt;$D$3,"",IF(BS88="OD","OD",IF(BS88="Undefined","Undefined",IF(BS88="Missed","Missed",IF(BS88="TBC","TBC",IF(_xlfn.XLOOKUP(EA$7,'Quality MB'!$M$6:$BM$6,'Quality MB'!$M$17:$BM$17)/_xlfn.XLOOKUP(EA$7,'Quality MB'!$M$6:$BM$6,'Quality MB'!$M$18:$BM$18)=0,100%,_xlfn.XLOOKUP(EA$7,'Quality MB'!$M$6:$BM$6,'Quality MB'!$M$17:$BM$17)/_xlfn.XLOOKUP(EA$7,'Quality MB'!$M$6:$BM$6,'Quality MB'!$M$18:$BM$18))))))),"100%")</f>
        <v>100%</v>
      </c>
      <c r="EB88" s="325" t="str">
        <f>IFERROR(IF(EB$7&gt;$D$3,"",IF(BT88="OD","OD",IF(BT88="Undefined","Undefined",IF(BT88="Missed","Missed",IF(BT88="TBC","TBC",IF(_xlfn.XLOOKUP(EB$7,'Quality MB'!$M$6:$BM$6,'Quality MB'!$M$17:$BM$17)/_xlfn.XLOOKUP(EB$7,'Quality MB'!$M$6:$BM$6,'Quality MB'!$M$18:$BM$18)=0,100%,_xlfn.XLOOKUP(EB$7,'Quality MB'!$M$6:$BM$6,'Quality MB'!$M$17:$BM$17)/_xlfn.XLOOKUP(EB$7,'Quality MB'!$M$6:$BM$6,'Quality MB'!$M$18:$BM$18))))))),"100%")</f>
        <v>100%</v>
      </c>
      <c r="EC88" s="325" t="str">
        <f>IFERROR(IF(EC$7&gt;$D$3,"",IF(BU88="OD","OD",IF(BU88="Undefined","Undefined",IF(BU88="Missed","Missed",IF(BU88="TBC","TBC",IF(_xlfn.XLOOKUP(EC$7,'Quality MB'!$M$6:$BM$6,'Quality MB'!$M$17:$BM$17)/_xlfn.XLOOKUP(EC$7,'Quality MB'!$M$6:$BM$6,'Quality MB'!$M$18:$BM$18)=0,100%,_xlfn.XLOOKUP(EC$7,'Quality MB'!$M$6:$BM$6,'Quality MB'!$M$17:$BM$17)/_xlfn.XLOOKUP(EC$7,'Quality MB'!$M$6:$BM$6,'Quality MB'!$M$18:$BM$18))))))),"100%")</f>
        <v>100%</v>
      </c>
      <c r="ED88" s="325" t="str">
        <f>IFERROR(IF(ED$7&gt;$D$3,"",IF(BV88="OD","OD",IF(BV88="Undefined","Undefined",IF(BV88="Missed","Missed",IF(BV88="TBC","TBC",IF(_xlfn.XLOOKUP(ED$7,'Quality MB'!$M$6:$BM$6,'Quality MB'!$M$17:$BM$17)/_xlfn.XLOOKUP(ED$7,'Quality MB'!$M$6:$BM$6,'Quality MB'!$M$18:$BM$18)=0,100%,_xlfn.XLOOKUP(ED$7,'Quality MB'!$M$6:$BM$6,'Quality MB'!$M$17:$BM$17)/_xlfn.XLOOKUP(ED$7,'Quality MB'!$M$6:$BM$6,'Quality MB'!$M$18:$BM$18))))))),"100%")</f>
        <v>100%</v>
      </c>
      <c r="EE88" s="325" t="str">
        <f>IFERROR(IF(EE$7&gt;$D$3,"",IF(BW88="OD","OD",IF(BW88="Undefined","Undefined",IF(BW88="Missed","Missed",IF(BW88="TBC","TBC",IF(_xlfn.XLOOKUP(EE$7,'Quality MB'!$M$6:$BM$6,'Quality MB'!$M$17:$BM$17)/_xlfn.XLOOKUP(EE$7,'Quality MB'!$M$6:$BM$6,'Quality MB'!$M$18:$BM$18)=0,100%,_xlfn.XLOOKUP(EE$7,'Quality MB'!$M$6:$BM$6,'Quality MB'!$M$17:$BM$17)/_xlfn.XLOOKUP(EE$7,'Quality MB'!$M$6:$BM$6,'Quality MB'!$M$18:$BM$18))))))),"100%")</f>
        <v>100%</v>
      </c>
      <c r="EF88" s="325" t="str">
        <f>IFERROR(IF(EF$7&gt;$D$3,"",IF(BX88="OD","OD",IF(BX88="Undefined","Undefined",IF(BX88="Missed","Missed",IF(BX88="TBC","TBC",IF(_xlfn.XLOOKUP(EF$7,'Quality MB'!$M$6:$BM$6,'Quality MB'!$M$17:$BM$17)/_xlfn.XLOOKUP(EF$7,'Quality MB'!$M$6:$BM$6,'Quality MB'!$M$18:$BM$18)=0,100%,_xlfn.XLOOKUP(EF$7,'Quality MB'!$M$6:$BM$6,'Quality MB'!$M$17:$BM$17)/_xlfn.XLOOKUP(EF$7,'Quality MB'!$M$6:$BM$6,'Quality MB'!$M$18:$BM$18))))))),"100%")</f>
        <v>100%</v>
      </c>
      <c r="EG88" s="325" t="str">
        <f>IFERROR(IF(EG$7&gt;$D$3,"",IF(BY88="OD","OD",IF(BY88="Undefined","Undefined",IF(BY88="Missed","Missed",IF(BY88="TBC","TBC",IF(_xlfn.XLOOKUP(EG$7,'Quality MB'!$M$6:$BM$6,'Quality MB'!$M$17:$BM$17)/_xlfn.XLOOKUP(EG$7,'Quality MB'!$M$6:$BM$6,'Quality MB'!$M$18:$BM$18)=0,100%,_xlfn.XLOOKUP(EG$7,'Quality MB'!$M$6:$BM$6,'Quality MB'!$M$17:$BM$17)/_xlfn.XLOOKUP(EG$7,'Quality MB'!$M$6:$BM$6,'Quality MB'!$M$18:$BM$18))))))),"100%")</f>
        <v>100%</v>
      </c>
      <c r="EH88" s="325">
        <f>IFERROR(IF(EH$7&gt;$D$3,"",IF(BZ88="OD","OD",IF(BZ88="Undefined","Undefined",IF(BZ88="Missed","Missed",IF(BZ88="TBC","TBC",IF(_xlfn.XLOOKUP(EH$7,'Quality MB'!$M$6:$BM$6,'Quality MB'!$M$17:$BM$17)/_xlfn.XLOOKUP(EH$7,'Quality MB'!$M$6:$BM$6,'Quality MB'!$M$18:$BM$18)=0,100%,_xlfn.XLOOKUP(EH$7,'Quality MB'!$M$6:$BM$6,'Quality MB'!$M$17:$BM$17)/_xlfn.XLOOKUP(EH$7,'Quality MB'!$M$6:$BM$6,'Quality MB'!$M$18:$BM$18))))))),"100%")</f>
        <v>0.12823529411764706</v>
      </c>
      <c r="EI88" s="325" t="str">
        <f>IFERROR(IF(EI$7&gt;$D$3,"",IF(CA88="OD","OD",IF(CA88="Undefined","Undefined",IF(CA88="Missed","Missed",IF(CA88="TBC","TBC",IF(_xlfn.XLOOKUP(EI$7,'Quality MB'!$M$6:$BM$6,'Quality MB'!$M$17:$BM$17)/_xlfn.XLOOKUP(EI$7,'Quality MB'!$M$6:$BM$6,'Quality MB'!$M$18:$BM$18)=0,100%,_xlfn.XLOOKUP(EI$7,'Quality MB'!$M$6:$BM$6,'Quality MB'!$M$17:$BM$17)/_xlfn.XLOOKUP(EI$7,'Quality MB'!$M$6:$BM$6,'Quality MB'!$M$18:$BM$18))))))),"100%")</f>
        <v>100%</v>
      </c>
      <c r="EJ88" s="325" t="str">
        <f>IFERROR(IF(EJ$7&gt;$D$3,"",IF(CB88="OD","OD",IF(CB88="Undefined","Undefined",IF(CB88="Missed","Missed",IF(CB88="TBC","TBC",IF(_xlfn.XLOOKUP(EJ$7,'Quality MB'!$M$6:$BM$6,'Quality MB'!$M$17:$BM$17)/_xlfn.XLOOKUP(EJ$7,'Quality MB'!$M$6:$BM$6,'Quality MB'!$M$18:$BM$18)=0,100%,_xlfn.XLOOKUP(EJ$7,'Quality MB'!$M$6:$BM$6,'Quality MB'!$M$17:$BM$17)/_xlfn.XLOOKUP(EJ$7,'Quality MB'!$M$6:$BM$6,'Quality MB'!$M$18:$BM$18))))))),"100%")</f>
        <v>100%</v>
      </c>
      <c r="EK88" s="325" t="str">
        <f>IFERROR(IF(EK$7&gt;$D$3,"",IF(CC88="OD","OD",IF(CC88="Undefined","Undefined",IF(CC88="Missed","Missed",IF(CC88="TBC","TBC",IF(_xlfn.XLOOKUP(EK$7,'Quality MB'!$M$6:$BM$6,'Quality MB'!$M$17:$BM$17)/_xlfn.XLOOKUP(EK$7,'Quality MB'!$M$6:$BM$6,'Quality MB'!$M$18:$BM$18)=0,100%,_xlfn.XLOOKUP(EK$7,'Quality MB'!$M$6:$BM$6,'Quality MB'!$M$17:$BM$17)/_xlfn.XLOOKUP(EK$7,'Quality MB'!$M$6:$BM$6,'Quality MB'!$M$18:$BM$18))))))),"100%")</f>
        <v/>
      </c>
      <c r="EL88" s="325" t="str">
        <f>IFERROR(IF(EL$7&gt;$D$3,"",IF(CD88="OD","OD",IF(CD88="Undefined","Undefined",IF(CD88="Missed","Missed",IF(CD88="TBC","TBC",IF(_xlfn.XLOOKUP(EL$7,'Quality MB'!$M$6:$BM$6,'Quality MB'!$M$17:$BM$17)/_xlfn.XLOOKUP(EL$7,'Quality MB'!$M$6:$BM$6,'Quality MB'!$M$18:$BM$18)=0,100%,_xlfn.XLOOKUP(EL$7,'Quality MB'!$M$6:$BM$6,'Quality MB'!$M$17:$BM$17)/_xlfn.XLOOKUP(EL$7,'Quality MB'!$M$6:$BM$6,'Quality MB'!$M$18:$BM$18))))))),"100%")</f>
        <v/>
      </c>
      <c r="EM88" s="325" t="str">
        <f>IFERROR(IF(EM$7&gt;$D$3,"",IF(CE88="OD","OD",IF(CE88="Undefined","Undefined",IF(CE88="Missed","Missed",IF(CE88="TBC","TBC",IF(_xlfn.XLOOKUP(EM$7,'Quality MB'!$M$6:$BM$6,'Quality MB'!$M$17:$BM$17)/_xlfn.XLOOKUP(EM$7,'Quality MB'!$M$6:$BM$6,'Quality MB'!$M$18:$BM$18)=0,100%,_xlfn.XLOOKUP(EM$7,'Quality MB'!$M$6:$BM$6,'Quality MB'!$M$17:$BM$17)/_xlfn.XLOOKUP(EM$7,'Quality MB'!$M$6:$BM$6,'Quality MB'!$M$18:$BM$18))))))),"100%")</f>
        <v/>
      </c>
      <c r="EN88" s="325" t="str">
        <f>IFERROR(IF(EN$7&gt;$D$3,"",IF(CF88="OD","OD",IF(CF88="Undefined","Undefined",IF(CF88="Missed","Missed",IF(CF88="TBC","TBC",IF(_xlfn.XLOOKUP(EN$7,'Quality MB'!$M$6:$BM$6,'Quality MB'!$M$17:$BM$17)/_xlfn.XLOOKUP(EN$7,'Quality MB'!$M$6:$BM$6,'Quality MB'!$M$18:$BM$18)=0,100%,_xlfn.XLOOKUP(EN$7,'Quality MB'!$M$6:$BM$6,'Quality MB'!$M$17:$BM$17)/_xlfn.XLOOKUP(EN$7,'Quality MB'!$M$6:$BM$6,'Quality MB'!$M$18:$BM$18))))))),"100%")</f>
        <v/>
      </c>
      <c r="EO88" s="325" t="str">
        <f>IFERROR(IF(EO$7&gt;$D$3,"",IF(CG88="OD","OD",IF(CG88="Undefined","Undefined",IF(CG88="Missed","Missed",IF(CG88="TBC","TBC",IF(_xlfn.XLOOKUP(EO$7,'Quality MB'!$M$6:$BM$6,'Quality MB'!$M$17:$BM$17)/_xlfn.XLOOKUP(EO$7,'Quality MB'!$M$6:$BM$6,'Quality MB'!$M$18:$BM$18)=0,100%,_xlfn.XLOOKUP(EO$7,'Quality MB'!$M$6:$BM$6,'Quality MB'!$M$17:$BM$17)/_xlfn.XLOOKUP(EO$7,'Quality MB'!$M$6:$BM$6,'Quality MB'!$M$18:$BM$18))))))),"100%")</f>
        <v/>
      </c>
      <c r="EP88" s="325" t="str">
        <f>IFERROR(IF(EP$7&gt;$D$3,"",IF(CH88="OD","OD",IF(CH88="Undefined","Undefined",IF(CH88="Missed","Missed",IF(CH88="TBC","TBC",IF(_xlfn.XLOOKUP(EP$7,'Quality MB'!$M$6:$BM$6,'Quality MB'!$M$17:$BM$17)/_xlfn.XLOOKUP(EP$7,'Quality MB'!$M$6:$BM$6,'Quality MB'!$M$18:$BM$18)=0,100%,_xlfn.XLOOKUP(EP$7,'Quality MB'!$M$6:$BM$6,'Quality MB'!$M$17:$BM$17)/_xlfn.XLOOKUP(EP$7,'Quality MB'!$M$6:$BM$6,'Quality MB'!$M$18:$BM$18))))))),"100%")</f>
        <v/>
      </c>
      <c r="EQ88" s="325" t="str">
        <f>IFERROR(IF(EQ$7&gt;$D$3,"",IF(CI88="OD","OD",IF(CI88="Undefined","Undefined",IF(CI88="Missed","Missed",IF(CI88="TBC","TBC",IF(_xlfn.XLOOKUP(EQ$7,'Quality MB'!$M$6:$BM$6,'Quality MB'!$M$17:$BM$17)/_xlfn.XLOOKUP(EQ$7,'Quality MB'!$M$6:$BM$6,'Quality MB'!$M$18:$BM$18)=0,100%,_xlfn.XLOOKUP(EQ$7,'Quality MB'!$M$6:$BM$6,'Quality MB'!$M$17:$BM$17)/_xlfn.XLOOKUP(EQ$7,'Quality MB'!$M$6:$BM$6,'Quality MB'!$M$18:$BM$18))))))),"100%")</f>
        <v/>
      </c>
      <c r="ER88" s="325" t="str">
        <f>IFERROR(IF(ER$7&gt;$D$3,"",IF(CJ88="OD","OD",IF(CJ88="Undefined","Undefined",IF(CJ88="Missed","Missed",IF(CJ88="TBC","TBC",IF(_xlfn.XLOOKUP(ER$7,'Quality MB'!$M$6:$BM$6,'Quality MB'!$M$17:$BM$17)/_xlfn.XLOOKUP(ER$7,'Quality MB'!$M$6:$BM$6,'Quality MB'!$M$18:$BM$18)=0,100%,_xlfn.XLOOKUP(ER$7,'Quality MB'!$M$6:$BM$6,'Quality MB'!$M$17:$BM$17)/_xlfn.XLOOKUP(ER$7,'Quality MB'!$M$6:$BM$6,'Quality MB'!$M$18:$BM$18))))))),"100%")</f>
        <v/>
      </c>
      <c r="ES88" s="325" t="str">
        <f>IFERROR(IF(ES$7&gt;$D$3,"",IF(CK88="OD","OD",IF(CK88="Undefined","Undefined",IF(CK88="Missed","Missed",IF(CK88="TBC","TBC",IF(_xlfn.XLOOKUP(ES$7,'Quality MB'!$M$6:$BM$6,'Quality MB'!$M$17:$BM$17)/_xlfn.XLOOKUP(ES$7,'Quality MB'!$M$6:$BM$6,'Quality MB'!$M$18:$BM$18)=0,100%,_xlfn.XLOOKUP(ES$7,'Quality MB'!$M$6:$BM$6,'Quality MB'!$M$17:$BM$17)/_xlfn.XLOOKUP(ES$7,'Quality MB'!$M$6:$BM$6,'Quality MB'!$M$18:$BM$18))))))),"100%")</f>
        <v/>
      </c>
      <c r="ET88" s="325" t="str">
        <f>IFERROR(IF(ET$7&gt;$D$3,"",IF(CL88="OD","OD",IF(CL88="Undefined","Undefined",IF(CL88="Missed","Missed",IF(CL88="TBC","TBC",IF(_xlfn.XLOOKUP(ET$7,'Quality MB'!$M$6:$BM$6,'Quality MB'!$M$17:$BM$17)/_xlfn.XLOOKUP(ET$7,'Quality MB'!$M$6:$BM$6,'Quality MB'!$M$18:$BM$18)=0,100%,_xlfn.XLOOKUP(ET$7,'Quality MB'!$M$6:$BM$6,'Quality MB'!$M$17:$BM$17)/_xlfn.XLOOKUP(ET$7,'Quality MB'!$M$6:$BM$6,'Quality MB'!$M$18:$BM$18))))))),"100%")</f>
        <v/>
      </c>
      <c r="EU88" s="325" t="str">
        <f>IFERROR(IF(EU$7&gt;$D$3,"",IF(CM88="OD","OD",IF(CM88="Undefined","Undefined",IF(CM88="Missed","Missed",IF(CM88="TBC","TBC",IF(_xlfn.XLOOKUP(EU$7,'Quality MB'!$M$6:$BM$6,'Quality MB'!$M$17:$BM$17)/_xlfn.XLOOKUP(EU$7,'Quality MB'!$M$6:$BM$6,'Quality MB'!$M$18:$BM$18)=0,100%,_xlfn.XLOOKUP(EU$7,'Quality MB'!$M$6:$BM$6,'Quality MB'!$M$17:$BM$17)/_xlfn.XLOOKUP(EU$7,'Quality MB'!$M$6:$BM$6,'Quality MB'!$M$18:$BM$18))))))),"100%")</f>
        <v/>
      </c>
      <c r="EW88" s="465" t="str">
        <f>+$A88</f>
        <v>Quality Maybole-KPI C1</v>
      </c>
      <c r="EX88" s="138" t="str">
        <f>+$C88</f>
        <v>KPI C1</v>
      </c>
      <c r="EY88" s="146" t="str">
        <f>+$D88</f>
        <v>Cost</v>
      </c>
      <c r="EZ88" s="146" t="str">
        <f>+$E88</f>
        <v>Cost of Quality - (Maybole only)</v>
      </c>
      <c r="FA88" s="147" t="str">
        <f>+$F88</f>
        <v>£'s</v>
      </c>
      <c r="FB88" s="147" t="s">
        <v>251</v>
      </c>
      <c r="FC88" s="200" t="str">
        <f>IF(FC$7&gt;$D$3,"",IF($FA84&lt;FC$7,"OD",_xlfn.XLOOKUP(FC$7,'Quality MB'!$M$6:$BM$6,'Quality MB'!$M$18:$BM$18)))</f>
        <v>Blank</v>
      </c>
      <c r="FD88" s="200" t="str">
        <f>IF(FD$7&gt;$D$3,"",IF($FA84&lt;FD$7,"OD",_xlfn.XLOOKUP(FD$7,'Quality MB'!$M$6:$BM$6,'Quality MB'!$M$18:$BM$18)))</f>
        <v>TBC</v>
      </c>
      <c r="FE88" s="200" t="str">
        <f>IF(FE$7&gt;$D$3,"",IF($FA84&lt;FE$7,"OD",_xlfn.XLOOKUP(FE$7,'Quality MB'!$M$6:$BM$6,'Quality MB'!$M$18:$BM$18)))</f>
        <v>TBC</v>
      </c>
      <c r="FF88" s="200" t="str">
        <f>IF(FF$7&gt;$D$3,"",IF($FA84&lt;FF$7,"OD",_xlfn.XLOOKUP(FF$7,'Quality MB'!$M$6:$BM$6,'Quality MB'!$M$18:$BM$18)))</f>
        <v>TBC</v>
      </c>
      <c r="FG88" s="200" t="str">
        <f>IF(FG$7&gt;$D$3,"",IF($FA84&lt;FG$7,"OD",_xlfn.XLOOKUP(FG$7,'Quality MB'!$M$6:$BM$6,'Quality MB'!$M$18:$BM$18)))</f>
        <v>TBC</v>
      </c>
      <c r="FH88" s="200" t="str">
        <f>IF(FH$7&gt;$D$3,"",IF($FA84&lt;FH$7,"OD",_xlfn.XLOOKUP(FH$7,'Quality MB'!$M$6:$BM$6,'Quality MB'!$M$18:$BM$18)))</f>
        <v>TBC</v>
      </c>
      <c r="FI88" s="200" t="str">
        <f>IF(FI$7&gt;$D$3,"",IF($FA84&lt;FI$7,"OD",_xlfn.XLOOKUP(FI$7,'Quality MB'!$M$6:$BM$6,'Quality MB'!$M$18:$BM$18)))</f>
        <v>TBC</v>
      </c>
      <c r="FJ88" s="200" t="str">
        <f>IF(FJ$7&gt;$D$3,"",IF($FA84&lt;FJ$7,"OD",_xlfn.XLOOKUP(FJ$7,'Quality MB'!$M$6:$BM$6,'Quality MB'!$M$18:$BM$18)))</f>
        <v>TBC</v>
      </c>
      <c r="FK88" s="200" t="str">
        <f>IF(FK$7&gt;$D$3,"",IF($FA84&lt;FK$7,"OD",_xlfn.XLOOKUP(FK$7,'Quality MB'!$M$6:$BM$6,'Quality MB'!$M$18:$BM$18)))</f>
        <v>TBC</v>
      </c>
      <c r="FL88" s="200" t="str">
        <f>IF(FL$7&gt;$D$3,"",IF($FA84&lt;FL$7,"OD",_xlfn.XLOOKUP(FL$7,'Quality MB'!$M$6:$BM$6,'Quality MB'!$M$18:$BM$18)))</f>
        <v>TBC</v>
      </c>
      <c r="FM88" s="200" t="str">
        <f>IF(FM$7&gt;$D$3,"",IF($FA84&lt;FM$7,"OD",_xlfn.XLOOKUP(FM$7,'Quality MB'!$M$6:$BM$6,'Quality MB'!$M$18:$BM$18)))</f>
        <v>TBC</v>
      </c>
      <c r="FN88" s="200" t="str">
        <f>IF(FN$7&gt;$D$3,"",IF($FA84&lt;FN$7,"OD",_xlfn.XLOOKUP(FN$7,'Quality MB'!$M$6:$BM$6,'Quality MB'!$M$18:$BM$18)))</f>
        <v>TBC</v>
      </c>
      <c r="FO88" s="200" t="str">
        <f>IF(FO$7&gt;$D$3,"",IF($FA84&lt;FO$7,"OD",_xlfn.XLOOKUP(FO$7,'Quality MB'!$M$6:$BM$6,'Quality MB'!$M$18:$BM$18)))</f>
        <v>TBC</v>
      </c>
      <c r="FP88" s="200">
        <f>IF(FP$7&gt;$D$3,"",IF($FA84&lt;FP$7,"OD",_xlfn.XLOOKUP(FP$7,'Quality MB'!$M$6:$BM$6,'Quality MB'!$M$18:$BM$18)))</f>
        <v>0</v>
      </c>
      <c r="FQ88" s="200">
        <f>IF(FQ$7&gt;$D$3,"",IF($FA84&lt;FQ$7,"OD",_xlfn.XLOOKUP(FQ$7,'Quality MB'!$M$6:$BM$6,'Quality MB'!$M$18:$BM$18)))</f>
        <v>0</v>
      </c>
      <c r="FR88" s="200">
        <f>IF(FR$7&gt;$D$3,"",IF($FA84&lt;FR$7,"OD",_xlfn.XLOOKUP(FR$7,'Quality MB'!$M$6:$BM$6,'Quality MB'!$M$18:$BM$18)))</f>
        <v>1195</v>
      </c>
      <c r="FS88" s="200">
        <f>IF(FS$7&gt;$D$3,"",IF($FA84&lt;FS$7,"OD",_xlfn.XLOOKUP(FS$7,'Quality MB'!$M$6:$BM$6,'Quality MB'!$M$18:$BM$18)))</f>
        <v>257</v>
      </c>
      <c r="FT88" s="200">
        <f>IF(FT$7&gt;$D$3,"",IF($FA84&lt;FT$7,"OD",_xlfn.XLOOKUP(FT$7,'Quality MB'!$M$6:$BM$6,'Quality MB'!$M$18:$BM$18)))</f>
        <v>157</v>
      </c>
      <c r="FU88" s="200">
        <f>IF(FU$7&gt;$D$3,"",IF($FA84&lt;FU$7,"OD",_xlfn.XLOOKUP(FU$7,'Quality MB'!$M$6:$BM$6,'Quality MB'!$M$18:$BM$18)))</f>
        <v>0</v>
      </c>
      <c r="FV88" s="200">
        <f>IF(FV$7&gt;$D$3,"",IF($FA84&lt;FV$7,"OD",_xlfn.XLOOKUP(FV$7,'Quality MB'!$M$6:$BM$6,'Quality MB'!$M$18:$BM$18)))</f>
        <v>12456</v>
      </c>
      <c r="FW88" s="200">
        <f>IF(FW$7&gt;$D$3,"",IF($FA84&lt;FW$7,"OD",_xlfn.XLOOKUP(FW$7,'Quality MB'!$M$6:$BM$6,'Quality MB'!$M$18:$BM$18)))</f>
        <v>0</v>
      </c>
      <c r="FX88" s="200">
        <f>IF(FX$7&gt;$D$3,"",IF($FA84&lt;FX$7,"OD",_xlfn.XLOOKUP(FX$7,'Quality MB'!$M$6:$BM$6,'Quality MB'!$M$18:$BM$18)))</f>
        <v>0</v>
      </c>
      <c r="FY88" s="200">
        <f>IF(FY$7&gt;$D$3,"",IF($FA84&lt;FY$7,"OD",_xlfn.XLOOKUP(FY$7,'Quality MB'!$M$6:$BM$6,'Quality MB'!$M$18:$BM$18)))</f>
        <v>27</v>
      </c>
      <c r="FZ88" s="200">
        <f>IF(FZ$7&gt;$D$3,"",IF($FA84&lt;FZ$7,"OD",_xlfn.XLOOKUP(FZ$7,'Quality MB'!$M$6:$BM$6,'Quality MB'!$M$18:$BM$18)))</f>
        <v>26</v>
      </c>
      <c r="GA88" s="200">
        <f>IF(GA$7&gt;$D$3,"",IF($FA84&lt;GA$7,"OD",_xlfn.XLOOKUP(GA$7,'Quality MB'!$M$6:$BM$6,'Quality MB'!$M$18:$BM$18)))</f>
        <v>0</v>
      </c>
      <c r="GB88" s="200">
        <f>IF(GB$7&gt;$D$3,"",IF($FA84&lt;GB$7,"OD",_xlfn.XLOOKUP(GB$7,'Quality MB'!$M$6:$BM$6,'Quality MB'!$M$18:$BM$18)))</f>
        <v>117</v>
      </c>
      <c r="GC88" s="200">
        <f>IF(GC$7&gt;$D$3,"",IF($FA84&lt;GC$7,"OD",_xlfn.XLOOKUP(GC$7,'Quality MB'!$M$6:$BM$6,'Quality MB'!$M$18:$BM$18)))</f>
        <v>0</v>
      </c>
      <c r="GD88" s="200">
        <f>IF(GD$7&gt;$D$3,"",IF($FA84&lt;GD$7,"OD",_xlfn.XLOOKUP(GD$7,'Quality MB'!$M$6:$BM$6,'Quality MB'!$M$18:$BM$18)))</f>
        <v>524</v>
      </c>
      <c r="GE88" s="200">
        <f>IF(GE$7&gt;$D$3,"",IF($FA84&lt;GE$7,"OD",_xlfn.XLOOKUP(GE$7,'Quality MB'!$M$6:$BM$6,'Quality MB'!$M$18:$BM$18)))</f>
        <v>240</v>
      </c>
      <c r="GF88" s="200">
        <f>IF(GF$7&gt;$D$3,"",IF($FA84&lt;GF$7,"OD",_xlfn.XLOOKUP(GF$7,'Quality MB'!$M$6:$BM$6,'Quality MB'!$M$18:$BM$18)))</f>
        <v>0</v>
      </c>
      <c r="GG88" s="200">
        <f>IF(GG$7&gt;$D$3,"",IF($FA84&lt;GG$7,"OD",_xlfn.XLOOKUP(GG$7,'Quality MB'!$M$6:$BM$6,'Quality MB'!$M$18:$BM$18)))</f>
        <v>0</v>
      </c>
      <c r="GH88" s="200">
        <f>IF(GH$7&gt;$D$3,"",IF($FA84&lt;GH$7,"OD",_xlfn.XLOOKUP(GH$7,'Quality MB'!$M$6:$BM$6,'Quality MB'!$M$18:$BM$18)))</f>
        <v>0</v>
      </c>
      <c r="GI88" s="200">
        <f>IF(GI$7&gt;$D$3,"",IF($FA84&lt;GI$7,"OD",_xlfn.XLOOKUP(GI$7,'Quality MB'!$M$6:$BM$6,'Quality MB'!$M$18:$BM$18)))</f>
        <v>0</v>
      </c>
      <c r="GJ88" s="200">
        <f>IF(GJ$7&gt;$D$3,"",IF($FA84&lt;GJ$7,"OD",_xlfn.XLOOKUP(GJ$7,'Quality MB'!$M$6:$BM$6,'Quality MB'!$M$18:$BM$18)))</f>
        <v>0</v>
      </c>
      <c r="GK88" s="200">
        <f>IF(GK$7&gt;$D$3,"",IF($FA84&lt;GK$7,"OD",_xlfn.XLOOKUP(GK$7,'Quality MB'!$M$6:$BM$6,'Quality MB'!$M$18:$BM$18)))</f>
        <v>0</v>
      </c>
      <c r="GL88" s="200">
        <f>IF(GL$7&gt;$D$3,"",IF($FA84&lt;GL$7,"OD",_xlfn.XLOOKUP(GL$7,'Quality MB'!$M$6:$BM$6,'Quality MB'!$M$18:$BM$18)))</f>
        <v>0</v>
      </c>
      <c r="GM88" s="200">
        <f>IF(GM$7&gt;$D$3,"",IF($FA84&lt;GM$7,"OD",_xlfn.XLOOKUP(GM$7,'Quality MB'!$M$6:$BM$6,'Quality MB'!$M$18:$BM$18)))</f>
        <v>0</v>
      </c>
      <c r="GN88" s="200">
        <f>IF(GN$7&gt;$D$3,"",IF($FA84&lt;GN$7,"OD",_xlfn.XLOOKUP(GN$7,'Quality MB'!$M$6:$BM$6,'Quality MB'!$M$18:$BM$18)))</f>
        <v>0</v>
      </c>
      <c r="GO88" s="200">
        <f>IF(GO$7&gt;$D$3,"",IF($FA84&lt;GO$7,"OD",_xlfn.XLOOKUP(GO$7,'Quality MB'!$M$6:$BM$6,'Quality MB'!$M$18:$BM$18)))</f>
        <v>0</v>
      </c>
      <c r="GP88" s="200">
        <f>IF(GP$7&gt;$D$3,"",IF($FA84&lt;GP$7,"OD",_xlfn.XLOOKUP(GP$7,'Quality MB'!$M$6:$BM$6,'Quality MB'!$M$18:$BM$18)))</f>
        <v>5100</v>
      </c>
      <c r="GQ88" s="200">
        <f>IF(GQ$7&gt;$D$3,"",IF($FA84&lt;GQ$7,"OD",_xlfn.XLOOKUP(GQ$7,'Quality MB'!$M$6:$BM$6,'Quality MB'!$M$18:$BM$18)))</f>
        <v>0</v>
      </c>
      <c r="GR88" s="200">
        <f>IF(GR$7&gt;$D$3,"",IF($FA84&lt;GR$7,"OD",_xlfn.XLOOKUP(GR$7,'Quality MB'!$M$6:$BM$6,'Quality MB'!$M$18:$BM$18)))</f>
        <v>0</v>
      </c>
      <c r="GS88" s="200" t="str">
        <f>IF(GS$7&gt;$D$3,"",IF($FA84&lt;GS$7,"OD",_xlfn.XLOOKUP(GS$7,'Quality MB'!$M$6:$BM$6,'Quality MB'!$M$18:$BM$18)))</f>
        <v/>
      </c>
      <c r="GT88" s="200" t="str">
        <f>IF(GT$7&gt;$D$3,"",IF($FA84&lt;GT$7,"OD",_xlfn.XLOOKUP(GT$7,'Quality MB'!$M$6:$BM$6,'Quality MB'!$M$18:$BM$18)))</f>
        <v/>
      </c>
      <c r="GU88" s="200" t="str">
        <f>IF(GU$7&gt;$D$3,"",IF($FA84&lt;GU$7,"OD",_xlfn.XLOOKUP(GU$7,'Quality MB'!$M$6:$BM$6,'Quality MB'!$M$18:$BM$18)))</f>
        <v/>
      </c>
      <c r="GV88" s="200" t="str">
        <f>IF(GV$7&gt;$D$3,"",IF($FA84&lt;GV$7,"OD",_xlfn.XLOOKUP(GV$7,'Quality MB'!$M$6:$BM$6,'Quality MB'!$M$18:$BM$18)))</f>
        <v/>
      </c>
      <c r="GW88" s="200" t="str">
        <f>IF(GW$7&gt;$D$3,"",IF($FA84&lt;GW$7,"OD",_xlfn.XLOOKUP(GW$7,'Quality MB'!$M$6:$BM$6,'Quality MB'!$M$18:$BM$18)))</f>
        <v/>
      </c>
      <c r="GX88" s="200" t="str">
        <f>IF(GX$7&gt;$D$3,"",IF($FA84&lt;GX$7,"OD",_xlfn.XLOOKUP(GX$7,'Quality MB'!$M$6:$BM$6,'Quality MB'!$M$18:$BM$18)))</f>
        <v/>
      </c>
      <c r="GY88" s="200" t="str">
        <f>IF(GY$7&gt;$D$3,"",IF($FA84&lt;GY$7,"OD",_xlfn.XLOOKUP(GY$7,'Quality MB'!$M$6:$BM$6,'Quality MB'!$M$18:$BM$18)))</f>
        <v/>
      </c>
      <c r="GZ88" s="200" t="str">
        <f>IF(GZ$7&gt;$D$3,"",IF($FA84&lt;GZ$7,"OD",_xlfn.XLOOKUP(GZ$7,'Quality MB'!$M$6:$BM$6,'Quality MB'!$M$18:$BM$18)))</f>
        <v/>
      </c>
      <c r="HA88" s="200" t="str">
        <f>IF(HA$7&gt;$D$3,"",IF($FA84&lt;HA$7,"OD",_xlfn.XLOOKUP(HA$7,'Quality MB'!$M$6:$BM$6,'Quality MB'!$M$18:$BM$18)))</f>
        <v/>
      </c>
      <c r="HB88" s="200" t="str">
        <f>IF(HB$7&gt;$D$3,"",IF($FA84&lt;HB$7,"OD",_xlfn.XLOOKUP(HB$7,'Quality MB'!$M$6:$BM$6,'Quality MB'!$M$18:$BM$18)))</f>
        <v/>
      </c>
      <c r="HC88" s="200" t="str">
        <f>IF(HC$7&gt;$D$3,"",IF($FA84&lt;HC$7,"OD",_xlfn.XLOOKUP(HC$7,'Quality MB'!$M$6:$BM$6,'Quality MB'!$M$18:$BM$18)))</f>
        <v/>
      </c>
      <c r="HE88" s="138" t="str">
        <f>+$C88</f>
        <v>KPI C1</v>
      </c>
      <c r="HF88" s="146" t="str">
        <f>+$D88</f>
        <v>Cost</v>
      </c>
      <c r="HG88" s="146" t="str">
        <f>+$E88</f>
        <v>Cost of Quality - (Maybole only)</v>
      </c>
      <c r="HH88" s="147" t="str">
        <f>+$F88</f>
        <v>£'s</v>
      </c>
      <c r="HI88" s="147" t="s">
        <v>44</v>
      </c>
      <c r="HJ88" s="200" t="str">
        <f>IF(HJ$7&gt;$D$3,"",IF($FA84&lt;HJ$7,"OD",_xlfn.XLOOKUP(HJ$7,'Quality MB'!$M$6:$BM$6,'Quality MB'!$M$17:$BM$17)))</f>
        <v>Blank</v>
      </c>
      <c r="HK88" s="200" t="str">
        <f>IF(HK$7&gt;$D$3,"",IF($FA84&lt;HK$7,"OD",_xlfn.XLOOKUP(HK$7,'Quality MB'!$M$6:$BM$6,'Quality MB'!$M$17:$BM$17)))</f>
        <v>TBC</v>
      </c>
      <c r="HL88" s="200" t="str">
        <f>IF(HL$7&gt;$D$3,"",IF($FA84&lt;HL$7,"OD",_xlfn.XLOOKUP(HL$7,'Quality MB'!$M$6:$BM$6,'Quality MB'!$M$17:$BM$17)))</f>
        <v>TBC</v>
      </c>
      <c r="HM88" s="200" t="str">
        <f>IF(HM$7&gt;$D$3,"",IF($FA84&lt;HM$7,"OD",_xlfn.XLOOKUP(HM$7,'Quality MB'!$M$6:$BM$6,'Quality MB'!$M$17:$BM$17)))</f>
        <v>TBC</v>
      </c>
      <c r="HN88" s="200" t="str">
        <f>IF(HN$7&gt;$D$3,"",IF($FA84&lt;HN$7,"OD",_xlfn.XLOOKUP(HN$7,'Quality MB'!$M$6:$BM$6,'Quality MB'!$M$17:$BM$17)))</f>
        <v>TBC</v>
      </c>
      <c r="HO88" s="200" t="str">
        <f>IF(HO$7&gt;$D$3,"",IF($FA84&lt;HO$7,"OD",_xlfn.XLOOKUP(HO$7,'Quality MB'!$M$6:$BM$6,'Quality MB'!$M$17:$BM$17)))</f>
        <v>TBC</v>
      </c>
      <c r="HP88" s="200" t="str">
        <f>IF(HP$7&gt;$D$3,"",IF($FA84&lt;HP$7,"OD",_xlfn.XLOOKUP(HP$7,'Quality MB'!$M$6:$BM$6,'Quality MB'!$M$17:$BM$17)))</f>
        <v>TBC</v>
      </c>
      <c r="HQ88" s="200" t="str">
        <f>IF(HQ$7&gt;$D$3,"",IF($FA84&lt;HQ$7,"OD",_xlfn.XLOOKUP(HQ$7,'Quality MB'!$M$6:$BM$6,'Quality MB'!$M$17:$BM$17)))</f>
        <v>TBC</v>
      </c>
      <c r="HR88" s="200" t="str">
        <f>IF(HR$7&gt;$D$3,"",IF($FA84&lt;HR$7,"OD",_xlfn.XLOOKUP(HR$7,'Quality MB'!$M$6:$BM$6,'Quality MB'!$M$17:$BM$17)))</f>
        <v>TBC</v>
      </c>
      <c r="HS88" s="200" t="str">
        <f>IF(HS$7&gt;$D$3,"",IF($FA84&lt;HS$7,"OD",_xlfn.XLOOKUP(HS$7,'Quality MB'!$M$6:$BM$6,'Quality MB'!$M$17:$BM$17)))</f>
        <v>TBC</v>
      </c>
      <c r="HT88" s="200" t="str">
        <f>IF(HT$7&gt;$D$3,"",IF($FA84&lt;HT$7,"OD",_xlfn.XLOOKUP(HT$7,'Quality MB'!$M$6:$BM$6,'Quality MB'!$M$17:$BM$17)))</f>
        <v>TBC</v>
      </c>
      <c r="HU88" s="200" t="str">
        <f>IF(HU$7&gt;$D$3,"",IF($FA84&lt;HU$7,"OD",_xlfn.XLOOKUP(HU$7,'Quality MB'!$M$6:$BM$6,'Quality MB'!$M$17:$BM$17)))</f>
        <v>TBC</v>
      </c>
      <c r="HV88" s="200" t="str">
        <f>IF(HV$7&gt;$D$3,"",IF($FA84&lt;HV$7,"OD",_xlfn.XLOOKUP(HV$7,'Quality MB'!$M$6:$BM$6,'Quality MB'!$M$17:$BM$17)))</f>
        <v>TBC</v>
      </c>
      <c r="HW88" s="200">
        <f>IF(HW$7&gt;$D$3,"",IF($FA84&lt;HW$7,"OD",_xlfn.XLOOKUP(HW$7,'Quality MB'!$M$6:$BM$6,'Quality MB'!$M$17:$BM$17)))</f>
        <v>654</v>
      </c>
      <c r="HX88" s="200">
        <f>IF(HX$7&gt;$D$3,"",IF($FA84&lt;HX$7,"OD",_xlfn.XLOOKUP(HX$7,'Quality MB'!$M$6:$BM$6,'Quality MB'!$M$17:$BM$17)))</f>
        <v>654</v>
      </c>
      <c r="HY88" s="200">
        <f>IF(HY$7&gt;$D$3,"",IF($FA84&lt;HY$7,"OD",_xlfn.XLOOKUP(HY$7,'Quality MB'!$M$6:$BM$6,'Quality MB'!$M$17:$BM$17)))</f>
        <v>654</v>
      </c>
      <c r="HZ88" s="200">
        <f>IF(HZ$7&gt;$D$3,"",IF($FA84&lt;HZ$7,"OD",_xlfn.XLOOKUP(HZ$7,'Quality MB'!$M$6:$BM$6,'Quality MB'!$M$17:$BM$17)))</f>
        <v>654</v>
      </c>
      <c r="IA88" s="200">
        <f>IF(IA$7&gt;$D$3,"",IF($FA84&lt;IA$7,"OD",_xlfn.XLOOKUP(IA$7,'Quality MB'!$M$6:$BM$6,'Quality MB'!$M$17:$BM$17)))</f>
        <v>654</v>
      </c>
      <c r="IB88" s="200">
        <f>IF(IB$7&gt;$D$3,"",IF($FA84&lt;IB$7,"OD",_xlfn.XLOOKUP(IB$7,'Quality MB'!$M$6:$BM$6,'Quality MB'!$M$17:$BM$17)))</f>
        <v>654</v>
      </c>
      <c r="IC88" s="200">
        <f>IF(IC$7&gt;$D$3,"",IF($FA84&lt;IC$7,"OD",_xlfn.XLOOKUP(IC$7,'Quality MB'!$M$6:$BM$6,'Quality MB'!$M$17:$BM$17)))</f>
        <v>654</v>
      </c>
      <c r="ID88" s="200">
        <f>IF(ID$7&gt;$D$3,"",IF($FA84&lt;ID$7,"OD",_xlfn.XLOOKUP(ID$7,'Quality MB'!$M$6:$BM$6,'Quality MB'!$M$17:$BM$17)))</f>
        <v>654</v>
      </c>
      <c r="IE88" s="200">
        <f>IF(IE$7&gt;$D$3,"",IF($FA84&lt;IE$7,"OD",_xlfn.XLOOKUP(IE$7,'Quality MB'!$M$6:$BM$6,'Quality MB'!$M$17:$BM$17)))</f>
        <v>654</v>
      </c>
      <c r="IF88" s="200">
        <f>IF(IF$7&gt;$D$3,"",IF($FA84&lt;IF$7,"OD",_xlfn.XLOOKUP(IF$7,'Quality MB'!$M$6:$BM$6,'Quality MB'!$M$17:$BM$17)))</f>
        <v>654</v>
      </c>
      <c r="IG88" s="200">
        <f>IF(IG$7&gt;$D$3,"",IF($FA84&lt;IG$7,"OD",_xlfn.XLOOKUP(IG$7,'Quality MB'!$M$6:$BM$6,'Quality MB'!$M$17:$BM$17)))</f>
        <v>654</v>
      </c>
      <c r="IH88" s="200">
        <f>IF(IH$7&gt;$D$3,"",IF($FA84&lt;IH$7,"OD",_xlfn.XLOOKUP(IH$7,'Quality MB'!$M$6:$BM$6,'Quality MB'!$M$17:$BM$17)))</f>
        <v>654</v>
      </c>
      <c r="II88" s="200">
        <f>IF(II$7&gt;$D$3,"",IF($FA84&lt;II$7,"OD",_xlfn.XLOOKUP(II$7,'Quality MB'!$M$6:$BM$6,'Quality MB'!$M$17:$BM$17)))</f>
        <v>654</v>
      </c>
      <c r="IJ88" s="200">
        <f>IF(IJ$7&gt;$D$3,"",IF($FA84&lt;IJ$7,"OD",_xlfn.XLOOKUP(IJ$7,'Quality MB'!$M$6:$BM$6,'Quality MB'!$M$17:$BM$17)))</f>
        <v>654</v>
      </c>
      <c r="IK88" s="200">
        <f>IF(IK$7&gt;$D$3,"",IF($FA84&lt;IK$7,"OD",_xlfn.XLOOKUP(IK$7,'Quality MB'!$M$6:$BM$6,'Quality MB'!$M$17:$BM$17)))</f>
        <v>654</v>
      </c>
      <c r="IL88" s="200">
        <f>IF(IL$7&gt;$D$3,"",IF($FA84&lt;IL$7,"OD",_xlfn.XLOOKUP(IL$7,'Quality MB'!$M$6:$BM$6,'Quality MB'!$M$17:$BM$17)))</f>
        <v>654</v>
      </c>
      <c r="IM88" s="200">
        <f>IF(IM$7&gt;$D$3,"",IF($FA84&lt;IM$7,"OD",_xlfn.XLOOKUP(IM$7,'Quality MB'!$M$6:$BM$6,'Quality MB'!$M$17:$BM$17)))</f>
        <v>654</v>
      </c>
      <c r="IN88" s="200">
        <f>IF(IN$7&gt;$D$3,"",IF($FA84&lt;IN$7,"OD",_xlfn.XLOOKUP(IN$7,'Quality MB'!$M$6:$BM$6,'Quality MB'!$M$17:$BM$17)))</f>
        <v>654</v>
      </c>
      <c r="IO88" s="200">
        <f>IF(IO$7&gt;$D$3,"",IF($FA84&lt;IO$7,"OD",_xlfn.XLOOKUP(IO$7,'Quality MB'!$M$6:$BM$6,'Quality MB'!$M$17:$BM$17)))</f>
        <v>654</v>
      </c>
      <c r="IP88" s="200">
        <f>IF(IP$7&gt;$D$3,"",IF($FA84&lt;IP$7,"OD",_xlfn.XLOOKUP(IP$7,'Quality MB'!$M$6:$BM$6,'Quality MB'!$M$17:$BM$17)))</f>
        <v>654</v>
      </c>
      <c r="IQ88" s="200">
        <f>IF(IQ$7&gt;$D$3,"",IF($FA84&lt;IQ$7,"OD",_xlfn.XLOOKUP(IQ$7,'Quality MB'!$M$6:$BM$6,'Quality MB'!$M$17:$BM$17)))</f>
        <v>654</v>
      </c>
      <c r="IR88" s="200">
        <f>IF(IR$7&gt;$D$3,"",IF($FA84&lt;IR$7,"OD",_xlfn.XLOOKUP(IR$7,'Quality MB'!$M$6:$BM$6,'Quality MB'!$M$17:$BM$17)))</f>
        <v>654</v>
      </c>
      <c r="IS88" s="200">
        <f>IF(IS$7&gt;$D$3,"",IF($FA84&lt;IS$7,"OD",_xlfn.XLOOKUP(IS$7,'Quality MB'!$M$6:$BM$6,'Quality MB'!$M$17:$BM$17)))</f>
        <v>654</v>
      </c>
      <c r="IT88" s="200">
        <f>IF(IT$7&gt;$D$3,"",IF($FA84&lt;IT$7,"OD",_xlfn.XLOOKUP(IT$7,'Quality MB'!$M$6:$BM$6,'Quality MB'!$M$17:$BM$17)))</f>
        <v>654</v>
      </c>
      <c r="IU88" s="200">
        <f>IF(IU$7&gt;$D$3,"",IF($FA84&lt;IU$7,"OD",_xlfn.XLOOKUP(IU$7,'Quality MB'!$M$6:$BM$6,'Quality MB'!$M$17:$BM$17)))</f>
        <v>654</v>
      </c>
      <c r="IV88" s="200">
        <f>IF(IV$7&gt;$D$3,"",IF($FA84&lt;IV$7,"OD",_xlfn.XLOOKUP(IV$7,'Quality MB'!$M$6:$BM$6,'Quality MB'!$M$17:$BM$17)))</f>
        <v>654</v>
      </c>
      <c r="IW88" s="200">
        <f>IF(IW$7&gt;$D$3,"",IF($FA84&lt;IW$7,"OD",_xlfn.XLOOKUP(IW$7,'Quality MB'!$M$6:$BM$6,'Quality MB'!$M$17:$BM$17)))</f>
        <v>654</v>
      </c>
      <c r="IX88" s="200">
        <f>IF(IX$7&gt;$D$3,"",IF($FA84&lt;IX$7,"OD",_xlfn.XLOOKUP(IX$7,'Quality MB'!$M$6:$BM$6,'Quality MB'!$M$17:$BM$17)))</f>
        <v>654</v>
      </c>
      <c r="IY88" s="200">
        <f>IF(IY$7&gt;$D$3,"",IF($FA84&lt;IY$7,"OD",_xlfn.XLOOKUP(IY$7,'Quality MB'!$M$6:$BM$6,'Quality MB'!$M$17:$BM$17)))</f>
        <v>654</v>
      </c>
      <c r="IZ88" s="200" t="str">
        <f>IF(IZ$7&gt;$D$3,"",IF($FA84&lt;IZ$7,"OD",_xlfn.XLOOKUP(IZ$7,'Quality MB'!$M$6:$BM$6,'Quality MB'!$M$17:$BM$17)))</f>
        <v/>
      </c>
      <c r="JA88" s="200" t="str">
        <f>IF(JA$7&gt;$D$3,"",IF($FA84&lt;JA$7,"OD",_xlfn.XLOOKUP(JA$7,'Quality MB'!$M$6:$BM$6,'Quality MB'!$M$17:$BM$17)))</f>
        <v/>
      </c>
      <c r="JB88" s="200" t="str">
        <f>IF(JB$7&gt;$D$3,"",IF($FA84&lt;JB$7,"OD",_xlfn.XLOOKUP(JB$7,'Quality MB'!$M$6:$BM$6,'Quality MB'!$M$17:$BM$17)))</f>
        <v/>
      </c>
      <c r="JC88" s="200" t="str">
        <f>IF(JC$7&gt;$D$3,"",IF($FA84&lt;JC$7,"OD",_xlfn.XLOOKUP(JC$7,'Quality MB'!$M$6:$BM$6,'Quality MB'!$M$17:$BM$17)))</f>
        <v/>
      </c>
      <c r="JD88" s="200" t="str">
        <f>IF(JD$7&gt;$D$3,"",IF($FA84&lt;JD$7,"OD",_xlfn.XLOOKUP(JD$7,'Quality MB'!$M$6:$BM$6,'Quality MB'!$M$17:$BM$17)))</f>
        <v/>
      </c>
      <c r="JE88" s="200" t="str">
        <f>IF(JE$7&gt;$D$3,"",IF($FA84&lt;JE$7,"OD",_xlfn.XLOOKUP(JE$7,'Quality MB'!$M$6:$BM$6,'Quality MB'!$M$17:$BM$17)))</f>
        <v/>
      </c>
      <c r="JF88" s="200" t="str">
        <f>IF(JF$7&gt;$D$3,"",IF($FA84&lt;JF$7,"OD",_xlfn.XLOOKUP(JF$7,'Quality MB'!$M$6:$BM$6,'Quality MB'!$M$17:$BM$17)))</f>
        <v/>
      </c>
      <c r="JG88" s="200" t="str">
        <f>IF(JG$7&gt;$D$3,"",IF($FA84&lt;JG$7,"OD",_xlfn.XLOOKUP(JG$7,'Quality MB'!$M$6:$BM$6,'Quality MB'!$M$17:$BM$17)))</f>
        <v/>
      </c>
      <c r="JH88" s="200" t="str">
        <f>IF(JH$7&gt;$D$3,"",IF($FA84&lt;JH$7,"OD",_xlfn.XLOOKUP(JH$7,'Quality MB'!$M$6:$BM$6,'Quality MB'!$M$17:$BM$17)))</f>
        <v/>
      </c>
      <c r="JI88" s="200" t="str">
        <f>IF(JI$7&gt;$D$3,"",IF($FA84&lt;JI$7,"OD",_xlfn.XLOOKUP(JI$7,'Quality MB'!$M$6:$BM$6,'Quality MB'!$M$17:$BM$17)))</f>
        <v/>
      </c>
      <c r="JJ88" s="200" t="str">
        <f>IF(JJ$7&gt;$D$3,"",IF($FA84&lt;JJ$7,"OD",_xlfn.XLOOKUP(JJ$7,'Quality MB'!$M$6:$BM$6,'Quality MB'!$M$17:$BM$17)))</f>
        <v/>
      </c>
      <c r="JM88" s="138" t="str">
        <f>+$C88</f>
        <v>KPI C1</v>
      </c>
      <c r="JN88" s="146" t="str">
        <f>+$D88</f>
        <v>Cost</v>
      </c>
      <c r="JO88" s="146" t="str">
        <f>+$E88</f>
        <v>Cost of Quality - (Maybole only)</v>
      </c>
      <c r="JP88" s="147" t="str">
        <f>+$F88</f>
        <v>£'s</v>
      </c>
      <c r="JQ88" s="147" t="s">
        <v>284</v>
      </c>
      <c r="JR88" s="248" t="str">
        <f>IFERROR(AVERAGE(FC88:$FC88),"")</f>
        <v/>
      </c>
      <c r="JS88" s="248" t="str">
        <f>IFERROR(AVERAGE($FC88:FD88),"")</f>
        <v/>
      </c>
      <c r="JT88" s="248" t="str">
        <f>IFERROR(AVERAGE($FC88:FE88),"")</f>
        <v/>
      </c>
      <c r="JU88" s="248" t="str">
        <f>IFERROR(AVERAGE($FC88:FF88),"")</f>
        <v/>
      </c>
      <c r="JV88" s="248" t="str">
        <f>IFERROR(AVERAGE($FC88:FG88),"")</f>
        <v/>
      </c>
      <c r="JW88" s="248" t="str">
        <f>IFERROR(AVERAGE($FC88:FH88),"")</f>
        <v/>
      </c>
      <c r="JX88" s="248" t="str">
        <f>IFERROR(AVERAGE($FC88:FI88),"")</f>
        <v/>
      </c>
      <c r="JY88" s="248" t="str">
        <f>IFERROR(AVERAGE($FC88:FJ88),"")</f>
        <v/>
      </c>
      <c r="JZ88" s="248" t="str">
        <f>IFERROR(AVERAGE($FC88:FK88),"")</f>
        <v/>
      </c>
      <c r="KA88" s="248" t="str">
        <f>IFERROR(AVERAGE($FC88:FL88),"")</f>
        <v/>
      </c>
      <c r="KB88" s="248" t="str">
        <f>IFERROR(AVERAGE($FC88:FM88),"")</f>
        <v/>
      </c>
      <c r="KC88" s="248" t="str">
        <f>IFERROR(AVERAGE($FC88:FN88),"")</f>
        <v/>
      </c>
      <c r="KD88" s="248" t="str">
        <f>IFERROR(AVERAGE($FC88:FO88),"")</f>
        <v/>
      </c>
      <c r="KE88" s="248">
        <f>IFERROR(AVERAGE($FC88:FP88),"")</f>
        <v>0</v>
      </c>
      <c r="KF88" s="248">
        <f>IFERROR(AVERAGE($FC88:FQ88),"")</f>
        <v>0</v>
      </c>
      <c r="KG88" s="248">
        <f>IFERROR(AVERAGE($FC88:FR88),"")</f>
        <v>398.33333333333331</v>
      </c>
      <c r="KH88" s="248">
        <f>IFERROR(AVERAGE($FC88:FS88),"")</f>
        <v>363</v>
      </c>
      <c r="KI88" s="248">
        <f>IFERROR(AVERAGE($FC88:FT88),"")</f>
        <v>321.8</v>
      </c>
      <c r="KJ88" s="248">
        <f>IFERROR(AVERAGE($FC88:FU88),"")</f>
        <v>268.16666666666669</v>
      </c>
      <c r="KK88" s="248">
        <f>IFERROR(AVERAGE($FC88:FV88),"")</f>
        <v>2009.2857142857142</v>
      </c>
      <c r="KL88" s="248">
        <f>IFERROR(AVERAGE($FC88:FW88),"")</f>
        <v>1758.125</v>
      </c>
      <c r="KM88" s="248">
        <f>IFERROR(AVERAGE($FC88:FX88),"")</f>
        <v>1562.7777777777778</v>
      </c>
      <c r="KN88" s="248">
        <f>IFERROR(AVERAGE($FC88:FY88),"")</f>
        <v>1409.2</v>
      </c>
      <c r="KO88" s="248">
        <f>IFERROR(AVERAGE($FC88:FZ88),"")</f>
        <v>1283.4545454545455</v>
      </c>
      <c r="KP88" s="248">
        <f>IFERROR(AVERAGE($FC88:GA88),"")</f>
        <v>1176.5</v>
      </c>
      <c r="KQ88" s="248">
        <f>IFERROR(AVERAGE($FC88:GB88),"")</f>
        <v>1095</v>
      </c>
      <c r="KR88" s="248">
        <f>IFERROR(AVERAGE($FC88:GC88),"")</f>
        <v>1016.7857142857143</v>
      </c>
      <c r="KS88" s="248">
        <f>IFERROR(AVERAGE($FC88:GD88),"")</f>
        <v>983.93333333333328</v>
      </c>
      <c r="KT88" s="248">
        <f>IFERROR(AVERAGE($FC88:GE88),"")</f>
        <v>937.4375</v>
      </c>
      <c r="KU88" s="248">
        <f>IFERROR(AVERAGE($FC88:GF88),"")</f>
        <v>882.29411764705878</v>
      </c>
      <c r="KV88" s="248">
        <f>IFERROR(AVERAGE($FC88:GG88),"")</f>
        <v>833.27777777777783</v>
      </c>
      <c r="KW88" s="248">
        <f>IFERROR(AVERAGE($FC88:GH88),"")</f>
        <v>789.42105263157896</v>
      </c>
      <c r="KX88" s="248">
        <f>IFERROR(AVERAGE($FC88:GI88),"")</f>
        <v>749.95</v>
      </c>
      <c r="KY88" s="248">
        <f>IFERROR(AVERAGE($FC88:GJ88),"")</f>
        <v>714.23809523809518</v>
      </c>
      <c r="KZ88" s="248">
        <f>IFERROR(AVERAGE($FC88:GK88),"")</f>
        <v>681.77272727272725</v>
      </c>
      <c r="LA88" s="248">
        <f>IFERROR(AVERAGE($FC88:GL88),"")</f>
        <v>652.13043478260875</v>
      </c>
      <c r="LB88" s="248">
        <f>IFERROR(AVERAGE($FC88:GM88),"")</f>
        <v>624.95833333333337</v>
      </c>
      <c r="LC88" s="248">
        <f>IFERROR(AVERAGE($FC88:GN88),"")</f>
        <v>599.96</v>
      </c>
      <c r="LD88" s="248">
        <f>IFERROR(AVERAGE($FC88:GO88),"")</f>
        <v>576.88461538461536</v>
      </c>
      <c r="LE88" s="248">
        <f>IFERROR(AVERAGE($FC88:GP88),"")</f>
        <v>744.40740740740739</v>
      </c>
      <c r="LF88" s="248">
        <f>IFERROR(AVERAGE($FC88:GQ88),"")</f>
        <v>717.82142857142856</v>
      </c>
      <c r="LG88" s="248">
        <f>IFERROR(AVERAGE($FC88:GR88),"")</f>
        <v>693.06896551724139</v>
      </c>
      <c r="LH88" s="248">
        <f>IFERROR(AVERAGE($FC88:GS88),"")</f>
        <v>693.06896551724139</v>
      </c>
      <c r="LI88" s="248">
        <f>IFERROR(AVERAGE($FC88:GT88),"")</f>
        <v>693.06896551724139</v>
      </c>
      <c r="LJ88" s="248">
        <f>IFERROR(AVERAGE($FC88:GU88),"")</f>
        <v>693.06896551724139</v>
      </c>
      <c r="LK88" s="248">
        <f>IFERROR(AVERAGE($FC88:GV88),"")</f>
        <v>693.06896551724139</v>
      </c>
      <c r="LL88" s="248">
        <f>IFERROR(AVERAGE($FC88:GW88),"")</f>
        <v>693.06896551724139</v>
      </c>
      <c r="LM88" s="248">
        <f>IFERROR(AVERAGE($FC88:GX88),"")</f>
        <v>693.06896551724139</v>
      </c>
      <c r="LN88" s="248">
        <f>IFERROR(AVERAGE($FC88:GY88),"")</f>
        <v>693.06896551724139</v>
      </c>
      <c r="LO88" s="248">
        <f>IFERROR(AVERAGE($FC88:GZ88),"")</f>
        <v>693.06896551724139</v>
      </c>
      <c r="LP88" s="248">
        <f>IFERROR(AVERAGE($FC88:HA88),"")</f>
        <v>693.06896551724139</v>
      </c>
      <c r="LQ88" s="248">
        <f>IFERROR(AVERAGE($FC88:HB88),"")</f>
        <v>693.06896551724139</v>
      </c>
      <c r="LR88" s="248">
        <f>IFERROR(AVERAGE($FC88:HC88),"")</f>
        <v>693.06896551724139</v>
      </c>
      <c r="LT88" s="138" t="str">
        <f>+$C88</f>
        <v>KPI C1</v>
      </c>
      <c r="LU88" s="146" t="str">
        <f>+$D88</f>
        <v>Cost</v>
      </c>
      <c r="LV88" s="146" t="str">
        <f>+$E88</f>
        <v>Cost of Quality - (Maybole only)</v>
      </c>
      <c r="LW88" s="147" t="str">
        <f>+$F88</f>
        <v>£'s</v>
      </c>
      <c r="LX88" s="147" t="s">
        <v>285</v>
      </c>
      <c r="LY88" s="200" t="str">
        <f>IFERROR(AVERAGE($HJ88:HJ88),"")</f>
        <v/>
      </c>
      <c r="LZ88" s="200" t="str">
        <f>IFERROR(IF(LAD$7&gt;$D$3,"",AVERAGE($HJ88:HK88)),"")</f>
        <v/>
      </c>
      <c r="MA88" s="200" t="str">
        <f>IFERROR(IF(MA$7&gt;$D$3,"",AVERAGE($HJ88:HL88)),"")</f>
        <v/>
      </c>
      <c r="MB88" s="200" t="str">
        <f>IFERROR(IF(MB$7&gt;$D$3,"",AVERAGE($HJ88:HM88)),"")</f>
        <v/>
      </c>
      <c r="MC88" s="200" t="str">
        <f>IFERROR(IF(MC$7&gt;$D$3,"",AVERAGE($HJ88:HN88)),"")</f>
        <v/>
      </c>
      <c r="MD88" s="200" t="str">
        <f>IFERROR(IF(MD$7&gt;$D$3,"",AVERAGE($HJ88:HO88)),"")</f>
        <v/>
      </c>
      <c r="ME88" s="200" t="str">
        <f>IFERROR(IF(ME$7&gt;$D$3,"",AVERAGE($HJ88:HP88)),"")</f>
        <v/>
      </c>
      <c r="MF88" s="200" t="str">
        <f>IFERROR(IF(MF$7&gt;$D$3,"",AVERAGE($HJ88:HQ88)),"")</f>
        <v/>
      </c>
      <c r="MG88" s="200" t="str">
        <f>IFERROR(IF(MG$7&gt;$D$3,"",AVERAGE($HJ88:HR88)),"")</f>
        <v/>
      </c>
      <c r="MH88" s="200" t="str">
        <f>IFERROR(IF(MH$7&gt;$D$3,"",AVERAGE($HJ88:HS88)),"")</f>
        <v/>
      </c>
      <c r="MI88" s="200" t="str">
        <f>IFERROR(IF(MI$7&gt;$D$3,"",AVERAGE($HJ88:HT88)),"")</f>
        <v/>
      </c>
      <c r="MJ88" s="200" t="str">
        <f>IFERROR(IF(MJ$7&gt;$D$3,"",AVERAGE($HJ88:HU88)),"")</f>
        <v/>
      </c>
      <c r="MK88" s="200" t="str">
        <f>IFERROR(IF(MK$7&gt;$D$3,"",AVERAGE($HJ88:HV88)),"")</f>
        <v/>
      </c>
      <c r="ML88" s="200">
        <f>IFERROR(IF(ML$7&gt;$D$3,"",AVERAGE($HJ88:HW88)),"")</f>
        <v>654</v>
      </c>
      <c r="MM88" s="200">
        <f>IFERROR(IF(MM$7&gt;$D$3,"",AVERAGE($HJ88:HX88)),"")</f>
        <v>654</v>
      </c>
      <c r="MN88" s="200">
        <f>IFERROR(IF(MN$7&gt;$D$3,"",AVERAGE($HJ88:HY88)),"")</f>
        <v>654</v>
      </c>
      <c r="MO88" s="200">
        <f>IFERROR(IF(MO$7&gt;$D$3,"",AVERAGE($HJ88:HZ88)),"")</f>
        <v>654</v>
      </c>
      <c r="MP88" s="200">
        <f>IFERROR(IF(MP$7&gt;$D$3,"",AVERAGE($HJ88:IA88)),"")</f>
        <v>654</v>
      </c>
      <c r="MQ88" s="200">
        <f>IFERROR(IF(MQ$7&gt;$D$3,"",AVERAGE($HJ88:IB88)),"")</f>
        <v>654</v>
      </c>
      <c r="MR88" s="200">
        <f>IFERROR(IF(MR$7&gt;$D$3,"",AVERAGE($HJ88:IC88)),"")</f>
        <v>654</v>
      </c>
      <c r="MS88" s="200">
        <f>IFERROR(IF(MS$7&gt;$D$3,"",AVERAGE($HJ88:ID88)),"")</f>
        <v>654</v>
      </c>
      <c r="MT88" s="200">
        <f>IFERROR(IF(MT$7&gt;$D$3,"",AVERAGE($HJ88:IE88)),"")</f>
        <v>654</v>
      </c>
      <c r="MU88" s="200">
        <f>IFERROR(IF(MU$7&gt;$D$3,"",AVERAGE($HJ88:IF88)),"")</f>
        <v>654</v>
      </c>
      <c r="MV88" s="200">
        <f>IFERROR(IF(MV$7&gt;$D$3,"",AVERAGE($HJ88:IG88)),"")</f>
        <v>654</v>
      </c>
      <c r="MW88" s="200">
        <f>IFERROR(IF(MW$7&gt;$D$3,"",AVERAGE($HJ88:IH88)),"")</f>
        <v>654</v>
      </c>
      <c r="MX88" s="200">
        <f>IFERROR(IF(MX$7&gt;$D$3,"",AVERAGE($HJ88:II88)),"")</f>
        <v>654</v>
      </c>
      <c r="MY88" s="200">
        <f>IFERROR(IF(MY$7&gt;$D$3,"",AVERAGE($HJ88:IJ88)),"")</f>
        <v>654</v>
      </c>
      <c r="MZ88" s="200">
        <f>IFERROR(IF(MZ$7&gt;$D$3,"",AVERAGE($HJ88:IK88)),"")</f>
        <v>654</v>
      </c>
      <c r="NA88" s="200">
        <f>IFERROR(IF(NA$7&gt;$D$3,"",AVERAGE($HJ88:IL88)),"")</f>
        <v>654</v>
      </c>
      <c r="NB88" s="200">
        <f>IFERROR(IF(NB$7&gt;$D$3,"",AVERAGE($HJ88:IM88)),"")</f>
        <v>654</v>
      </c>
      <c r="NC88" s="200">
        <f>IFERROR(IF(NC$7&gt;$D$3,"",AVERAGE($HJ88:IN88)),"")</f>
        <v>654</v>
      </c>
      <c r="ND88" s="200">
        <f>IFERROR(IF(ND$7&gt;$D$3,"",AVERAGE($HJ88:IO88)),"")</f>
        <v>654</v>
      </c>
      <c r="NE88" s="200">
        <f>IFERROR(IF(NE$7&gt;$D$3,"",AVERAGE($HJ88:IP88)),"")</f>
        <v>654</v>
      </c>
      <c r="NF88" s="200">
        <f>IFERROR(IF(NF$7&gt;$D$3,"",AVERAGE($HJ88:IQ88)),"")</f>
        <v>654</v>
      </c>
      <c r="NG88" s="200">
        <f>IFERROR(IF(NG$7&gt;$D$3,"",AVERAGE($HJ88:IR88)),"")</f>
        <v>654</v>
      </c>
      <c r="NH88" s="200">
        <f>IFERROR(IF(NH$7&gt;$D$3,"",AVERAGE($HJ88:IS88)),"")</f>
        <v>654</v>
      </c>
      <c r="NI88" s="200">
        <f>IFERROR(IF(NI$7&gt;$D$3,"",AVERAGE($HJ88:IT88)),"")</f>
        <v>654</v>
      </c>
      <c r="NJ88" s="200">
        <f>IFERROR(IF(NJ$7&gt;$D$3,"",AVERAGE($HJ88:IU88)),"")</f>
        <v>654</v>
      </c>
      <c r="NK88" s="200">
        <f>IFERROR(IF(NK$7&gt;$D$3,"",AVERAGE($HJ88:IV88)),"")</f>
        <v>654</v>
      </c>
      <c r="NL88" s="200">
        <f>IFERROR(IF(NL$7&gt;$D$3,"",AVERAGE($HJ88:IW88)),"")</f>
        <v>654</v>
      </c>
      <c r="NM88" s="200">
        <f>IFERROR(IF(NM$7&gt;$D$3,"",AVERAGE($HJ88:IX88)),"")</f>
        <v>654</v>
      </c>
      <c r="NN88" s="200">
        <f>IFERROR(IF(NN$7&gt;$D$3,"",AVERAGE($HJ88:IY88)),"")</f>
        <v>654</v>
      </c>
      <c r="NO88" s="200" t="str">
        <f>IFERROR(IF(NO$7&gt;$D$3,"",AVERAGE($HJ88:IZ88)),"")</f>
        <v/>
      </c>
      <c r="NP88" s="200" t="str">
        <f>IFERROR(IF(NP$7&gt;$D$3,"",AVERAGE($HJ88:JA88)),"")</f>
        <v/>
      </c>
      <c r="NQ88" s="200" t="str">
        <f>IFERROR(IF(NQ$7&gt;$D$3,"",AVERAGE($HJ88:JB88)),"")</f>
        <v/>
      </c>
      <c r="NR88" s="200" t="str">
        <f>IFERROR(IF(NR$7&gt;$D$3,"",AVERAGE($HJ88:JC88)),"")</f>
        <v/>
      </c>
      <c r="NS88" s="200" t="str">
        <f>IFERROR(IF(NS$7&gt;$D$3,"",AVERAGE($HJ88:JD88)),"")</f>
        <v/>
      </c>
      <c r="NT88" s="200" t="str">
        <f>IFERROR(IF(NT$7&gt;$D$3,"",AVERAGE($HJ88:JE88)),"")</f>
        <v/>
      </c>
      <c r="NU88" s="200" t="str">
        <f>IFERROR(IF(NU$7&gt;$D$3,"",AVERAGE($HJ88:JF88)),"")</f>
        <v/>
      </c>
      <c r="NV88" s="200" t="str">
        <f>IFERROR(IF(NV$7&gt;$D$3,"",AVERAGE($HJ88:JG88)),"")</f>
        <v/>
      </c>
      <c r="NW88" s="200" t="str">
        <f>IFERROR(IF(NW$7&gt;$D$3,"",AVERAGE($HJ88:JH88)),"")</f>
        <v/>
      </c>
      <c r="NX88" s="200" t="str">
        <f>IFERROR(IF(NX$7&gt;$D$3,"",AVERAGE($HJ88:JI88)),"")</f>
        <v/>
      </c>
      <c r="NY88" s="200" t="str">
        <f>IFERROR(IF(NY$7&gt;$D$3,"",AVERAGE($HJ88:JJ88)),"")</f>
        <v/>
      </c>
    </row>
    <row r="89" spans="1:389" ht="15" thickBot="1" x14ac:dyDescent="0.35">
      <c r="AB89" s="292"/>
      <c r="AH89" s="465"/>
      <c r="AN89" s="201"/>
      <c r="CO89" s="465"/>
      <c r="CV89" s="316"/>
      <c r="CW89" s="316"/>
      <c r="CX89" s="316"/>
      <c r="CY89" s="316"/>
      <c r="CZ89" s="316"/>
      <c r="DA89" s="316"/>
      <c r="DB89" s="316"/>
      <c r="DC89" s="316"/>
      <c r="DD89" s="316"/>
      <c r="DE89" s="316"/>
      <c r="DF89" s="316"/>
      <c r="DG89" s="316"/>
      <c r="DH89" s="316"/>
      <c r="DI89" s="316"/>
      <c r="DJ89" s="316"/>
      <c r="DK89" s="316"/>
      <c r="DL89" s="316"/>
      <c r="DM89" s="316"/>
      <c r="DN89" s="316"/>
      <c r="DO89" s="316"/>
      <c r="DP89" s="316"/>
      <c r="DQ89" s="316"/>
      <c r="DR89" s="316"/>
      <c r="DS89" s="316"/>
      <c r="DT89" s="316"/>
      <c r="DU89" s="316"/>
      <c r="DV89" s="316"/>
      <c r="DW89" s="316"/>
      <c r="DX89" s="316"/>
      <c r="DY89" s="316"/>
      <c r="DZ89" s="316"/>
      <c r="EA89" s="316"/>
      <c r="EB89" s="316"/>
      <c r="EC89" s="316"/>
      <c r="ED89" s="316"/>
      <c r="EE89" s="316"/>
      <c r="EF89" s="316"/>
      <c r="EG89" s="316"/>
      <c r="EH89" s="316"/>
      <c r="EI89" s="316"/>
      <c r="EJ89" s="316"/>
      <c r="EK89" s="316"/>
      <c r="EL89" s="316"/>
      <c r="EM89" s="316"/>
      <c r="EN89" s="316"/>
      <c r="EO89" s="316"/>
      <c r="EP89" s="316"/>
      <c r="EQ89" s="316"/>
      <c r="ER89" s="316"/>
      <c r="ES89" s="316"/>
      <c r="ET89" s="316"/>
      <c r="EU89" s="316"/>
      <c r="EW89" s="465"/>
      <c r="FC89" s="201"/>
      <c r="FD89" s="201"/>
      <c r="FE89" s="201"/>
      <c r="FF89" s="201"/>
      <c r="FG89" s="201"/>
      <c r="FH89" s="201"/>
      <c r="FI89" s="201"/>
      <c r="FJ89" s="201"/>
      <c r="FK89" s="201"/>
      <c r="FL89" s="201"/>
      <c r="FM89" s="201"/>
      <c r="FN89" s="201"/>
      <c r="FO89" s="201"/>
      <c r="FP89" s="201"/>
      <c r="FQ89" s="201"/>
      <c r="FR89" s="201"/>
      <c r="FS89" s="201"/>
      <c r="FT89" s="201"/>
      <c r="FU89" s="201"/>
      <c r="FV89" s="201"/>
      <c r="FW89" s="201"/>
      <c r="FX89" s="201"/>
      <c r="FY89" s="201"/>
      <c r="FZ89" s="201"/>
      <c r="GA89" s="201"/>
      <c r="GB89" s="201"/>
      <c r="GC89" s="201"/>
      <c r="GD89" s="201"/>
      <c r="GE89" s="201"/>
      <c r="GF89" s="201"/>
      <c r="GG89" s="201"/>
      <c r="GH89" s="201"/>
      <c r="GI89" s="201"/>
      <c r="GJ89" s="201"/>
      <c r="GK89" s="201"/>
      <c r="GL89" s="201"/>
      <c r="GM89" s="201"/>
      <c r="GN89" s="201"/>
      <c r="GO89" s="201"/>
      <c r="GP89" s="201"/>
      <c r="GQ89" s="201"/>
      <c r="GR89" s="201"/>
      <c r="GS89" s="201"/>
      <c r="GT89" s="201"/>
      <c r="GU89" s="201"/>
      <c r="GV89" s="201"/>
      <c r="GW89" s="201"/>
      <c r="GX89" s="201"/>
      <c r="GY89" s="201"/>
      <c r="GZ89" s="201"/>
      <c r="HA89" s="201"/>
      <c r="HB89" s="201"/>
      <c r="HC89" s="201"/>
      <c r="HJ89" s="201"/>
      <c r="HK89" s="201"/>
      <c r="HL89" s="249"/>
      <c r="HM89" s="249"/>
      <c r="HN89" s="249"/>
      <c r="HO89" s="249"/>
      <c r="HP89" s="249"/>
      <c r="HQ89" s="249"/>
      <c r="HR89" s="249"/>
      <c r="HS89" s="249"/>
      <c r="HT89" s="249"/>
      <c r="HU89" s="249"/>
      <c r="HV89" s="249"/>
      <c r="HW89" s="249"/>
      <c r="HX89" s="249"/>
      <c r="HY89" s="249"/>
      <c r="HZ89" s="249"/>
      <c r="IA89" s="249"/>
      <c r="IB89" s="249"/>
      <c r="IC89" s="249"/>
      <c r="ID89" s="249"/>
      <c r="IE89" s="249"/>
      <c r="IF89" s="249"/>
      <c r="IG89" s="249"/>
      <c r="IH89" s="249"/>
      <c r="II89" s="249"/>
      <c r="IJ89" s="249"/>
      <c r="IK89" s="249"/>
      <c r="IL89" s="249"/>
      <c r="IM89" s="249"/>
      <c r="IN89" s="249"/>
      <c r="IO89" s="249"/>
      <c r="IP89" s="249"/>
      <c r="IQ89" s="249"/>
      <c r="IR89" s="249"/>
      <c r="IS89" s="249"/>
      <c r="IT89" s="249"/>
      <c r="IU89" s="249"/>
      <c r="IV89" s="249"/>
      <c r="IW89" s="249"/>
      <c r="IX89" s="249"/>
      <c r="IY89" s="249"/>
      <c r="IZ89" s="249"/>
      <c r="JA89" s="249"/>
      <c r="JB89" s="249"/>
      <c r="JC89" s="249"/>
      <c r="JD89" s="249"/>
      <c r="JE89" s="249"/>
      <c r="JF89" s="249"/>
      <c r="JG89" s="249"/>
      <c r="JH89" s="249"/>
      <c r="JI89" s="249"/>
      <c r="JJ89" s="249"/>
      <c r="JR89" s="249"/>
      <c r="JS89" s="249"/>
      <c r="JT89" s="249"/>
      <c r="JU89" s="249"/>
      <c r="JV89" s="249"/>
      <c r="JW89" s="249"/>
      <c r="JX89" s="249"/>
      <c r="JY89" s="249"/>
      <c r="JZ89" s="249"/>
      <c r="KA89" s="249"/>
      <c r="KB89" s="249"/>
      <c r="KC89" s="249"/>
      <c r="KD89" s="249"/>
      <c r="KE89" s="249"/>
      <c r="KF89" s="249"/>
      <c r="KG89" s="249"/>
      <c r="KH89" s="249"/>
      <c r="KI89" s="249"/>
      <c r="KJ89" s="249"/>
      <c r="KK89" s="249"/>
      <c r="KL89" s="249"/>
      <c r="KM89" s="249"/>
      <c r="KN89" s="249"/>
      <c r="KO89" s="249"/>
      <c r="KP89" s="249"/>
      <c r="KQ89" s="249"/>
      <c r="KR89" s="249"/>
      <c r="KS89" s="249"/>
      <c r="KT89" s="249"/>
      <c r="KU89" s="249"/>
      <c r="KV89" s="249"/>
      <c r="KW89" s="249"/>
      <c r="KX89" s="249"/>
      <c r="KY89" s="249"/>
      <c r="KZ89" s="249"/>
      <c r="LA89" s="249"/>
      <c r="LB89" s="249"/>
      <c r="LC89" s="249"/>
      <c r="LD89" s="249"/>
      <c r="LE89" s="249"/>
      <c r="LF89" s="249"/>
      <c r="LG89" s="249"/>
      <c r="LH89" s="249"/>
      <c r="LI89" s="249"/>
      <c r="LJ89" s="249"/>
      <c r="LK89" s="249"/>
      <c r="LL89" s="249"/>
      <c r="LM89" s="249"/>
      <c r="LN89" s="249"/>
      <c r="LO89" s="249"/>
      <c r="LP89" s="249"/>
      <c r="LQ89" s="249"/>
      <c r="LR89" s="249"/>
      <c r="LY89" s="201"/>
      <c r="LZ89" s="201"/>
      <c r="MA89" s="201"/>
      <c r="MB89" s="201"/>
      <c r="MC89" s="201"/>
      <c r="MD89" s="201"/>
      <c r="ME89" s="201"/>
      <c r="MF89" s="201"/>
      <c r="MG89" s="201"/>
      <c r="MH89" s="201"/>
      <c r="MI89" s="201"/>
      <c r="MJ89" s="201"/>
      <c r="MK89" s="201"/>
      <c r="ML89" s="201"/>
      <c r="MM89" s="201"/>
      <c r="MN89" s="201"/>
      <c r="MO89" s="201"/>
      <c r="MP89" s="201"/>
      <c r="MQ89" s="201"/>
      <c r="MR89" s="201"/>
      <c r="MS89" s="201"/>
      <c r="MT89" s="201"/>
      <c r="MU89" s="201"/>
      <c r="MV89" s="201"/>
      <c r="MW89" s="201"/>
      <c r="MX89" s="201"/>
      <c r="MY89" s="201"/>
      <c r="MZ89" s="201"/>
      <c r="NA89" s="201"/>
      <c r="NB89" s="201"/>
      <c r="NC89" s="201"/>
      <c r="ND89" s="201"/>
      <c r="NE89" s="201"/>
      <c r="NF89" s="201"/>
      <c r="NG89" s="201"/>
      <c r="NH89" s="201"/>
      <c r="NI89" s="201"/>
      <c r="NJ89" s="201"/>
      <c r="NK89" s="201"/>
      <c r="NL89" s="201"/>
      <c r="NM89" s="201"/>
      <c r="NN89" s="201"/>
      <c r="NO89" s="201"/>
      <c r="NP89" s="201"/>
      <c r="NQ89" s="201"/>
      <c r="NR89" s="201"/>
      <c r="NS89" s="201"/>
      <c r="NT89" s="201"/>
      <c r="NU89" s="201"/>
      <c r="NV89" s="201"/>
      <c r="NW89" s="201"/>
      <c r="NX89" s="201"/>
      <c r="NY89" s="201"/>
    </row>
    <row r="90" spans="1:389" ht="15" thickBot="1" x14ac:dyDescent="0.35">
      <c r="B90" s="180" t="str">
        <f>+'KPI Stats'!B89</f>
        <v>Procurement</v>
      </c>
      <c r="C90" s="133" t="str">
        <f>+'KPI Stats'!C89</f>
        <v>Matt Pope</v>
      </c>
      <c r="D90" s="134"/>
      <c r="E90" s="141" t="str">
        <f>+'KPI Stats'!E89</f>
        <v>Completed to Week</v>
      </c>
      <c r="F90" s="141">
        <f>+'KPI Stats'!F89</f>
        <v>42</v>
      </c>
      <c r="G90" s="181" t="str">
        <f>+'KPI Stats'!G89</f>
        <v>Weekly KPI</v>
      </c>
      <c r="J90" s="181" t="str">
        <f>+$B90</f>
        <v>Procurement</v>
      </c>
      <c r="K90" s="181"/>
      <c r="L90" s="182"/>
      <c r="M90" s="183"/>
      <c r="P90" s="181" t="str">
        <f>+$B90</f>
        <v>Procurement</v>
      </c>
      <c r="Q90" s="181"/>
      <c r="R90" s="181"/>
      <c r="S90" s="183"/>
      <c r="T90" s="183"/>
      <c r="U90" s="291"/>
      <c r="X90" s="181" t="str">
        <f>+$B90</f>
        <v>Procurement</v>
      </c>
      <c r="Y90" s="181"/>
      <c r="Z90" s="181"/>
      <c r="AA90" s="183"/>
      <c r="AB90" s="291"/>
      <c r="AC90" s="181" t="str">
        <f>+$B90</f>
        <v>Procurement</v>
      </c>
      <c r="AD90" s="181"/>
      <c r="AE90" s="181"/>
      <c r="AF90" s="183"/>
      <c r="AH90" s="465"/>
      <c r="AI90" s="191" t="str">
        <f>+B91</f>
        <v>Procurement</v>
      </c>
      <c r="AJ90" s="192"/>
      <c r="AK90" s="141" t="str">
        <f t="shared" ref="AK90:AL94" si="300">+E90</f>
        <v>Completed to Week</v>
      </c>
      <c r="AL90" s="141">
        <f t="shared" si="300"/>
        <v>42</v>
      </c>
      <c r="AM90" s="181" t="str">
        <f t="shared" ref="AM90:BR90" si="301">+$B90</f>
        <v>Procurement</v>
      </c>
      <c r="AN90" s="197" t="str">
        <f t="shared" si="301"/>
        <v>Procurement</v>
      </c>
      <c r="AO90" s="181" t="str">
        <f t="shared" si="301"/>
        <v>Procurement</v>
      </c>
      <c r="AP90" s="181" t="str">
        <f t="shared" si="301"/>
        <v>Procurement</v>
      </c>
      <c r="AQ90" s="181" t="str">
        <f t="shared" si="301"/>
        <v>Procurement</v>
      </c>
      <c r="AR90" s="181" t="str">
        <f t="shared" si="301"/>
        <v>Procurement</v>
      </c>
      <c r="AS90" s="181" t="str">
        <f t="shared" si="301"/>
        <v>Procurement</v>
      </c>
      <c r="AT90" s="181" t="str">
        <f t="shared" si="301"/>
        <v>Procurement</v>
      </c>
      <c r="AU90" s="181" t="str">
        <f t="shared" si="301"/>
        <v>Procurement</v>
      </c>
      <c r="AV90" s="181" t="str">
        <f t="shared" si="301"/>
        <v>Procurement</v>
      </c>
      <c r="AW90" s="181" t="str">
        <f t="shared" si="301"/>
        <v>Procurement</v>
      </c>
      <c r="AX90" s="181" t="str">
        <f t="shared" si="301"/>
        <v>Procurement</v>
      </c>
      <c r="AY90" s="181" t="str">
        <f t="shared" si="301"/>
        <v>Procurement</v>
      </c>
      <c r="AZ90" s="181" t="str">
        <f t="shared" si="301"/>
        <v>Procurement</v>
      </c>
      <c r="BA90" s="181" t="str">
        <f t="shared" si="301"/>
        <v>Procurement</v>
      </c>
      <c r="BB90" s="181" t="str">
        <f t="shared" si="301"/>
        <v>Procurement</v>
      </c>
      <c r="BC90" s="181" t="str">
        <f t="shared" si="301"/>
        <v>Procurement</v>
      </c>
      <c r="BD90" s="181" t="str">
        <f t="shared" si="301"/>
        <v>Procurement</v>
      </c>
      <c r="BE90" s="181" t="str">
        <f t="shared" si="301"/>
        <v>Procurement</v>
      </c>
      <c r="BF90" s="181" t="str">
        <f t="shared" si="301"/>
        <v>Procurement</v>
      </c>
      <c r="BG90" s="181" t="str">
        <f t="shared" si="301"/>
        <v>Procurement</v>
      </c>
      <c r="BH90" s="181" t="str">
        <f t="shared" si="301"/>
        <v>Procurement</v>
      </c>
      <c r="BI90" s="181" t="str">
        <f t="shared" si="301"/>
        <v>Procurement</v>
      </c>
      <c r="BJ90" s="181" t="str">
        <f t="shared" si="301"/>
        <v>Procurement</v>
      </c>
      <c r="BK90" s="181" t="str">
        <f t="shared" si="301"/>
        <v>Procurement</v>
      </c>
      <c r="BL90" s="181" t="str">
        <f t="shared" si="301"/>
        <v>Procurement</v>
      </c>
      <c r="BM90" s="181" t="str">
        <f t="shared" si="301"/>
        <v>Procurement</v>
      </c>
      <c r="BN90" s="181" t="str">
        <f t="shared" si="301"/>
        <v>Procurement</v>
      </c>
      <c r="BO90" s="181" t="str">
        <f t="shared" si="301"/>
        <v>Procurement</v>
      </c>
      <c r="BP90" s="181" t="str">
        <f t="shared" si="301"/>
        <v>Procurement</v>
      </c>
      <c r="BQ90" s="181" t="str">
        <f t="shared" si="301"/>
        <v>Procurement</v>
      </c>
      <c r="BR90" s="181" t="str">
        <f t="shared" si="301"/>
        <v>Procurement</v>
      </c>
      <c r="BS90" s="181" t="str">
        <f t="shared" ref="BS90:CM90" si="302">+$B90</f>
        <v>Procurement</v>
      </c>
      <c r="BT90" s="181" t="str">
        <f t="shared" si="302"/>
        <v>Procurement</v>
      </c>
      <c r="BU90" s="181" t="str">
        <f t="shared" si="302"/>
        <v>Procurement</v>
      </c>
      <c r="BV90" s="181" t="str">
        <f t="shared" si="302"/>
        <v>Procurement</v>
      </c>
      <c r="BW90" s="181" t="str">
        <f t="shared" si="302"/>
        <v>Procurement</v>
      </c>
      <c r="BX90" s="181" t="str">
        <f t="shared" si="302"/>
        <v>Procurement</v>
      </c>
      <c r="BY90" s="181" t="str">
        <f t="shared" si="302"/>
        <v>Procurement</v>
      </c>
      <c r="BZ90" s="181" t="str">
        <f t="shared" si="302"/>
        <v>Procurement</v>
      </c>
      <c r="CA90" s="181" t="str">
        <f t="shared" si="302"/>
        <v>Procurement</v>
      </c>
      <c r="CB90" s="181" t="str">
        <f t="shared" si="302"/>
        <v>Procurement</v>
      </c>
      <c r="CC90" s="181" t="str">
        <f t="shared" si="302"/>
        <v>Procurement</v>
      </c>
      <c r="CD90" s="181" t="str">
        <f t="shared" si="302"/>
        <v>Procurement</v>
      </c>
      <c r="CE90" s="181" t="str">
        <f t="shared" si="302"/>
        <v>Procurement</v>
      </c>
      <c r="CF90" s="181" t="str">
        <f t="shared" si="302"/>
        <v>Procurement</v>
      </c>
      <c r="CG90" s="181" t="str">
        <f t="shared" si="302"/>
        <v>Procurement</v>
      </c>
      <c r="CH90" s="181" t="str">
        <f t="shared" si="302"/>
        <v>Procurement</v>
      </c>
      <c r="CI90" s="181" t="str">
        <f t="shared" si="302"/>
        <v>Procurement</v>
      </c>
      <c r="CJ90" s="181" t="str">
        <f t="shared" si="302"/>
        <v>Procurement</v>
      </c>
      <c r="CK90" s="181" t="str">
        <f t="shared" si="302"/>
        <v>Procurement</v>
      </c>
      <c r="CL90" s="181" t="str">
        <f t="shared" si="302"/>
        <v>Procurement</v>
      </c>
      <c r="CM90" s="181" t="str">
        <f t="shared" si="302"/>
        <v>Procurement</v>
      </c>
      <c r="CO90" s="465"/>
      <c r="CP90" s="191" t="str">
        <f>+B91</f>
        <v>Procurement</v>
      </c>
      <c r="CQ90" s="192"/>
      <c r="CR90" s="141" t="str">
        <f t="shared" ref="CR90:CT94" si="303">+E90</f>
        <v>Completed to Week</v>
      </c>
      <c r="CS90" s="141">
        <f t="shared" si="303"/>
        <v>42</v>
      </c>
      <c r="CT90" s="141" t="str">
        <f t="shared" si="303"/>
        <v>Weekly KPI</v>
      </c>
      <c r="CU90" s="181" t="str">
        <f t="shared" ref="CU90:EU90" si="304">+$B90</f>
        <v>Procurement</v>
      </c>
      <c r="CV90" s="317" t="str">
        <f t="shared" si="304"/>
        <v>Procurement</v>
      </c>
      <c r="CW90" s="317" t="str">
        <f t="shared" si="304"/>
        <v>Procurement</v>
      </c>
      <c r="CX90" s="317" t="str">
        <f t="shared" si="304"/>
        <v>Procurement</v>
      </c>
      <c r="CY90" s="317" t="str">
        <f t="shared" si="304"/>
        <v>Procurement</v>
      </c>
      <c r="CZ90" s="317" t="str">
        <f t="shared" si="304"/>
        <v>Procurement</v>
      </c>
      <c r="DA90" s="317" t="str">
        <f t="shared" si="304"/>
        <v>Procurement</v>
      </c>
      <c r="DB90" s="317" t="str">
        <f t="shared" si="304"/>
        <v>Procurement</v>
      </c>
      <c r="DC90" s="317" t="str">
        <f t="shared" si="304"/>
        <v>Procurement</v>
      </c>
      <c r="DD90" s="317" t="str">
        <f t="shared" si="304"/>
        <v>Procurement</v>
      </c>
      <c r="DE90" s="317" t="str">
        <f t="shared" si="304"/>
        <v>Procurement</v>
      </c>
      <c r="DF90" s="317" t="str">
        <f t="shared" si="304"/>
        <v>Procurement</v>
      </c>
      <c r="DG90" s="317" t="str">
        <f t="shared" si="304"/>
        <v>Procurement</v>
      </c>
      <c r="DH90" s="317" t="str">
        <f t="shared" si="304"/>
        <v>Procurement</v>
      </c>
      <c r="DI90" s="317" t="str">
        <f t="shared" si="304"/>
        <v>Procurement</v>
      </c>
      <c r="DJ90" s="317" t="str">
        <f t="shared" si="304"/>
        <v>Procurement</v>
      </c>
      <c r="DK90" s="317" t="str">
        <f t="shared" si="304"/>
        <v>Procurement</v>
      </c>
      <c r="DL90" s="317" t="str">
        <f t="shared" si="304"/>
        <v>Procurement</v>
      </c>
      <c r="DM90" s="317" t="str">
        <f t="shared" si="304"/>
        <v>Procurement</v>
      </c>
      <c r="DN90" s="317" t="str">
        <f t="shared" si="304"/>
        <v>Procurement</v>
      </c>
      <c r="DO90" s="317" t="str">
        <f t="shared" si="304"/>
        <v>Procurement</v>
      </c>
      <c r="DP90" s="317" t="str">
        <f t="shared" si="304"/>
        <v>Procurement</v>
      </c>
      <c r="DQ90" s="317" t="str">
        <f t="shared" si="304"/>
        <v>Procurement</v>
      </c>
      <c r="DR90" s="317" t="str">
        <f t="shared" si="304"/>
        <v>Procurement</v>
      </c>
      <c r="DS90" s="317" t="str">
        <f t="shared" si="304"/>
        <v>Procurement</v>
      </c>
      <c r="DT90" s="317" t="str">
        <f t="shared" si="304"/>
        <v>Procurement</v>
      </c>
      <c r="DU90" s="317" t="str">
        <f t="shared" si="304"/>
        <v>Procurement</v>
      </c>
      <c r="DV90" s="317" t="str">
        <f t="shared" si="304"/>
        <v>Procurement</v>
      </c>
      <c r="DW90" s="317" t="str">
        <f t="shared" si="304"/>
        <v>Procurement</v>
      </c>
      <c r="DX90" s="317" t="str">
        <f t="shared" si="304"/>
        <v>Procurement</v>
      </c>
      <c r="DY90" s="317" t="str">
        <f t="shared" si="304"/>
        <v>Procurement</v>
      </c>
      <c r="DZ90" s="317" t="str">
        <f t="shared" si="304"/>
        <v>Procurement</v>
      </c>
      <c r="EA90" s="317" t="str">
        <f t="shared" si="304"/>
        <v>Procurement</v>
      </c>
      <c r="EB90" s="317" t="str">
        <f t="shared" si="304"/>
        <v>Procurement</v>
      </c>
      <c r="EC90" s="317" t="str">
        <f t="shared" si="304"/>
        <v>Procurement</v>
      </c>
      <c r="ED90" s="317" t="str">
        <f t="shared" si="304"/>
        <v>Procurement</v>
      </c>
      <c r="EE90" s="317" t="str">
        <f t="shared" si="304"/>
        <v>Procurement</v>
      </c>
      <c r="EF90" s="317" t="str">
        <f t="shared" si="304"/>
        <v>Procurement</v>
      </c>
      <c r="EG90" s="317" t="str">
        <f t="shared" si="304"/>
        <v>Procurement</v>
      </c>
      <c r="EH90" s="317" t="str">
        <f t="shared" si="304"/>
        <v>Procurement</v>
      </c>
      <c r="EI90" s="317" t="str">
        <f t="shared" si="304"/>
        <v>Procurement</v>
      </c>
      <c r="EJ90" s="317" t="str">
        <f t="shared" si="304"/>
        <v>Procurement</v>
      </c>
      <c r="EK90" s="317" t="str">
        <f t="shared" si="304"/>
        <v>Procurement</v>
      </c>
      <c r="EL90" s="317" t="str">
        <f t="shared" si="304"/>
        <v>Procurement</v>
      </c>
      <c r="EM90" s="317" t="str">
        <f t="shared" si="304"/>
        <v>Procurement</v>
      </c>
      <c r="EN90" s="317" t="str">
        <f t="shared" si="304"/>
        <v>Procurement</v>
      </c>
      <c r="EO90" s="317" t="str">
        <f t="shared" si="304"/>
        <v>Procurement</v>
      </c>
      <c r="EP90" s="317" t="str">
        <f t="shared" si="304"/>
        <v>Procurement</v>
      </c>
      <c r="EQ90" s="317" t="str">
        <f t="shared" si="304"/>
        <v>Procurement</v>
      </c>
      <c r="ER90" s="317" t="str">
        <f t="shared" si="304"/>
        <v>Procurement</v>
      </c>
      <c r="ES90" s="317" t="str">
        <f t="shared" si="304"/>
        <v>Procurement</v>
      </c>
      <c r="ET90" s="317" t="str">
        <f t="shared" si="304"/>
        <v>Procurement</v>
      </c>
      <c r="EU90" s="317" t="str">
        <f t="shared" si="304"/>
        <v>Procurement</v>
      </c>
      <c r="EW90" s="465"/>
      <c r="EX90" s="191" t="str">
        <f>+$B90</f>
        <v>Procurement</v>
      </c>
      <c r="EY90" s="192"/>
      <c r="EZ90" s="141" t="str">
        <f>+$E90</f>
        <v>Completed to Week</v>
      </c>
      <c r="FA90" s="141">
        <f>+$F90</f>
        <v>42</v>
      </c>
      <c r="FB90" s="141"/>
      <c r="FC90" s="197" t="str">
        <f t="shared" ref="FC90:GH90" si="305">+$B90</f>
        <v>Procurement</v>
      </c>
      <c r="FD90" s="197" t="str">
        <f t="shared" si="305"/>
        <v>Procurement</v>
      </c>
      <c r="FE90" s="197" t="str">
        <f t="shared" si="305"/>
        <v>Procurement</v>
      </c>
      <c r="FF90" s="197" t="str">
        <f t="shared" si="305"/>
        <v>Procurement</v>
      </c>
      <c r="FG90" s="197" t="str">
        <f t="shared" si="305"/>
        <v>Procurement</v>
      </c>
      <c r="FH90" s="197" t="str">
        <f t="shared" si="305"/>
        <v>Procurement</v>
      </c>
      <c r="FI90" s="197" t="str">
        <f t="shared" si="305"/>
        <v>Procurement</v>
      </c>
      <c r="FJ90" s="197" t="str">
        <f t="shared" si="305"/>
        <v>Procurement</v>
      </c>
      <c r="FK90" s="197" t="str">
        <f t="shared" si="305"/>
        <v>Procurement</v>
      </c>
      <c r="FL90" s="197" t="str">
        <f t="shared" si="305"/>
        <v>Procurement</v>
      </c>
      <c r="FM90" s="197" t="str">
        <f t="shared" si="305"/>
        <v>Procurement</v>
      </c>
      <c r="FN90" s="197" t="str">
        <f t="shared" si="305"/>
        <v>Procurement</v>
      </c>
      <c r="FO90" s="197" t="str">
        <f t="shared" si="305"/>
        <v>Procurement</v>
      </c>
      <c r="FP90" s="197" t="str">
        <f t="shared" si="305"/>
        <v>Procurement</v>
      </c>
      <c r="FQ90" s="197" t="str">
        <f t="shared" si="305"/>
        <v>Procurement</v>
      </c>
      <c r="FR90" s="197" t="str">
        <f t="shared" si="305"/>
        <v>Procurement</v>
      </c>
      <c r="FS90" s="197" t="str">
        <f t="shared" si="305"/>
        <v>Procurement</v>
      </c>
      <c r="FT90" s="197" t="str">
        <f t="shared" si="305"/>
        <v>Procurement</v>
      </c>
      <c r="FU90" s="197" t="str">
        <f t="shared" si="305"/>
        <v>Procurement</v>
      </c>
      <c r="FV90" s="197" t="str">
        <f t="shared" si="305"/>
        <v>Procurement</v>
      </c>
      <c r="FW90" s="197" t="str">
        <f t="shared" si="305"/>
        <v>Procurement</v>
      </c>
      <c r="FX90" s="197" t="str">
        <f t="shared" si="305"/>
        <v>Procurement</v>
      </c>
      <c r="FY90" s="197" t="str">
        <f t="shared" si="305"/>
        <v>Procurement</v>
      </c>
      <c r="FZ90" s="197" t="str">
        <f t="shared" si="305"/>
        <v>Procurement</v>
      </c>
      <c r="GA90" s="197" t="str">
        <f t="shared" si="305"/>
        <v>Procurement</v>
      </c>
      <c r="GB90" s="197" t="str">
        <f t="shared" si="305"/>
        <v>Procurement</v>
      </c>
      <c r="GC90" s="197" t="str">
        <f t="shared" si="305"/>
        <v>Procurement</v>
      </c>
      <c r="GD90" s="197" t="str">
        <f t="shared" si="305"/>
        <v>Procurement</v>
      </c>
      <c r="GE90" s="197" t="str">
        <f t="shared" si="305"/>
        <v>Procurement</v>
      </c>
      <c r="GF90" s="197" t="str">
        <f t="shared" si="305"/>
        <v>Procurement</v>
      </c>
      <c r="GG90" s="197" t="str">
        <f t="shared" si="305"/>
        <v>Procurement</v>
      </c>
      <c r="GH90" s="197" t="str">
        <f t="shared" si="305"/>
        <v>Procurement</v>
      </c>
      <c r="GI90" s="197" t="str">
        <f t="shared" ref="GI90:HC90" si="306">+$B90</f>
        <v>Procurement</v>
      </c>
      <c r="GJ90" s="197" t="str">
        <f t="shared" si="306"/>
        <v>Procurement</v>
      </c>
      <c r="GK90" s="197" t="str">
        <f t="shared" si="306"/>
        <v>Procurement</v>
      </c>
      <c r="GL90" s="197" t="str">
        <f t="shared" si="306"/>
        <v>Procurement</v>
      </c>
      <c r="GM90" s="197" t="str">
        <f t="shared" si="306"/>
        <v>Procurement</v>
      </c>
      <c r="GN90" s="197" t="str">
        <f t="shared" si="306"/>
        <v>Procurement</v>
      </c>
      <c r="GO90" s="197" t="str">
        <f t="shared" si="306"/>
        <v>Procurement</v>
      </c>
      <c r="GP90" s="197" t="str">
        <f t="shared" si="306"/>
        <v>Procurement</v>
      </c>
      <c r="GQ90" s="197" t="str">
        <f t="shared" si="306"/>
        <v>Procurement</v>
      </c>
      <c r="GR90" s="197" t="str">
        <f t="shared" si="306"/>
        <v>Procurement</v>
      </c>
      <c r="GS90" s="197" t="str">
        <f t="shared" si="306"/>
        <v>Procurement</v>
      </c>
      <c r="GT90" s="197" t="str">
        <f t="shared" si="306"/>
        <v>Procurement</v>
      </c>
      <c r="GU90" s="197" t="str">
        <f t="shared" si="306"/>
        <v>Procurement</v>
      </c>
      <c r="GV90" s="197" t="str">
        <f t="shared" si="306"/>
        <v>Procurement</v>
      </c>
      <c r="GW90" s="197" t="str">
        <f t="shared" si="306"/>
        <v>Procurement</v>
      </c>
      <c r="GX90" s="197" t="str">
        <f t="shared" si="306"/>
        <v>Procurement</v>
      </c>
      <c r="GY90" s="197" t="str">
        <f t="shared" si="306"/>
        <v>Procurement</v>
      </c>
      <c r="GZ90" s="197" t="str">
        <f t="shared" si="306"/>
        <v>Procurement</v>
      </c>
      <c r="HA90" s="197" t="str">
        <f t="shared" si="306"/>
        <v>Procurement</v>
      </c>
      <c r="HB90" s="197" t="str">
        <f t="shared" si="306"/>
        <v>Procurement</v>
      </c>
      <c r="HC90" s="197" t="str">
        <f t="shared" si="306"/>
        <v>Procurement</v>
      </c>
      <c r="HE90" s="191" t="str">
        <f>+$B90</f>
        <v>Procurement</v>
      </c>
      <c r="HF90" s="192"/>
      <c r="HG90" s="141" t="str">
        <f>+$E90</f>
        <v>Completed to Week</v>
      </c>
      <c r="HH90" s="141">
        <f>+$F90</f>
        <v>42</v>
      </c>
      <c r="HI90" s="141" t="str">
        <f>+GJ90</f>
        <v>Procurement</v>
      </c>
      <c r="HJ90" s="197" t="str">
        <f t="shared" ref="HJ90:IO90" si="307">+$B90</f>
        <v>Procurement</v>
      </c>
      <c r="HK90" s="197" t="str">
        <f t="shared" si="307"/>
        <v>Procurement</v>
      </c>
      <c r="HL90" s="250" t="str">
        <f t="shared" si="307"/>
        <v>Procurement</v>
      </c>
      <c r="HM90" s="250" t="str">
        <f t="shared" si="307"/>
        <v>Procurement</v>
      </c>
      <c r="HN90" s="250" t="str">
        <f t="shared" si="307"/>
        <v>Procurement</v>
      </c>
      <c r="HO90" s="250" t="str">
        <f t="shared" si="307"/>
        <v>Procurement</v>
      </c>
      <c r="HP90" s="250" t="str">
        <f t="shared" si="307"/>
        <v>Procurement</v>
      </c>
      <c r="HQ90" s="250" t="str">
        <f t="shared" si="307"/>
        <v>Procurement</v>
      </c>
      <c r="HR90" s="250" t="str">
        <f t="shared" si="307"/>
        <v>Procurement</v>
      </c>
      <c r="HS90" s="250" t="str">
        <f t="shared" si="307"/>
        <v>Procurement</v>
      </c>
      <c r="HT90" s="250" t="str">
        <f t="shared" si="307"/>
        <v>Procurement</v>
      </c>
      <c r="HU90" s="250" t="str">
        <f t="shared" si="307"/>
        <v>Procurement</v>
      </c>
      <c r="HV90" s="250" t="str">
        <f t="shared" si="307"/>
        <v>Procurement</v>
      </c>
      <c r="HW90" s="250" t="str">
        <f t="shared" si="307"/>
        <v>Procurement</v>
      </c>
      <c r="HX90" s="250" t="str">
        <f t="shared" si="307"/>
        <v>Procurement</v>
      </c>
      <c r="HY90" s="250" t="str">
        <f t="shared" si="307"/>
        <v>Procurement</v>
      </c>
      <c r="HZ90" s="250" t="str">
        <f t="shared" si="307"/>
        <v>Procurement</v>
      </c>
      <c r="IA90" s="250" t="str">
        <f t="shared" si="307"/>
        <v>Procurement</v>
      </c>
      <c r="IB90" s="250" t="str">
        <f t="shared" si="307"/>
        <v>Procurement</v>
      </c>
      <c r="IC90" s="250" t="str">
        <f t="shared" si="307"/>
        <v>Procurement</v>
      </c>
      <c r="ID90" s="250" t="str">
        <f t="shared" si="307"/>
        <v>Procurement</v>
      </c>
      <c r="IE90" s="250" t="str">
        <f t="shared" si="307"/>
        <v>Procurement</v>
      </c>
      <c r="IF90" s="250" t="str">
        <f t="shared" si="307"/>
        <v>Procurement</v>
      </c>
      <c r="IG90" s="250" t="str">
        <f t="shared" si="307"/>
        <v>Procurement</v>
      </c>
      <c r="IH90" s="250" t="str">
        <f t="shared" si="307"/>
        <v>Procurement</v>
      </c>
      <c r="II90" s="250" t="str">
        <f t="shared" si="307"/>
        <v>Procurement</v>
      </c>
      <c r="IJ90" s="250" t="str">
        <f t="shared" si="307"/>
        <v>Procurement</v>
      </c>
      <c r="IK90" s="250" t="str">
        <f t="shared" si="307"/>
        <v>Procurement</v>
      </c>
      <c r="IL90" s="250" t="str">
        <f t="shared" si="307"/>
        <v>Procurement</v>
      </c>
      <c r="IM90" s="250" t="str">
        <f t="shared" si="307"/>
        <v>Procurement</v>
      </c>
      <c r="IN90" s="250" t="str">
        <f t="shared" si="307"/>
        <v>Procurement</v>
      </c>
      <c r="IO90" s="250" t="str">
        <f t="shared" si="307"/>
        <v>Procurement</v>
      </c>
      <c r="IP90" s="250" t="str">
        <f t="shared" ref="IP90:JJ90" si="308">+$B90</f>
        <v>Procurement</v>
      </c>
      <c r="IQ90" s="250" t="str">
        <f t="shared" si="308"/>
        <v>Procurement</v>
      </c>
      <c r="IR90" s="250" t="str">
        <f t="shared" si="308"/>
        <v>Procurement</v>
      </c>
      <c r="IS90" s="250" t="str">
        <f t="shared" si="308"/>
        <v>Procurement</v>
      </c>
      <c r="IT90" s="250" t="str">
        <f t="shared" si="308"/>
        <v>Procurement</v>
      </c>
      <c r="IU90" s="250" t="str">
        <f t="shared" si="308"/>
        <v>Procurement</v>
      </c>
      <c r="IV90" s="250" t="str">
        <f t="shared" si="308"/>
        <v>Procurement</v>
      </c>
      <c r="IW90" s="250" t="str">
        <f t="shared" si="308"/>
        <v>Procurement</v>
      </c>
      <c r="IX90" s="250" t="str">
        <f t="shared" si="308"/>
        <v>Procurement</v>
      </c>
      <c r="IY90" s="250" t="str">
        <f t="shared" si="308"/>
        <v>Procurement</v>
      </c>
      <c r="IZ90" s="250" t="str">
        <f t="shared" si="308"/>
        <v>Procurement</v>
      </c>
      <c r="JA90" s="250" t="str">
        <f t="shared" si="308"/>
        <v>Procurement</v>
      </c>
      <c r="JB90" s="250" t="str">
        <f t="shared" si="308"/>
        <v>Procurement</v>
      </c>
      <c r="JC90" s="250" t="str">
        <f t="shared" si="308"/>
        <v>Procurement</v>
      </c>
      <c r="JD90" s="250" t="str">
        <f t="shared" si="308"/>
        <v>Procurement</v>
      </c>
      <c r="JE90" s="250" t="str">
        <f t="shared" si="308"/>
        <v>Procurement</v>
      </c>
      <c r="JF90" s="250" t="str">
        <f t="shared" si="308"/>
        <v>Procurement</v>
      </c>
      <c r="JG90" s="250" t="str">
        <f t="shared" si="308"/>
        <v>Procurement</v>
      </c>
      <c r="JH90" s="250" t="str">
        <f t="shared" si="308"/>
        <v>Procurement</v>
      </c>
      <c r="JI90" s="250" t="str">
        <f t="shared" si="308"/>
        <v>Procurement</v>
      </c>
      <c r="JJ90" s="250" t="str">
        <f t="shared" si="308"/>
        <v>Procurement</v>
      </c>
      <c r="JM90" s="191" t="str">
        <f>+$B90</f>
        <v>Procurement</v>
      </c>
      <c r="JN90" s="192"/>
      <c r="JO90" s="141" t="str">
        <f>+$E90</f>
        <v>Completed to Week</v>
      </c>
      <c r="JP90" s="141">
        <f>+$F90</f>
        <v>42</v>
      </c>
      <c r="JQ90" s="141"/>
      <c r="JR90" s="250" t="str">
        <f t="shared" ref="JR90:KW90" si="309">+$B90</f>
        <v>Procurement</v>
      </c>
      <c r="JS90" s="250" t="str">
        <f t="shared" si="309"/>
        <v>Procurement</v>
      </c>
      <c r="JT90" s="250" t="str">
        <f t="shared" si="309"/>
        <v>Procurement</v>
      </c>
      <c r="JU90" s="250" t="str">
        <f t="shared" si="309"/>
        <v>Procurement</v>
      </c>
      <c r="JV90" s="250" t="str">
        <f t="shared" si="309"/>
        <v>Procurement</v>
      </c>
      <c r="JW90" s="250" t="str">
        <f t="shared" si="309"/>
        <v>Procurement</v>
      </c>
      <c r="JX90" s="250" t="str">
        <f t="shared" si="309"/>
        <v>Procurement</v>
      </c>
      <c r="JY90" s="250" t="str">
        <f t="shared" si="309"/>
        <v>Procurement</v>
      </c>
      <c r="JZ90" s="250" t="str">
        <f t="shared" si="309"/>
        <v>Procurement</v>
      </c>
      <c r="KA90" s="250" t="str">
        <f t="shared" si="309"/>
        <v>Procurement</v>
      </c>
      <c r="KB90" s="250" t="str">
        <f t="shared" si="309"/>
        <v>Procurement</v>
      </c>
      <c r="KC90" s="250" t="str">
        <f t="shared" si="309"/>
        <v>Procurement</v>
      </c>
      <c r="KD90" s="250" t="str">
        <f t="shared" si="309"/>
        <v>Procurement</v>
      </c>
      <c r="KE90" s="250" t="str">
        <f t="shared" si="309"/>
        <v>Procurement</v>
      </c>
      <c r="KF90" s="250" t="str">
        <f t="shared" si="309"/>
        <v>Procurement</v>
      </c>
      <c r="KG90" s="250" t="str">
        <f t="shared" si="309"/>
        <v>Procurement</v>
      </c>
      <c r="KH90" s="250" t="str">
        <f t="shared" si="309"/>
        <v>Procurement</v>
      </c>
      <c r="KI90" s="250" t="str">
        <f t="shared" si="309"/>
        <v>Procurement</v>
      </c>
      <c r="KJ90" s="250" t="str">
        <f t="shared" si="309"/>
        <v>Procurement</v>
      </c>
      <c r="KK90" s="250" t="str">
        <f t="shared" si="309"/>
        <v>Procurement</v>
      </c>
      <c r="KL90" s="250" t="str">
        <f t="shared" si="309"/>
        <v>Procurement</v>
      </c>
      <c r="KM90" s="250" t="str">
        <f t="shared" si="309"/>
        <v>Procurement</v>
      </c>
      <c r="KN90" s="250" t="str">
        <f t="shared" si="309"/>
        <v>Procurement</v>
      </c>
      <c r="KO90" s="250" t="str">
        <f t="shared" si="309"/>
        <v>Procurement</v>
      </c>
      <c r="KP90" s="250" t="str">
        <f t="shared" si="309"/>
        <v>Procurement</v>
      </c>
      <c r="KQ90" s="250" t="str">
        <f t="shared" si="309"/>
        <v>Procurement</v>
      </c>
      <c r="KR90" s="250" t="str">
        <f t="shared" si="309"/>
        <v>Procurement</v>
      </c>
      <c r="KS90" s="250" t="str">
        <f t="shared" si="309"/>
        <v>Procurement</v>
      </c>
      <c r="KT90" s="250" t="str">
        <f t="shared" si="309"/>
        <v>Procurement</v>
      </c>
      <c r="KU90" s="250" t="str">
        <f t="shared" si="309"/>
        <v>Procurement</v>
      </c>
      <c r="KV90" s="250" t="str">
        <f t="shared" si="309"/>
        <v>Procurement</v>
      </c>
      <c r="KW90" s="250" t="str">
        <f t="shared" si="309"/>
        <v>Procurement</v>
      </c>
      <c r="KX90" s="250" t="str">
        <f t="shared" ref="KX90:LR90" si="310">+$B90</f>
        <v>Procurement</v>
      </c>
      <c r="KY90" s="250" t="str">
        <f t="shared" si="310"/>
        <v>Procurement</v>
      </c>
      <c r="KZ90" s="250" t="str">
        <f t="shared" si="310"/>
        <v>Procurement</v>
      </c>
      <c r="LA90" s="250" t="str">
        <f t="shared" si="310"/>
        <v>Procurement</v>
      </c>
      <c r="LB90" s="250" t="str">
        <f t="shared" si="310"/>
        <v>Procurement</v>
      </c>
      <c r="LC90" s="250" t="str">
        <f t="shared" si="310"/>
        <v>Procurement</v>
      </c>
      <c r="LD90" s="250" t="str">
        <f t="shared" si="310"/>
        <v>Procurement</v>
      </c>
      <c r="LE90" s="250" t="str">
        <f t="shared" si="310"/>
        <v>Procurement</v>
      </c>
      <c r="LF90" s="250" t="str">
        <f t="shared" si="310"/>
        <v>Procurement</v>
      </c>
      <c r="LG90" s="250" t="str">
        <f t="shared" si="310"/>
        <v>Procurement</v>
      </c>
      <c r="LH90" s="250" t="str">
        <f t="shared" si="310"/>
        <v>Procurement</v>
      </c>
      <c r="LI90" s="250" t="str">
        <f t="shared" si="310"/>
        <v>Procurement</v>
      </c>
      <c r="LJ90" s="250" t="str">
        <f t="shared" si="310"/>
        <v>Procurement</v>
      </c>
      <c r="LK90" s="250" t="str">
        <f t="shared" si="310"/>
        <v>Procurement</v>
      </c>
      <c r="LL90" s="250" t="str">
        <f t="shared" si="310"/>
        <v>Procurement</v>
      </c>
      <c r="LM90" s="250" t="str">
        <f t="shared" si="310"/>
        <v>Procurement</v>
      </c>
      <c r="LN90" s="250" t="str">
        <f t="shared" si="310"/>
        <v>Procurement</v>
      </c>
      <c r="LO90" s="250" t="str">
        <f t="shared" si="310"/>
        <v>Procurement</v>
      </c>
      <c r="LP90" s="250" t="str">
        <f t="shared" si="310"/>
        <v>Procurement</v>
      </c>
      <c r="LQ90" s="250" t="str">
        <f t="shared" si="310"/>
        <v>Procurement</v>
      </c>
      <c r="LR90" s="250" t="str">
        <f t="shared" si="310"/>
        <v>Procurement</v>
      </c>
      <c r="LT90" s="191" t="str">
        <f>+$B90</f>
        <v>Procurement</v>
      </c>
      <c r="LU90" s="192"/>
      <c r="LV90" s="141" t="str">
        <f>+$E90</f>
        <v>Completed to Week</v>
      </c>
      <c r="LW90" s="141">
        <f>+$F90</f>
        <v>42</v>
      </c>
      <c r="LX90" s="141" t="str">
        <f>+KY90</f>
        <v>Procurement</v>
      </c>
      <c r="LY90" s="197" t="str">
        <f t="shared" ref="LY90:ND90" si="311">+$B90</f>
        <v>Procurement</v>
      </c>
      <c r="LZ90" s="197" t="str">
        <f t="shared" si="311"/>
        <v>Procurement</v>
      </c>
      <c r="MA90" s="197" t="str">
        <f t="shared" si="311"/>
        <v>Procurement</v>
      </c>
      <c r="MB90" s="197" t="str">
        <f t="shared" si="311"/>
        <v>Procurement</v>
      </c>
      <c r="MC90" s="197" t="str">
        <f t="shared" si="311"/>
        <v>Procurement</v>
      </c>
      <c r="MD90" s="197" t="str">
        <f t="shared" si="311"/>
        <v>Procurement</v>
      </c>
      <c r="ME90" s="197" t="str">
        <f t="shared" si="311"/>
        <v>Procurement</v>
      </c>
      <c r="MF90" s="197" t="str">
        <f t="shared" si="311"/>
        <v>Procurement</v>
      </c>
      <c r="MG90" s="197" t="str">
        <f t="shared" si="311"/>
        <v>Procurement</v>
      </c>
      <c r="MH90" s="197" t="str">
        <f t="shared" si="311"/>
        <v>Procurement</v>
      </c>
      <c r="MI90" s="197" t="str">
        <f t="shared" si="311"/>
        <v>Procurement</v>
      </c>
      <c r="MJ90" s="197" t="str">
        <f t="shared" si="311"/>
        <v>Procurement</v>
      </c>
      <c r="MK90" s="197" t="str">
        <f t="shared" si="311"/>
        <v>Procurement</v>
      </c>
      <c r="ML90" s="197" t="str">
        <f t="shared" si="311"/>
        <v>Procurement</v>
      </c>
      <c r="MM90" s="197" t="str">
        <f t="shared" si="311"/>
        <v>Procurement</v>
      </c>
      <c r="MN90" s="197" t="str">
        <f t="shared" si="311"/>
        <v>Procurement</v>
      </c>
      <c r="MO90" s="197" t="str">
        <f t="shared" si="311"/>
        <v>Procurement</v>
      </c>
      <c r="MP90" s="197" t="str">
        <f t="shared" si="311"/>
        <v>Procurement</v>
      </c>
      <c r="MQ90" s="197" t="str">
        <f t="shared" si="311"/>
        <v>Procurement</v>
      </c>
      <c r="MR90" s="197" t="str">
        <f t="shared" si="311"/>
        <v>Procurement</v>
      </c>
      <c r="MS90" s="197" t="str">
        <f t="shared" si="311"/>
        <v>Procurement</v>
      </c>
      <c r="MT90" s="197" t="str">
        <f t="shared" si="311"/>
        <v>Procurement</v>
      </c>
      <c r="MU90" s="197" t="str">
        <f t="shared" si="311"/>
        <v>Procurement</v>
      </c>
      <c r="MV90" s="197" t="str">
        <f t="shared" si="311"/>
        <v>Procurement</v>
      </c>
      <c r="MW90" s="197" t="str">
        <f t="shared" si="311"/>
        <v>Procurement</v>
      </c>
      <c r="MX90" s="197" t="str">
        <f t="shared" si="311"/>
        <v>Procurement</v>
      </c>
      <c r="MY90" s="197" t="str">
        <f t="shared" si="311"/>
        <v>Procurement</v>
      </c>
      <c r="MZ90" s="197" t="str">
        <f t="shared" si="311"/>
        <v>Procurement</v>
      </c>
      <c r="NA90" s="197" t="str">
        <f t="shared" si="311"/>
        <v>Procurement</v>
      </c>
      <c r="NB90" s="197" t="str">
        <f t="shared" si="311"/>
        <v>Procurement</v>
      </c>
      <c r="NC90" s="197" t="str">
        <f t="shared" si="311"/>
        <v>Procurement</v>
      </c>
      <c r="ND90" s="197" t="str">
        <f t="shared" si="311"/>
        <v>Procurement</v>
      </c>
      <c r="NE90" s="197" t="str">
        <f t="shared" ref="NE90:NY90" si="312">+$B90</f>
        <v>Procurement</v>
      </c>
      <c r="NF90" s="197" t="str">
        <f t="shared" si="312"/>
        <v>Procurement</v>
      </c>
      <c r="NG90" s="197" t="str">
        <f t="shared" si="312"/>
        <v>Procurement</v>
      </c>
      <c r="NH90" s="197" t="str">
        <f t="shared" si="312"/>
        <v>Procurement</v>
      </c>
      <c r="NI90" s="197" t="str">
        <f t="shared" si="312"/>
        <v>Procurement</v>
      </c>
      <c r="NJ90" s="197" t="str">
        <f t="shared" si="312"/>
        <v>Procurement</v>
      </c>
      <c r="NK90" s="197" t="str">
        <f t="shared" si="312"/>
        <v>Procurement</v>
      </c>
      <c r="NL90" s="197" t="str">
        <f t="shared" si="312"/>
        <v>Procurement</v>
      </c>
      <c r="NM90" s="197" t="str">
        <f t="shared" si="312"/>
        <v>Procurement</v>
      </c>
      <c r="NN90" s="197" t="str">
        <f t="shared" si="312"/>
        <v>Procurement</v>
      </c>
      <c r="NO90" s="197" t="str">
        <f t="shared" si="312"/>
        <v>Procurement</v>
      </c>
      <c r="NP90" s="197" t="str">
        <f t="shared" si="312"/>
        <v>Procurement</v>
      </c>
      <c r="NQ90" s="197" t="str">
        <f t="shared" si="312"/>
        <v>Procurement</v>
      </c>
      <c r="NR90" s="197" t="str">
        <f t="shared" si="312"/>
        <v>Procurement</v>
      </c>
      <c r="NS90" s="197" t="str">
        <f t="shared" si="312"/>
        <v>Procurement</v>
      </c>
      <c r="NT90" s="197" t="str">
        <f t="shared" si="312"/>
        <v>Procurement</v>
      </c>
      <c r="NU90" s="197" t="str">
        <f t="shared" si="312"/>
        <v>Procurement</v>
      </c>
      <c r="NV90" s="197" t="str">
        <f t="shared" si="312"/>
        <v>Procurement</v>
      </c>
      <c r="NW90" s="197" t="str">
        <f t="shared" si="312"/>
        <v>Procurement</v>
      </c>
      <c r="NX90" s="197" t="str">
        <f t="shared" si="312"/>
        <v>Procurement</v>
      </c>
      <c r="NY90" s="197" t="str">
        <f t="shared" si="312"/>
        <v>Procurement</v>
      </c>
    </row>
    <row r="91" spans="1:389" x14ac:dyDescent="0.3">
      <c r="A91" t="str">
        <f>$B$90&amp;"-"&amp;C91</f>
        <v>Procurement-KPI P1</v>
      </c>
      <c r="B91" s="917" t="str">
        <f>+'KPI Stats'!B90</f>
        <v>Procurement</v>
      </c>
      <c r="C91" s="133" t="str">
        <f>+'KPI Stats'!C90</f>
        <v>KPI P1</v>
      </c>
      <c r="D91" s="142" t="str">
        <f>+'KPI Stats'!D90</f>
        <v>Productivity</v>
      </c>
      <c r="E91" s="142" t="str">
        <f>+'KPI Stats'!E90</f>
        <v>Raw Material Inventory Value Stock Turn</v>
      </c>
      <c r="F91" s="143" t="str">
        <f>+'KPI Stats'!F90</f>
        <v>Stock Turns</v>
      </c>
      <c r="G91" s="177" t="str">
        <f>+'KPI Stats'!G90</f>
        <v>Under</v>
      </c>
      <c r="J91" s="159" t="str">
        <f>_xlfn.XLOOKUP(J$7,$AM$7:$CM$7,$AM91:$CM91,,FALSE)</f>
        <v>R</v>
      </c>
      <c r="K91" s="262">
        <f>_xlfn.XLOOKUP(K$7,$FC$7:$HC$7,$FC91:$HC91,,FALSE)</f>
        <v>3.7</v>
      </c>
      <c r="L91" s="277">
        <f>_xlfn.XLOOKUP(L$7,$HJ$7:$JJ$7,$HJ91:$JJ91,,FALSE)</f>
        <v>4</v>
      </c>
      <c r="M91" s="275">
        <f>_xlfn.XLOOKUP(M$7,$CU$7:$EU$7,$CU91:$EU91,,FALSE)</f>
        <v>0.92500000000000004</v>
      </c>
      <c r="P91" s="159" t="str">
        <f>_xlfn.XLOOKUP(P$7,$AM$7:$CM$7,$AM91:$CM91,,FALSE)</f>
        <v>R</v>
      </c>
      <c r="Q91" s="262">
        <f t="shared" ref="Q91:R94" si="313">_xlfn.XLOOKUP(Q$7,$FC$7:$HC$7,$FC91:$HC91,FALSE)</f>
        <v>3.7</v>
      </c>
      <c r="R91" s="277">
        <f t="shared" si="313"/>
        <v>3.7</v>
      </c>
      <c r="S91" s="262">
        <f t="shared" ref="S91:T94" si="314">_xlfn.XLOOKUP(S$7,$CU$7:$EU$7,$CU91:$EU91,,FALSE)</f>
        <v>0.92500000000000004</v>
      </c>
      <c r="T91" s="277">
        <f t="shared" si="314"/>
        <v>0.92500000000000004</v>
      </c>
      <c r="U91" s="294" t="str">
        <f>IF(F90&lt;$R$2,"Not Complete",IF(Q91=R91,"Same −",IF($G91="Over",IF(Q91&lt;R91,"Better ↑","Worse ↓"),IF($G91="Under",IF(Q91&gt;R91,"Better ↑","Worse ↓"),"err"))))</f>
        <v>Same −</v>
      </c>
      <c r="X91" s="159" t="str">
        <f t="shared" ref="X91:X94" si="315">IF(Y91="","",IF(Y91="Blank","",IF(AND(G91="above zero",Y91&gt;0),"R",IF(AA91&gt;1,"G",IF(AA91&gt;0.95,"A","R")))))</f>
        <v>G</v>
      </c>
      <c r="Y91" s="161">
        <f>_xlfn.XLOOKUP(Y$7,$JR$7:$LR$7,$JR91:$LR91,FALSE)</f>
        <v>3.6722580645161287</v>
      </c>
      <c r="Z91" s="161">
        <f>_xlfn.XLOOKUP(Z$7,$LY$7:$NY$7,$LY91:$NY91,FALSE)</f>
        <v>3.024390243902439</v>
      </c>
      <c r="AA91" s="162">
        <f>IF(G91="Undefined","",IF(G91="under",Y91/Z91,IF(G91="over",Z91/Y91,"err")))</f>
        <v>1.2142143600416231</v>
      </c>
      <c r="AB91" s="294" t="str">
        <f>IF(F90&lt;$R$2,"TBC",IF(Y91=Z91,"Same −",IF($G91="Over",IF(Z91&lt;Y91,"Better ↑ ","Worse ↓ "),IF($G91="Under",IF(Y91&gt;Z91,"Better ↑ ","Worse ↓ "),"err"))))</f>
        <v xml:space="preserve">Better ↑ </v>
      </c>
      <c r="AC91" s="159" t="str">
        <f>IF(AND(G91="above adero",AD91&gt;0),"R",IF(AF91&gt;1,"G",IF(AF91&gt;0.95,"A","R")))</f>
        <v>G</v>
      </c>
      <c r="AD91" s="161">
        <f>_xlfn.XLOOKUP(AD$7,$JR$7:$LR$7,$JR91:$LR91,FALSE)</f>
        <v>3.6713333333333327</v>
      </c>
      <c r="AE91" s="161">
        <f>_xlfn.XLOOKUP(AE$7,$LY$7:$NY$7,$LY91:$NY91,FALSE)</f>
        <v>3</v>
      </c>
      <c r="AF91" s="162">
        <f t="shared" ref="AF91:AF93" si="316">IF(G91="Undefined","",IF(G91="under",AD91/AE91,IF(G91="over",AE91/AD91,"err")))</f>
        <v>1.2237777777777776</v>
      </c>
      <c r="AH91" s="465" t="str">
        <f>+$A91</f>
        <v>Procurement-KPI P1</v>
      </c>
      <c r="AI91" s="133" t="str">
        <f t="shared" ref="AI91:AJ94" si="317">+C91</f>
        <v>KPI P1</v>
      </c>
      <c r="AJ91" s="142" t="str">
        <f t="shared" si="317"/>
        <v>Productivity</v>
      </c>
      <c r="AK91" s="142" t="str">
        <f t="shared" si="300"/>
        <v>Raw Material Inventory Value Stock Turn</v>
      </c>
      <c r="AL91" s="143" t="str">
        <f t="shared" si="300"/>
        <v>Stock Turns</v>
      </c>
      <c r="AM91" s="159" t="str">
        <f>IF(AM$7&gt;$D$3,"",_xlfn.XLOOKUP(AM$7,Procurement!$M$6:$BM$6,Procurement!$M$10:$BM$10))</f>
        <v>Blank</v>
      </c>
      <c r="AN91" s="198" t="str">
        <f>IF(AN$7&gt;$D$3,"",_xlfn.XLOOKUP(AN$7,Procurement!$M$6:$BM$6,Procurement!$M$10:$BM$10))</f>
        <v>TBC</v>
      </c>
      <c r="AO91" s="159" t="str">
        <f>IF(AO$7&gt;$D$3,"",_xlfn.XLOOKUP(AO$7,Procurement!$M$6:$BM$6,Procurement!$M$10:$BM$10))</f>
        <v>TBC</v>
      </c>
      <c r="AP91" s="159" t="str">
        <f>IF(AP$7&gt;$D$3,"",_xlfn.XLOOKUP(AP$7,Procurement!$M$6:$BM$6,Procurement!$M$10:$BM$10))</f>
        <v>TBC</v>
      </c>
      <c r="AQ91" s="159" t="str">
        <f>IF(AQ$7&gt;$D$3,"",_xlfn.XLOOKUP(AQ$7,Procurement!$M$6:$BM$6,Procurement!$M$10:$BM$10))</f>
        <v>TBC</v>
      </c>
      <c r="AR91" s="159" t="str">
        <f>IF(AR$7&gt;$D$3,"",_xlfn.XLOOKUP(AR$7,Procurement!$M$6:$BM$6,Procurement!$M$10:$BM$10))</f>
        <v>TBC</v>
      </c>
      <c r="AS91" s="159" t="str">
        <f>IF(AS$7&gt;$D$3,"",_xlfn.XLOOKUP(AS$7,Procurement!$M$6:$BM$6,Procurement!$M$10:$BM$10))</f>
        <v>TBC</v>
      </c>
      <c r="AT91" s="159" t="str">
        <f>IF(AT$7&gt;$D$3,"",_xlfn.XLOOKUP(AT$7,Procurement!$M$6:$BM$6,Procurement!$M$10:$BM$10))</f>
        <v>TBC</v>
      </c>
      <c r="AU91" s="159" t="str">
        <f>IF(AU$7&gt;$D$3,"",_xlfn.XLOOKUP(AU$7,Procurement!$M$6:$BM$6,Procurement!$M$10:$BM$10))</f>
        <v>TBC</v>
      </c>
      <c r="AV91" s="159" t="str">
        <f>IF(AV$7&gt;$D$3,"",_xlfn.XLOOKUP(AV$7,Procurement!$M$6:$BM$6,Procurement!$M$10:$BM$10))</f>
        <v>TBC</v>
      </c>
      <c r="AW91" s="159" t="str">
        <f>IF(AW$7&gt;$D$3,"",_xlfn.XLOOKUP(AW$7,Procurement!$M$6:$BM$6,Procurement!$M$10:$BM$10))</f>
        <v>TBC</v>
      </c>
      <c r="AX91" s="159" t="str">
        <f>IF(AX$7&gt;$D$3,"",_xlfn.XLOOKUP(AX$7,Procurement!$M$6:$BM$6,Procurement!$M$10:$BM$10))</f>
        <v>G</v>
      </c>
      <c r="AY91" s="159" t="str">
        <f>IF(AY$7&gt;$D$3,"",_xlfn.XLOOKUP(AY$7,Procurement!$M$6:$BM$6,Procurement!$M$10:$BM$10))</f>
        <v>G</v>
      </c>
      <c r="AZ91" s="159" t="str">
        <f>IF(AZ$7&gt;$D$3,"",_xlfn.XLOOKUP(AZ$7,Procurement!$M$6:$BM$6,Procurement!$M$10:$BM$10))</f>
        <v>G</v>
      </c>
      <c r="BA91" s="159" t="str">
        <f>IF(BA$7&gt;$D$3,"",_xlfn.XLOOKUP(BA$7,Procurement!$M$6:$BM$6,Procurement!$M$10:$BM$10))</f>
        <v>R</v>
      </c>
      <c r="BB91" s="159" t="str">
        <f>IF(BB$7&gt;$D$3,"",_xlfn.XLOOKUP(BB$7,Procurement!$M$6:$BM$6,Procurement!$M$10:$BM$10))</f>
        <v>R</v>
      </c>
      <c r="BC91" s="159" t="str">
        <f>IF(BC$7&gt;$D$3,"",_xlfn.XLOOKUP(BC$7,Procurement!$M$6:$BM$6,Procurement!$M$10:$BM$10))</f>
        <v>R</v>
      </c>
      <c r="BD91" s="159" t="str">
        <f>IF(BD$7&gt;$D$3,"",_xlfn.XLOOKUP(BD$7,Procurement!$M$6:$BM$6,Procurement!$M$10:$BM$10))</f>
        <v>A</v>
      </c>
      <c r="BE91" s="159" t="str">
        <f>IF(BE$7&gt;$D$3,"",_xlfn.XLOOKUP(BE$7,Procurement!$M$6:$BM$6,Procurement!$M$10:$BM$10))</f>
        <v>A</v>
      </c>
      <c r="BF91" s="159" t="str">
        <f>IF(BF$7&gt;$D$3,"",_xlfn.XLOOKUP(BF$7,Procurement!$M$6:$BM$6,Procurement!$M$10:$BM$10))</f>
        <v>A</v>
      </c>
      <c r="BG91" s="159" t="str">
        <f>IF(BG$7&gt;$D$3,"",_xlfn.XLOOKUP(BG$7,Procurement!$M$6:$BM$6,Procurement!$M$10:$BM$10))</f>
        <v>G</v>
      </c>
      <c r="BH91" s="159" t="str">
        <f>IF(BH$7&gt;$D$3,"",_xlfn.XLOOKUP(BH$7,Procurement!$M$6:$BM$6,Procurement!$M$10:$BM$10))</f>
        <v>R</v>
      </c>
      <c r="BI91" s="159" t="str">
        <f>IF(BI$7&gt;$D$3,"",_xlfn.XLOOKUP(BI$7,Procurement!$M$6:$BM$6,Procurement!$M$10:$BM$10))</f>
        <v>R</v>
      </c>
      <c r="BJ91" s="159" t="str">
        <f>IF(BJ$7&gt;$D$3,"",_xlfn.XLOOKUP(BJ$7,Procurement!$M$6:$BM$6,Procurement!$M$10:$BM$10))</f>
        <v>R</v>
      </c>
      <c r="BK91" s="159" t="str">
        <f>IF(BK$7&gt;$D$3,"",_xlfn.XLOOKUP(BK$7,Procurement!$M$6:$BM$6,Procurement!$M$10:$BM$10))</f>
        <v>R</v>
      </c>
      <c r="BL91" s="159" t="str">
        <f>IF(BL$7&gt;$D$3,"",_xlfn.XLOOKUP(BL$7,Procurement!$M$6:$BM$6,Procurement!$M$10:$BM$10))</f>
        <v>R</v>
      </c>
      <c r="BM91" s="159" t="str">
        <f>IF(BM$7&gt;$D$3,"",_xlfn.XLOOKUP(BM$7,Procurement!$M$6:$BM$6,Procurement!$M$10:$BM$10))</f>
        <v>R</v>
      </c>
      <c r="BN91" s="159" t="str">
        <f>IF(BN$7&gt;$D$3,"",_xlfn.XLOOKUP(BN$7,Procurement!$M$6:$BM$6,Procurement!$M$10:$BM$10))</f>
        <v>R</v>
      </c>
      <c r="BO91" s="159" t="str">
        <f>IF(BO$7&gt;$D$3,"",_xlfn.XLOOKUP(BO$7,Procurement!$M$6:$BM$6,Procurement!$M$10:$BM$10))</f>
        <v>R</v>
      </c>
      <c r="BP91" s="159" t="str">
        <f>IF(BP$7&gt;$D$3,"",_xlfn.XLOOKUP(BP$7,Procurement!$M$6:$BM$6,Procurement!$M$10:$BM$10))</f>
        <v>R</v>
      </c>
      <c r="BQ91" s="159" t="str">
        <f>IF(BQ$7&gt;$D$3,"",_xlfn.XLOOKUP(BQ$7,Procurement!$M$6:$BM$6,Procurement!$M$10:$BM$10))</f>
        <v>R</v>
      </c>
      <c r="BR91" s="159" t="str">
        <f>IF(BR$7&gt;$D$3,"",_xlfn.XLOOKUP(BR$7,Procurement!$M$6:$BM$6,Procurement!$M$10:$BM$10))</f>
        <v>R</v>
      </c>
      <c r="BS91" s="159" t="str">
        <f>IF(BS$7&gt;$D$3,"",_xlfn.XLOOKUP(BS$7,Procurement!$M$6:$BM$6,Procurement!$M$10:$BM$10))</f>
        <v>R</v>
      </c>
      <c r="BT91" s="159" t="str">
        <f>IF(BT$7&gt;$D$3,"",_xlfn.XLOOKUP(BT$7,Procurement!$M$6:$BM$6,Procurement!$M$10:$BM$10))</f>
        <v>R</v>
      </c>
      <c r="BU91" s="159" t="str">
        <f>IF(BU$7&gt;$D$3,"",_xlfn.XLOOKUP(BU$7,Procurement!$M$6:$BM$6,Procurement!$M$10:$BM$10))</f>
        <v>R</v>
      </c>
      <c r="BV91" s="159" t="str">
        <f>IF(BV$7&gt;$D$3,"",_xlfn.XLOOKUP(BV$7,Procurement!$M$6:$BM$6,Procurement!$M$10:$BM$10))</f>
        <v>R</v>
      </c>
      <c r="BW91" s="159" t="str">
        <f>IF(BW$7&gt;$D$3,"",_xlfn.XLOOKUP(BW$7,Procurement!$M$6:$BM$6,Procurement!$M$10:$BM$10))</f>
        <v>R</v>
      </c>
      <c r="BX91" s="159" t="str">
        <f>IF(BX$7&gt;$D$3,"",_xlfn.XLOOKUP(BX$7,Procurement!$M$6:$BM$6,Procurement!$M$10:$BM$10))</f>
        <v>R</v>
      </c>
      <c r="BY91" s="159" t="str">
        <f>IF(BY$7&gt;$D$3,"",_xlfn.XLOOKUP(BY$7,Procurement!$M$6:$BM$6,Procurement!$M$10:$BM$10))</f>
        <v>R</v>
      </c>
      <c r="BZ91" s="159" t="str">
        <f>IF(BZ$7&gt;$D$3,"",_xlfn.XLOOKUP(BZ$7,Procurement!$M$6:$BM$6,Procurement!$M$10:$BM$10))</f>
        <v>R</v>
      </c>
      <c r="CA91" s="159" t="str">
        <f>IF(CA$7&gt;$D$3,"",_xlfn.XLOOKUP(CA$7,Procurement!$M$6:$BM$6,Procurement!$M$10:$BM$10))</f>
        <v>R</v>
      </c>
      <c r="CB91" s="159" t="str">
        <f>IF(CB$7&gt;$D$3,"",_xlfn.XLOOKUP(CB$7,Procurement!$M$6:$BM$6,Procurement!$M$10:$BM$10))</f>
        <v>R</v>
      </c>
      <c r="CC91" s="159" t="str">
        <f>IF(CC$7&gt;$D$3,"",_xlfn.XLOOKUP(CC$7,Procurement!$M$6:$BM$6,Procurement!$M$10:$BM$10))</f>
        <v/>
      </c>
      <c r="CD91" s="159" t="str">
        <f>IF(CD$7&gt;$D$3,"",_xlfn.XLOOKUP(CD$7,Procurement!$M$6:$BM$6,Procurement!$M$10:$BM$10))</f>
        <v/>
      </c>
      <c r="CE91" s="159" t="str">
        <f>IF(CE$7&gt;$D$3,"",_xlfn.XLOOKUP(CE$7,Procurement!$M$6:$BM$6,Procurement!$M$10:$BM$10))</f>
        <v/>
      </c>
      <c r="CF91" s="159" t="str">
        <f>IF(CF$7&gt;$D$3,"",_xlfn.XLOOKUP(CF$7,Procurement!$M$6:$BM$6,Procurement!$M$10:$BM$10))</f>
        <v/>
      </c>
      <c r="CG91" s="159" t="str">
        <f>IF(CG$7&gt;$D$3,"",_xlfn.XLOOKUP(CG$7,Procurement!$M$6:$BM$6,Procurement!$M$10:$BM$10))</f>
        <v/>
      </c>
      <c r="CH91" s="159" t="str">
        <f>IF(CH$7&gt;$D$3,"",_xlfn.XLOOKUP(CH$7,Procurement!$M$6:$BM$6,Procurement!$M$10:$BM$10))</f>
        <v/>
      </c>
      <c r="CI91" s="159" t="str">
        <f>IF(CI$7&gt;$D$3,"",_xlfn.XLOOKUP(CI$7,Procurement!$M$6:$BM$6,Procurement!$M$10:$BM$10))</f>
        <v/>
      </c>
      <c r="CJ91" s="159" t="str">
        <f>IF(CJ$7&gt;$D$3,"",_xlfn.XLOOKUP(CJ$7,Procurement!$M$6:$BM$6,Procurement!$M$10:$BM$10))</f>
        <v/>
      </c>
      <c r="CK91" s="159" t="str">
        <f>IF(CK$7&gt;$D$3,"",_xlfn.XLOOKUP(CK$7,Procurement!$M$6:$BM$6,Procurement!$M$10:$BM$10))</f>
        <v/>
      </c>
      <c r="CL91" s="159" t="str">
        <f>IF(CL$7&gt;$D$3,"",_xlfn.XLOOKUP(CL$7,Procurement!$M$6:$BM$6,Procurement!$M$10:$BM$10))</f>
        <v/>
      </c>
      <c r="CM91" s="159" t="str">
        <f>IF(CM$7&gt;$D$3,"",_xlfn.XLOOKUP(CM$7,Procurement!$M$6:$BM$6,Procurement!$M$10:$BM$10))</f>
        <v/>
      </c>
      <c r="CO91" s="465" t="str">
        <f>+$A91</f>
        <v>Procurement-KPI P1</v>
      </c>
      <c r="CP91" s="133" t="str">
        <f t="shared" ref="CP91:CQ94" si="318">+C91</f>
        <v>KPI P1</v>
      </c>
      <c r="CQ91" s="142" t="str">
        <f t="shared" si="318"/>
        <v>Productivity</v>
      </c>
      <c r="CR91" s="142" t="str">
        <f t="shared" si="303"/>
        <v>Raw Material Inventory Value Stock Turn</v>
      </c>
      <c r="CS91" s="143" t="str">
        <f t="shared" si="303"/>
        <v>Stock Turns</v>
      </c>
      <c r="CT91" s="206" t="s">
        <v>246</v>
      </c>
      <c r="CU91" s="624" t="str">
        <f>IF(CU$7&gt;$D$3,"",_xlfn.XLOOKUP(CU$7,Procurement!$M$6:$BM$6,Procurement!$M$10:$BM$10))</f>
        <v>Blank</v>
      </c>
      <c r="CV91" s="323" t="str">
        <f>IF(CV$7&gt;$D$3,"",IF(AN91="Missed","Missed",IF(AN91="OD","OD",IF(AN91="TBC","TBC",IF(AN91="Undefined","Undefined",_xlfn.XLOOKUP(CV$7,Procurement!$M$6:$BM$6,Procurement!$M$9:$BM$9)/_xlfn.XLOOKUP(CV$7,Procurement!$M$6:$BM$6,Procurement!$M$8:$BM$8))))))</f>
        <v>TBC</v>
      </c>
      <c r="CW91" s="315" t="str">
        <f>IF(CW$7&gt;$D$3,"",IF(AO91="Missed","Missed",IF(AO91="OD","OD",IF(AO91="TBC","TBC",IF(AO91="Undefined","Undefined",_xlfn.XLOOKUP(CW$7,Procurement!$M$6:$BM$6,Procurement!$M$9:$BM$9)/_xlfn.XLOOKUP(CW$7,Procurement!$M$6:$BM$6,Procurement!$M$8:$BM$8))))))</f>
        <v>TBC</v>
      </c>
      <c r="CX91" s="315" t="str">
        <f>IF(CX$7&gt;$D$3,"",IF(AP91="Missed","Missed",IF(AP91="OD","OD",IF(AP91="TBC","TBC",IF(AP91="Undefined","Undefined",_xlfn.XLOOKUP(CX$7,Procurement!$M$6:$BM$6,Procurement!$M$9:$BM$9)/_xlfn.XLOOKUP(CX$7,Procurement!$M$6:$BM$6,Procurement!$M$8:$BM$8))))))</f>
        <v>TBC</v>
      </c>
      <c r="CY91" s="315" t="str">
        <f>IF(CY$7&gt;$D$3,"",IF(AQ91="Missed","Missed",IF(AQ91="OD","OD",IF(AQ91="TBC","TBC",IF(AQ91="Undefined","Undefined",_xlfn.XLOOKUP(CY$7,Procurement!$M$6:$BM$6,Procurement!$M$9:$BM$9)/_xlfn.XLOOKUP(CY$7,Procurement!$M$6:$BM$6,Procurement!$M$8:$BM$8))))))</f>
        <v>TBC</v>
      </c>
      <c r="CZ91" s="315" t="str">
        <f>IF(CZ$7&gt;$D$3,"",IF(AR91="Missed","Missed",IF(AR91="OD","OD",IF(AR91="TBC","TBC",IF(AR91="Undefined","Undefined",_xlfn.XLOOKUP(CZ$7,Procurement!$M$6:$BM$6,Procurement!$M$9:$BM$9)/_xlfn.XLOOKUP(CZ$7,Procurement!$M$6:$BM$6,Procurement!$M$8:$BM$8))))))</f>
        <v>TBC</v>
      </c>
      <c r="DA91" s="315" t="str">
        <f>IF(DA$7&gt;$D$3,"",IF(AS91="Missed","Missed",IF(AS91="OD","OD",IF(AS91="TBC","TBC",IF(AS91="Undefined","Undefined",_xlfn.XLOOKUP(DA$7,Procurement!$M$6:$BM$6,Procurement!$M$9:$BM$9)/_xlfn.XLOOKUP(DA$7,Procurement!$M$6:$BM$6,Procurement!$M$8:$BM$8))))))</f>
        <v>TBC</v>
      </c>
      <c r="DB91" s="315" t="str">
        <f>IF(DB$7&gt;$D$3,"",IF(AT91="Missed","Missed",IF(AT91="OD","OD",IF(AT91="TBC","TBC",IF(AT91="Undefined","Undefined",_xlfn.XLOOKUP(DB$7,Procurement!$M$6:$BM$6,Procurement!$M$9:$BM$9)/_xlfn.XLOOKUP(DB$7,Procurement!$M$6:$BM$6,Procurement!$M$8:$BM$8))))))</f>
        <v>TBC</v>
      </c>
      <c r="DC91" s="315" t="str">
        <f>IF(DC$7&gt;$D$3,"",IF(AU91="Missed","Missed",IF(AU91="OD","OD",IF(AU91="TBC","TBC",IF(AU91="Undefined","Undefined",_xlfn.XLOOKUP(DC$7,Procurement!$M$6:$BM$6,Procurement!$M$9:$BM$9)/_xlfn.XLOOKUP(DC$7,Procurement!$M$6:$BM$6,Procurement!$M$8:$BM$8))))))</f>
        <v>TBC</v>
      </c>
      <c r="DD91" s="315" t="str">
        <f>IF(DD$7&gt;$D$3,"",IF(AV91="Missed","Missed",IF(AV91="OD","OD",IF(AV91="TBC","TBC",IF(AV91="Undefined","Undefined",_xlfn.XLOOKUP(DD$7,Procurement!$M$6:$BM$6,Procurement!$M$9:$BM$9)/_xlfn.XLOOKUP(DD$7,Procurement!$M$6:$BM$6,Procurement!$M$8:$BM$8))))))</f>
        <v>TBC</v>
      </c>
      <c r="DE91" s="315" t="str">
        <f>IF(DE$7&gt;$D$3,"",IF(AW91="Missed","Missed",IF(AW91="OD","OD",IF(AW91="TBC","TBC",IF(AW91="Undefined","Undefined",_xlfn.XLOOKUP(DE$7,Procurement!$M$6:$BM$6,Procurement!$M$9:$BM$9)/_xlfn.XLOOKUP(DE$7,Procurement!$M$6:$BM$6,Procurement!$M$8:$BM$8))))))</f>
        <v>TBC</v>
      </c>
      <c r="DF91" s="315">
        <f>IF(DF$7&gt;$D$3,"",IF(AX91="Missed","Missed",IF(AX91="OD","OD",IF(AX91="TBC","TBC",IF(AX91="Undefined","Undefined",_xlfn.XLOOKUP(DF$7,Procurement!$M$6:$BM$6,Procurement!$M$9:$BM$9)/_xlfn.XLOOKUP(DF$7,Procurement!$M$6:$BM$6,Procurement!$M$8:$BM$8))))))</f>
        <v>1</v>
      </c>
      <c r="DG91" s="315">
        <f>IF(DG$7&gt;$D$3,"",IF(AY91="Missed","Missed",IF(AY91="OD","OD",IF(AY91="TBC","TBC",IF(AY91="Undefined","Undefined",_xlfn.XLOOKUP(DG$7,Procurement!$M$6:$BM$6,Procurement!$M$9:$BM$9)/_xlfn.XLOOKUP(DG$7,Procurement!$M$6:$BM$6,Procurement!$M$8:$BM$8))))))</f>
        <v>1</v>
      </c>
      <c r="DH91" s="315">
        <f>IF(DH$7&gt;$D$3,"",IF(AZ91="Missed","Missed",IF(AZ91="OD","OD",IF(AZ91="TBC","TBC",IF(AZ91="Undefined","Undefined",_xlfn.XLOOKUP(DH$7,Procurement!$M$6:$BM$6,Procurement!$M$9:$BM$9)/_xlfn.XLOOKUP(DH$7,Procurement!$M$6:$BM$6,Procurement!$M$8:$BM$8))))))</f>
        <v>1.01</v>
      </c>
      <c r="DI91" s="315">
        <f>IF(DI$7&gt;$D$3,"",IF(BA91="Missed","Missed",IF(BA91="OD","OD",IF(BA91="TBC","TBC",IF(BA91="Undefined","Undefined",_xlfn.XLOOKUP(DI$7,Procurement!$M$6:$BM$6,Procurement!$M$9:$BM$9)/_xlfn.XLOOKUP(DI$7,Procurement!$M$6:$BM$6,Procurement!$M$8:$BM$8))))))</f>
        <v>0.875</v>
      </c>
      <c r="DJ91" s="315">
        <f>IF(DJ$7&gt;$D$3,"",IF(BB91="Missed","Missed",IF(BB91="OD","OD",IF(BB91="TBC","TBC",IF(BB91="Undefined","Undefined",_xlfn.XLOOKUP(DJ$7,Procurement!$M$6:$BM$6,Procurement!$M$9:$BM$9)/_xlfn.XLOOKUP(DJ$7,Procurement!$M$6:$BM$6,Procurement!$M$8:$BM$8))))))</f>
        <v>0.875</v>
      </c>
      <c r="DK91" s="315">
        <f>IF(DK$7&gt;$D$3,"",IF(BC91="Missed","Missed",IF(BC91="OD","OD",IF(BC91="TBC","TBC",IF(BC91="Undefined","Undefined",_xlfn.XLOOKUP(DK$7,Procurement!$M$6:$BM$6,Procurement!$M$9:$BM$9)/_xlfn.XLOOKUP(DK$7,Procurement!$M$6:$BM$6,Procurement!$M$8:$BM$8))))))</f>
        <v>0.875</v>
      </c>
      <c r="DL91" s="315">
        <f>IF(DL$7&gt;$D$3,"",IF(BD91="Missed","Missed",IF(BD91="OD","OD",IF(BD91="TBC","TBC",IF(BD91="Undefined","Undefined",_xlfn.XLOOKUP(DL$7,Procurement!$M$6:$BM$6,Procurement!$M$9:$BM$9)/_xlfn.XLOOKUP(DL$7,Procurement!$M$6:$BM$6,Procurement!$M$8:$BM$8))))))</f>
        <v>0.95</v>
      </c>
      <c r="DM91" s="315">
        <f>IF(DM$7&gt;$D$3,"",IF(BE91="Missed","Missed",IF(BE91="OD","OD",IF(BE91="TBC","TBC",IF(BE91="Undefined","Undefined",_xlfn.XLOOKUP(DM$7,Procurement!$M$6:$BM$6,Procurement!$M$9:$BM$9)/_xlfn.XLOOKUP(DM$7,Procurement!$M$6:$BM$6,Procurement!$M$8:$BM$8))))))</f>
        <v>0.95</v>
      </c>
      <c r="DN91" s="315">
        <f>IF(DN$7&gt;$D$3,"",IF(BF91="Missed","Missed",IF(BF91="OD","OD",IF(BF91="TBC","TBC",IF(BF91="Undefined","Undefined",_xlfn.XLOOKUP(DN$7,Procurement!$M$6:$BM$6,Procurement!$M$9:$BM$9)/_xlfn.XLOOKUP(DN$7,Procurement!$M$6:$BM$6,Procurement!$M$8:$BM$8))))))</f>
        <v>0.95</v>
      </c>
      <c r="DO91" s="315">
        <f>IF(DO$7&gt;$D$3,"",IF(BG91="Missed","Missed",IF(BG91="OD","OD",IF(BG91="TBC","TBC",IF(BG91="Undefined","Undefined",_xlfn.XLOOKUP(DO$7,Procurement!$M$6:$BM$6,Procurement!$M$9:$BM$9)/_xlfn.XLOOKUP(DO$7,Procurement!$M$6:$BM$6,Procurement!$M$8:$BM$8))))))</f>
        <v>1</v>
      </c>
      <c r="DP91" s="315">
        <f>IF(DP$7&gt;$D$3,"",IF(BH91="Missed","Missed",IF(BH91="OD","OD",IF(BH91="TBC","TBC",IF(BH91="Undefined","Undefined",_xlfn.XLOOKUP(DP$7,Procurement!$M$6:$BM$6,Procurement!$M$9:$BM$9)/_xlfn.XLOOKUP(DP$7,Procurement!$M$6:$BM$6,Procurement!$M$8:$BM$8))))))</f>
        <v>0.9</v>
      </c>
      <c r="DQ91" s="315">
        <f>IF(DQ$7&gt;$D$3,"",IF(BI91="Missed","Missed",IF(BI91="OD","OD",IF(BI91="TBC","TBC",IF(BI91="Undefined","Undefined",_xlfn.XLOOKUP(DQ$7,Procurement!$M$6:$BM$6,Procurement!$M$9:$BM$9)/_xlfn.XLOOKUP(DQ$7,Procurement!$M$6:$BM$6,Procurement!$M$8:$BM$8))))))</f>
        <v>0.9</v>
      </c>
      <c r="DR91" s="315">
        <f>IF(DR$7&gt;$D$3,"",IF(BJ91="Missed","Missed",IF(BJ91="OD","OD",IF(BJ91="TBC","TBC",IF(BJ91="Undefined","Undefined",_xlfn.XLOOKUP(DR$7,Procurement!$M$6:$BM$6,Procurement!$M$9:$BM$9)/_xlfn.XLOOKUP(DR$7,Procurement!$M$6:$BM$6,Procurement!$M$8:$BM$8))))))</f>
        <v>0.9</v>
      </c>
      <c r="DS91" s="315">
        <f>IF(DS$7&gt;$D$3,"",IF(BK91="Missed","Missed",IF(BK91="OD","OD",IF(BK91="TBC","TBC",IF(BK91="Undefined","Undefined",_xlfn.XLOOKUP(DS$7,Procurement!$M$6:$BM$6,Procurement!$M$9:$BM$9)/_xlfn.XLOOKUP(DS$7,Procurement!$M$6:$BM$6,Procurement!$M$8:$BM$8))))))</f>
        <v>0.9</v>
      </c>
      <c r="DT91" s="315">
        <f>IF(DT$7&gt;$D$3,"",IF(BL91="Missed","Missed",IF(BL91="OD","OD",IF(BL91="TBC","TBC",IF(BL91="Undefined","Undefined",_xlfn.XLOOKUP(DT$7,Procurement!$M$6:$BM$6,Procurement!$M$9:$BM$9)/_xlfn.XLOOKUP(DT$7,Procurement!$M$6:$BM$6,Procurement!$M$8:$BM$8))))))</f>
        <v>0.9</v>
      </c>
      <c r="DU91" s="315">
        <f>IF(DU$7&gt;$D$3,"",IF(BM91="Missed","Missed",IF(BM91="OD","OD",IF(BM91="TBC","TBC",IF(BM91="Undefined","Undefined",_xlfn.XLOOKUP(DU$7,Procurement!$M$6:$BM$6,Procurement!$M$9:$BM$9)/_xlfn.XLOOKUP(DU$7,Procurement!$M$6:$BM$6,Procurement!$M$8:$BM$8))))))</f>
        <v>0.875</v>
      </c>
      <c r="DV91" s="315">
        <f>IF(DV$7&gt;$D$3,"",IF(BN91="Missed","Missed",IF(BN91="OD","OD",IF(BN91="TBC","TBC",IF(BN91="Undefined","Undefined",_xlfn.XLOOKUP(DV$7,Procurement!$M$6:$BM$6,Procurement!$M$9:$BM$9)/_xlfn.XLOOKUP(DV$7,Procurement!$M$6:$BM$6,Procurement!$M$8:$BM$8))))))</f>
        <v>0.875</v>
      </c>
      <c r="DW91" s="315">
        <f>IF(DW$7&gt;$D$3,"",IF(BO91="Missed","Missed",IF(BO91="OD","OD",IF(BO91="TBC","TBC",IF(BO91="Undefined","Undefined",_xlfn.XLOOKUP(DW$7,Procurement!$M$6:$BM$6,Procurement!$M$9:$BM$9)/_xlfn.XLOOKUP(DW$7,Procurement!$M$6:$BM$6,Procurement!$M$8:$BM$8))))))</f>
        <v>0.875</v>
      </c>
      <c r="DX91" s="315">
        <f>IF(DX$7&gt;$D$3,"",IF(BP91="Missed","Missed",IF(BP91="OD","OD",IF(BP91="TBC","TBC",IF(BP91="Undefined","Undefined",_xlfn.XLOOKUP(DX$7,Procurement!$M$6:$BM$6,Procurement!$M$9:$BM$9)/_xlfn.XLOOKUP(DX$7,Procurement!$M$6:$BM$6,Procurement!$M$8:$BM$8))))))</f>
        <v>0.875</v>
      </c>
      <c r="DY91" s="315">
        <f>IF(DY$7&gt;$D$3,"",IF(BQ91="Missed","Missed",IF(BQ91="OD","OD",IF(BQ91="TBC","TBC",IF(BQ91="Undefined","Undefined",_xlfn.XLOOKUP(DY$7,Procurement!$M$6:$BM$6,Procurement!$M$9:$BM$9)/_xlfn.XLOOKUP(DY$7,Procurement!$M$6:$BM$6,Procurement!$M$8:$BM$8))))))</f>
        <v>0.9</v>
      </c>
      <c r="DZ91" s="315">
        <f>IF(DZ$7&gt;$D$3,"",IF(BR91="Missed","Missed",IF(BR91="OD","OD",IF(BR91="TBC","TBC",IF(BR91="Undefined","Undefined",_xlfn.XLOOKUP(DZ$7,Procurement!$M$6:$BM$6,Procurement!$M$9:$BM$9)/_xlfn.XLOOKUP(DZ$7,Procurement!$M$6:$BM$6,Procurement!$M$8:$BM$8))))))</f>
        <v>0.9</v>
      </c>
      <c r="EA91" s="315">
        <f>IF(EA$7&gt;$D$3,"",IF(BS91="Missed","Missed",IF(BS91="OD","OD",IF(BS91="TBC","TBC",IF(BS91="Undefined","Undefined",_xlfn.XLOOKUP(EA$7,Procurement!$M$6:$BM$6,Procurement!$M$9:$BM$9)/_xlfn.XLOOKUP(EA$7,Procurement!$M$6:$BM$6,Procurement!$M$8:$BM$8))))))</f>
        <v>0.9</v>
      </c>
      <c r="EB91" s="315">
        <f>IF(EB$7&gt;$D$3,"",IF(BT91="Missed","Missed",IF(BT91="OD","OD",IF(BT91="TBC","TBC",IF(BT91="Undefined","Undefined",_xlfn.XLOOKUP(EB$7,Procurement!$M$6:$BM$6,Procurement!$M$9:$BM$9)/_xlfn.XLOOKUP(EB$7,Procurement!$M$6:$BM$6,Procurement!$M$8:$BM$8))))))</f>
        <v>0.9</v>
      </c>
      <c r="EC91" s="315">
        <f>IF(EC$7&gt;$D$3,"",IF(BU91="Missed","Missed",IF(BU91="OD","OD",IF(BU91="TBC","TBC",IF(BU91="Undefined","Undefined",_xlfn.XLOOKUP(EC$7,Procurement!$M$6:$BM$6,Procurement!$M$9:$BM$9)/_xlfn.XLOOKUP(EC$7,Procurement!$M$6:$BM$6,Procurement!$M$8:$BM$8))))))</f>
        <v>0.9</v>
      </c>
      <c r="ED91" s="315">
        <f>IF(ED$7&gt;$D$3,"",IF(BV91="Missed","Missed",IF(BV91="OD","OD",IF(BV91="TBC","TBC",IF(BV91="Undefined","Undefined",_xlfn.XLOOKUP(ED$7,Procurement!$M$6:$BM$6,Procurement!$M$9:$BM$9)/_xlfn.XLOOKUP(ED$7,Procurement!$M$6:$BM$6,Procurement!$M$8:$BM$8))))))</f>
        <v>0.92500000000000004</v>
      </c>
      <c r="EE91" s="315">
        <f>IF(EE$7&gt;$D$3,"",IF(BW91="Missed","Missed",IF(BW91="OD","OD",IF(BW91="TBC","TBC",IF(BW91="Undefined","Undefined",_xlfn.XLOOKUP(EE$7,Procurement!$M$6:$BM$6,Procurement!$M$9:$BM$9)/_xlfn.XLOOKUP(EE$7,Procurement!$M$6:$BM$6,Procurement!$M$8:$BM$8))))))</f>
        <v>0.92500000000000004</v>
      </c>
      <c r="EF91" s="315">
        <f>IF(EF$7&gt;$D$3,"",IF(BX91="Missed","Missed",IF(BX91="OD","OD",IF(BX91="TBC","TBC",IF(BX91="Undefined","Undefined",_xlfn.XLOOKUP(EF$7,Procurement!$M$6:$BM$6,Procurement!$M$9:$BM$9)/_xlfn.XLOOKUP(EF$7,Procurement!$M$6:$BM$6,Procurement!$M$8:$BM$8))))))</f>
        <v>0.92500000000000004</v>
      </c>
      <c r="EG91" s="315">
        <f>IF(EG$7&gt;$D$3,"",IF(BY91="Missed","Missed",IF(BY91="OD","OD",IF(BY91="TBC","TBC",IF(BY91="Undefined","Undefined",_xlfn.XLOOKUP(EG$7,Procurement!$M$6:$BM$6,Procurement!$M$9:$BM$9)/_xlfn.XLOOKUP(EG$7,Procurement!$M$6:$BM$6,Procurement!$M$8:$BM$8))))))</f>
        <v>0.92500000000000004</v>
      </c>
      <c r="EH91" s="315">
        <f>IF(EH$7&gt;$D$3,"",IF(BZ91="Missed","Missed",IF(BZ91="OD","OD",IF(BZ91="TBC","TBC",IF(BZ91="Undefined","Undefined",_xlfn.XLOOKUP(EH$7,Procurement!$M$6:$BM$6,Procurement!$M$9:$BM$9)/_xlfn.XLOOKUP(EH$7,Procurement!$M$6:$BM$6,Procurement!$M$8:$BM$8))))))</f>
        <v>0.92500000000000004</v>
      </c>
      <c r="EI91" s="315">
        <f>IF(EI$7&gt;$D$3,"",IF(CA91="Missed","Missed",IF(CA91="OD","OD",IF(CA91="TBC","TBC",IF(CA91="Undefined","Undefined",_xlfn.XLOOKUP(EI$7,Procurement!$M$6:$BM$6,Procurement!$M$9:$BM$9)/_xlfn.XLOOKUP(EI$7,Procurement!$M$6:$BM$6,Procurement!$M$8:$BM$8))))))</f>
        <v>0.92500000000000004</v>
      </c>
      <c r="EJ91" s="315">
        <f>IF(EJ$7&gt;$D$3,"",IF(CB91="Missed","Missed",IF(CB91="OD","OD",IF(CB91="TBC","TBC",IF(CB91="Undefined","Undefined",_xlfn.XLOOKUP(EJ$7,Procurement!$M$6:$BM$6,Procurement!$M$9:$BM$9)/_xlfn.XLOOKUP(EJ$7,Procurement!$M$6:$BM$6,Procurement!$M$8:$BM$8))))))</f>
        <v>0.92500000000000004</v>
      </c>
      <c r="EK91" s="315" t="str">
        <f>IF(EK$7&gt;$D$3,"",IF(CC91="Missed","Missed",IF(CC91="OD","OD",IF(CC91="TBC","TBC",IF(CC91="Undefined","Undefined",_xlfn.XLOOKUP(EK$7,Procurement!$M$6:$BM$6,Procurement!$M$9:$BM$9)/_xlfn.XLOOKUP(EK$7,Procurement!$M$6:$BM$6,Procurement!$M$8:$BM$8))))))</f>
        <v/>
      </c>
      <c r="EL91" s="315" t="str">
        <f>IF(EL$7&gt;$D$3,"",IF(CD91="Missed","Missed",IF(CD91="OD","OD",IF(CD91="TBC","TBC",IF(CD91="Undefined","Undefined",_xlfn.XLOOKUP(EL$7,Procurement!$M$6:$BM$6,Procurement!$M$9:$BM$9)/_xlfn.XLOOKUP(EL$7,Procurement!$M$6:$BM$6,Procurement!$M$8:$BM$8))))))</f>
        <v/>
      </c>
      <c r="EM91" s="315" t="str">
        <f>IF(EM$7&gt;$D$3,"",IF(CE91="Missed","Missed",IF(CE91="OD","OD",IF(CE91="TBC","TBC",IF(CE91="Undefined","Undefined",_xlfn.XLOOKUP(EM$7,Procurement!$M$6:$BM$6,Procurement!$M$9:$BM$9)/_xlfn.XLOOKUP(EM$7,Procurement!$M$6:$BM$6,Procurement!$M$8:$BM$8))))))</f>
        <v/>
      </c>
      <c r="EN91" s="315" t="str">
        <f>IF(EN$7&gt;$D$3,"",IF(CF91="Missed","Missed",IF(CF91="OD","OD",IF(CF91="TBC","TBC",IF(CF91="Undefined","Undefined",_xlfn.XLOOKUP(EN$7,Procurement!$M$6:$BM$6,Procurement!$M$9:$BM$9)/_xlfn.XLOOKUP(EN$7,Procurement!$M$6:$BM$6,Procurement!$M$8:$BM$8))))))</f>
        <v/>
      </c>
      <c r="EO91" s="315" t="str">
        <f>IF(EO$7&gt;$D$3,"",IF(CG91="Missed","Missed",IF(CG91="OD","OD",IF(CG91="TBC","TBC",IF(CG91="Undefined","Undefined",_xlfn.XLOOKUP(EO$7,Procurement!$M$6:$BM$6,Procurement!$M$9:$BM$9)/_xlfn.XLOOKUP(EO$7,Procurement!$M$6:$BM$6,Procurement!$M$8:$BM$8))))))</f>
        <v/>
      </c>
      <c r="EP91" s="315" t="str">
        <f>IF(EP$7&gt;$D$3,"",IF(CH91="Missed","Missed",IF(CH91="OD","OD",IF(CH91="TBC","TBC",IF(CH91="Undefined","Undefined",_xlfn.XLOOKUP(EP$7,Procurement!$M$6:$BM$6,Procurement!$M$9:$BM$9)/_xlfn.XLOOKUP(EP$7,Procurement!$M$6:$BM$6,Procurement!$M$8:$BM$8))))))</f>
        <v/>
      </c>
      <c r="EQ91" s="315" t="str">
        <f>IF(EQ$7&gt;$D$3,"",IF(CI91="Missed","Missed",IF(CI91="OD","OD",IF(CI91="TBC","TBC",IF(CI91="Undefined","Undefined",_xlfn.XLOOKUP(EQ$7,Procurement!$M$6:$BM$6,Procurement!$M$9:$BM$9)/_xlfn.XLOOKUP(EQ$7,Procurement!$M$6:$BM$6,Procurement!$M$8:$BM$8))))))</f>
        <v/>
      </c>
      <c r="ER91" s="315" t="str">
        <f>IF(ER$7&gt;$D$3,"",IF(CJ91="Missed","Missed",IF(CJ91="OD","OD",IF(CJ91="TBC","TBC",IF(CJ91="Undefined","Undefined",_xlfn.XLOOKUP(ER$7,Procurement!$M$6:$BM$6,Procurement!$M$9:$BM$9)/_xlfn.XLOOKUP(ER$7,Procurement!$M$6:$BM$6,Procurement!$M$8:$BM$8))))))</f>
        <v/>
      </c>
      <c r="ES91" s="315" t="str">
        <f>IF(ES$7&gt;$D$3,"",IF(CK91="Missed","Missed",IF(CK91="OD","OD",IF(CK91="TBC","TBC",IF(CK91="Undefined","Undefined",_xlfn.XLOOKUP(ES$7,Procurement!$M$6:$BM$6,Procurement!$M$9:$BM$9)/_xlfn.XLOOKUP(ES$7,Procurement!$M$6:$BM$6,Procurement!$M$8:$BM$8))))))</f>
        <v/>
      </c>
      <c r="ET91" s="315" t="str">
        <f>IF(ET$7&gt;$D$3,"",IF(CL91="Missed","Missed",IF(CL91="OD","OD",IF(CL91="TBC","TBC",IF(CL91="Undefined","Undefined",_xlfn.XLOOKUP(ET$7,Procurement!$M$6:$BM$6,Procurement!$M$9:$BM$9)/_xlfn.XLOOKUP(ET$7,Procurement!$M$6:$BM$6,Procurement!$M$8:$BM$8))))))</f>
        <v/>
      </c>
      <c r="EU91" s="315" t="str">
        <f>IF(EU$7&gt;$D$3,"",IF(CM91="Missed","Missed",IF(CM91="OD","OD",IF(CM91="TBC","TBC",IF(CM91="Undefined","Undefined",_xlfn.XLOOKUP(EU$7,Procurement!$M$6:$BM$6,Procurement!$M$9:$BM$9)/_xlfn.XLOOKUP(EU$7,Procurement!$M$6:$BM$6,Procurement!$M$8:$BM$8))))))</f>
        <v/>
      </c>
      <c r="EW91" s="465" t="str">
        <f>+$A91</f>
        <v>Procurement-KPI P1</v>
      </c>
      <c r="EX91" s="133" t="str">
        <f>+$C91</f>
        <v>KPI P1</v>
      </c>
      <c r="EY91" s="142" t="str">
        <f>+$D91</f>
        <v>Productivity</v>
      </c>
      <c r="EZ91" s="142" t="str">
        <f>+$E91</f>
        <v>Raw Material Inventory Value Stock Turn</v>
      </c>
      <c r="FA91" s="143" t="str">
        <f>+$F91</f>
        <v>Stock Turns</v>
      </c>
      <c r="FB91" s="143" t="s">
        <v>251</v>
      </c>
      <c r="FC91" s="198" t="str">
        <f>IF(FC$7&gt;$D$3,"",IF($FA90&lt;FC$7,"OD",_xlfn.XLOOKUP(FC$7,Procurement!$M$6:$BM$6,Procurement!$M$9:$BM$9)))</f>
        <v>Blank</v>
      </c>
      <c r="FD91" s="198" t="str">
        <f>IF(FD$7&gt;$D$3,"",IF($FA90&lt;FD$7,"OD",_xlfn.XLOOKUP(FD$7,Procurement!$M$6:$BM$6,Procurement!$M$9:$BM$9)))</f>
        <v>TBC</v>
      </c>
      <c r="FE91" s="198" t="str">
        <f>IF(FE$7&gt;$D$3,"",IF($FA90&lt;FE$7,"OD",_xlfn.XLOOKUP(FE$7,Procurement!$M$6:$BM$6,Procurement!$M$9:$BM$9)))</f>
        <v>TBC</v>
      </c>
      <c r="FF91" s="198" t="str">
        <f>IF(FF$7&gt;$D$3,"",IF($FA90&lt;FF$7,"OD",_xlfn.XLOOKUP(FF$7,Procurement!$M$6:$BM$6,Procurement!$M$9:$BM$9)))</f>
        <v>TBC</v>
      </c>
      <c r="FG91" s="198" t="str">
        <f>IF(FG$7&gt;$D$3,"",IF($FA90&lt;FG$7,"OD",_xlfn.XLOOKUP(FG$7,Procurement!$M$6:$BM$6,Procurement!$M$9:$BM$9)))</f>
        <v>TBC</v>
      </c>
      <c r="FH91" s="198" t="str">
        <f>IF(FH$7&gt;$D$3,"",IF($FA90&lt;FH$7,"OD",_xlfn.XLOOKUP(FH$7,Procurement!$M$6:$BM$6,Procurement!$M$9:$BM$9)))</f>
        <v>TBC</v>
      </c>
      <c r="FI91" s="198" t="str">
        <f>IF(FI$7&gt;$D$3,"",IF($FA90&lt;FI$7,"OD",_xlfn.XLOOKUP(FI$7,Procurement!$M$6:$BM$6,Procurement!$M$9:$BM$9)))</f>
        <v>TBC</v>
      </c>
      <c r="FJ91" s="198" t="str">
        <f>IF(FJ$7&gt;$D$3,"",IF($FA90&lt;FJ$7,"OD",_xlfn.XLOOKUP(FJ$7,Procurement!$M$6:$BM$6,Procurement!$M$9:$BM$9)))</f>
        <v>TBC</v>
      </c>
      <c r="FK91" s="198" t="str">
        <f>IF(FK$7&gt;$D$3,"",IF($FA90&lt;FK$7,"OD",_xlfn.XLOOKUP(FK$7,Procurement!$M$6:$BM$6,Procurement!$M$9:$BM$9)))</f>
        <v>TBC</v>
      </c>
      <c r="FL91" s="198" t="str">
        <f>IF(FL$7&gt;$D$3,"",IF($FA90&lt;FL$7,"OD",_xlfn.XLOOKUP(FL$7,Procurement!$M$6:$BM$6,Procurement!$M$9:$BM$9)))</f>
        <v>TBC</v>
      </c>
      <c r="FM91" s="198" t="str">
        <f>IF(FM$7&gt;$D$3,"",IF($FA90&lt;FM$7,"OD",_xlfn.XLOOKUP(FM$7,Procurement!$M$6:$BM$6,Procurement!$M$9:$BM$9)))</f>
        <v>TBC</v>
      </c>
      <c r="FN91" s="198">
        <f>IF(FN$7&gt;$D$3,"",IF($FA90&lt;FN$7,"OD",_xlfn.XLOOKUP(FN$7,Procurement!$M$6:$BM$6,Procurement!$M$9:$BM$9)))</f>
        <v>4</v>
      </c>
      <c r="FO91" s="198">
        <f>IF(FO$7&gt;$D$3,"",IF($FA90&lt;FO$7,"OD",_xlfn.XLOOKUP(FO$7,Procurement!$M$6:$BM$6,Procurement!$M$9:$BM$9)))</f>
        <v>4</v>
      </c>
      <c r="FP91" s="198">
        <f>IF(FP$7&gt;$D$3,"",IF($FA90&lt;FP$7,"OD",_xlfn.XLOOKUP(FP$7,Procurement!$M$6:$BM$6,Procurement!$M$9:$BM$9)))</f>
        <v>4.04</v>
      </c>
      <c r="FQ91" s="198">
        <f>IF(FQ$7&gt;$D$3,"",IF($FA90&lt;FQ$7,"OD",_xlfn.XLOOKUP(FQ$7,Procurement!$M$6:$BM$6,Procurement!$M$9:$BM$9)))</f>
        <v>3.5</v>
      </c>
      <c r="FR91" s="198">
        <f>IF(FR$7&gt;$D$3,"",IF($FA90&lt;FR$7,"OD",_xlfn.XLOOKUP(FR$7,Procurement!$M$6:$BM$6,Procurement!$M$9:$BM$9)))</f>
        <v>3.5</v>
      </c>
      <c r="FS91" s="198">
        <f>IF(FS$7&gt;$D$3,"",IF($FA90&lt;FS$7,"OD",_xlfn.XLOOKUP(FS$7,Procurement!$M$6:$BM$6,Procurement!$M$9:$BM$9)))</f>
        <v>3.5</v>
      </c>
      <c r="FT91" s="198">
        <f>IF(FT$7&gt;$D$3,"",IF($FA90&lt;FT$7,"OD",_xlfn.XLOOKUP(FT$7,Procurement!$M$6:$BM$6,Procurement!$M$9:$BM$9)))</f>
        <v>3.8</v>
      </c>
      <c r="FU91" s="198">
        <f>IF(FU$7&gt;$D$3,"",IF($FA90&lt;FU$7,"OD",_xlfn.XLOOKUP(FU$7,Procurement!$M$6:$BM$6,Procurement!$M$9:$BM$9)))</f>
        <v>3.8</v>
      </c>
      <c r="FV91" s="198">
        <f>IF(FV$7&gt;$D$3,"",IF($FA90&lt;FV$7,"OD",_xlfn.XLOOKUP(FV$7,Procurement!$M$6:$BM$6,Procurement!$M$9:$BM$9)))</f>
        <v>3.8</v>
      </c>
      <c r="FW91" s="198">
        <f>IF(FW$7&gt;$D$3,"",IF($FA90&lt;FW$7,"OD",_xlfn.XLOOKUP(FW$7,Procurement!$M$6:$BM$6,Procurement!$M$9:$BM$9)))</f>
        <v>4</v>
      </c>
      <c r="FX91" s="198">
        <f>IF(FX$7&gt;$D$3,"",IF($FA90&lt;FX$7,"OD",_xlfn.XLOOKUP(FX$7,Procurement!$M$6:$BM$6,Procurement!$M$9:$BM$9)))</f>
        <v>3.6</v>
      </c>
      <c r="FY91" s="198">
        <f>IF(FY$7&gt;$D$3,"",IF($FA90&lt;FY$7,"OD",_xlfn.XLOOKUP(FY$7,Procurement!$M$6:$BM$6,Procurement!$M$9:$BM$9)))</f>
        <v>3.6</v>
      </c>
      <c r="FZ91" s="198">
        <f>IF(FZ$7&gt;$D$3,"",IF($FA90&lt;FZ$7,"OD",_xlfn.XLOOKUP(FZ$7,Procurement!$M$6:$BM$6,Procurement!$M$9:$BM$9)))</f>
        <v>3.6</v>
      </c>
      <c r="GA91" s="198">
        <f>IF(GA$7&gt;$D$3,"",IF($FA90&lt;GA$7,"OD",_xlfn.XLOOKUP(GA$7,Procurement!$M$6:$BM$6,Procurement!$M$9:$BM$9)))</f>
        <v>3.6</v>
      </c>
      <c r="GB91" s="198">
        <f>IF(GB$7&gt;$D$3,"",IF($FA90&lt;GB$7,"OD",_xlfn.XLOOKUP(GB$7,Procurement!$M$6:$BM$6,Procurement!$M$9:$BM$9)))</f>
        <v>3.6</v>
      </c>
      <c r="GC91" s="198">
        <f>IF(GC$7&gt;$D$3,"",IF($FA90&lt;GC$7,"OD",_xlfn.XLOOKUP(GC$7,Procurement!$M$6:$BM$6,Procurement!$M$9:$BM$9)))</f>
        <v>3.5</v>
      </c>
      <c r="GD91" s="198">
        <f>IF(GD$7&gt;$D$3,"",IF($FA90&lt;GD$7,"OD",_xlfn.XLOOKUP(GD$7,Procurement!$M$6:$BM$6,Procurement!$M$9:$BM$9)))</f>
        <v>3.5</v>
      </c>
      <c r="GE91" s="198">
        <f>IF(GE$7&gt;$D$3,"",IF($FA90&lt;GE$7,"OD",_xlfn.XLOOKUP(GE$7,Procurement!$M$6:$BM$6,Procurement!$M$9:$BM$9)))</f>
        <v>3.5</v>
      </c>
      <c r="GF91" s="198">
        <f>IF(GF$7&gt;$D$3,"",IF($FA90&lt;GF$7,"OD",_xlfn.XLOOKUP(GF$7,Procurement!$M$6:$BM$6,Procurement!$M$9:$BM$9)))</f>
        <v>3.5</v>
      </c>
      <c r="GG91" s="198">
        <f>IF(GG$7&gt;$D$3,"",IF($FA90&lt;GG$7,"OD",_xlfn.XLOOKUP(GG$7,Procurement!$M$6:$BM$6,Procurement!$M$9:$BM$9)))</f>
        <v>3.6</v>
      </c>
      <c r="GH91" s="198">
        <f>IF(GH$7&gt;$D$3,"",IF($FA90&lt;GH$7,"OD",_xlfn.XLOOKUP(GH$7,Procurement!$M$6:$BM$6,Procurement!$M$9:$BM$9)))</f>
        <v>3.6</v>
      </c>
      <c r="GI91" s="198">
        <f>IF(GI$7&gt;$D$3,"",IF($FA90&lt;GI$7,"OD",_xlfn.XLOOKUP(GI$7,Procurement!$M$6:$BM$6,Procurement!$M$9:$BM$9)))</f>
        <v>3.6</v>
      </c>
      <c r="GJ91" s="198">
        <f>IF(GJ$7&gt;$D$3,"",IF($FA90&lt;GJ$7,"OD",_xlfn.XLOOKUP(GJ$7,Procurement!$M$6:$BM$6,Procurement!$M$9:$BM$9)))</f>
        <v>3.6</v>
      </c>
      <c r="GK91" s="198">
        <f>IF(GK$7&gt;$D$3,"",IF($FA90&lt;GK$7,"OD",_xlfn.XLOOKUP(GK$7,Procurement!$M$6:$BM$6,Procurement!$M$9:$BM$9)))</f>
        <v>3.6</v>
      </c>
      <c r="GL91" s="198">
        <f>IF(GL$7&gt;$D$3,"",IF($FA90&lt;GL$7,"OD",_xlfn.XLOOKUP(GL$7,Procurement!$M$6:$BM$6,Procurement!$M$9:$BM$9)))</f>
        <v>3.7</v>
      </c>
      <c r="GM91" s="198">
        <f>IF(GM$7&gt;$D$3,"",IF($FA90&lt;GM$7,"OD",_xlfn.XLOOKUP(GM$7,Procurement!$M$6:$BM$6,Procurement!$M$9:$BM$9)))</f>
        <v>3.7</v>
      </c>
      <c r="GN91" s="198">
        <f>IF(GN$7&gt;$D$3,"",IF($FA90&lt;GN$7,"OD",_xlfn.XLOOKUP(GN$7,Procurement!$M$6:$BM$6,Procurement!$M$9:$BM$9)))</f>
        <v>3.7</v>
      </c>
      <c r="GO91" s="198">
        <f>IF(GO$7&gt;$D$3,"",IF($FA90&lt;GO$7,"OD",_xlfn.XLOOKUP(GO$7,Procurement!$M$6:$BM$6,Procurement!$M$9:$BM$9)))</f>
        <v>3.7</v>
      </c>
      <c r="GP91" s="198">
        <f>IF(GP$7&gt;$D$3,"",IF($FA90&lt;GP$7,"OD",_xlfn.XLOOKUP(GP$7,Procurement!$M$6:$BM$6,Procurement!$M$9:$BM$9)))</f>
        <v>3.7</v>
      </c>
      <c r="GQ91" s="198">
        <f>IF(GQ$7&gt;$D$3,"",IF($FA90&lt;GQ$7,"OD",_xlfn.XLOOKUP(GQ$7,Procurement!$M$6:$BM$6,Procurement!$M$9:$BM$9)))</f>
        <v>3.7</v>
      </c>
      <c r="GR91" s="198">
        <f>IF(GR$7&gt;$D$3,"",IF($FA90&lt;GR$7,"OD",_xlfn.XLOOKUP(GR$7,Procurement!$M$6:$BM$6,Procurement!$M$9:$BM$9)))</f>
        <v>3.7</v>
      </c>
      <c r="GS91" s="198" t="str">
        <f>IF(GS$7&gt;$D$3,"",IF($FA90&lt;GS$7,"OD",_xlfn.XLOOKUP(GS$7,Procurement!$M$6:$BM$6,Procurement!$M$9:$BM$9)))</f>
        <v/>
      </c>
      <c r="GT91" s="198" t="str">
        <f>IF(GT$7&gt;$D$3,"",IF($FA90&lt;GT$7,"OD",_xlfn.XLOOKUP(GT$7,Procurement!$M$6:$BM$6,Procurement!$M$9:$BM$9)))</f>
        <v/>
      </c>
      <c r="GU91" s="198" t="str">
        <f>IF(GU$7&gt;$D$3,"",IF($FA90&lt;GU$7,"OD",_xlfn.XLOOKUP(GU$7,Procurement!$M$6:$BM$6,Procurement!$M$9:$BM$9)))</f>
        <v/>
      </c>
      <c r="GV91" s="198" t="str">
        <f>IF(GV$7&gt;$D$3,"",IF($FA90&lt;GV$7,"OD",_xlfn.XLOOKUP(GV$7,Procurement!$M$6:$BM$6,Procurement!$M$9:$BM$9)))</f>
        <v/>
      </c>
      <c r="GW91" s="198" t="str">
        <f>IF(GW$7&gt;$D$3,"",IF($FA90&lt;GW$7,"OD",_xlfn.XLOOKUP(GW$7,Procurement!$M$6:$BM$6,Procurement!$M$9:$BM$9)))</f>
        <v/>
      </c>
      <c r="GX91" s="198" t="str">
        <f>IF(GX$7&gt;$D$3,"",IF($FA90&lt;GX$7,"OD",_xlfn.XLOOKUP(GX$7,Procurement!$M$6:$BM$6,Procurement!$M$9:$BM$9)))</f>
        <v/>
      </c>
      <c r="GY91" s="198" t="str">
        <f>IF(GY$7&gt;$D$3,"",IF($FA90&lt;GY$7,"OD",_xlfn.XLOOKUP(GY$7,Procurement!$M$6:$BM$6,Procurement!$M$9:$BM$9)))</f>
        <v/>
      </c>
      <c r="GZ91" s="198" t="str">
        <f>IF(GZ$7&gt;$D$3,"",IF($FA90&lt;GZ$7,"OD",_xlfn.XLOOKUP(GZ$7,Procurement!$M$6:$BM$6,Procurement!$M$9:$BM$9)))</f>
        <v/>
      </c>
      <c r="HA91" s="198" t="str">
        <f>IF(HA$7&gt;$D$3,"",IF($FA90&lt;HA$7,"OD",_xlfn.XLOOKUP(HA$7,Procurement!$M$6:$BM$6,Procurement!$M$9:$BM$9)))</f>
        <v/>
      </c>
      <c r="HB91" s="198" t="str">
        <f>IF(HB$7&gt;$D$3,"",IF($FA90&lt;HB$7,"OD",_xlfn.XLOOKUP(HB$7,Procurement!$M$6:$BM$6,Procurement!$M$9:$BM$9)))</f>
        <v/>
      </c>
      <c r="HC91" s="198" t="str">
        <f>IF(HC$7&gt;$D$3,"",IF($FA90&lt;HC$7,"OD",_xlfn.XLOOKUP(HC$7,Procurement!$M$6:$BM$6,Procurement!$M$9:$BM$9)))</f>
        <v/>
      </c>
      <c r="HE91" s="133" t="str">
        <f>+$C91</f>
        <v>KPI P1</v>
      </c>
      <c r="HF91" s="142" t="str">
        <f>+$D91</f>
        <v>Productivity</v>
      </c>
      <c r="HG91" s="142" t="str">
        <f>+$E91</f>
        <v>Raw Material Inventory Value Stock Turn</v>
      </c>
      <c r="HH91" s="143" t="str">
        <f>+$F91</f>
        <v>Stock Turns</v>
      </c>
      <c r="HI91" s="143" t="s">
        <v>44</v>
      </c>
      <c r="HJ91" s="198" t="str">
        <f>IF(HJ$7&gt;$D$3,"",IF($FA90&lt;HJ$7,"OD",_xlfn.XLOOKUP(HJ$7,Procurement!$M$6:$BM$6,Procurement!$M$8:$BM$8)))</f>
        <v>Blank</v>
      </c>
      <c r="HK91" s="198">
        <f>IF(HK$7&gt;$D$3,"",IF($FA90&lt;HK$7,"OD",_xlfn.XLOOKUP(HK$7,Procurement!$M$6:$BM$6,Procurement!$M$8:$BM$8)))</f>
        <v>0</v>
      </c>
      <c r="HL91" s="198">
        <f>IF(HL$7&gt;$D$3,"",IF($FA90&lt;HL$7,"OD",_xlfn.XLOOKUP(HL$7,Procurement!$M$6:$BM$6,Procurement!$M$8:$BM$8)))</f>
        <v>0</v>
      </c>
      <c r="HM91" s="198">
        <f>IF(HM$7&gt;$D$3,"",IF($FA90&lt;HM$7,"OD",_xlfn.XLOOKUP(HM$7,Procurement!$M$6:$BM$6,Procurement!$M$8:$BM$8)))</f>
        <v>0</v>
      </c>
      <c r="HN91" s="198">
        <f>IF(HN$7&gt;$D$3,"",IF($FA90&lt;HN$7,"OD",_xlfn.XLOOKUP(HN$7,Procurement!$M$6:$BM$6,Procurement!$M$8:$BM$8)))</f>
        <v>0</v>
      </c>
      <c r="HO91" s="198">
        <f>IF(HO$7&gt;$D$3,"",IF($FA90&lt;HO$7,"OD",_xlfn.XLOOKUP(HO$7,Procurement!$M$6:$BM$6,Procurement!$M$8:$BM$8)))</f>
        <v>0</v>
      </c>
      <c r="HP91" s="198">
        <f>IF(HP$7&gt;$D$3,"",IF($FA90&lt;HP$7,"OD",_xlfn.XLOOKUP(HP$7,Procurement!$M$6:$BM$6,Procurement!$M$8:$BM$8)))</f>
        <v>0</v>
      </c>
      <c r="HQ91" s="198">
        <f>IF(HQ$7&gt;$D$3,"",IF($FA90&lt;HQ$7,"OD",_xlfn.XLOOKUP(HQ$7,Procurement!$M$6:$BM$6,Procurement!$M$8:$BM$8)))</f>
        <v>0</v>
      </c>
      <c r="HR91" s="198">
        <f>IF(HR$7&gt;$D$3,"",IF($FA90&lt;HR$7,"OD",_xlfn.XLOOKUP(HR$7,Procurement!$M$6:$BM$6,Procurement!$M$8:$BM$8)))</f>
        <v>0</v>
      </c>
      <c r="HS91" s="198">
        <f>IF(HS$7&gt;$D$3,"",IF($FA90&lt;HS$7,"OD",_xlfn.XLOOKUP(HS$7,Procurement!$M$6:$BM$6,Procurement!$M$8:$BM$8)))</f>
        <v>0</v>
      </c>
      <c r="HT91" s="198">
        <f>IF(HT$7&gt;$D$3,"",IF($FA90&lt;HT$7,"OD",_xlfn.XLOOKUP(HT$7,Procurement!$M$6:$BM$6,Procurement!$M$8:$BM$8)))</f>
        <v>0</v>
      </c>
      <c r="HU91" s="198">
        <f>IF(HU$7&gt;$D$3,"",IF($FA90&lt;HU$7,"OD",_xlfn.XLOOKUP(HU$7,Procurement!$M$6:$BM$6,Procurement!$M$8:$BM$8)))</f>
        <v>4</v>
      </c>
      <c r="HV91" s="198">
        <f>IF(HV$7&gt;$D$3,"",IF($FA90&lt;HV$7,"OD",_xlfn.XLOOKUP(HV$7,Procurement!$M$6:$BM$6,Procurement!$M$8:$BM$8)))</f>
        <v>4</v>
      </c>
      <c r="HW91" s="198">
        <f>IF(HW$7&gt;$D$3,"",IF($FA90&lt;HW$7,"OD",_xlfn.XLOOKUP(HW$7,Procurement!$M$6:$BM$6,Procurement!$M$8:$BM$8)))</f>
        <v>4</v>
      </c>
      <c r="HX91" s="198">
        <f>IF(HX$7&gt;$D$3,"",IF($FA90&lt;HX$7,"OD",_xlfn.XLOOKUP(HX$7,Procurement!$M$6:$BM$6,Procurement!$M$8:$BM$8)))</f>
        <v>4</v>
      </c>
      <c r="HY91" s="198">
        <f>IF(HY$7&gt;$D$3,"",IF($FA90&lt;HY$7,"OD",_xlfn.XLOOKUP(HY$7,Procurement!$M$6:$BM$6,Procurement!$M$8:$BM$8)))</f>
        <v>4</v>
      </c>
      <c r="HZ91" s="198">
        <f>IF(HZ$7&gt;$D$3,"",IF($FA90&lt;HZ$7,"OD",_xlfn.XLOOKUP(HZ$7,Procurement!$M$6:$BM$6,Procurement!$M$8:$BM$8)))</f>
        <v>4</v>
      </c>
      <c r="IA91" s="198">
        <f>IF(IA$7&gt;$D$3,"",IF($FA90&lt;IA$7,"OD",_xlfn.XLOOKUP(IA$7,Procurement!$M$6:$BM$6,Procurement!$M$8:$BM$8)))</f>
        <v>4</v>
      </c>
      <c r="IB91" s="198">
        <f>IF(IB$7&gt;$D$3,"",IF($FA90&lt;IB$7,"OD",_xlfn.XLOOKUP(IB$7,Procurement!$M$6:$BM$6,Procurement!$M$8:$BM$8)))</f>
        <v>4</v>
      </c>
      <c r="IC91" s="198">
        <f>IF(IC$7&gt;$D$3,"",IF($FA90&lt;IC$7,"OD",_xlfn.XLOOKUP(IC$7,Procurement!$M$6:$BM$6,Procurement!$M$8:$BM$8)))</f>
        <v>4</v>
      </c>
      <c r="ID91" s="198">
        <f>IF(ID$7&gt;$D$3,"",IF($FA90&lt;ID$7,"OD",_xlfn.XLOOKUP(ID$7,Procurement!$M$6:$BM$6,Procurement!$M$8:$BM$8)))</f>
        <v>4</v>
      </c>
      <c r="IE91" s="198">
        <f>IF(IE$7&gt;$D$3,"",IF($FA90&lt;IE$7,"OD",_xlfn.XLOOKUP(IE$7,Procurement!$M$6:$BM$6,Procurement!$M$8:$BM$8)))</f>
        <v>4</v>
      </c>
      <c r="IF91" s="198">
        <f>IF(IF$7&gt;$D$3,"",IF($FA90&lt;IF$7,"OD",_xlfn.XLOOKUP(IF$7,Procurement!$M$6:$BM$6,Procurement!$M$8:$BM$8)))</f>
        <v>4</v>
      </c>
      <c r="IG91" s="198">
        <f>IF(IG$7&gt;$D$3,"",IF($FA90&lt;IG$7,"OD",_xlfn.XLOOKUP(IG$7,Procurement!$M$6:$BM$6,Procurement!$M$8:$BM$8)))</f>
        <v>4</v>
      </c>
      <c r="IH91" s="198">
        <f>IF(IH$7&gt;$D$3,"",IF($FA90&lt;IH$7,"OD",_xlfn.XLOOKUP(IH$7,Procurement!$M$6:$BM$6,Procurement!$M$8:$BM$8)))</f>
        <v>4</v>
      </c>
      <c r="II91" s="198">
        <f>IF(II$7&gt;$D$3,"",IF($FA90&lt;II$7,"OD",_xlfn.XLOOKUP(II$7,Procurement!$M$6:$BM$6,Procurement!$M$8:$BM$8)))</f>
        <v>4</v>
      </c>
      <c r="IJ91" s="198">
        <f>IF(IJ$7&gt;$D$3,"",IF($FA90&lt;IJ$7,"OD",_xlfn.XLOOKUP(IJ$7,Procurement!$M$6:$BM$6,Procurement!$M$8:$BM$8)))</f>
        <v>4</v>
      </c>
      <c r="IK91" s="198">
        <f>IF(IK$7&gt;$D$3,"",IF($FA90&lt;IK$7,"OD",_xlfn.XLOOKUP(IK$7,Procurement!$M$6:$BM$6,Procurement!$M$8:$BM$8)))</f>
        <v>4</v>
      </c>
      <c r="IL91" s="198">
        <f>IF(IL$7&gt;$D$3,"",IF($FA90&lt;IL$7,"OD",_xlfn.XLOOKUP(IL$7,Procurement!$M$6:$BM$6,Procurement!$M$8:$BM$8)))</f>
        <v>4</v>
      </c>
      <c r="IM91" s="198">
        <f>IF(IM$7&gt;$D$3,"",IF($FA90&lt;IM$7,"OD",_xlfn.XLOOKUP(IM$7,Procurement!$M$6:$BM$6,Procurement!$M$8:$BM$8)))</f>
        <v>4</v>
      </c>
      <c r="IN91" s="198">
        <f>IF(IN$7&gt;$D$3,"",IF($FA90&lt;IN$7,"OD",_xlfn.XLOOKUP(IN$7,Procurement!$M$6:$BM$6,Procurement!$M$8:$BM$8)))</f>
        <v>4</v>
      </c>
      <c r="IO91" s="198">
        <f>IF(IO$7&gt;$D$3,"",IF($FA90&lt;IO$7,"OD",_xlfn.XLOOKUP(IO$7,Procurement!$M$6:$BM$6,Procurement!$M$8:$BM$8)))</f>
        <v>4</v>
      </c>
      <c r="IP91" s="198">
        <f>IF(IP$7&gt;$D$3,"",IF($FA90&lt;IP$7,"OD",_xlfn.XLOOKUP(IP$7,Procurement!$M$6:$BM$6,Procurement!$M$8:$BM$8)))</f>
        <v>4</v>
      </c>
      <c r="IQ91" s="198">
        <f>IF(IQ$7&gt;$D$3,"",IF($FA90&lt;IQ$7,"OD",_xlfn.XLOOKUP(IQ$7,Procurement!$M$6:$BM$6,Procurement!$M$8:$BM$8)))</f>
        <v>4</v>
      </c>
      <c r="IR91" s="198">
        <f>IF(IR$7&gt;$D$3,"",IF($FA90&lt;IR$7,"OD",_xlfn.XLOOKUP(IR$7,Procurement!$M$6:$BM$6,Procurement!$M$8:$BM$8)))</f>
        <v>4</v>
      </c>
      <c r="IS91" s="198">
        <f>IF(IS$7&gt;$D$3,"",IF($FA90&lt;IS$7,"OD",_xlfn.XLOOKUP(IS$7,Procurement!$M$6:$BM$6,Procurement!$M$8:$BM$8)))</f>
        <v>4</v>
      </c>
      <c r="IT91" s="198">
        <f>IF(IT$7&gt;$D$3,"",IF($FA90&lt;IT$7,"OD",_xlfn.XLOOKUP(IT$7,Procurement!$M$6:$BM$6,Procurement!$M$8:$BM$8)))</f>
        <v>4</v>
      </c>
      <c r="IU91" s="198">
        <f>IF(IU$7&gt;$D$3,"",IF($FA90&lt;IU$7,"OD",_xlfn.XLOOKUP(IU$7,Procurement!$M$6:$BM$6,Procurement!$M$8:$BM$8)))</f>
        <v>4</v>
      </c>
      <c r="IV91" s="198">
        <f>IF(IV$7&gt;$D$3,"",IF($FA90&lt;IV$7,"OD",_xlfn.XLOOKUP(IV$7,Procurement!$M$6:$BM$6,Procurement!$M$8:$BM$8)))</f>
        <v>4</v>
      </c>
      <c r="IW91" s="198">
        <f>IF(IW$7&gt;$D$3,"",IF($FA90&lt;IW$7,"OD",_xlfn.XLOOKUP(IW$7,Procurement!$M$6:$BM$6,Procurement!$M$8:$BM$8)))</f>
        <v>4</v>
      </c>
      <c r="IX91" s="198">
        <f>IF(IX$7&gt;$D$3,"",IF($FA90&lt;IX$7,"OD",_xlfn.XLOOKUP(IX$7,Procurement!$M$6:$BM$6,Procurement!$M$8:$BM$8)))</f>
        <v>4</v>
      </c>
      <c r="IY91" s="198">
        <f>IF(IY$7&gt;$D$3,"",IF($FA90&lt;IY$7,"OD",_xlfn.XLOOKUP(IY$7,Procurement!$M$6:$BM$6,Procurement!$M$8:$BM$8)))</f>
        <v>4</v>
      </c>
      <c r="IZ91" s="198" t="str">
        <f>IF(IZ$7&gt;$D$3,"",IF($FA90&lt;IZ$7,"OD",_xlfn.XLOOKUP(IZ$7,Procurement!$M$6:$BM$6,Procurement!$M$8:$BM$8)))</f>
        <v/>
      </c>
      <c r="JA91" s="198" t="str">
        <f>IF(JA$7&gt;$D$3,"",IF($FA90&lt;JA$7,"OD",_xlfn.XLOOKUP(JA$7,Procurement!$M$6:$BM$6,Procurement!$M$8:$BM$8)))</f>
        <v/>
      </c>
      <c r="JB91" s="198" t="str">
        <f>IF(JB$7&gt;$D$3,"",IF($FA90&lt;JB$7,"OD",_xlfn.XLOOKUP(JB$7,Procurement!$M$6:$BM$6,Procurement!$M$8:$BM$8)))</f>
        <v/>
      </c>
      <c r="JC91" s="198" t="str">
        <f>IF(JC$7&gt;$D$3,"",IF($FA90&lt;JC$7,"OD",_xlfn.XLOOKUP(JC$7,Procurement!$M$6:$BM$6,Procurement!$M$8:$BM$8)))</f>
        <v/>
      </c>
      <c r="JD91" s="198" t="str">
        <f>IF(JD$7&gt;$D$3,"",IF($FA90&lt;JD$7,"OD",_xlfn.XLOOKUP(JD$7,Procurement!$M$6:$BM$6,Procurement!$M$8:$BM$8)))</f>
        <v/>
      </c>
      <c r="JE91" s="198" t="str">
        <f>IF(JE$7&gt;$D$3,"",IF($FA90&lt;JE$7,"OD",_xlfn.XLOOKUP(JE$7,Procurement!$M$6:$BM$6,Procurement!$M$8:$BM$8)))</f>
        <v/>
      </c>
      <c r="JF91" s="198" t="str">
        <f>IF(JF$7&gt;$D$3,"",IF($FA90&lt;JF$7,"OD",_xlfn.XLOOKUP(JF$7,Procurement!$M$6:$BM$6,Procurement!$M$8:$BM$8)))</f>
        <v/>
      </c>
      <c r="JG91" s="198" t="str">
        <f>IF(JG$7&gt;$D$3,"",IF($FA90&lt;JG$7,"OD",_xlfn.XLOOKUP(JG$7,Procurement!$M$6:$BM$6,Procurement!$M$8:$BM$8)))</f>
        <v/>
      </c>
      <c r="JH91" s="198" t="str">
        <f>IF(JH$7&gt;$D$3,"",IF($FA90&lt;JH$7,"OD",_xlfn.XLOOKUP(JH$7,Procurement!$M$6:$BM$6,Procurement!$M$8:$BM$8)))</f>
        <v/>
      </c>
      <c r="JI91" s="198" t="str">
        <f>IF(JI$7&gt;$D$3,"",IF($FA90&lt;JI$7,"OD",_xlfn.XLOOKUP(JI$7,Procurement!$M$6:$BM$6,Procurement!$M$8:$BM$8)))</f>
        <v/>
      </c>
      <c r="JJ91" s="198" t="str">
        <f>IF(JJ$7&gt;$D$3,"",IF($FA90&lt;JJ$7,"OD",_xlfn.XLOOKUP(JJ$7,Procurement!$M$6:$BM$6,Procurement!$M$8:$BM$8)))</f>
        <v/>
      </c>
      <c r="JM91" s="133" t="str">
        <f>+$C91</f>
        <v>KPI P1</v>
      </c>
      <c r="JN91" s="142" t="str">
        <f>+$D91</f>
        <v>Productivity</v>
      </c>
      <c r="JO91" s="142" t="str">
        <f>+$E91</f>
        <v>Raw Material Inventory Value Stock Turn</v>
      </c>
      <c r="JP91" s="143" t="str">
        <f>+$F91</f>
        <v>Stock Turns</v>
      </c>
      <c r="JQ91" s="143" t="s">
        <v>284</v>
      </c>
      <c r="JR91" s="246" t="str">
        <f>IFERROR(AVERAGE(FC91:$FC91),"")</f>
        <v/>
      </c>
      <c r="JS91" s="246" t="str">
        <f>IFERROR(AVERAGE($FC91:FD91),"")</f>
        <v/>
      </c>
      <c r="JT91" s="246" t="str">
        <f>IFERROR(AVERAGE($FC91:FE91),"")</f>
        <v/>
      </c>
      <c r="JU91" s="246" t="str">
        <f>IFERROR(AVERAGE($FC91:FF91),"")</f>
        <v/>
      </c>
      <c r="JV91" s="246" t="str">
        <f>IFERROR(AVERAGE($FC91:FG91),"")</f>
        <v/>
      </c>
      <c r="JW91" s="246" t="str">
        <f>IFERROR(AVERAGE($FC91:FH91),"")</f>
        <v/>
      </c>
      <c r="JX91" s="246" t="str">
        <f>IFERROR(AVERAGE($FC91:FI91),"")</f>
        <v/>
      </c>
      <c r="JY91" s="246" t="str">
        <f>IFERROR(AVERAGE($FC91:FJ91),"")</f>
        <v/>
      </c>
      <c r="JZ91" s="246" t="str">
        <f>IFERROR(AVERAGE($FC91:FK91),"")</f>
        <v/>
      </c>
      <c r="KA91" s="246" t="str">
        <f>IFERROR(AVERAGE($FC91:FL91),"")</f>
        <v/>
      </c>
      <c r="KB91" s="246" t="str">
        <f>IFERROR(AVERAGE($FC91:FM91),"")</f>
        <v/>
      </c>
      <c r="KC91" s="246">
        <f>IFERROR(AVERAGE($FC91:FN91),"")</f>
        <v>4</v>
      </c>
      <c r="KD91" s="246">
        <f>IFERROR(AVERAGE($FC91:FO91),"")</f>
        <v>4</v>
      </c>
      <c r="KE91" s="246">
        <f>IFERROR(AVERAGE($FC91:FP91),"")</f>
        <v>4.0133333333333328</v>
      </c>
      <c r="KF91" s="246">
        <f>IFERROR(AVERAGE($FC91:FQ91),"")</f>
        <v>3.8849999999999998</v>
      </c>
      <c r="KG91" s="246">
        <f>IFERROR(AVERAGE($FC91:FR91),"")</f>
        <v>3.8079999999999998</v>
      </c>
      <c r="KH91" s="246">
        <f>IFERROR(AVERAGE($FC91:FS91),"")</f>
        <v>3.7566666666666664</v>
      </c>
      <c r="KI91" s="246">
        <f>IFERROR(AVERAGE($FC91:FT91),"")</f>
        <v>3.7628571428571429</v>
      </c>
      <c r="KJ91" s="246">
        <f>IFERROR(AVERAGE($FC91:FU91),"")</f>
        <v>3.7675000000000001</v>
      </c>
      <c r="KK91" s="246">
        <f>IFERROR(AVERAGE($FC91:FV91),"")</f>
        <v>3.7711111111111109</v>
      </c>
      <c r="KL91" s="246">
        <f>IFERROR(AVERAGE($FC91:FW91),"")</f>
        <v>3.7939999999999996</v>
      </c>
      <c r="KM91" s="246">
        <f>IFERROR(AVERAGE($FC91:FX91),"")</f>
        <v>3.7763636363636364</v>
      </c>
      <c r="KN91" s="246">
        <f>IFERROR(AVERAGE($FC91:FY91),"")</f>
        <v>3.7616666666666667</v>
      </c>
      <c r="KO91" s="246">
        <f>IFERROR(AVERAGE($FC91:FZ91),"")</f>
        <v>3.7492307692307696</v>
      </c>
      <c r="KP91" s="246">
        <f>IFERROR(AVERAGE($FC91:GA91),"")</f>
        <v>3.7385714285714289</v>
      </c>
      <c r="KQ91" s="246">
        <f>IFERROR(AVERAGE($FC91:GB91),"")</f>
        <v>3.7293333333333338</v>
      </c>
      <c r="KR91" s="246">
        <f>IFERROR(AVERAGE($FC91:GC91),"")</f>
        <v>3.7150000000000003</v>
      </c>
      <c r="KS91" s="246">
        <f>IFERROR(AVERAGE($FC91:GD91),"")</f>
        <v>3.7023529411764708</v>
      </c>
      <c r="KT91" s="246">
        <f>IFERROR(AVERAGE($FC91:GE91),"")</f>
        <v>3.6911111111111108</v>
      </c>
      <c r="KU91" s="246">
        <f>IFERROR(AVERAGE($FC91:GF91),"")</f>
        <v>3.6810526315789471</v>
      </c>
      <c r="KV91" s="246">
        <f>IFERROR(AVERAGE($FC91:GG91),"")</f>
        <v>3.6769999999999996</v>
      </c>
      <c r="KW91" s="246">
        <f>IFERROR(AVERAGE($FC91:GH91),"")</f>
        <v>3.6733333333333329</v>
      </c>
      <c r="KX91" s="246">
        <f>IFERROR(AVERAGE($FC91:GI91),"")</f>
        <v>3.669999999999999</v>
      </c>
      <c r="KY91" s="246">
        <f>IFERROR(AVERAGE($FC91:GJ91),"")</f>
        <v>3.6669565217391296</v>
      </c>
      <c r="KZ91" s="246">
        <f>IFERROR(AVERAGE($FC91:GK91),"")</f>
        <v>3.6641666666666652</v>
      </c>
      <c r="LA91" s="246">
        <f>IFERROR(AVERAGE($FC91:GL91),"")</f>
        <v>3.6655999999999991</v>
      </c>
      <c r="LB91" s="246">
        <f>IFERROR(AVERAGE($FC91:GM91),"")</f>
        <v>3.6669230769230761</v>
      </c>
      <c r="LC91" s="246">
        <f>IFERROR(AVERAGE($FC91:GN91),"")</f>
        <v>3.6681481481481475</v>
      </c>
      <c r="LD91" s="246">
        <f>IFERROR(AVERAGE($FC91:GO91),"")</f>
        <v>3.6692857142857136</v>
      </c>
      <c r="LE91" s="246">
        <f>IFERROR(AVERAGE($FC91:GP91),"")</f>
        <v>3.6703448275862063</v>
      </c>
      <c r="LF91" s="246">
        <f>IFERROR(AVERAGE($FC91:GQ91),"")</f>
        <v>3.6713333333333327</v>
      </c>
      <c r="LG91" s="246">
        <f>IFERROR(AVERAGE($FC91:GR91),"")</f>
        <v>3.6722580645161287</v>
      </c>
      <c r="LH91" s="246">
        <f>IFERROR(AVERAGE($FC91:GS91),"")</f>
        <v>3.6722580645161287</v>
      </c>
      <c r="LI91" s="246">
        <f>IFERROR(AVERAGE($FC91:GT91),"")</f>
        <v>3.6722580645161287</v>
      </c>
      <c r="LJ91" s="246">
        <f>IFERROR(AVERAGE($FC91:GU91),"")</f>
        <v>3.6722580645161287</v>
      </c>
      <c r="LK91" s="246">
        <f>IFERROR(AVERAGE($FC91:GV91),"")</f>
        <v>3.6722580645161287</v>
      </c>
      <c r="LL91" s="246">
        <f>IFERROR(AVERAGE($FC91:GW91),"")</f>
        <v>3.6722580645161287</v>
      </c>
      <c r="LM91" s="246">
        <f>IFERROR(AVERAGE($FC91:GX91),"")</f>
        <v>3.6722580645161287</v>
      </c>
      <c r="LN91" s="246">
        <f>IFERROR(AVERAGE($FC91:GY91),"")</f>
        <v>3.6722580645161287</v>
      </c>
      <c r="LO91" s="246">
        <f>IFERROR(AVERAGE($FC91:GZ91),"")</f>
        <v>3.6722580645161287</v>
      </c>
      <c r="LP91" s="246">
        <f>IFERROR(AVERAGE($FC91:HA91),"")</f>
        <v>3.6722580645161287</v>
      </c>
      <c r="LQ91" s="246">
        <f>IFERROR(AVERAGE($FC91:HB91),"")</f>
        <v>3.6722580645161287</v>
      </c>
      <c r="LR91" s="246">
        <f>IFERROR(AVERAGE($FC91:HC91),"")</f>
        <v>3.6722580645161287</v>
      </c>
      <c r="LT91" s="133" t="str">
        <f>+$C91</f>
        <v>KPI P1</v>
      </c>
      <c r="LU91" s="142" t="str">
        <f>+$D91</f>
        <v>Productivity</v>
      </c>
      <c r="LV91" s="142" t="str">
        <f>+$E91</f>
        <v>Raw Material Inventory Value Stock Turn</v>
      </c>
      <c r="LW91" s="143" t="str">
        <f>+$F91</f>
        <v>Stock Turns</v>
      </c>
      <c r="LX91" s="143" t="s">
        <v>285</v>
      </c>
      <c r="LY91" s="246" t="str">
        <f>IFERROR(AVERAGE($HJ91:HJ91),"")</f>
        <v/>
      </c>
      <c r="LZ91" s="246">
        <f>IFERROR(IF(LAD$7&gt;$D$3,"",AVERAGE($HJ91:HK91)),"")</f>
        <v>0</v>
      </c>
      <c r="MA91" s="246">
        <f>IFERROR(IF(MA$7&gt;$D$3,"",AVERAGE($HJ91:HL91)),"")</f>
        <v>0</v>
      </c>
      <c r="MB91" s="246">
        <f>IFERROR(IF(MB$7&gt;$D$3,"",AVERAGE($HJ91:HM91)),"")</f>
        <v>0</v>
      </c>
      <c r="MC91" s="246">
        <f>IFERROR(IF(MC$7&gt;$D$3,"",AVERAGE($HJ91:HN91)),"")</f>
        <v>0</v>
      </c>
      <c r="MD91" s="246">
        <f>IFERROR(IF(MD$7&gt;$D$3,"",AVERAGE($HJ91:HO91)),"")</f>
        <v>0</v>
      </c>
      <c r="ME91" s="246">
        <f>IFERROR(IF(ME$7&gt;$D$3,"",AVERAGE($HJ91:HP91)),"")</f>
        <v>0</v>
      </c>
      <c r="MF91" s="246">
        <f>IFERROR(IF(MF$7&gt;$D$3,"",AVERAGE($HJ91:HQ91)),"")</f>
        <v>0</v>
      </c>
      <c r="MG91" s="246">
        <f>IFERROR(IF(MG$7&gt;$D$3,"",AVERAGE($HJ91:HR91)),"")</f>
        <v>0</v>
      </c>
      <c r="MH91" s="246">
        <f>IFERROR(IF(MH$7&gt;$D$3,"",AVERAGE($HJ91:HS91)),"")</f>
        <v>0</v>
      </c>
      <c r="MI91" s="246">
        <f>IFERROR(IF(MI$7&gt;$D$3,"",AVERAGE($HJ91:HT91)),"")</f>
        <v>0</v>
      </c>
      <c r="MJ91" s="246">
        <f>IFERROR(IF(MJ$7&gt;$D$3,"",AVERAGE($HJ91:HU91)),"")</f>
        <v>0.36363636363636365</v>
      </c>
      <c r="MK91" s="246">
        <f>IFERROR(IF(MK$7&gt;$D$3,"",AVERAGE($HJ91:HV91)),"")</f>
        <v>0.66666666666666663</v>
      </c>
      <c r="ML91" s="246">
        <f>IFERROR(IF(ML$7&gt;$D$3,"",AVERAGE($HJ91:HW91)),"")</f>
        <v>0.92307692307692313</v>
      </c>
      <c r="MM91" s="246">
        <f>IFERROR(IF(MM$7&gt;$D$3,"",AVERAGE($HJ91:HX91)),"")</f>
        <v>1.1428571428571428</v>
      </c>
      <c r="MN91" s="246">
        <f>IFERROR(IF(MN$7&gt;$D$3,"",AVERAGE($HJ91:HY91)),"")</f>
        <v>1.3333333333333333</v>
      </c>
      <c r="MO91" s="246">
        <f>IFERROR(IF(MO$7&gt;$D$3,"",AVERAGE($HJ91:HZ91)),"")</f>
        <v>1.5</v>
      </c>
      <c r="MP91" s="246">
        <f>IFERROR(IF(MP$7&gt;$D$3,"",AVERAGE($HJ91:IA91)),"")</f>
        <v>1.6470588235294117</v>
      </c>
      <c r="MQ91" s="246">
        <f>IFERROR(IF(MQ$7&gt;$D$3,"",AVERAGE($HJ91:IB91)),"")</f>
        <v>1.7777777777777777</v>
      </c>
      <c r="MR91" s="246">
        <f>IFERROR(IF(MR$7&gt;$D$3,"",AVERAGE($HJ91:IC91)),"")</f>
        <v>1.8947368421052631</v>
      </c>
      <c r="MS91" s="246">
        <f>IFERROR(IF(MS$7&gt;$D$3,"",AVERAGE($HJ91:ID91)),"")</f>
        <v>2</v>
      </c>
      <c r="MT91" s="246">
        <f>IFERROR(IF(MT$7&gt;$D$3,"",AVERAGE($HJ91:IE91)),"")</f>
        <v>2.0952380952380953</v>
      </c>
      <c r="MU91" s="246">
        <f>IFERROR(IF(MU$7&gt;$D$3,"",AVERAGE($HJ91:IF91)),"")</f>
        <v>2.1818181818181817</v>
      </c>
      <c r="MV91" s="246">
        <f>IFERROR(IF(MV$7&gt;$D$3,"",AVERAGE($HJ91:IG91)),"")</f>
        <v>2.2608695652173911</v>
      </c>
      <c r="MW91" s="246">
        <f>IFERROR(IF(MW$7&gt;$D$3,"",AVERAGE($HJ91:IH91)),"")</f>
        <v>2.3333333333333335</v>
      </c>
      <c r="MX91" s="246">
        <f>IFERROR(IF(MX$7&gt;$D$3,"",AVERAGE($HJ91:II91)),"")</f>
        <v>2.4</v>
      </c>
      <c r="MY91" s="246">
        <f>IFERROR(IF(MY$7&gt;$D$3,"",AVERAGE($HJ91:IJ91)),"")</f>
        <v>2.4615384615384617</v>
      </c>
      <c r="MZ91" s="246">
        <f>IFERROR(IF(MZ$7&gt;$D$3,"",AVERAGE($HJ91:IK91)),"")</f>
        <v>2.5185185185185186</v>
      </c>
      <c r="NA91" s="246">
        <f>IFERROR(IF(NA$7&gt;$D$3,"",AVERAGE($HJ91:IL91)),"")</f>
        <v>2.5714285714285716</v>
      </c>
      <c r="NB91" s="246">
        <f>IFERROR(IF(NB$7&gt;$D$3,"",AVERAGE($HJ91:IM91)),"")</f>
        <v>2.6206896551724137</v>
      </c>
      <c r="NC91" s="246">
        <f>IFERROR(IF(NC$7&gt;$D$3,"",AVERAGE($HJ91:IN91)),"")</f>
        <v>2.6666666666666665</v>
      </c>
      <c r="ND91" s="246">
        <f>IFERROR(IF(ND$7&gt;$D$3,"",AVERAGE($HJ91:IO91)),"")</f>
        <v>2.7096774193548385</v>
      </c>
      <c r="NE91" s="246">
        <f>IFERROR(IF(NE$7&gt;$D$3,"",AVERAGE($HJ91:IP91)),"")</f>
        <v>2.75</v>
      </c>
      <c r="NF91" s="246">
        <f>IFERROR(IF(NF$7&gt;$D$3,"",AVERAGE($HJ91:IQ91)),"")</f>
        <v>2.7878787878787881</v>
      </c>
      <c r="NG91" s="246">
        <f>IFERROR(IF(NG$7&gt;$D$3,"",AVERAGE($HJ91:IR91)),"")</f>
        <v>2.8235294117647061</v>
      </c>
      <c r="NH91" s="246">
        <f>IFERROR(IF(NH$7&gt;$D$3,"",AVERAGE($HJ91:IS91)),"")</f>
        <v>2.8571428571428572</v>
      </c>
      <c r="NI91" s="246">
        <f>IFERROR(IF(NI$7&gt;$D$3,"",AVERAGE($HJ91:IT91)),"")</f>
        <v>2.8888888888888888</v>
      </c>
      <c r="NJ91" s="246">
        <f>IFERROR(IF(NJ$7&gt;$D$3,"",AVERAGE($HJ91:IU91)),"")</f>
        <v>2.9189189189189189</v>
      </c>
      <c r="NK91" s="246">
        <f>IFERROR(IF(NK$7&gt;$D$3,"",AVERAGE($HJ91:IV91)),"")</f>
        <v>2.9473684210526314</v>
      </c>
      <c r="NL91" s="246">
        <f>IFERROR(IF(NL$7&gt;$D$3,"",AVERAGE($HJ91:IW91)),"")</f>
        <v>2.9743589743589745</v>
      </c>
      <c r="NM91" s="246">
        <f>IFERROR(IF(NM$7&gt;$D$3,"",AVERAGE($HJ91:IX91)),"")</f>
        <v>3</v>
      </c>
      <c r="NN91" s="246">
        <f>IFERROR(IF(NN$7&gt;$D$3,"",AVERAGE($HJ91:IY91)),"")</f>
        <v>3.024390243902439</v>
      </c>
      <c r="NO91" s="246" t="str">
        <f>IFERROR(IF(NO$7&gt;$D$3,"",AVERAGE($HJ91:IZ91)),"")</f>
        <v/>
      </c>
      <c r="NP91" s="246" t="str">
        <f>IFERROR(IF(NP$7&gt;$D$3,"",AVERAGE($HJ91:JA91)),"")</f>
        <v/>
      </c>
      <c r="NQ91" s="246" t="str">
        <f>IFERROR(IF(NQ$7&gt;$D$3,"",AVERAGE($HJ91:JB91)),"")</f>
        <v/>
      </c>
      <c r="NR91" s="246" t="str">
        <f>IFERROR(IF(NR$7&gt;$D$3,"",AVERAGE($HJ91:JC91)),"")</f>
        <v/>
      </c>
      <c r="NS91" s="246" t="str">
        <f>IFERROR(IF(NS$7&gt;$D$3,"",AVERAGE($HJ91:JD91)),"")</f>
        <v/>
      </c>
      <c r="NT91" s="246" t="str">
        <f>IFERROR(IF(NT$7&gt;$D$3,"",AVERAGE($HJ91:JE91)),"")</f>
        <v/>
      </c>
      <c r="NU91" s="246" t="str">
        <f>IFERROR(IF(NU$7&gt;$D$3,"",AVERAGE($HJ91:JF91)),"")</f>
        <v/>
      </c>
      <c r="NV91" s="246" t="str">
        <f>IFERROR(IF(NV$7&gt;$D$3,"",AVERAGE($HJ91:JG91)),"")</f>
        <v/>
      </c>
      <c r="NW91" s="246" t="str">
        <f>IFERROR(IF(NW$7&gt;$D$3,"",AVERAGE($HJ91:JH91)),"")</f>
        <v/>
      </c>
      <c r="NX91" s="246" t="str">
        <f>IFERROR(IF(NX$7&gt;$D$3,"",AVERAGE($HJ91:JI91)),"")</f>
        <v/>
      </c>
      <c r="NY91" s="246" t="str">
        <f>IFERROR(IF(NY$7&gt;$D$3,"",AVERAGE($HJ91:JJ91)),"")</f>
        <v/>
      </c>
    </row>
    <row r="92" spans="1:389" ht="15" thickBot="1" x14ac:dyDescent="0.35">
      <c r="A92" t="str">
        <f>$B$90&amp;"-"&amp;C92</f>
        <v>Procurement-KPI D1</v>
      </c>
      <c r="B92" s="918" t="str">
        <f>+'KPI Stats'!B91</f>
        <v>Rees Nanney</v>
      </c>
      <c r="C92" s="136" t="str">
        <f>+'KPI Stats'!C91</f>
        <v>KPI D1</v>
      </c>
      <c r="D92" s="144" t="str">
        <f>+'KPI Stats'!D91</f>
        <v>Delivery</v>
      </c>
      <c r="E92" s="144" t="str">
        <f>+'KPI Stats'!E91</f>
        <v>Supplier Delivery Performance - on time and full into SAS</v>
      </c>
      <c r="F92" s="145" t="str">
        <f>+'KPI Stats'!F91</f>
        <v>Percentage</v>
      </c>
      <c r="G92" s="178" t="str">
        <f>+'KPI Stats'!G91</f>
        <v>Under</v>
      </c>
      <c r="J92" s="69" t="str">
        <f>_xlfn.XLOOKUP(J$7,$AM$7:$CM$7,$AM92:$CM92,,FALSE)</f>
        <v>A</v>
      </c>
      <c r="K92" s="264">
        <f>_xlfn.XLOOKUP(K$7,$FC$7:$HC$7,$FC92:$HC92,,FALSE)</f>
        <v>93.8</v>
      </c>
      <c r="L92" s="278">
        <f>_xlfn.XLOOKUP(L$7,$HJ$7:$JJ$7,$HJ92:$JJ92,,FALSE)</f>
        <v>95</v>
      </c>
      <c r="M92" s="275">
        <f>_xlfn.XLOOKUP(M$7,$CU$7:$EU$7,$CU92:$EU92,,FALSE)</f>
        <v>0.98736842105263156</v>
      </c>
      <c r="P92" s="69" t="str">
        <f>_xlfn.XLOOKUP(P$7,$AM$7:$CM$7,$AM92:$CM92,,FALSE)</f>
        <v>A</v>
      </c>
      <c r="Q92" s="264">
        <f t="shared" si="313"/>
        <v>93.8</v>
      </c>
      <c r="R92" s="278">
        <f t="shared" si="313"/>
        <v>93.8</v>
      </c>
      <c r="S92" s="288">
        <f t="shared" si="314"/>
        <v>0.98736842105263156</v>
      </c>
      <c r="T92" s="265">
        <f t="shared" si="314"/>
        <v>0.98736842105263156</v>
      </c>
      <c r="U92" s="295" t="str">
        <f>IF(F90&lt;$R$2,"Not Complete",IF(Q92=R92,"Same −",IF($G92="Over",IF(Q92&lt;R92,"Better ↑","Worse ↓"),IF($G92="Under",IF(Q92&gt;R92,"Better ↑","Worse ↓"),"err"))))</f>
        <v>Same −</v>
      </c>
      <c r="X92" s="69" t="str">
        <f t="shared" si="315"/>
        <v>G</v>
      </c>
      <c r="Y92" s="114">
        <f>_xlfn.XLOOKUP(Y$7,$JR$7:$LR$7,$JR92:$LR92,FALSE)</f>
        <v>93.422580645161361</v>
      </c>
      <c r="Z92" s="114">
        <f>_xlfn.XLOOKUP(Z$7,$LY$7:$NY$7,$LY92:$NY92,FALSE)</f>
        <v>71.829268292682926</v>
      </c>
      <c r="AA92" s="252">
        <f>IF(G92="Undefined","",IF(G92="under",Y92/Z92,IF(G92="over",Z92/Y92,"err")))</f>
        <v>1.300619968234844</v>
      </c>
      <c r="AB92" s="295" t="str">
        <f>IF(F90&lt;$R$2,"TBC",IF(Y92=Z92,"Same −",IF($G92="Over",IF(Z92&lt;Y92,"Better ↑ ","Worse ↓ "),IF($G92="Under",IF(Y92&gt;Z92,"Better ↑ ","Worse ↓ "),"err"))))</f>
        <v xml:space="preserve">Better ↑ </v>
      </c>
      <c r="AC92" s="69" t="str">
        <f>IF(AND(G92="above adero",AD92&gt;0),"R",IF(AF92&gt;1,"G",IF(AF92&gt;0.95,"A","R")))</f>
        <v>G</v>
      </c>
      <c r="AD92" s="114">
        <f>_xlfn.XLOOKUP(AD$7,$JR$7:$LR$7,$JR92:$LR92,FALSE)</f>
        <v>93.410000000000068</v>
      </c>
      <c r="AE92" s="114">
        <f>_xlfn.XLOOKUP(AE$7,$LY$7:$NY$7,$LY92:$NY92,FALSE)</f>
        <v>71.25</v>
      </c>
      <c r="AF92" s="252">
        <f t="shared" si="316"/>
        <v>1.3110175438596501</v>
      </c>
      <c r="AH92" s="465" t="str">
        <f>+$A92</f>
        <v>Procurement-KPI D1</v>
      </c>
      <c r="AI92" s="136" t="str">
        <f t="shared" si="317"/>
        <v>KPI D1</v>
      </c>
      <c r="AJ92" s="144" t="str">
        <f t="shared" si="317"/>
        <v>Delivery</v>
      </c>
      <c r="AK92" s="144" t="str">
        <f t="shared" si="300"/>
        <v>Supplier Delivery Performance - on time and full into SAS</v>
      </c>
      <c r="AL92" s="145" t="str">
        <f t="shared" si="300"/>
        <v>Percentage</v>
      </c>
      <c r="AM92" s="69" t="str">
        <f>IF(AM$7&gt;$D$3,"",_xlfn.XLOOKUP(AM$7,Procurement!$M$6:$BM$6,Procurement!$M$13:$BM$13))</f>
        <v>Blank</v>
      </c>
      <c r="AN92" s="199" t="str">
        <f>IF(AN$7&gt;$D$3,"",_xlfn.XLOOKUP(AN$7,Procurement!$M$6:$BM$6,Procurement!$M$13:$BM$13))</f>
        <v>TBC</v>
      </c>
      <c r="AO92" s="69" t="str">
        <f>IF(AO$7&gt;$D$3,"",_xlfn.XLOOKUP(AO$7,Procurement!$M$6:$BM$6,Procurement!$M$13:$BM$13))</f>
        <v>TBC</v>
      </c>
      <c r="AP92" s="69" t="str">
        <f>IF(AP$7&gt;$D$3,"",_xlfn.XLOOKUP(AP$7,Procurement!$M$6:$BM$6,Procurement!$M$13:$BM$13))</f>
        <v>TBC</v>
      </c>
      <c r="AQ92" s="69" t="str">
        <f>IF(AQ$7&gt;$D$3,"",_xlfn.XLOOKUP(AQ$7,Procurement!$M$6:$BM$6,Procurement!$M$13:$BM$13))</f>
        <v>TBC</v>
      </c>
      <c r="AR92" s="69" t="str">
        <f>IF(AR$7&gt;$D$3,"",_xlfn.XLOOKUP(AR$7,Procurement!$M$6:$BM$6,Procurement!$M$13:$BM$13))</f>
        <v>TBC</v>
      </c>
      <c r="AS92" s="69" t="str">
        <f>IF(AS$7&gt;$D$3,"",_xlfn.XLOOKUP(AS$7,Procurement!$M$6:$BM$6,Procurement!$M$13:$BM$13))</f>
        <v>TBC</v>
      </c>
      <c r="AT92" s="69" t="str">
        <f>IF(AT$7&gt;$D$3,"",_xlfn.XLOOKUP(AT$7,Procurement!$M$6:$BM$6,Procurement!$M$13:$BM$13))</f>
        <v>TBC</v>
      </c>
      <c r="AU92" s="69" t="str">
        <f>IF(AU$7&gt;$D$3,"",_xlfn.XLOOKUP(AU$7,Procurement!$M$6:$BM$6,Procurement!$M$13:$BM$13))</f>
        <v>TBC</v>
      </c>
      <c r="AV92" s="69" t="str">
        <f>IF(AV$7&gt;$D$3,"",_xlfn.XLOOKUP(AV$7,Procurement!$M$6:$BM$6,Procurement!$M$13:$BM$13))</f>
        <v>TBC</v>
      </c>
      <c r="AW92" s="69" t="str">
        <f>IF(AW$7&gt;$D$3,"",_xlfn.XLOOKUP(AW$7,Procurement!$M$6:$BM$6,Procurement!$M$13:$BM$13))</f>
        <v>TBC</v>
      </c>
      <c r="AX92" s="69" t="str">
        <f>IF(AX$7&gt;$D$3,"",_xlfn.XLOOKUP(AX$7,Procurement!$M$6:$BM$6,Procurement!$M$13:$BM$13))</f>
        <v>A</v>
      </c>
      <c r="AY92" s="69" t="str">
        <f>IF(AY$7&gt;$D$3,"",_xlfn.XLOOKUP(AY$7,Procurement!$M$6:$BM$6,Procurement!$M$13:$BM$13))</f>
        <v>A</v>
      </c>
      <c r="AZ92" s="69" t="str">
        <f>IF(AZ$7&gt;$D$3,"",_xlfn.XLOOKUP(AZ$7,Procurement!$M$6:$BM$6,Procurement!$M$13:$BM$13))</f>
        <v>A</v>
      </c>
      <c r="BA92" s="69" t="str">
        <f>IF(BA$7&gt;$D$3,"",_xlfn.XLOOKUP(BA$7,Procurement!$M$6:$BM$6,Procurement!$M$13:$BM$13))</f>
        <v>A</v>
      </c>
      <c r="BB92" s="69" t="str">
        <f>IF(BB$7&gt;$D$3,"",_xlfn.XLOOKUP(BB$7,Procurement!$M$6:$BM$6,Procurement!$M$13:$BM$13))</f>
        <v>A</v>
      </c>
      <c r="BC92" s="69" t="str">
        <f>IF(BC$7&gt;$D$3,"",_xlfn.XLOOKUP(BC$7,Procurement!$M$6:$BM$6,Procurement!$M$13:$BM$13))</f>
        <v>A</v>
      </c>
      <c r="BD92" s="69" t="str">
        <f>IF(BD$7&gt;$D$3,"",_xlfn.XLOOKUP(BD$7,Procurement!$M$6:$BM$6,Procurement!$M$13:$BM$13))</f>
        <v>A</v>
      </c>
      <c r="BE92" s="69" t="str">
        <f>IF(BE$7&gt;$D$3,"",_xlfn.XLOOKUP(BE$7,Procurement!$M$6:$BM$6,Procurement!$M$13:$BM$13))</f>
        <v>A</v>
      </c>
      <c r="BF92" s="69" t="str">
        <f>IF(BF$7&gt;$D$3,"",_xlfn.XLOOKUP(BF$7,Procurement!$M$6:$BM$6,Procurement!$M$13:$BM$13))</f>
        <v>A</v>
      </c>
      <c r="BG92" s="69" t="str">
        <f>IF(BG$7&gt;$D$3,"",_xlfn.XLOOKUP(BG$7,Procurement!$M$6:$BM$6,Procurement!$M$13:$BM$13))</f>
        <v>A</v>
      </c>
      <c r="BH92" s="69" t="str">
        <f>IF(BH$7&gt;$D$3,"",_xlfn.XLOOKUP(BH$7,Procurement!$M$6:$BM$6,Procurement!$M$13:$BM$13))</f>
        <v>A</v>
      </c>
      <c r="BI92" s="69" t="str">
        <f>IF(BI$7&gt;$D$3,"",_xlfn.XLOOKUP(BI$7,Procurement!$M$6:$BM$6,Procurement!$M$13:$BM$13))</f>
        <v>A</v>
      </c>
      <c r="BJ92" s="69" t="str">
        <f>IF(BJ$7&gt;$D$3,"",_xlfn.XLOOKUP(BJ$7,Procurement!$M$6:$BM$6,Procurement!$M$13:$BM$13))</f>
        <v>A</v>
      </c>
      <c r="BK92" s="69" t="str">
        <f>IF(BK$7&gt;$D$3,"",_xlfn.XLOOKUP(BK$7,Procurement!$M$6:$BM$6,Procurement!$M$13:$BM$13))</f>
        <v>A</v>
      </c>
      <c r="BL92" s="69" t="str">
        <f>IF(BL$7&gt;$D$3,"",_xlfn.XLOOKUP(BL$7,Procurement!$M$6:$BM$6,Procurement!$M$13:$BM$13))</f>
        <v>A</v>
      </c>
      <c r="BM92" s="69" t="str">
        <f>IF(BM$7&gt;$D$3,"",_xlfn.XLOOKUP(BM$7,Procurement!$M$6:$BM$6,Procurement!$M$13:$BM$13))</f>
        <v>A</v>
      </c>
      <c r="BN92" s="69" t="str">
        <f>IF(BN$7&gt;$D$3,"",_xlfn.XLOOKUP(BN$7,Procurement!$M$6:$BM$6,Procurement!$M$13:$BM$13))</f>
        <v>A</v>
      </c>
      <c r="BO92" s="69" t="str">
        <f>IF(BO$7&gt;$D$3,"",_xlfn.XLOOKUP(BO$7,Procurement!$M$6:$BM$6,Procurement!$M$13:$BM$13))</f>
        <v>A</v>
      </c>
      <c r="BP92" s="69" t="str">
        <f>IF(BP$7&gt;$D$3,"",_xlfn.XLOOKUP(BP$7,Procurement!$M$6:$BM$6,Procurement!$M$13:$BM$13))</f>
        <v>A</v>
      </c>
      <c r="BQ92" s="69" t="str">
        <f>IF(BQ$7&gt;$D$3,"",_xlfn.XLOOKUP(BQ$7,Procurement!$M$6:$BM$6,Procurement!$M$13:$BM$13))</f>
        <v>A</v>
      </c>
      <c r="BR92" s="69" t="str">
        <f>IF(BR$7&gt;$D$3,"",_xlfn.XLOOKUP(BR$7,Procurement!$M$6:$BM$6,Procurement!$M$13:$BM$13))</f>
        <v>A</v>
      </c>
      <c r="BS92" s="69" t="str">
        <f>IF(BS$7&gt;$D$3,"",_xlfn.XLOOKUP(BS$7,Procurement!$M$6:$BM$6,Procurement!$M$13:$BM$13))</f>
        <v>A</v>
      </c>
      <c r="BT92" s="69" t="str">
        <f>IF(BT$7&gt;$D$3,"",_xlfn.XLOOKUP(BT$7,Procurement!$M$6:$BM$6,Procurement!$M$13:$BM$13))</f>
        <v>A</v>
      </c>
      <c r="BU92" s="69" t="str">
        <f>IF(BU$7&gt;$D$3,"",_xlfn.XLOOKUP(BU$7,Procurement!$M$6:$BM$6,Procurement!$M$13:$BM$13))</f>
        <v>A</v>
      </c>
      <c r="BV92" s="69" t="str">
        <f>IF(BV$7&gt;$D$3,"",_xlfn.XLOOKUP(BV$7,Procurement!$M$6:$BM$6,Procurement!$M$13:$BM$13))</f>
        <v>A</v>
      </c>
      <c r="BW92" s="69" t="str">
        <f>IF(BW$7&gt;$D$3,"",_xlfn.XLOOKUP(BW$7,Procurement!$M$6:$BM$6,Procurement!$M$13:$BM$13))</f>
        <v>A</v>
      </c>
      <c r="BX92" s="69" t="str">
        <f>IF(BX$7&gt;$D$3,"",_xlfn.XLOOKUP(BX$7,Procurement!$M$6:$BM$6,Procurement!$M$13:$BM$13))</f>
        <v>A</v>
      </c>
      <c r="BY92" s="69" t="str">
        <f>IF(BY$7&gt;$D$3,"",_xlfn.XLOOKUP(BY$7,Procurement!$M$6:$BM$6,Procurement!$M$13:$BM$13))</f>
        <v>A</v>
      </c>
      <c r="BZ92" s="69" t="str">
        <f>IF(BZ$7&gt;$D$3,"",_xlfn.XLOOKUP(BZ$7,Procurement!$M$6:$BM$6,Procurement!$M$13:$BM$13))</f>
        <v>A</v>
      </c>
      <c r="CA92" s="69" t="str">
        <f>IF(CA$7&gt;$D$3,"",_xlfn.XLOOKUP(CA$7,Procurement!$M$6:$BM$6,Procurement!$M$13:$BM$13))</f>
        <v>A</v>
      </c>
      <c r="CB92" s="69" t="str">
        <f>IF(CB$7&gt;$D$3,"",_xlfn.XLOOKUP(CB$7,Procurement!$M$6:$BM$6,Procurement!$M$13:$BM$13))</f>
        <v>A</v>
      </c>
      <c r="CC92" s="69" t="str">
        <f>IF(CC$7&gt;$D$3,"",_xlfn.XLOOKUP(CC$7,Procurement!$M$6:$BM$6,Procurement!$M$13:$BM$13))</f>
        <v/>
      </c>
      <c r="CD92" s="69" t="str">
        <f>IF(CD$7&gt;$D$3,"",_xlfn.XLOOKUP(CD$7,Procurement!$M$6:$BM$6,Procurement!$M$13:$BM$13))</f>
        <v/>
      </c>
      <c r="CE92" s="69" t="str">
        <f>IF(CE$7&gt;$D$3,"",_xlfn.XLOOKUP(CE$7,Procurement!$M$6:$BM$6,Procurement!$M$13:$BM$13))</f>
        <v/>
      </c>
      <c r="CF92" s="69" t="str">
        <f>IF(CF$7&gt;$D$3,"",_xlfn.XLOOKUP(CF$7,Procurement!$M$6:$BM$6,Procurement!$M$13:$BM$13))</f>
        <v/>
      </c>
      <c r="CG92" s="69" t="str">
        <f>IF(CG$7&gt;$D$3,"",_xlfn.XLOOKUP(CG$7,Procurement!$M$6:$BM$6,Procurement!$M$13:$BM$13))</f>
        <v/>
      </c>
      <c r="CH92" s="69" t="str">
        <f>IF(CH$7&gt;$D$3,"",_xlfn.XLOOKUP(CH$7,Procurement!$M$6:$BM$6,Procurement!$M$13:$BM$13))</f>
        <v/>
      </c>
      <c r="CI92" s="69" t="str">
        <f>IF(CI$7&gt;$D$3,"",_xlfn.XLOOKUP(CI$7,Procurement!$M$6:$BM$6,Procurement!$M$13:$BM$13))</f>
        <v/>
      </c>
      <c r="CJ92" s="69" t="str">
        <f>IF(CJ$7&gt;$D$3,"",_xlfn.XLOOKUP(CJ$7,Procurement!$M$6:$BM$6,Procurement!$M$13:$BM$13))</f>
        <v/>
      </c>
      <c r="CK92" s="69" t="str">
        <f>IF(CK$7&gt;$D$3,"",_xlfn.XLOOKUP(CK$7,Procurement!$M$6:$BM$6,Procurement!$M$13:$BM$13))</f>
        <v/>
      </c>
      <c r="CL92" s="69" t="str">
        <f>IF(CL$7&gt;$D$3,"",_xlfn.XLOOKUP(CL$7,Procurement!$M$6:$BM$6,Procurement!$M$13:$BM$13))</f>
        <v/>
      </c>
      <c r="CM92" s="69" t="str">
        <f>IF(CM$7&gt;$D$3,"",_xlfn.XLOOKUP(CM$7,Procurement!$M$6:$BM$6,Procurement!$M$13:$BM$13))</f>
        <v/>
      </c>
      <c r="CO92" s="465" t="str">
        <f>+$A92</f>
        <v>Procurement-KPI D1</v>
      </c>
      <c r="CP92" s="136" t="str">
        <f t="shared" si="318"/>
        <v>KPI D1</v>
      </c>
      <c r="CQ92" s="144" t="str">
        <f t="shared" si="318"/>
        <v>Delivery</v>
      </c>
      <c r="CR92" s="144" t="str">
        <f t="shared" si="303"/>
        <v>Supplier Delivery Performance - on time and full into SAS</v>
      </c>
      <c r="CS92" s="145" t="str">
        <f t="shared" si="303"/>
        <v>Percentage</v>
      </c>
      <c r="CT92" s="207" t="s">
        <v>246</v>
      </c>
      <c r="CU92" s="423" t="str">
        <f>IF(CU$7&gt;$D$3,"",_xlfn.XLOOKUP(CU$7,Procurement!$M$6:$BM$6,Procurement!$M$13:$BM$13))</f>
        <v>Blank</v>
      </c>
      <c r="CV92" s="323" t="str">
        <f>IF(CV$7&gt;$D$3,"",IF(AN92="Missed","Missed",IF(AN92="OD","OD",IF(AN92="TBC","TBC",IF(AN92="Undefined","Undefined",_xlfn.XLOOKUP(CV$7,Procurement!$M$6:$BM$6,Procurement!$M$12:$BM$12)/_xlfn.XLOOKUP(CV$7,Procurement!$M$6:$BM$6,Procurement!$M$11:$BM$11))))))</f>
        <v>TBC</v>
      </c>
      <c r="CW92" s="315" t="str">
        <f>IF(CW$7&gt;$D$3,"",IF(AO92="Missed","Missed",IF(AO92="OD","OD",IF(AO92="TBC","TBC",IF(AO92="Undefined","Undefined",_xlfn.XLOOKUP(CW$7,Procurement!$M$6:$BM$6,Procurement!$M$12:$BM$12)/_xlfn.XLOOKUP(CW$7,Procurement!$M$6:$BM$6,Procurement!$M$11:$BM$11))))))</f>
        <v>TBC</v>
      </c>
      <c r="CX92" s="315" t="str">
        <f>IF(CX$7&gt;$D$3,"",IF(AP92="Missed","Missed",IF(AP92="OD","OD",IF(AP92="TBC","TBC",IF(AP92="Undefined","Undefined",_xlfn.XLOOKUP(CX$7,Procurement!$M$6:$BM$6,Procurement!$M$12:$BM$12)/_xlfn.XLOOKUP(CX$7,Procurement!$M$6:$BM$6,Procurement!$M$11:$BM$11))))))</f>
        <v>TBC</v>
      </c>
      <c r="CY92" s="315" t="str">
        <f>IF(CY$7&gt;$D$3,"",IF(AQ92="Missed","Missed",IF(AQ92="OD","OD",IF(AQ92="TBC","TBC",IF(AQ92="Undefined","Undefined",_xlfn.XLOOKUP(CY$7,Procurement!$M$6:$BM$6,Procurement!$M$12:$BM$12)/_xlfn.XLOOKUP(CY$7,Procurement!$M$6:$BM$6,Procurement!$M$11:$BM$11))))))</f>
        <v>TBC</v>
      </c>
      <c r="CZ92" s="315" t="str">
        <f>IF(CZ$7&gt;$D$3,"",IF(AR92="Missed","Missed",IF(AR92="OD","OD",IF(AR92="TBC","TBC",IF(AR92="Undefined","Undefined",_xlfn.XLOOKUP(CZ$7,Procurement!$M$6:$BM$6,Procurement!$M$12:$BM$12)/_xlfn.XLOOKUP(CZ$7,Procurement!$M$6:$BM$6,Procurement!$M$11:$BM$11))))))</f>
        <v>TBC</v>
      </c>
      <c r="DA92" s="315" t="str">
        <f>IF(DA$7&gt;$D$3,"",IF(AS92="Missed","Missed",IF(AS92="OD","OD",IF(AS92="TBC","TBC",IF(AS92="Undefined","Undefined",_xlfn.XLOOKUP(DA$7,Procurement!$M$6:$BM$6,Procurement!$M$12:$BM$12)/_xlfn.XLOOKUP(DA$7,Procurement!$M$6:$BM$6,Procurement!$M$11:$BM$11))))))</f>
        <v>TBC</v>
      </c>
      <c r="DB92" s="315" t="str">
        <f>IF(DB$7&gt;$D$3,"",IF(AT92="Missed","Missed",IF(AT92="OD","OD",IF(AT92="TBC","TBC",IF(AT92="Undefined","Undefined",_xlfn.XLOOKUP(DB$7,Procurement!$M$6:$BM$6,Procurement!$M$12:$BM$12)/_xlfn.XLOOKUP(DB$7,Procurement!$M$6:$BM$6,Procurement!$M$11:$BM$11))))))</f>
        <v>TBC</v>
      </c>
      <c r="DC92" s="315" t="str">
        <f>IF(DC$7&gt;$D$3,"",IF(AU92="Missed","Missed",IF(AU92="OD","OD",IF(AU92="TBC","TBC",IF(AU92="Undefined","Undefined",_xlfn.XLOOKUP(DC$7,Procurement!$M$6:$BM$6,Procurement!$M$12:$BM$12)/_xlfn.XLOOKUP(DC$7,Procurement!$M$6:$BM$6,Procurement!$M$11:$BM$11))))))</f>
        <v>TBC</v>
      </c>
      <c r="DD92" s="315" t="str">
        <f>IF(DD$7&gt;$D$3,"",IF(AV92="Missed","Missed",IF(AV92="OD","OD",IF(AV92="TBC","TBC",IF(AV92="Undefined","Undefined",_xlfn.XLOOKUP(DD$7,Procurement!$M$6:$BM$6,Procurement!$M$12:$BM$12)/_xlfn.XLOOKUP(DD$7,Procurement!$M$6:$BM$6,Procurement!$M$11:$BM$11))))))</f>
        <v>TBC</v>
      </c>
      <c r="DE92" s="315" t="str">
        <f>IF(DE$7&gt;$D$3,"",IF(AW92="Missed","Missed",IF(AW92="OD","OD",IF(AW92="TBC","TBC",IF(AW92="Undefined","Undefined",_xlfn.XLOOKUP(DE$7,Procurement!$M$6:$BM$6,Procurement!$M$12:$BM$12)/_xlfn.XLOOKUP(DE$7,Procurement!$M$6:$BM$6,Procurement!$M$11:$BM$11))))))</f>
        <v>TBC</v>
      </c>
      <c r="DF92" s="315">
        <f>IF(DF$7&gt;$D$3,"",IF(AX92="Missed","Missed",IF(AX92="OD","OD",IF(AX92="TBC","TBC",IF(AX92="Undefined","Undefined",_xlfn.XLOOKUP(DF$7,Procurement!$M$6:$BM$6,Procurement!$M$12:$BM$12)/_xlfn.XLOOKUP(DF$7,Procurement!$M$6:$BM$6,Procurement!$M$11:$BM$11))))))</f>
        <v>0.98421052631578942</v>
      </c>
      <c r="DG92" s="315">
        <f>IF(DG$7&gt;$D$3,"",IF(AY92="Missed","Missed",IF(AY92="OD","OD",IF(AY92="TBC","TBC",IF(AY92="Undefined","Undefined",_xlfn.XLOOKUP(DG$7,Procurement!$M$6:$BM$6,Procurement!$M$12:$BM$12)/_xlfn.XLOOKUP(DG$7,Procurement!$M$6:$BM$6,Procurement!$M$11:$BM$11))))))</f>
        <v>0.97894736842105268</v>
      </c>
      <c r="DH92" s="315">
        <f>IF(DH$7&gt;$D$3,"",IF(AZ92="Missed","Missed",IF(AZ92="OD","OD",IF(AZ92="TBC","TBC",IF(AZ92="Undefined","Undefined",_xlfn.XLOOKUP(DH$7,Procurement!$M$6:$BM$6,Procurement!$M$12:$BM$12)/_xlfn.XLOOKUP(DH$7,Procurement!$M$6:$BM$6,Procurement!$M$11:$BM$11))))))</f>
        <v>0.98736842105263156</v>
      </c>
      <c r="DI92" s="315">
        <f>IF(DI$7&gt;$D$3,"",IF(BA92="Missed","Missed",IF(BA92="OD","OD",IF(BA92="TBC","TBC",IF(BA92="Undefined","Undefined",_xlfn.XLOOKUP(DI$7,Procurement!$M$6:$BM$6,Procurement!$M$12:$BM$12)/_xlfn.XLOOKUP(DI$7,Procurement!$M$6:$BM$6,Procurement!$M$11:$BM$11))))))</f>
        <v>0.97684210526315784</v>
      </c>
      <c r="DJ92" s="315">
        <f>IF(DJ$7&gt;$D$3,"",IF(BB92="Missed","Missed",IF(BB92="OD","OD",IF(BB92="TBC","TBC",IF(BB92="Undefined","Undefined",_xlfn.XLOOKUP(DJ$7,Procurement!$M$6:$BM$6,Procurement!$M$12:$BM$12)/_xlfn.XLOOKUP(DJ$7,Procurement!$M$6:$BM$6,Procurement!$M$11:$BM$11))))))</f>
        <v>0.98</v>
      </c>
      <c r="DK92" s="315">
        <f>IF(DK$7&gt;$D$3,"",IF(BC92="Missed","Missed",IF(BC92="OD","OD",IF(BC92="TBC","TBC",IF(BC92="Undefined","Undefined",_xlfn.XLOOKUP(DK$7,Procurement!$M$6:$BM$6,Procurement!$M$12:$BM$12)/_xlfn.XLOOKUP(DK$7,Procurement!$M$6:$BM$6,Procurement!$M$11:$BM$11))))))</f>
        <v>0.98315789473684212</v>
      </c>
      <c r="DL92" s="315">
        <f>IF(DL$7&gt;$D$3,"",IF(BD92="Missed","Missed",IF(BD92="OD","OD",IF(BD92="TBC","TBC",IF(BD92="Undefined","Undefined",_xlfn.XLOOKUP(DL$7,Procurement!$M$6:$BM$6,Procurement!$M$12:$BM$12)/_xlfn.XLOOKUP(DL$7,Procurement!$M$6:$BM$6,Procurement!$M$11:$BM$11))))))</f>
        <v>0.97578947368421054</v>
      </c>
      <c r="DM92" s="315">
        <f>IF(DM$7&gt;$D$3,"",IF(BE92="Missed","Missed",IF(BE92="OD","OD",IF(BE92="TBC","TBC",IF(BE92="Undefined","Undefined",_xlfn.XLOOKUP(DM$7,Procurement!$M$6:$BM$6,Procurement!$M$12:$BM$12)/_xlfn.XLOOKUP(DM$7,Procurement!$M$6:$BM$6,Procurement!$M$11:$BM$11))))))</f>
        <v>0.98315789473684212</v>
      </c>
      <c r="DN92" s="315">
        <f>IF(DN$7&gt;$D$3,"",IF(BF92="Missed","Missed",IF(BF92="OD","OD",IF(BF92="TBC","TBC",IF(BF92="Undefined","Undefined",_xlfn.XLOOKUP(DN$7,Procurement!$M$6:$BM$6,Procurement!$M$12:$BM$12)/_xlfn.XLOOKUP(DN$7,Procurement!$M$6:$BM$6,Procurement!$M$11:$BM$11))))))</f>
        <v>0.99052631578947359</v>
      </c>
      <c r="DO92" s="315">
        <f>IF(DO$7&gt;$D$3,"",IF(BG92="Missed","Missed",IF(BG92="OD","OD",IF(BG92="TBC","TBC",IF(BG92="Undefined","Undefined",_xlfn.XLOOKUP(DO$7,Procurement!$M$6:$BM$6,Procurement!$M$12:$BM$12)/_xlfn.XLOOKUP(DO$7,Procurement!$M$6:$BM$6,Procurement!$M$11:$BM$11))))))</f>
        <v>0.98947368421052628</v>
      </c>
      <c r="DP92" s="315">
        <f>IF(DP$7&gt;$D$3,"",IF(BH92="Missed","Missed",IF(BH92="OD","OD",IF(BH92="TBC","TBC",IF(BH92="Undefined","Undefined",_xlfn.XLOOKUP(DP$7,Procurement!$M$6:$BM$6,Procurement!$M$12:$BM$12)/_xlfn.XLOOKUP(DP$7,Procurement!$M$6:$BM$6,Procurement!$M$11:$BM$11))))))</f>
        <v>0.98842105263157898</v>
      </c>
      <c r="DQ92" s="315">
        <f>IF(DQ$7&gt;$D$3,"",IF(BI92="Missed","Missed",IF(BI92="OD","OD",IF(BI92="TBC","TBC",IF(BI92="Undefined","Undefined",_xlfn.XLOOKUP(DQ$7,Procurement!$M$6:$BM$6,Procurement!$M$12:$BM$12)/_xlfn.XLOOKUP(DQ$7,Procurement!$M$6:$BM$6,Procurement!$M$11:$BM$11))))))</f>
        <v>0.97789473684210537</v>
      </c>
      <c r="DR92" s="315">
        <f>IF(DR$7&gt;$D$3,"",IF(BJ92="Missed","Missed",IF(BJ92="OD","OD",IF(BJ92="TBC","TBC",IF(BJ92="Undefined","Undefined",_xlfn.XLOOKUP(DR$7,Procurement!$M$6:$BM$6,Procurement!$M$12:$BM$12)/_xlfn.XLOOKUP(DR$7,Procurement!$M$6:$BM$6,Procurement!$M$11:$BM$11))))))</f>
        <v>0.99157894736842112</v>
      </c>
      <c r="DS92" s="315">
        <f>IF(DS$7&gt;$D$3,"",IF(BK92="Missed","Missed",IF(BK92="OD","OD",IF(BK92="TBC","TBC",IF(BK92="Undefined","Undefined",_xlfn.XLOOKUP(DS$7,Procurement!$M$6:$BM$6,Procurement!$M$12:$BM$12)/_xlfn.XLOOKUP(DS$7,Procurement!$M$6:$BM$6,Procurement!$M$11:$BM$11))))))</f>
        <v>0.97789473684210537</v>
      </c>
      <c r="DT92" s="315">
        <f>IF(DT$7&gt;$D$3,"",IF(BL92="Missed","Missed",IF(BL92="OD","OD",IF(BL92="TBC","TBC",IF(BL92="Undefined","Undefined",_xlfn.XLOOKUP(DT$7,Procurement!$M$6:$BM$6,Procurement!$M$12:$BM$12)/_xlfn.XLOOKUP(DT$7,Procurement!$M$6:$BM$6,Procurement!$M$11:$BM$11))))))</f>
        <v>0.9810526315789474</v>
      </c>
      <c r="DU92" s="315">
        <f>IF(DU$7&gt;$D$3,"",IF(BM92="Missed","Missed",IF(BM92="OD","OD",IF(BM92="TBC","TBC",IF(BM92="Undefined","Undefined",_xlfn.XLOOKUP(DU$7,Procurement!$M$6:$BM$6,Procurement!$M$12:$BM$12)/_xlfn.XLOOKUP(DU$7,Procurement!$M$6:$BM$6,Procurement!$M$11:$BM$11))))))</f>
        <v>0.97789473684210537</v>
      </c>
      <c r="DV92" s="315">
        <f>IF(DV$7&gt;$D$3,"",IF(BN92="Missed","Missed",IF(BN92="OD","OD",IF(BN92="TBC","TBC",IF(BN92="Undefined","Undefined",_xlfn.XLOOKUP(DV$7,Procurement!$M$6:$BM$6,Procurement!$M$12:$BM$12)/_xlfn.XLOOKUP(DV$7,Procurement!$M$6:$BM$6,Procurement!$M$11:$BM$11))))))</f>
        <v>0.97789473684210537</v>
      </c>
      <c r="DW92" s="315">
        <f>IF(DW$7&gt;$D$3,"",IF(BO92="Missed","Missed",IF(BO92="OD","OD",IF(BO92="TBC","TBC",IF(BO92="Undefined","Undefined",_xlfn.XLOOKUP(DW$7,Procurement!$M$6:$BM$6,Procurement!$M$12:$BM$12)/_xlfn.XLOOKUP(DW$7,Procurement!$M$6:$BM$6,Procurement!$M$11:$BM$11))))))</f>
        <v>0.97789473684210537</v>
      </c>
      <c r="DX92" s="315">
        <f>IF(DX$7&gt;$D$3,"",IF(BP92="Missed","Missed",IF(BP92="OD","OD",IF(BP92="TBC","TBC",IF(BP92="Undefined","Undefined",_xlfn.XLOOKUP(DX$7,Procurement!$M$6:$BM$6,Procurement!$M$12:$BM$12)/_xlfn.XLOOKUP(DX$7,Procurement!$M$6:$BM$6,Procurement!$M$11:$BM$11))))))</f>
        <v>0.97789473684210537</v>
      </c>
      <c r="DY92" s="315">
        <f>IF(DY$7&gt;$D$3,"",IF(BQ92="Missed","Missed",IF(BQ92="OD","OD",IF(BQ92="TBC","TBC",IF(BQ92="Undefined","Undefined",_xlfn.XLOOKUP(DY$7,Procurement!$M$6:$BM$6,Procurement!$M$12:$BM$12)/_xlfn.XLOOKUP(DY$7,Procurement!$M$6:$BM$6,Procurement!$M$11:$BM$11))))))</f>
        <v>0.98315789473684212</v>
      </c>
      <c r="DZ92" s="315">
        <f>IF(DZ$7&gt;$D$3,"",IF(BR92="Missed","Missed",IF(BR92="OD","OD",IF(BR92="TBC","TBC",IF(BR92="Undefined","Undefined",_xlfn.XLOOKUP(DZ$7,Procurement!$M$6:$BM$6,Procurement!$M$12:$BM$12)/_xlfn.XLOOKUP(DZ$7,Procurement!$M$6:$BM$6,Procurement!$M$11:$BM$11))))))</f>
        <v>0.98315789473684212</v>
      </c>
      <c r="EA92" s="315">
        <f>IF(EA$7&gt;$D$3,"",IF(BS92="Missed","Missed",IF(BS92="OD","OD",IF(BS92="TBC","TBC",IF(BS92="Undefined","Undefined",_xlfn.XLOOKUP(EA$7,Procurement!$M$6:$BM$6,Procurement!$M$12:$BM$12)/_xlfn.XLOOKUP(EA$7,Procurement!$M$6:$BM$6,Procurement!$M$11:$BM$11))))))</f>
        <v>0.98315789473684212</v>
      </c>
      <c r="EB92" s="315">
        <f>IF(EB$7&gt;$D$3,"",IF(BT92="Missed","Missed",IF(BT92="OD","OD",IF(BT92="TBC","TBC",IF(BT92="Undefined","Undefined",_xlfn.XLOOKUP(EB$7,Procurement!$M$6:$BM$6,Procurement!$M$12:$BM$12)/_xlfn.XLOOKUP(EB$7,Procurement!$M$6:$BM$6,Procurement!$M$11:$BM$11))))))</f>
        <v>0.97894736842105268</v>
      </c>
      <c r="EC92" s="315">
        <f>IF(EC$7&gt;$D$3,"",IF(BU92="Missed","Missed",IF(BU92="OD","OD",IF(BU92="TBC","TBC",IF(BU92="Undefined","Undefined",_xlfn.XLOOKUP(EC$7,Procurement!$M$6:$BM$6,Procurement!$M$12:$BM$12)/_xlfn.XLOOKUP(EC$7,Procurement!$M$6:$BM$6,Procurement!$M$11:$BM$11))))))</f>
        <v>0.98736842105263156</v>
      </c>
      <c r="ED92" s="315">
        <f>IF(ED$7&gt;$D$3,"",IF(BV92="Missed","Missed",IF(BV92="OD","OD",IF(BV92="TBC","TBC",IF(BV92="Undefined","Undefined",_xlfn.XLOOKUP(ED$7,Procurement!$M$6:$BM$6,Procurement!$M$12:$BM$12)/_xlfn.XLOOKUP(ED$7,Procurement!$M$6:$BM$6,Procurement!$M$11:$BM$11))))))</f>
        <v>0.98736842105263156</v>
      </c>
      <c r="EE92" s="315">
        <f>IF(EE$7&gt;$D$3,"",IF(BW92="Missed","Missed",IF(BW92="OD","OD",IF(BW92="TBC","TBC",IF(BW92="Undefined","Undefined",_xlfn.XLOOKUP(EE$7,Procurement!$M$6:$BM$6,Procurement!$M$12:$BM$12)/_xlfn.XLOOKUP(EE$7,Procurement!$M$6:$BM$6,Procurement!$M$11:$BM$11))))))</f>
        <v>0.98736842105263156</v>
      </c>
      <c r="EF92" s="315">
        <f>IF(EF$7&gt;$D$3,"",IF(BX92="Missed","Missed",IF(BX92="OD","OD",IF(BX92="TBC","TBC",IF(BX92="Undefined","Undefined",_xlfn.XLOOKUP(EF$7,Procurement!$M$6:$BM$6,Procurement!$M$12:$BM$12)/_xlfn.XLOOKUP(EF$7,Procurement!$M$6:$BM$6,Procurement!$M$11:$BM$11))))))</f>
        <v>0.98736842105263156</v>
      </c>
      <c r="EG92" s="315">
        <f>IF(EG$7&gt;$D$3,"",IF(BY92="Missed","Missed",IF(BY92="OD","OD",IF(BY92="TBC","TBC",IF(BY92="Undefined","Undefined",_xlfn.XLOOKUP(EG$7,Procurement!$M$6:$BM$6,Procurement!$M$12:$BM$12)/_xlfn.XLOOKUP(EG$7,Procurement!$M$6:$BM$6,Procurement!$M$11:$BM$11))))))</f>
        <v>0.98736842105263156</v>
      </c>
      <c r="EH92" s="315">
        <f>IF(EH$7&gt;$D$3,"",IF(BZ92="Missed","Missed",IF(BZ92="OD","OD",IF(BZ92="TBC","TBC",IF(BZ92="Undefined","Undefined",_xlfn.XLOOKUP(EH$7,Procurement!$M$6:$BM$6,Procurement!$M$12:$BM$12)/_xlfn.XLOOKUP(EH$7,Procurement!$M$6:$BM$6,Procurement!$M$11:$BM$11))))))</f>
        <v>0.98736842105263156</v>
      </c>
      <c r="EI92" s="315">
        <f>IF(EI$7&gt;$D$3,"",IF(CA92="Missed","Missed",IF(CA92="OD","OD",IF(CA92="TBC","TBC",IF(CA92="Undefined","Undefined",_xlfn.XLOOKUP(EI$7,Procurement!$M$6:$BM$6,Procurement!$M$12:$BM$12)/_xlfn.XLOOKUP(EI$7,Procurement!$M$6:$BM$6,Procurement!$M$11:$BM$11))))))</f>
        <v>0.98736842105263156</v>
      </c>
      <c r="EJ92" s="315">
        <f>IF(EJ$7&gt;$D$3,"",IF(CB92="Missed","Missed",IF(CB92="OD","OD",IF(CB92="TBC","TBC",IF(CB92="Undefined","Undefined",_xlfn.XLOOKUP(EJ$7,Procurement!$M$6:$BM$6,Procurement!$M$12:$BM$12)/_xlfn.XLOOKUP(EJ$7,Procurement!$M$6:$BM$6,Procurement!$M$11:$BM$11))))))</f>
        <v>0.98736842105263156</v>
      </c>
      <c r="EK92" s="315" t="str">
        <f>IF(EK$7&gt;$D$3,"",IF(CC92="Missed","Missed",IF(CC92="OD","OD",IF(CC92="TBC","TBC",IF(CC92="Undefined","Undefined",_xlfn.XLOOKUP(EK$7,Procurement!$M$6:$BM$6,Procurement!$M$12:$BM$12)/_xlfn.XLOOKUP(EK$7,Procurement!$M$6:$BM$6,Procurement!$M$11:$BM$11))))))</f>
        <v/>
      </c>
      <c r="EL92" s="315" t="str">
        <f>IF(EL$7&gt;$D$3,"",IF(CD92="Missed","Missed",IF(CD92="OD","OD",IF(CD92="TBC","TBC",IF(CD92="Undefined","Undefined",_xlfn.XLOOKUP(EL$7,Procurement!$M$6:$BM$6,Procurement!$M$12:$BM$12)/_xlfn.XLOOKUP(EL$7,Procurement!$M$6:$BM$6,Procurement!$M$11:$BM$11))))))</f>
        <v/>
      </c>
      <c r="EM92" s="315" t="str">
        <f>IF(EM$7&gt;$D$3,"",IF(CE92="Missed","Missed",IF(CE92="OD","OD",IF(CE92="TBC","TBC",IF(CE92="Undefined","Undefined",_xlfn.XLOOKUP(EM$7,Procurement!$M$6:$BM$6,Procurement!$M$12:$BM$12)/_xlfn.XLOOKUP(EM$7,Procurement!$M$6:$BM$6,Procurement!$M$11:$BM$11))))))</f>
        <v/>
      </c>
      <c r="EN92" s="315" t="str">
        <f>IF(EN$7&gt;$D$3,"",IF(CF92="Missed","Missed",IF(CF92="OD","OD",IF(CF92="TBC","TBC",IF(CF92="Undefined","Undefined",_xlfn.XLOOKUP(EN$7,Procurement!$M$6:$BM$6,Procurement!$M$12:$BM$12)/_xlfn.XLOOKUP(EN$7,Procurement!$M$6:$BM$6,Procurement!$M$11:$BM$11))))))</f>
        <v/>
      </c>
      <c r="EO92" s="315" t="str">
        <f>IF(EO$7&gt;$D$3,"",IF(CG92="Missed","Missed",IF(CG92="OD","OD",IF(CG92="TBC","TBC",IF(CG92="Undefined","Undefined",_xlfn.XLOOKUP(EO$7,Procurement!$M$6:$BM$6,Procurement!$M$12:$BM$12)/_xlfn.XLOOKUP(EO$7,Procurement!$M$6:$BM$6,Procurement!$M$11:$BM$11))))))</f>
        <v/>
      </c>
      <c r="EP92" s="315" t="str">
        <f>IF(EP$7&gt;$D$3,"",IF(CH92="Missed","Missed",IF(CH92="OD","OD",IF(CH92="TBC","TBC",IF(CH92="Undefined","Undefined",_xlfn.XLOOKUP(EP$7,Procurement!$M$6:$BM$6,Procurement!$M$12:$BM$12)/_xlfn.XLOOKUP(EP$7,Procurement!$M$6:$BM$6,Procurement!$M$11:$BM$11))))))</f>
        <v/>
      </c>
      <c r="EQ92" s="315" t="str">
        <f>IF(EQ$7&gt;$D$3,"",IF(CI92="Missed","Missed",IF(CI92="OD","OD",IF(CI92="TBC","TBC",IF(CI92="Undefined","Undefined",_xlfn.XLOOKUP(EQ$7,Procurement!$M$6:$BM$6,Procurement!$M$12:$BM$12)/_xlfn.XLOOKUP(EQ$7,Procurement!$M$6:$BM$6,Procurement!$M$11:$BM$11))))))</f>
        <v/>
      </c>
      <c r="ER92" s="315" t="str">
        <f>IF(ER$7&gt;$D$3,"",IF(CJ92="Missed","Missed",IF(CJ92="OD","OD",IF(CJ92="TBC","TBC",IF(CJ92="Undefined","Undefined",_xlfn.XLOOKUP(ER$7,Procurement!$M$6:$BM$6,Procurement!$M$12:$BM$12)/_xlfn.XLOOKUP(ER$7,Procurement!$M$6:$BM$6,Procurement!$M$11:$BM$11))))))</f>
        <v/>
      </c>
      <c r="ES92" s="315" t="str">
        <f>IF(ES$7&gt;$D$3,"",IF(CK92="Missed","Missed",IF(CK92="OD","OD",IF(CK92="TBC","TBC",IF(CK92="Undefined","Undefined",_xlfn.XLOOKUP(ES$7,Procurement!$M$6:$BM$6,Procurement!$M$12:$BM$12)/_xlfn.XLOOKUP(ES$7,Procurement!$M$6:$BM$6,Procurement!$M$11:$BM$11))))))</f>
        <v/>
      </c>
      <c r="ET92" s="315" t="str">
        <f>IF(ET$7&gt;$D$3,"",IF(CL92="Missed","Missed",IF(CL92="OD","OD",IF(CL92="TBC","TBC",IF(CL92="Undefined","Undefined",_xlfn.XLOOKUP(ET$7,Procurement!$M$6:$BM$6,Procurement!$M$12:$BM$12)/_xlfn.XLOOKUP(ET$7,Procurement!$M$6:$BM$6,Procurement!$M$11:$BM$11))))))</f>
        <v/>
      </c>
      <c r="EU92" s="315" t="str">
        <f>IF(EU$7&gt;$D$3,"",IF(CM92="Missed","Missed",IF(CM92="OD","OD",IF(CM92="TBC","TBC",IF(CM92="Undefined","Undefined",_xlfn.XLOOKUP(EU$7,Procurement!$M$6:$BM$6,Procurement!$M$12:$BM$12)/_xlfn.XLOOKUP(EU$7,Procurement!$M$6:$BM$6,Procurement!$M$11:$BM$11))))))</f>
        <v/>
      </c>
      <c r="EW92" s="465" t="str">
        <f>+$A92</f>
        <v>Procurement-KPI D1</v>
      </c>
      <c r="EX92" s="136" t="str">
        <f>+$C92</f>
        <v>KPI D1</v>
      </c>
      <c r="EY92" s="144" t="str">
        <f>+$D92</f>
        <v>Delivery</v>
      </c>
      <c r="EZ92" s="144" t="str">
        <f>+$E92</f>
        <v>Supplier Delivery Performance - on time and full into SAS</v>
      </c>
      <c r="FA92" s="145" t="str">
        <f>+$F92</f>
        <v>Percentage</v>
      </c>
      <c r="FB92" s="145" t="s">
        <v>251</v>
      </c>
      <c r="FC92" s="199" t="str">
        <f>IF(FC$7&gt;$D$3,"",IF($FA90&lt;FC$7,"OD",_xlfn.XLOOKUP(FC$7,Procurement!$M$6:$BM$6,Procurement!$M$12:$BM$12)))</f>
        <v>Blank</v>
      </c>
      <c r="FD92" s="199" t="str">
        <f>IF(FD$7&gt;$D$3,"",IF($FA90&lt;FD$7,"OD",_xlfn.XLOOKUP(FD$7,Procurement!$M$6:$BM$6,Procurement!$M$12:$BM$12)))</f>
        <v>TBC</v>
      </c>
      <c r="FE92" s="199" t="str">
        <f>IF(FE$7&gt;$D$3,"",IF($FA90&lt;FE$7,"OD",_xlfn.XLOOKUP(FE$7,Procurement!$M$6:$BM$6,Procurement!$M$12:$BM$12)))</f>
        <v>TBC</v>
      </c>
      <c r="FF92" s="199" t="str">
        <f>IF(FF$7&gt;$D$3,"",IF($FA90&lt;FF$7,"OD",_xlfn.XLOOKUP(FF$7,Procurement!$M$6:$BM$6,Procurement!$M$12:$BM$12)))</f>
        <v>TBC</v>
      </c>
      <c r="FG92" s="199" t="str">
        <f>IF(FG$7&gt;$D$3,"",IF($FA90&lt;FG$7,"OD",_xlfn.XLOOKUP(FG$7,Procurement!$M$6:$BM$6,Procurement!$M$12:$BM$12)))</f>
        <v>TBC</v>
      </c>
      <c r="FH92" s="199" t="str">
        <f>IF(FH$7&gt;$D$3,"",IF($FA90&lt;FH$7,"OD",_xlfn.XLOOKUP(FH$7,Procurement!$M$6:$BM$6,Procurement!$M$12:$BM$12)))</f>
        <v>TBC</v>
      </c>
      <c r="FI92" s="199" t="str">
        <f>IF(FI$7&gt;$D$3,"",IF($FA90&lt;FI$7,"OD",_xlfn.XLOOKUP(FI$7,Procurement!$M$6:$BM$6,Procurement!$M$12:$BM$12)))</f>
        <v>TBC</v>
      </c>
      <c r="FJ92" s="199" t="str">
        <f>IF(FJ$7&gt;$D$3,"",IF($FA90&lt;FJ$7,"OD",_xlfn.XLOOKUP(FJ$7,Procurement!$M$6:$BM$6,Procurement!$M$12:$BM$12)))</f>
        <v>TBC</v>
      </c>
      <c r="FK92" s="199" t="str">
        <f>IF(FK$7&gt;$D$3,"",IF($FA90&lt;FK$7,"OD",_xlfn.XLOOKUP(FK$7,Procurement!$M$6:$BM$6,Procurement!$M$12:$BM$12)))</f>
        <v>TBC</v>
      </c>
      <c r="FL92" s="199" t="str">
        <f>IF(FL$7&gt;$D$3,"",IF($FA90&lt;FL$7,"OD",_xlfn.XLOOKUP(FL$7,Procurement!$M$6:$BM$6,Procurement!$M$12:$BM$12)))</f>
        <v>TBC</v>
      </c>
      <c r="FM92" s="199" t="str">
        <f>IF(FM$7&gt;$D$3,"",IF($FA90&lt;FM$7,"OD",_xlfn.XLOOKUP(FM$7,Procurement!$M$6:$BM$6,Procurement!$M$12:$BM$12)))</f>
        <v>TBC</v>
      </c>
      <c r="FN92" s="199">
        <f>IF(FN$7&gt;$D$3,"",IF($FA90&lt;FN$7,"OD",_xlfn.XLOOKUP(FN$7,Procurement!$M$6:$BM$6,Procurement!$M$12:$BM$12)))</f>
        <v>93.5</v>
      </c>
      <c r="FO92" s="199">
        <f>IF(FO$7&gt;$D$3,"",IF($FA90&lt;FO$7,"OD",_xlfn.XLOOKUP(FO$7,Procurement!$M$6:$BM$6,Procurement!$M$12:$BM$12)))</f>
        <v>93</v>
      </c>
      <c r="FP92" s="199">
        <f>IF(FP$7&gt;$D$3,"",IF($FA90&lt;FP$7,"OD",_xlfn.XLOOKUP(FP$7,Procurement!$M$6:$BM$6,Procurement!$M$12:$BM$12)))</f>
        <v>93.8</v>
      </c>
      <c r="FQ92" s="199">
        <f>IF(FQ$7&gt;$D$3,"",IF($FA90&lt;FQ$7,"OD",_xlfn.XLOOKUP(FQ$7,Procurement!$M$6:$BM$6,Procurement!$M$12:$BM$12)))</f>
        <v>92.8</v>
      </c>
      <c r="FR92" s="199">
        <f>IF(FR$7&gt;$D$3,"",IF($FA90&lt;FR$7,"OD",_xlfn.XLOOKUP(FR$7,Procurement!$M$6:$BM$6,Procurement!$M$12:$BM$12)))</f>
        <v>93.1</v>
      </c>
      <c r="FS92" s="199">
        <f>IF(FS$7&gt;$D$3,"",IF($FA90&lt;FS$7,"OD",_xlfn.XLOOKUP(FS$7,Procurement!$M$6:$BM$6,Procurement!$M$12:$BM$12)))</f>
        <v>93.4</v>
      </c>
      <c r="FT92" s="199">
        <f>IF(FT$7&gt;$D$3,"",IF($FA90&lt;FT$7,"OD",_xlfn.XLOOKUP(FT$7,Procurement!$M$6:$BM$6,Procurement!$M$12:$BM$12)))</f>
        <v>92.7</v>
      </c>
      <c r="FU92" s="199">
        <f>IF(FU$7&gt;$D$3,"",IF($FA90&lt;FU$7,"OD",_xlfn.XLOOKUP(FU$7,Procurement!$M$6:$BM$6,Procurement!$M$12:$BM$12)))</f>
        <v>93.4</v>
      </c>
      <c r="FV92" s="199">
        <f>IF(FV$7&gt;$D$3,"",IF($FA90&lt;FV$7,"OD",_xlfn.XLOOKUP(FV$7,Procurement!$M$6:$BM$6,Procurement!$M$12:$BM$12)))</f>
        <v>94.1</v>
      </c>
      <c r="FW92" s="199">
        <f>IF(FW$7&gt;$D$3,"",IF($FA90&lt;FW$7,"OD",_xlfn.XLOOKUP(FW$7,Procurement!$M$6:$BM$6,Procurement!$M$12:$BM$12)))</f>
        <v>94</v>
      </c>
      <c r="FX92" s="199">
        <f>IF(FX$7&gt;$D$3,"",IF($FA90&lt;FX$7,"OD",_xlfn.XLOOKUP(FX$7,Procurement!$M$6:$BM$6,Procurement!$M$12:$BM$12)))</f>
        <v>93.9</v>
      </c>
      <c r="FY92" s="199">
        <f>IF(FY$7&gt;$D$3,"",IF($FA90&lt;FY$7,"OD",_xlfn.XLOOKUP(FY$7,Procurement!$M$6:$BM$6,Procurement!$M$12:$BM$12)))</f>
        <v>92.9</v>
      </c>
      <c r="FZ92" s="199">
        <f>IF(FZ$7&gt;$D$3,"",IF($FA90&lt;FZ$7,"OD",_xlfn.XLOOKUP(FZ$7,Procurement!$M$6:$BM$6,Procurement!$M$12:$BM$12)))</f>
        <v>94.2</v>
      </c>
      <c r="GA92" s="199">
        <f>IF(GA$7&gt;$D$3,"",IF($FA90&lt;GA$7,"OD",_xlfn.XLOOKUP(GA$7,Procurement!$M$6:$BM$6,Procurement!$M$12:$BM$12)))</f>
        <v>92.9</v>
      </c>
      <c r="GB92" s="199">
        <f>IF(GB$7&gt;$D$3,"",IF($FA90&lt;GB$7,"OD",_xlfn.XLOOKUP(GB$7,Procurement!$M$6:$BM$6,Procurement!$M$12:$BM$12)))</f>
        <v>93.2</v>
      </c>
      <c r="GC92" s="199">
        <f>IF(GC$7&gt;$D$3,"",IF($FA90&lt;GC$7,"OD",_xlfn.XLOOKUP(GC$7,Procurement!$M$6:$BM$6,Procurement!$M$12:$BM$12)))</f>
        <v>92.9</v>
      </c>
      <c r="GD92" s="199">
        <f>IF(GD$7&gt;$D$3,"",IF($FA90&lt;GD$7,"OD",_xlfn.XLOOKUP(GD$7,Procurement!$M$6:$BM$6,Procurement!$M$12:$BM$12)))</f>
        <v>92.9</v>
      </c>
      <c r="GE92" s="199">
        <f>IF(GE$7&gt;$D$3,"",IF($FA90&lt;GE$7,"OD",_xlfn.XLOOKUP(GE$7,Procurement!$M$6:$BM$6,Procurement!$M$12:$BM$12)))</f>
        <v>92.9</v>
      </c>
      <c r="GF92" s="199">
        <f>IF(GF$7&gt;$D$3,"",IF($FA90&lt;GF$7,"OD",_xlfn.XLOOKUP(GF$7,Procurement!$M$6:$BM$6,Procurement!$M$12:$BM$12)))</f>
        <v>92.9</v>
      </c>
      <c r="GG92" s="199">
        <f>IF(GG$7&gt;$D$3,"",IF($FA90&lt;GG$7,"OD",_xlfn.XLOOKUP(GG$7,Procurement!$M$6:$BM$6,Procurement!$M$12:$BM$12)))</f>
        <v>93.4</v>
      </c>
      <c r="GH92" s="199">
        <f>IF(GH$7&gt;$D$3,"",IF($FA90&lt;GH$7,"OD",_xlfn.XLOOKUP(GH$7,Procurement!$M$6:$BM$6,Procurement!$M$12:$BM$12)))</f>
        <v>93.4</v>
      </c>
      <c r="GI92" s="199">
        <f>IF(GI$7&gt;$D$3,"",IF($FA90&lt;GI$7,"OD",_xlfn.XLOOKUP(GI$7,Procurement!$M$6:$BM$6,Procurement!$M$12:$BM$12)))</f>
        <v>93.4</v>
      </c>
      <c r="GJ92" s="199">
        <f>IF(GJ$7&gt;$D$3,"",IF($FA90&lt;GJ$7,"OD",_xlfn.XLOOKUP(GJ$7,Procurement!$M$6:$BM$6,Procurement!$M$12:$BM$12)))</f>
        <v>93</v>
      </c>
      <c r="GK92" s="199">
        <f>IF(GK$7&gt;$D$3,"",IF($FA90&lt;GK$7,"OD",_xlfn.XLOOKUP(GK$7,Procurement!$M$6:$BM$6,Procurement!$M$12:$BM$12)))</f>
        <v>93.8</v>
      </c>
      <c r="GL92" s="199">
        <f>IF(GL$7&gt;$D$3,"",IF($FA90&lt;GL$7,"OD",_xlfn.XLOOKUP(GL$7,Procurement!$M$6:$BM$6,Procurement!$M$12:$BM$12)))</f>
        <v>93.8</v>
      </c>
      <c r="GM92" s="199">
        <f>IF(GM$7&gt;$D$3,"",IF($FA90&lt;GM$7,"OD",_xlfn.XLOOKUP(GM$7,Procurement!$M$6:$BM$6,Procurement!$M$12:$BM$12)))</f>
        <v>93.8</v>
      </c>
      <c r="GN92" s="199">
        <f>IF(GN$7&gt;$D$3,"",IF($FA90&lt;GN$7,"OD",_xlfn.XLOOKUP(GN$7,Procurement!$M$6:$BM$6,Procurement!$M$12:$BM$12)))</f>
        <v>93.8</v>
      </c>
      <c r="GO92" s="199">
        <f>IF(GO$7&gt;$D$3,"",IF($FA90&lt;GO$7,"OD",_xlfn.XLOOKUP(GO$7,Procurement!$M$6:$BM$6,Procurement!$M$12:$BM$12)))</f>
        <v>93.8</v>
      </c>
      <c r="GP92" s="199">
        <f>IF(GP$7&gt;$D$3,"",IF($FA90&lt;GP$7,"OD",_xlfn.XLOOKUP(GP$7,Procurement!$M$6:$BM$6,Procurement!$M$12:$BM$12)))</f>
        <v>93.8</v>
      </c>
      <c r="GQ92" s="199">
        <f>IF(GQ$7&gt;$D$3,"",IF($FA90&lt;GQ$7,"OD",_xlfn.XLOOKUP(GQ$7,Procurement!$M$6:$BM$6,Procurement!$M$12:$BM$12)))</f>
        <v>93.8</v>
      </c>
      <c r="GR92" s="199">
        <f>IF(GR$7&gt;$D$3,"",IF($FA90&lt;GR$7,"OD",_xlfn.XLOOKUP(GR$7,Procurement!$M$6:$BM$6,Procurement!$M$12:$BM$12)))</f>
        <v>93.8</v>
      </c>
      <c r="GS92" s="199" t="str">
        <f>IF(GS$7&gt;$D$3,"",IF($FA90&lt;GS$7,"OD",_xlfn.XLOOKUP(GS$7,Procurement!$M$6:$BM$6,Procurement!$M$12:$BM$12)))</f>
        <v/>
      </c>
      <c r="GT92" s="199" t="str">
        <f>IF(GT$7&gt;$D$3,"",IF($FA90&lt;GT$7,"OD",_xlfn.XLOOKUP(GT$7,Procurement!$M$6:$BM$6,Procurement!$M$12:$BM$12)))</f>
        <v/>
      </c>
      <c r="GU92" s="199" t="str">
        <f>IF(GU$7&gt;$D$3,"",IF($FA90&lt;GU$7,"OD",_xlfn.XLOOKUP(GU$7,Procurement!$M$6:$BM$6,Procurement!$M$12:$BM$12)))</f>
        <v/>
      </c>
      <c r="GV92" s="199" t="str">
        <f>IF(GV$7&gt;$D$3,"",IF($FA90&lt;GV$7,"OD",_xlfn.XLOOKUP(GV$7,Procurement!$M$6:$BM$6,Procurement!$M$12:$BM$12)))</f>
        <v/>
      </c>
      <c r="GW92" s="199" t="str">
        <f>IF(GW$7&gt;$D$3,"",IF($FA90&lt;GW$7,"OD",_xlfn.XLOOKUP(GW$7,Procurement!$M$6:$BM$6,Procurement!$M$12:$BM$12)))</f>
        <v/>
      </c>
      <c r="GX92" s="199" t="str">
        <f>IF(GX$7&gt;$D$3,"",IF($FA90&lt;GX$7,"OD",_xlfn.XLOOKUP(GX$7,Procurement!$M$6:$BM$6,Procurement!$M$12:$BM$12)))</f>
        <v/>
      </c>
      <c r="GY92" s="199" t="str">
        <f>IF(GY$7&gt;$D$3,"",IF($FA90&lt;GY$7,"OD",_xlfn.XLOOKUP(GY$7,Procurement!$M$6:$BM$6,Procurement!$M$12:$BM$12)))</f>
        <v/>
      </c>
      <c r="GZ92" s="199" t="str">
        <f>IF(GZ$7&gt;$D$3,"",IF($FA90&lt;GZ$7,"OD",_xlfn.XLOOKUP(GZ$7,Procurement!$M$6:$BM$6,Procurement!$M$12:$BM$12)))</f>
        <v/>
      </c>
      <c r="HA92" s="199" t="str">
        <f>IF(HA$7&gt;$D$3,"",IF($FA90&lt;HA$7,"OD",_xlfn.XLOOKUP(HA$7,Procurement!$M$6:$BM$6,Procurement!$M$12:$BM$12)))</f>
        <v/>
      </c>
      <c r="HB92" s="199" t="str">
        <f>IF(HB$7&gt;$D$3,"",IF($FA90&lt;HB$7,"OD",_xlfn.XLOOKUP(HB$7,Procurement!$M$6:$BM$6,Procurement!$M$12:$BM$12)))</f>
        <v/>
      </c>
      <c r="HC92" s="199" t="str">
        <f>IF(HC$7&gt;$D$3,"",IF($FA90&lt;HC$7,"OD",_xlfn.XLOOKUP(HC$7,Procurement!$M$6:$BM$6,Procurement!$M$12:$BM$12)))</f>
        <v/>
      </c>
      <c r="HE92" s="136" t="str">
        <f>+$C92</f>
        <v>KPI D1</v>
      </c>
      <c r="HF92" s="144" t="str">
        <f>+$D92</f>
        <v>Delivery</v>
      </c>
      <c r="HG92" s="144" t="str">
        <f>+$E92</f>
        <v>Supplier Delivery Performance - on time and full into SAS</v>
      </c>
      <c r="HH92" s="145" t="str">
        <f>+$F92</f>
        <v>Percentage</v>
      </c>
      <c r="HI92" s="145" t="s">
        <v>44</v>
      </c>
      <c r="HJ92" s="199" t="str">
        <f>IF(HJ$7&gt;$D$3,"",IF($FA90&lt;HJ$7,"OD",_xlfn.XLOOKUP(HJ$7,Procurement!$M$6:$BM$6,Procurement!$M$11:$BM$11)))</f>
        <v>Blank</v>
      </c>
      <c r="HK92" s="199">
        <f>IF(HK$7&gt;$D$3,"",IF($FA90&lt;HK$7,"OD",_xlfn.XLOOKUP(HK$7,Procurement!$M$6:$BM$6,Procurement!$M$11:$BM$11)))</f>
        <v>0</v>
      </c>
      <c r="HL92" s="199">
        <f>IF(HL$7&gt;$D$3,"",IF($FA90&lt;HL$7,"OD",_xlfn.XLOOKUP(HL$7,Procurement!$M$6:$BM$6,Procurement!$M$11:$BM$11)))</f>
        <v>0</v>
      </c>
      <c r="HM92" s="199">
        <f>IF(HM$7&gt;$D$3,"",IF($FA90&lt;HM$7,"OD",_xlfn.XLOOKUP(HM$7,Procurement!$M$6:$BM$6,Procurement!$M$11:$BM$11)))</f>
        <v>0</v>
      </c>
      <c r="HN92" s="199">
        <f>IF(HN$7&gt;$D$3,"",IF($FA90&lt;HN$7,"OD",_xlfn.XLOOKUP(HN$7,Procurement!$M$6:$BM$6,Procurement!$M$11:$BM$11)))</f>
        <v>0</v>
      </c>
      <c r="HO92" s="199">
        <f>IF(HO$7&gt;$D$3,"",IF($FA90&lt;HO$7,"OD",_xlfn.XLOOKUP(HO$7,Procurement!$M$6:$BM$6,Procurement!$M$11:$BM$11)))</f>
        <v>0</v>
      </c>
      <c r="HP92" s="199">
        <f>IF(HP$7&gt;$D$3,"",IF($FA90&lt;HP$7,"OD",_xlfn.XLOOKUP(HP$7,Procurement!$M$6:$BM$6,Procurement!$M$11:$BM$11)))</f>
        <v>0</v>
      </c>
      <c r="HQ92" s="199">
        <f>IF(HQ$7&gt;$D$3,"",IF($FA90&lt;HQ$7,"OD",_xlfn.XLOOKUP(HQ$7,Procurement!$M$6:$BM$6,Procurement!$M$11:$BM$11)))</f>
        <v>0</v>
      </c>
      <c r="HR92" s="199">
        <f>IF(HR$7&gt;$D$3,"",IF($FA90&lt;HR$7,"OD",_xlfn.XLOOKUP(HR$7,Procurement!$M$6:$BM$6,Procurement!$M$11:$BM$11)))</f>
        <v>0</v>
      </c>
      <c r="HS92" s="199">
        <f>IF(HS$7&gt;$D$3,"",IF($FA90&lt;HS$7,"OD",_xlfn.XLOOKUP(HS$7,Procurement!$M$6:$BM$6,Procurement!$M$11:$BM$11)))</f>
        <v>0</v>
      </c>
      <c r="HT92" s="199">
        <f>IF(HT$7&gt;$D$3,"",IF($FA90&lt;HT$7,"OD",_xlfn.XLOOKUP(HT$7,Procurement!$M$6:$BM$6,Procurement!$M$11:$BM$11)))</f>
        <v>0</v>
      </c>
      <c r="HU92" s="199">
        <f>IF(HU$7&gt;$D$3,"",IF($FA90&lt;HU$7,"OD",_xlfn.XLOOKUP(HU$7,Procurement!$M$6:$BM$6,Procurement!$M$11:$BM$11)))</f>
        <v>95</v>
      </c>
      <c r="HV92" s="199">
        <f>IF(HV$7&gt;$D$3,"",IF($FA90&lt;HV$7,"OD",_xlfn.XLOOKUP(HV$7,Procurement!$M$6:$BM$6,Procurement!$M$11:$BM$11)))</f>
        <v>95</v>
      </c>
      <c r="HW92" s="199">
        <f>IF(HW$7&gt;$D$3,"",IF($FA90&lt;HW$7,"OD",_xlfn.XLOOKUP(HW$7,Procurement!$M$6:$BM$6,Procurement!$M$11:$BM$11)))</f>
        <v>95</v>
      </c>
      <c r="HX92" s="199">
        <f>IF(HX$7&gt;$D$3,"",IF($FA90&lt;HX$7,"OD",_xlfn.XLOOKUP(HX$7,Procurement!$M$6:$BM$6,Procurement!$M$11:$BM$11)))</f>
        <v>95</v>
      </c>
      <c r="HY92" s="199">
        <f>IF(HY$7&gt;$D$3,"",IF($FA90&lt;HY$7,"OD",_xlfn.XLOOKUP(HY$7,Procurement!$M$6:$BM$6,Procurement!$M$11:$BM$11)))</f>
        <v>95</v>
      </c>
      <c r="HZ92" s="199">
        <f>IF(HZ$7&gt;$D$3,"",IF($FA90&lt;HZ$7,"OD",_xlfn.XLOOKUP(HZ$7,Procurement!$M$6:$BM$6,Procurement!$M$11:$BM$11)))</f>
        <v>95</v>
      </c>
      <c r="IA92" s="199">
        <f>IF(IA$7&gt;$D$3,"",IF($FA90&lt;IA$7,"OD",_xlfn.XLOOKUP(IA$7,Procurement!$M$6:$BM$6,Procurement!$M$11:$BM$11)))</f>
        <v>95</v>
      </c>
      <c r="IB92" s="199">
        <f>IF(IB$7&gt;$D$3,"",IF($FA90&lt;IB$7,"OD",_xlfn.XLOOKUP(IB$7,Procurement!$M$6:$BM$6,Procurement!$M$11:$BM$11)))</f>
        <v>95</v>
      </c>
      <c r="IC92" s="199">
        <f>IF(IC$7&gt;$D$3,"",IF($FA90&lt;IC$7,"OD",_xlfn.XLOOKUP(IC$7,Procurement!$M$6:$BM$6,Procurement!$M$11:$BM$11)))</f>
        <v>95</v>
      </c>
      <c r="ID92" s="199">
        <f>IF(ID$7&gt;$D$3,"",IF($FA90&lt;ID$7,"OD",_xlfn.XLOOKUP(ID$7,Procurement!$M$6:$BM$6,Procurement!$M$11:$BM$11)))</f>
        <v>95</v>
      </c>
      <c r="IE92" s="199">
        <f>IF(IE$7&gt;$D$3,"",IF($FA90&lt;IE$7,"OD",_xlfn.XLOOKUP(IE$7,Procurement!$M$6:$BM$6,Procurement!$M$11:$BM$11)))</f>
        <v>95</v>
      </c>
      <c r="IF92" s="199">
        <f>IF(IF$7&gt;$D$3,"",IF($FA90&lt;IF$7,"OD",_xlfn.XLOOKUP(IF$7,Procurement!$M$6:$BM$6,Procurement!$M$11:$BM$11)))</f>
        <v>95</v>
      </c>
      <c r="IG92" s="199">
        <f>IF(IG$7&gt;$D$3,"",IF($FA90&lt;IG$7,"OD",_xlfn.XLOOKUP(IG$7,Procurement!$M$6:$BM$6,Procurement!$M$11:$BM$11)))</f>
        <v>95</v>
      </c>
      <c r="IH92" s="199">
        <f>IF(IH$7&gt;$D$3,"",IF($FA90&lt;IH$7,"OD",_xlfn.XLOOKUP(IH$7,Procurement!$M$6:$BM$6,Procurement!$M$11:$BM$11)))</f>
        <v>95</v>
      </c>
      <c r="II92" s="199">
        <f>IF(II$7&gt;$D$3,"",IF($FA90&lt;II$7,"OD",_xlfn.XLOOKUP(II$7,Procurement!$M$6:$BM$6,Procurement!$M$11:$BM$11)))</f>
        <v>95</v>
      </c>
      <c r="IJ92" s="199">
        <f>IF(IJ$7&gt;$D$3,"",IF($FA90&lt;IJ$7,"OD",_xlfn.XLOOKUP(IJ$7,Procurement!$M$6:$BM$6,Procurement!$M$11:$BM$11)))</f>
        <v>95</v>
      </c>
      <c r="IK92" s="199">
        <f>IF(IK$7&gt;$D$3,"",IF($FA90&lt;IK$7,"OD",_xlfn.XLOOKUP(IK$7,Procurement!$M$6:$BM$6,Procurement!$M$11:$BM$11)))</f>
        <v>95</v>
      </c>
      <c r="IL92" s="199">
        <f>IF(IL$7&gt;$D$3,"",IF($FA90&lt;IL$7,"OD",_xlfn.XLOOKUP(IL$7,Procurement!$M$6:$BM$6,Procurement!$M$11:$BM$11)))</f>
        <v>95</v>
      </c>
      <c r="IM92" s="199">
        <f>IF(IM$7&gt;$D$3,"",IF($FA90&lt;IM$7,"OD",_xlfn.XLOOKUP(IM$7,Procurement!$M$6:$BM$6,Procurement!$M$11:$BM$11)))</f>
        <v>95</v>
      </c>
      <c r="IN92" s="199">
        <f>IF(IN$7&gt;$D$3,"",IF($FA90&lt;IN$7,"OD",_xlfn.XLOOKUP(IN$7,Procurement!$M$6:$BM$6,Procurement!$M$11:$BM$11)))</f>
        <v>95</v>
      </c>
      <c r="IO92" s="199">
        <f>IF(IO$7&gt;$D$3,"",IF($FA90&lt;IO$7,"OD",_xlfn.XLOOKUP(IO$7,Procurement!$M$6:$BM$6,Procurement!$M$11:$BM$11)))</f>
        <v>95</v>
      </c>
      <c r="IP92" s="199">
        <f>IF(IP$7&gt;$D$3,"",IF($FA90&lt;IP$7,"OD",_xlfn.XLOOKUP(IP$7,Procurement!$M$6:$BM$6,Procurement!$M$11:$BM$11)))</f>
        <v>95</v>
      </c>
      <c r="IQ92" s="199">
        <f>IF(IQ$7&gt;$D$3,"",IF($FA90&lt;IQ$7,"OD",_xlfn.XLOOKUP(IQ$7,Procurement!$M$6:$BM$6,Procurement!$M$11:$BM$11)))</f>
        <v>95</v>
      </c>
      <c r="IR92" s="199">
        <f>IF(IR$7&gt;$D$3,"",IF($FA90&lt;IR$7,"OD",_xlfn.XLOOKUP(IR$7,Procurement!$M$6:$BM$6,Procurement!$M$11:$BM$11)))</f>
        <v>95</v>
      </c>
      <c r="IS92" s="199">
        <f>IF(IS$7&gt;$D$3,"",IF($FA90&lt;IS$7,"OD",_xlfn.XLOOKUP(IS$7,Procurement!$M$6:$BM$6,Procurement!$M$11:$BM$11)))</f>
        <v>95</v>
      </c>
      <c r="IT92" s="199">
        <f>IF(IT$7&gt;$D$3,"",IF($FA90&lt;IT$7,"OD",_xlfn.XLOOKUP(IT$7,Procurement!$M$6:$BM$6,Procurement!$M$11:$BM$11)))</f>
        <v>95</v>
      </c>
      <c r="IU92" s="199">
        <f>IF(IU$7&gt;$D$3,"",IF($FA90&lt;IU$7,"OD",_xlfn.XLOOKUP(IU$7,Procurement!$M$6:$BM$6,Procurement!$M$11:$BM$11)))</f>
        <v>95</v>
      </c>
      <c r="IV92" s="199">
        <f>IF(IV$7&gt;$D$3,"",IF($FA90&lt;IV$7,"OD",_xlfn.XLOOKUP(IV$7,Procurement!$M$6:$BM$6,Procurement!$M$11:$BM$11)))</f>
        <v>95</v>
      </c>
      <c r="IW92" s="199">
        <f>IF(IW$7&gt;$D$3,"",IF($FA90&lt;IW$7,"OD",_xlfn.XLOOKUP(IW$7,Procurement!$M$6:$BM$6,Procurement!$M$11:$BM$11)))</f>
        <v>95</v>
      </c>
      <c r="IX92" s="199">
        <f>IF(IX$7&gt;$D$3,"",IF($FA90&lt;IX$7,"OD",_xlfn.XLOOKUP(IX$7,Procurement!$M$6:$BM$6,Procurement!$M$11:$BM$11)))</f>
        <v>95</v>
      </c>
      <c r="IY92" s="199">
        <f>IF(IY$7&gt;$D$3,"",IF($FA90&lt;IY$7,"OD",_xlfn.XLOOKUP(IY$7,Procurement!$M$6:$BM$6,Procurement!$M$11:$BM$11)))</f>
        <v>95</v>
      </c>
      <c r="IZ92" s="199" t="str">
        <f>IF(IZ$7&gt;$D$3,"",IF($FA90&lt;IZ$7,"OD",_xlfn.XLOOKUP(IZ$7,Procurement!$M$6:$BM$6,Procurement!$M$11:$BM$11)))</f>
        <v/>
      </c>
      <c r="JA92" s="199" t="str">
        <f>IF(JA$7&gt;$D$3,"",IF($FA90&lt;JA$7,"OD",_xlfn.XLOOKUP(JA$7,Procurement!$M$6:$BM$6,Procurement!$M$11:$BM$11)))</f>
        <v/>
      </c>
      <c r="JB92" s="199" t="str">
        <f>IF(JB$7&gt;$D$3,"",IF($FA90&lt;JB$7,"OD",_xlfn.XLOOKUP(JB$7,Procurement!$M$6:$BM$6,Procurement!$M$11:$BM$11)))</f>
        <v/>
      </c>
      <c r="JC92" s="199" t="str">
        <f>IF(JC$7&gt;$D$3,"",IF($FA90&lt;JC$7,"OD",_xlfn.XLOOKUP(JC$7,Procurement!$M$6:$BM$6,Procurement!$M$11:$BM$11)))</f>
        <v/>
      </c>
      <c r="JD92" s="199" t="str">
        <f>IF(JD$7&gt;$D$3,"",IF($FA90&lt;JD$7,"OD",_xlfn.XLOOKUP(JD$7,Procurement!$M$6:$BM$6,Procurement!$M$11:$BM$11)))</f>
        <v/>
      </c>
      <c r="JE92" s="199" t="str">
        <f>IF(JE$7&gt;$D$3,"",IF($FA90&lt;JE$7,"OD",_xlfn.XLOOKUP(JE$7,Procurement!$M$6:$BM$6,Procurement!$M$11:$BM$11)))</f>
        <v/>
      </c>
      <c r="JF92" s="199" t="str">
        <f>IF(JF$7&gt;$D$3,"",IF($FA90&lt;JF$7,"OD",_xlfn.XLOOKUP(JF$7,Procurement!$M$6:$BM$6,Procurement!$M$11:$BM$11)))</f>
        <v/>
      </c>
      <c r="JG92" s="199" t="str">
        <f>IF(JG$7&gt;$D$3,"",IF($FA90&lt;JG$7,"OD",_xlfn.XLOOKUP(JG$7,Procurement!$M$6:$BM$6,Procurement!$M$11:$BM$11)))</f>
        <v/>
      </c>
      <c r="JH92" s="199" t="str">
        <f>IF(JH$7&gt;$D$3,"",IF($FA90&lt;JH$7,"OD",_xlfn.XLOOKUP(JH$7,Procurement!$M$6:$BM$6,Procurement!$M$11:$BM$11)))</f>
        <v/>
      </c>
      <c r="JI92" s="199" t="str">
        <f>IF(JI$7&gt;$D$3,"",IF($FA90&lt;JI$7,"OD",_xlfn.XLOOKUP(JI$7,Procurement!$M$6:$BM$6,Procurement!$M$11:$BM$11)))</f>
        <v/>
      </c>
      <c r="JJ92" s="199" t="str">
        <f>IF(JJ$7&gt;$D$3,"",IF($FA90&lt;JJ$7,"OD",_xlfn.XLOOKUP(JJ$7,Procurement!$M$6:$BM$6,Procurement!$M$11:$BM$11)))</f>
        <v/>
      </c>
      <c r="JM92" s="136" t="str">
        <f>+$C92</f>
        <v>KPI D1</v>
      </c>
      <c r="JN92" s="144" t="str">
        <f>+$D92</f>
        <v>Delivery</v>
      </c>
      <c r="JO92" s="144" t="str">
        <f>+$E92</f>
        <v>Supplier Delivery Performance - on time and full into SAS</v>
      </c>
      <c r="JP92" s="145" t="str">
        <f>+$F92</f>
        <v>Percentage</v>
      </c>
      <c r="JQ92" s="145" t="s">
        <v>284</v>
      </c>
      <c r="JR92" s="247" t="str">
        <f>IFERROR(AVERAGE(FC92:$FC92),"")</f>
        <v/>
      </c>
      <c r="JS92" s="247" t="str">
        <f>IFERROR(AVERAGE($FC92:FD92),"")</f>
        <v/>
      </c>
      <c r="JT92" s="247" t="str">
        <f>IFERROR(AVERAGE($FC92:FE92),"")</f>
        <v/>
      </c>
      <c r="JU92" s="247" t="str">
        <f>IFERROR(AVERAGE($FC92:FF92),"")</f>
        <v/>
      </c>
      <c r="JV92" s="247" t="str">
        <f>IFERROR(AVERAGE($FC92:FG92),"")</f>
        <v/>
      </c>
      <c r="JW92" s="247" t="str">
        <f>IFERROR(AVERAGE($FC92:FH92),"")</f>
        <v/>
      </c>
      <c r="JX92" s="247" t="str">
        <f>IFERROR(AVERAGE($FC92:FI92),"")</f>
        <v/>
      </c>
      <c r="JY92" s="247" t="str">
        <f>IFERROR(AVERAGE($FC92:FJ92),"")</f>
        <v/>
      </c>
      <c r="JZ92" s="247" t="str">
        <f>IFERROR(AVERAGE($FC92:FK92),"")</f>
        <v/>
      </c>
      <c r="KA92" s="247" t="str">
        <f>IFERROR(AVERAGE($FC92:FL92),"")</f>
        <v/>
      </c>
      <c r="KB92" s="247" t="str">
        <f>IFERROR(AVERAGE($FC92:FM92),"")</f>
        <v/>
      </c>
      <c r="KC92" s="247">
        <f>IFERROR(AVERAGE($FC92:FN92),"")</f>
        <v>93.5</v>
      </c>
      <c r="KD92" s="247">
        <f>IFERROR(AVERAGE($FC92:FO92),"")</f>
        <v>93.25</v>
      </c>
      <c r="KE92" s="247">
        <f>IFERROR(AVERAGE($FC92:FP92),"")</f>
        <v>93.433333333333337</v>
      </c>
      <c r="KF92" s="247">
        <f>IFERROR(AVERAGE($FC92:FQ92),"")</f>
        <v>93.275000000000006</v>
      </c>
      <c r="KG92" s="247">
        <f>IFERROR(AVERAGE($FC92:FR92),"")</f>
        <v>93.240000000000009</v>
      </c>
      <c r="KH92" s="247">
        <f>IFERROR(AVERAGE($FC92:FS92),"")</f>
        <v>93.266666666666666</v>
      </c>
      <c r="KI92" s="247">
        <f>IFERROR(AVERAGE($FC92:FT92),"")</f>
        <v>93.185714285714297</v>
      </c>
      <c r="KJ92" s="247">
        <f>IFERROR(AVERAGE($FC92:FU92),"")</f>
        <v>93.212500000000006</v>
      </c>
      <c r="KK92" s="247">
        <f>IFERROR(AVERAGE($FC92:FV92),"")</f>
        <v>93.311111111111117</v>
      </c>
      <c r="KL92" s="247">
        <f>IFERROR(AVERAGE($FC92:FW92),"")</f>
        <v>93.38000000000001</v>
      </c>
      <c r="KM92" s="247">
        <f>IFERROR(AVERAGE($FC92:FX92),"")</f>
        <v>93.427272727272737</v>
      </c>
      <c r="KN92" s="247">
        <f>IFERROR(AVERAGE($FC92:FY92),"")</f>
        <v>93.38333333333334</v>
      </c>
      <c r="KO92" s="247">
        <f>IFERROR(AVERAGE($FC92:FZ92),"")</f>
        <v>93.446153846153862</v>
      </c>
      <c r="KP92" s="247">
        <f>IFERROR(AVERAGE($FC92:GA92),"")</f>
        <v>93.407142857142873</v>
      </c>
      <c r="KQ92" s="247">
        <f>IFERROR(AVERAGE($FC92:GB92),"")</f>
        <v>93.393333333333359</v>
      </c>
      <c r="KR92" s="247">
        <f>IFERROR(AVERAGE($FC92:GC92),"")</f>
        <v>93.362500000000026</v>
      </c>
      <c r="KS92" s="247">
        <f>IFERROR(AVERAGE($FC92:GD92),"")</f>
        <v>93.335294117647095</v>
      </c>
      <c r="KT92" s="247">
        <f>IFERROR(AVERAGE($FC92:GE92),"")</f>
        <v>93.311111111111146</v>
      </c>
      <c r="KU92" s="247">
        <f>IFERROR(AVERAGE($FC92:GF92),"")</f>
        <v>93.289473684210563</v>
      </c>
      <c r="KV92" s="247">
        <f>IFERROR(AVERAGE($FC92:GG92),"")</f>
        <v>93.295000000000044</v>
      </c>
      <c r="KW92" s="247">
        <f>IFERROR(AVERAGE($FC92:GH92),"")</f>
        <v>93.30000000000004</v>
      </c>
      <c r="KX92" s="247">
        <f>IFERROR(AVERAGE($FC92:GI92),"")</f>
        <v>93.30454545454549</v>
      </c>
      <c r="KY92" s="247">
        <f>IFERROR(AVERAGE($FC92:GJ92),"")</f>
        <v>93.291304347826113</v>
      </c>
      <c r="KZ92" s="247">
        <f>IFERROR(AVERAGE($FC92:GK92),"")</f>
        <v>93.312500000000043</v>
      </c>
      <c r="LA92" s="247">
        <f>IFERROR(AVERAGE($FC92:GL92),"")</f>
        <v>93.33200000000005</v>
      </c>
      <c r="LB92" s="247">
        <f>IFERROR(AVERAGE($FC92:GM92),"")</f>
        <v>93.350000000000051</v>
      </c>
      <c r="LC92" s="247">
        <f>IFERROR(AVERAGE($FC92:GN92),"")</f>
        <v>93.366666666666717</v>
      </c>
      <c r="LD92" s="247">
        <f>IFERROR(AVERAGE($FC92:GO92),"")</f>
        <v>93.38214285714291</v>
      </c>
      <c r="LE92" s="247">
        <f>IFERROR(AVERAGE($FC92:GP92),"")</f>
        <v>93.396551724137993</v>
      </c>
      <c r="LF92" s="247">
        <f>IFERROR(AVERAGE($FC92:GQ92),"")</f>
        <v>93.410000000000068</v>
      </c>
      <c r="LG92" s="247">
        <f>IFERROR(AVERAGE($FC92:GR92),"")</f>
        <v>93.422580645161361</v>
      </c>
      <c r="LH92" s="247">
        <f>IFERROR(AVERAGE($FC92:GS92),"")</f>
        <v>93.422580645161361</v>
      </c>
      <c r="LI92" s="247">
        <f>IFERROR(AVERAGE($FC92:GT92),"")</f>
        <v>93.422580645161361</v>
      </c>
      <c r="LJ92" s="247">
        <f>IFERROR(AVERAGE($FC92:GU92),"")</f>
        <v>93.422580645161361</v>
      </c>
      <c r="LK92" s="247">
        <f>IFERROR(AVERAGE($FC92:GV92),"")</f>
        <v>93.422580645161361</v>
      </c>
      <c r="LL92" s="247">
        <f>IFERROR(AVERAGE($FC92:GW92),"")</f>
        <v>93.422580645161361</v>
      </c>
      <c r="LM92" s="247">
        <f>IFERROR(AVERAGE($FC92:GX92),"")</f>
        <v>93.422580645161361</v>
      </c>
      <c r="LN92" s="247">
        <f>IFERROR(AVERAGE($FC92:GY92),"")</f>
        <v>93.422580645161361</v>
      </c>
      <c r="LO92" s="247">
        <f>IFERROR(AVERAGE($FC92:GZ92),"")</f>
        <v>93.422580645161361</v>
      </c>
      <c r="LP92" s="247">
        <f>IFERROR(AVERAGE($FC92:HA92),"")</f>
        <v>93.422580645161361</v>
      </c>
      <c r="LQ92" s="247">
        <f>IFERROR(AVERAGE($FC92:HB92),"")</f>
        <v>93.422580645161361</v>
      </c>
      <c r="LR92" s="247">
        <f>IFERROR(AVERAGE($FC92:HC92),"")</f>
        <v>93.422580645161361</v>
      </c>
      <c r="LT92" s="136" t="str">
        <f>+$C92</f>
        <v>KPI D1</v>
      </c>
      <c r="LU92" s="144" t="str">
        <f>+$D92</f>
        <v>Delivery</v>
      </c>
      <c r="LV92" s="144" t="str">
        <f>+$E92</f>
        <v>Supplier Delivery Performance - on time and full into SAS</v>
      </c>
      <c r="LW92" s="145" t="str">
        <f>+$F92</f>
        <v>Percentage</v>
      </c>
      <c r="LX92" s="145" t="s">
        <v>285</v>
      </c>
      <c r="LY92" s="247" t="str">
        <f>IFERROR(AVERAGE($HJ92:HJ92),"")</f>
        <v/>
      </c>
      <c r="LZ92" s="247">
        <f>IFERROR(IF(LAD$7&gt;$D$3,"",AVERAGE($HJ92:HK92)),"")</f>
        <v>0</v>
      </c>
      <c r="MA92" s="247">
        <f>IFERROR(IF(MA$7&gt;$D$3,"",AVERAGE($HJ92:HL92)),"")</f>
        <v>0</v>
      </c>
      <c r="MB92" s="247">
        <f>IFERROR(IF(MB$7&gt;$D$3,"",AVERAGE($HJ92:HM92)),"")</f>
        <v>0</v>
      </c>
      <c r="MC92" s="247">
        <f>IFERROR(IF(MC$7&gt;$D$3,"",AVERAGE($HJ92:HN92)),"")</f>
        <v>0</v>
      </c>
      <c r="MD92" s="247">
        <f>IFERROR(IF(MD$7&gt;$D$3,"",AVERAGE($HJ92:HO92)),"")</f>
        <v>0</v>
      </c>
      <c r="ME92" s="247">
        <f>IFERROR(IF(ME$7&gt;$D$3,"",AVERAGE($HJ92:HP92)),"")</f>
        <v>0</v>
      </c>
      <c r="MF92" s="247">
        <f>IFERROR(IF(MF$7&gt;$D$3,"",AVERAGE($HJ92:HQ92)),"")</f>
        <v>0</v>
      </c>
      <c r="MG92" s="247">
        <f>IFERROR(IF(MG$7&gt;$D$3,"",AVERAGE($HJ92:HR92)),"")</f>
        <v>0</v>
      </c>
      <c r="MH92" s="247">
        <f>IFERROR(IF(MH$7&gt;$D$3,"",AVERAGE($HJ92:HS92)),"")</f>
        <v>0</v>
      </c>
      <c r="MI92" s="247">
        <f>IFERROR(IF(MI$7&gt;$D$3,"",AVERAGE($HJ92:HT92)),"")</f>
        <v>0</v>
      </c>
      <c r="MJ92" s="247">
        <f>IFERROR(IF(MJ$7&gt;$D$3,"",AVERAGE($HJ92:HU92)),"")</f>
        <v>8.6363636363636367</v>
      </c>
      <c r="MK92" s="247">
        <f>IFERROR(IF(MK$7&gt;$D$3,"",AVERAGE($HJ92:HV92)),"")</f>
        <v>15.833333333333334</v>
      </c>
      <c r="ML92" s="247">
        <f>IFERROR(IF(ML$7&gt;$D$3,"",AVERAGE($HJ92:HW92)),"")</f>
        <v>21.923076923076923</v>
      </c>
      <c r="MM92" s="247">
        <f>IFERROR(IF(MM$7&gt;$D$3,"",AVERAGE($HJ92:HX92)),"")</f>
        <v>27.142857142857142</v>
      </c>
      <c r="MN92" s="247">
        <f>IFERROR(IF(MN$7&gt;$D$3,"",AVERAGE($HJ92:HY92)),"")</f>
        <v>31.666666666666668</v>
      </c>
      <c r="MO92" s="247">
        <f>IFERROR(IF(MO$7&gt;$D$3,"",AVERAGE($HJ92:HZ92)),"")</f>
        <v>35.625</v>
      </c>
      <c r="MP92" s="247">
        <f>IFERROR(IF(MP$7&gt;$D$3,"",AVERAGE($HJ92:IA92)),"")</f>
        <v>39.117647058823529</v>
      </c>
      <c r="MQ92" s="247">
        <f>IFERROR(IF(MQ$7&gt;$D$3,"",AVERAGE($HJ92:IB92)),"")</f>
        <v>42.222222222222221</v>
      </c>
      <c r="MR92" s="247">
        <f>IFERROR(IF(MR$7&gt;$D$3,"",AVERAGE($HJ92:IC92)),"")</f>
        <v>45</v>
      </c>
      <c r="MS92" s="247">
        <f>IFERROR(IF(MS$7&gt;$D$3,"",AVERAGE($HJ92:ID92)),"")</f>
        <v>47.5</v>
      </c>
      <c r="MT92" s="247">
        <f>IFERROR(IF(MT$7&gt;$D$3,"",AVERAGE($HJ92:IE92)),"")</f>
        <v>49.761904761904759</v>
      </c>
      <c r="MU92" s="247">
        <f>IFERROR(IF(MU$7&gt;$D$3,"",AVERAGE($HJ92:IF92)),"")</f>
        <v>51.81818181818182</v>
      </c>
      <c r="MV92" s="247">
        <f>IFERROR(IF(MV$7&gt;$D$3,"",AVERAGE($HJ92:IG92)),"")</f>
        <v>53.695652173913047</v>
      </c>
      <c r="MW92" s="247">
        <f>IFERROR(IF(MW$7&gt;$D$3,"",AVERAGE($HJ92:IH92)),"")</f>
        <v>55.416666666666664</v>
      </c>
      <c r="MX92" s="247">
        <f>IFERROR(IF(MX$7&gt;$D$3,"",AVERAGE($HJ92:II92)),"")</f>
        <v>57</v>
      </c>
      <c r="MY92" s="247">
        <f>IFERROR(IF(MY$7&gt;$D$3,"",AVERAGE($HJ92:IJ92)),"")</f>
        <v>58.46153846153846</v>
      </c>
      <c r="MZ92" s="247">
        <f>IFERROR(IF(MZ$7&gt;$D$3,"",AVERAGE($HJ92:IK92)),"")</f>
        <v>59.814814814814817</v>
      </c>
      <c r="NA92" s="247">
        <f>IFERROR(IF(NA$7&gt;$D$3,"",AVERAGE($HJ92:IL92)),"")</f>
        <v>61.071428571428569</v>
      </c>
      <c r="NB92" s="247">
        <f>IFERROR(IF(NB$7&gt;$D$3,"",AVERAGE($HJ92:IM92)),"")</f>
        <v>62.241379310344826</v>
      </c>
      <c r="NC92" s="247">
        <f>IFERROR(IF(NC$7&gt;$D$3,"",AVERAGE($HJ92:IN92)),"")</f>
        <v>63.333333333333336</v>
      </c>
      <c r="ND92" s="247">
        <f>IFERROR(IF(ND$7&gt;$D$3,"",AVERAGE($HJ92:IO92)),"")</f>
        <v>64.354838709677423</v>
      </c>
      <c r="NE92" s="247">
        <f>IFERROR(IF(NE$7&gt;$D$3,"",AVERAGE($HJ92:IP92)),"")</f>
        <v>65.3125</v>
      </c>
      <c r="NF92" s="247">
        <f>IFERROR(IF(NF$7&gt;$D$3,"",AVERAGE($HJ92:IQ92)),"")</f>
        <v>66.212121212121218</v>
      </c>
      <c r="NG92" s="247">
        <f>IFERROR(IF(NG$7&gt;$D$3,"",AVERAGE($HJ92:IR92)),"")</f>
        <v>67.058823529411768</v>
      </c>
      <c r="NH92" s="247">
        <f>IFERROR(IF(NH$7&gt;$D$3,"",AVERAGE($HJ92:IS92)),"")</f>
        <v>67.857142857142861</v>
      </c>
      <c r="NI92" s="247">
        <f>IFERROR(IF(NI$7&gt;$D$3,"",AVERAGE($HJ92:IT92)),"")</f>
        <v>68.611111111111114</v>
      </c>
      <c r="NJ92" s="247">
        <f>IFERROR(IF(NJ$7&gt;$D$3,"",AVERAGE($HJ92:IU92)),"")</f>
        <v>69.324324324324323</v>
      </c>
      <c r="NK92" s="247">
        <f>IFERROR(IF(NK$7&gt;$D$3,"",AVERAGE($HJ92:IV92)),"")</f>
        <v>70</v>
      </c>
      <c r="NL92" s="247">
        <f>IFERROR(IF(NL$7&gt;$D$3,"",AVERAGE($HJ92:IW92)),"")</f>
        <v>70.641025641025635</v>
      </c>
      <c r="NM92" s="247">
        <f>IFERROR(IF(NM$7&gt;$D$3,"",AVERAGE($HJ92:IX92)),"")</f>
        <v>71.25</v>
      </c>
      <c r="NN92" s="247">
        <f>IFERROR(IF(NN$7&gt;$D$3,"",AVERAGE($HJ92:IY92)),"")</f>
        <v>71.829268292682926</v>
      </c>
      <c r="NO92" s="247" t="str">
        <f>IFERROR(IF(NO$7&gt;$D$3,"",AVERAGE($HJ92:IZ92)),"")</f>
        <v/>
      </c>
      <c r="NP92" s="247" t="str">
        <f>IFERROR(IF(NP$7&gt;$D$3,"",AVERAGE($HJ92:JA92)),"")</f>
        <v/>
      </c>
      <c r="NQ92" s="247" t="str">
        <f>IFERROR(IF(NQ$7&gt;$D$3,"",AVERAGE($HJ92:JB92)),"")</f>
        <v/>
      </c>
      <c r="NR92" s="247" t="str">
        <f>IFERROR(IF(NR$7&gt;$D$3,"",AVERAGE($HJ92:JC92)),"")</f>
        <v/>
      </c>
      <c r="NS92" s="247" t="str">
        <f>IFERROR(IF(NS$7&gt;$D$3,"",AVERAGE($HJ92:JD92)),"")</f>
        <v/>
      </c>
      <c r="NT92" s="247" t="str">
        <f>IFERROR(IF(NT$7&gt;$D$3,"",AVERAGE($HJ92:JE92)),"")</f>
        <v/>
      </c>
      <c r="NU92" s="247" t="str">
        <f>IFERROR(IF(NU$7&gt;$D$3,"",AVERAGE($HJ92:JF92)),"")</f>
        <v/>
      </c>
      <c r="NV92" s="247" t="str">
        <f>IFERROR(IF(NV$7&gt;$D$3,"",AVERAGE($HJ92:JG92)),"")</f>
        <v/>
      </c>
      <c r="NW92" s="247" t="str">
        <f>IFERROR(IF(NW$7&gt;$D$3,"",AVERAGE($HJ92:JH92)),"")</f>
        <v/>
      </c>
      <c r="NX92" s="247" t="str">
        <f>IFERROR(IF(NX$7&gt;$D$3,"",AVERAGE($HJ92:JI92)),"")</f>
        <v/>
      </c>
      <c r="NY92" s="247" t="str">
        <f>IFERROR(IF(NY$7&gt;$D$3,"",AVERAGE($HJ92:JJ92)),"")</f>
        <v/>
      </c>
    </row>
    <row r="93" spans="1:389" x14ac:dyDescent="0.3">
      <c r="A93" t="str">
        <f>$B$90&amp;"-"&amp;C93</f>
        <v>Procurement-KPI Q1</v>
      </c>
      <c r="B93" s="918">
        <f>+'KPI Stats'!B92</f>
        <v>0</v>
      </c>
      <c r="C93" s="136" t="str">
        <f>+'KPI Stats'!C92</f>
        <v>KPI Q1</v>
      </c>
      <c r="D93" s="144" t="str">
        <f>+'KPI Stats'!D92</f>
        <v>Quality</v>
      </c>
      <c r="E93" s="144" t="str">
        <f>+'KPI Stats'!E92</f>
        <v>Cost of Quality - Raw materials - Quality Failures</v>
      </c>
      <c r="F93" s="145" t="str">
        <f>+'KPI Stats'!F92</f>
        <v>Count</v>
      </c>
      <c r="G93" s="178" t="s">
        <v>305</v>
      </c>
      <c r="J93" s="69" t="str">
        <f>_xlfn.XLOOKUP(J$7,$AM$7:$CM$7,$AM93:$CM93,,FALSE)</f>
        <v>G</v>
      </c>
      <c r="K93" s="264">
        <f>_xlfn.XLOOKUP(K$7,$FC$7:$HC$7,$FC93:$HC93,,FALSE)</f>
        <v>0</v>
      </c>
      <c r="L93" s="278">
        <f>_xlfn.XLOOKUP(L$7,$HJ$7:$JJ$7,$HJ93:$JJ93,,FALSE)</f>
        <v>0</v>
      </c>
      <c r="M93" s="275">
        <f>_xlfn.XLOOKUP(M$7,$CU$7:$EU$7,$CU93:$EU93,,FALSE)</f>
        <v>0</v>
      </c>
      <c r="P93" s="69" t="str">
        <f>_xlfn.XLOOKUP(P$7,$AM$7:$CM$7,$AM93:$CM93,,FALSE)</f>
        <v>G</v>
      </c>
      <c r="Q93" s="264">
        <f t="shared" si="313"/>
        <v>0</v>
      </c>
      <c r="R93" s="278">
        <f t="shared" si="313"/>
        <v>0</v>
      </c>
      <c r="S93" s="288">
        <f t="shared" si="314"/>
        <v>0</v>
      </c>
      <c r="T93" s="265">
        <f t="shared" si="314"/>
        <v>0</v>
      </c>
      <c r="U93" s="295" t="str">
        <f>IF(F90&lt;$R$2,"Not Complete",IF(Q93=R93,"Same −",IF($G93="Over",IF(Q93&lt;R93,"Better ↑","Worse ↓"),IF($G93="Under",IF(Q93&gt;R93,"Better ↑","Worse ↓"),"err"))))</f>
        <v>Same −</v>
      </c>
      <c r="X93" s="69" t="str">
        <f t="shared" si="315"/>
        <v>R</v>
      </c>
      <c r="Y93" s="114">
        <f>_xlfn.XLOOKUP(Y$7,$JR$7:$LR$7,$JR93:$LR93,FALSE)</f>
        <v>6.4516129032258063E-2</v>
      </c>
      <c r="Z93" s="114">
        <f>_xlfn.XLOOKUP(Z$7,$LY$7:$NY$7,$LY93:$NY93,FALSE)</f>
        <v>0</v>
      </c>
      <c r="AA93" s="252" t="str">
        <f>IFERROR(IF(G93="Undefined","",IF(G93="under",Y93/Z93,IF(G93="over",Z93/Y93,"err"))),"")</f>
        <v>err</v>
      </c>
      <c r="AB93" s="295" t="str">
        <f>IF(F90&lt;$R$2,"TBC",IF(Y93=Z93,"Same −",IF($G93="Over",IF(Z93&lt;Y93,"Better ↑ ","Worse ↓ "),IF($G93="Under",IF(Y93&gt;Z93,"Better ↑ ","Worse ↓ "),"err"))))</f>
        <v>err</v>
      </c>
      <c r="AC93" s="69" t="str">
        <f>IF(AND(G93="above adero",AD93&gt;0),"R",IF(AF93&gt;1,"G",IF(AF93&gt;0.95,"A","R")))</f>
        <v>G</v>
      </c>
      <c r="AD93" s="114">
        <f>_xlfn.XLOOKUP(AD$7,$JR$7:$LR$7,$JR93:$LR93,FALSE)</f>
        <v>6.6666666666666666E-2</v>
      </c>
      <c r="AE93" s="114">
        <f>_xlfn.XLOOKUP(AE$7,$LY$7:$NY$7,$LY93:$NY93,FALSE)</f>
        <v>0</v>
      </c>
      <c r="AF93" s="252" t="str">
        <f t="shared" si="316"/>
        <v>err</v>
      </c>
      <c r="AH93" s="465" t="str">
        <f>+$A93</f>
        <v>Procurement-KPI Q1</v>
      </c>
      <c r="AI93" s="136" t="str">
        <f t="shared" si="317"/>
        <v>KPI Q1</v>
      </c>
      <c r="AJ93" s="144" t="str">
        <f t="shared" si="317"/>
        <v>Quality</v>
      </c>
      <c r="AK93" s="144" t="str">
        <f t="shared" si="300"/>
        <v>Cost of Quality - Raw materials - Quality Failures</v>
      </c>
      <c r="AL93" s="145" t="str">
        <f t="shared" si="300"/>
        <v>Count</v>
      </c>
      <c r="AM93" s="69" t="str">
        <f>IF(AM$7&gt;$D$3,"",_xlfn.XLOOKUP(AM$7,Procurement!$M$6:$BM$6,Procurement!$M$16:$BM$16))</f>
        <v>Blank</v>
      </c>
      <c r="AN93" s="199" t="str">
        <f>IF(AN$7&gt;$D$3,"",_xlfn.XLOOKUP(AN$7,Procurement!$M$6:$BM$6,Procurement!$M$16:$BM$16))</f>
        <v>TBC</v>
      </c>
      <c r="AO93" s="69" t="str">
        <f>IF(AO$7&gt;$D$3,"",_xlfn.XLOOKUP(AO$7,Procurement!$M$6:$BM$6,Procurement!$M$16:$BM$16))</f>
        <v>TBC</v>
      </c>
      <c r="AP93" s="69" t="str">
        <f>IF(AP$7&gt;$D$3,"",_xlfn.XLOOKUP(AP$7,Procurement!$M$6:$BM$6,Procurement!$M$16:$BM$16))</f>
        <v>TBC</v>
      </c>
      <c r="AQ93" s="69" t="str">
        <f>IF(AQ$7&gt;$D$3,"",_xlfn.XLOOKUP(AQ$7,Procurement!$M$6:$BM$6,Procurement!$M$16:$BM$16))</f>
        <v>TBC</v>
      </c>
      <c r="AR93" s="69" t="str">
        <f>IF(AR$7&gt;$D$3,"",_xlfn.XLOOKUP(AR$7,Procurement!$M$6:$BM$6,Procurement!$M$16:$BM$16))</f>
        <v>TBC</v>
      </c>
      <c r="AS93" s="69" t="str">
        <f>IF(AS$7&gt;$D$3,"",_xlfn.XLOOKUP(AS$7,Procurement!$M$6:$BM$6,Procurement!$M$16:$BM$16))</f>
        <v>TBC</v>
      </c>
      <c r="AT93" s="69" t="str">
        <f>IF(AT$7&gt;$D$3,"",_xlfn.XLOOKUP(AT$7,Procurement!$M$6:$BM$6,Procurement!$M$16:$BM$16))</f>
        <v>TBC</v>
      </c>
      <c r="AU93" s="69" t="str">
        <f>IF(AU$7&gt;$D$3,"",_xlfn.XLOOKUP(AU$7,Procurement!$M$6:$BM$6,Procurement!$M$16:$BM$16))</f>
        <v>TBC</v>
      </c>
      <c r="AV93" s="69" t="str">
        <f>IF(AV$7&gt;$D$3,"",_xlfn.XLOOKUP(AV$7,Procurement!$M$6:$BM$6,Procurement!$M$16:$BM$16))</f>
        <v>TBC</v>
      </c>
      <c r="AW93" s="69" t="str">
        <f>IF(AW$7&gt;$D$3,"",_xlfn.XLOOKUP(AW$7,Procurement!$M$6:$BM$6,Procurement!$M$16:$BM$16))</f>
        <v>TBC</v>
      </c>
      <c r="AX93" s="69" t="str">
        <f>IF(AX$7&gt;$D$3,"",_xlfn.XLOOKUP(AX$7,Procurement!$M$6:$BM$6,Procurement!$M$16:$BM$16))</f>
        <v>G</v>
      </c>
      <c r="AY93" s="69" t="str">
        <f>IF(AY$7&gt;$D$3,"",_xlfn.XLOOKUP(AY$7,Procurement!$M$6:$BM$6,Procurement!$M$16:$BM$16))</f>
        <v>G</v>
      </c>
      <c r="AZ93" s="69" t="str">
        <f>IF(AZ$7&gt;$D$3,"",_xlfn.XLOOKUP(AZ$7,Procurement!$M$6:$BM$6,Procurement!$M$16:$BM$16))</f>
        <v>G</v>
      </c>
      <c r="BA93" s="69" t="str">
        <f>IF(BA$7&gt;$D$3,"",_xlfn.XLOOKUP(BA$7,Procurement!$M$6:$BM$6,Procurement!$M$16:$BM$16))</f>
        <v>G</v>
      </c>
      <c r="BB93" s="69" t="str">
        <f>IF(BB$7&gt;$D$3,"",_xlfn.XLOOKUP(BB$7,Procurement!$M$6:$BM$6,Procurement!$M$16:$BM$16))</f>
        <v>G</v>
      </c>
      <c r="BC93" s="69" t="str">
        <f>IF(BC$7&gt;$D$3,"",_xlfn.XLOOKUP(BC$7,Procurement!$M$6:$BM$6,Procurement!$M$16:$BM$16))</f>
        <v>G</v>
      </c>
      <c r="BD93" s="69" t="str">
        <f>IF(BD$7&gt;$D$3,"",_xlfn.XLOOKUP(BD$7,Procurement!$M$6:$BM$6,Procurement!$M$16:$BM$16))</f>
        <v>G</v>
      </c>
      <c r="BE93" s="69" t="str">
        <f>IF(BE$7&gt;$D$3,"",_xlfn.XLOOKUP(BE$7,Procurement!$M$6:$BM$6,Procurement!$M$16:$BM$16))</f>
        <v>G</v>
      </c>
      <c r="BF93" s="69" t="str">
        <f>IF(BF$7&gt;$D$3,"",_xlfn.XLOOKUP(BF$7,Procurement!$M$6:$BM$6,Procurement!$M$16:$BM$16))</f>
        <v>G</v>
      </c>
      <c r="BG93" s="69" t="str">
        <f>IF(BG$7&gt;$D$3,"",_xlfn.XLOOKUP(BG$7,Procurement!$M$6:$BM$6,Procurement!$M$16:$BM$16))</f>
        <v>G</v>
      </c>
      <c r="BH93" s="69" t="str">
        <f>IF(BH$7&gt;$D$3,"",_xlfn.XLOOKUP(BH$7,Procurement!$M$6:$BM$6,Procurement!$M$16:$BM$16))</f>
        <v>G</v>
      </c>
      <c r="BI93" s="69" t="str">
        <f>IF(BI$7&gt;$D$3,"",_xlfn.XLOOKUP(BI$7,Procurement!$M$6:$BM$6,Procurement!$M$16:$BM$16))</f>
        <v>R</v>
      </c>
      <c r="BJ93" s="69" t="str">
        <f>IF(BJ$7&gt;$D$3,"",_xlfn.XLOOKUP(BJ$7,Procurement!$M$6:$BM$6,Procurement!$M$16:$BM$16))</f>
        <v>G</v>
      </c>
      <c r="BK93" s="69" t="str">
        <f>IF(BK$7&gt;$D$3,"",_xlfn.XLOOKUP(BK$7,Procurement!$M$6:$BM$6,Procurement!$M$16:$BM$16))</f>
        <v>G</v>
      </c>
      <c r="BL93" s="69" t="str">
        <f>IF(BL$7&gt;$D$3,"",_xlfn.XLOOKUP(BL$7,Procurement!$M$6:$BM$6,Procurement!$M$16:$BM$16))</f>
        <v>G</v>
      </c>
      <c r="BM93" s="69" t="str">
        <f>IF(BM$7&gt;$D$3,"",_xlfn.XLOOKUP(BM$7,Procurement!$M$6:$BM$6,Procurement!$M$16:$BM$16))</f>
        <v>G</v>
      </c>
      <c r="BN93" s="69" t="str">
        <f>IF(BN$7&gt;$D$3,"",_xlfn.XLOOKUP(BN$7,Procurement!$M$6:$BM$6,Procurement!$M$16:$BM$16))</f>
        <v>G</v>
      </c>
      <c r="BO93" s="69" t="str">
        <f>IF(BO$7&gt;$D$3,"",_xlfn.XLOOKUP(BO$7,Procurement!$M$6:$BM$6,Procurement!$M$16:$BM$16))</f>
        <v>G</v>
      </c>
      <c r="BP93" s="69" t="str">
        <f>IF(BP$7&gt;$D$3,"",_xlfn.XLOOKUP(BP$7,Procurement!$M$6:$BM$6,Procurement!$M$16:$BM$16))</f>
        <v>G</v>
      </c>
      <c r="BQ93" s="69" t="str">
        <f>IF(BQ$7&gt;$D$3,"",_xlfn.XLOOKUP(BQ$7,Procurement!$M$6:$BM$6,Procurement!$M$16:$BM$16))</f>
        <v>G</v>
      </c>
      <c r="BR93" s="69" t="str">
        <f>IF(BR$7&gt;$D$3,"",_xlfn.XLOOKUP(BR$7,Procurement!$M$6:$BM$6,Procurement!$M$16:$BM$16))</f>
        <v>G</v>
      </c>
      <c r="BS93" s="69" t="str">
        <f>IF(BS$7&gt;$D$3,"",_xlfn.XLOOKUP(BS$7,Procurement!$M$6:$BM$6,Procurement!$M$16:$BM$16))</f>
        <v>G</v>
      </c>
      <c r="BT93" s="69" t="str">
        <f>IF(BT$7&gt;$D$3,"",_xlfn.XLOOKUP(BT$7,Procurement!$M$6:$BM$6,Procurement!$M$16:$BM$16))</f>
        <v>G</v>
      </c>
      <c r="BU93" s="69" t="str">
        <f>IF(BU$7&gt;$D$3,"",_xlfn.XLOOKUP(BU$7,Procurement!$M$6:$BM$6,Procurement!$M$16:$BM$16))</f>
        <v>G</v>
      </c>
      <c r="BV93" s="69" t="str">
        <f>IF(BV$7&gt;$D$3,"",_xlfn.XLOOKUP(BV$7,Procurement!$M$6:$BM$6,Procurement!$M$16:$BM$16))</f>
        <v>G</v>
      </c>
      <c r="BW93" s="69" t="str">
        <f>IF(BW$7&gt;$D$3,"",_xlfn.XLOOKUP(BW$7,Procurement!$M$6:$BM$6,Procurement!$M$16:$BM$16))</f>
        <v>G</v>
      </c>
      <c r="BX93" s="69" t="str">
        <f>IF(BX$7&gt;$D$3,"",_xlfn.XLOOKUP(BX$7,Procurement!$M$6:$BM$6,Procurement!$M$16:$BM$16))</f>
        <v>G</v>
      </c>
      <c r="BY93" s="69" t="str">
        <f>IF(BY$7&gt;$D$3,"",_xlfn.XLOOKUP(BY$7,Procurement!$M$6:$BM$6,Procurement!$M$16:$BM$16))</f>
        <v>G</v>
      </c>
      <c r="BZ93" s="69" t="str">
        <f>IF(BZ$7&gt;$D$3,"",_xlfn.XLOOKUP(BZ$7,Procurement!$M$6:$BM$6,Procurement!$M$16:$BM$16))</f>
        <v>G</v>
      </c>
      <c r="CA93" s="69" t="str">
        <f>IF(CA$7&gt;$D$3,"",_xlfn.XLOOKUP(CA$7,Procurement!$M$6:$BM$6,Procurement!$M$16:$BM$16))</f>
        <v>G</v>
      </c>
      <c r="CB93" s="69" t="str">
        <f>IF(CB$7&gt;$D$3,"",_xlfn.XLOOKUP(CB$7,Procurement!$M$6:$BM$6,Procurement!$M$16:$BM$16))</f>
        <v>G</v>
      </c>
      <c r="CC93" s="69" t="str">
        <f>IF(CC$7&gt;$D$3,"",_xlfn.XLOOKUP(CC$7,Procurement!$M$6:$BM$6,Procurement!$M$16:$BM$16))</f>
        <v/>
      </c>
      <c r="CD93" s="69" t="str">
        <f>IF(CD$7&gt;$D$3,"",_xlfn.XLOOKUP(CD$7,Procurement!$M$6:$BM$6,Procurement!$M$16:$BM$16))</f>
        <v/>
      </c>
      <c r="CE93" s="69" t="str">
        <f>IF(CE$7&gt;$D$3,"",_xlfn.XLOOKUP(CE$7,Procurement!$M$6:$BM$6,Procurement!$M$16:$BM$16))</f>
        <v/>
      </c>
      <c r="CF93" s="69" t="str">
        <f>IF(CF$7&gt;$D$3,"",_xlfn.XLOOKUP(CF$7,Procurement!$M$6:$BM$6,Procurement!$M$16:$BM$16))</f>
        <v/>
      </c>
      <c r="CG93" s="69" t="str">
        <f>IF(CG$7&gt;$D$3,"",_xlfn.XLOOKUP(CG$7,Procurement!$M$6:$BM$6,Procurement!$M$16:$BM$16))</f>
        <v/>
      </c>
      <c r="CH93" s="69" t="str">
        <f>IF(CH$7&gt;$D$3,"",_xlfn.XLOOKUP(CH$7,Procurement!$M$6:$BM$6,Procurement!$M$16:$BM$16))</f>
        <v/>
      </c>
      <c r="CI93" s="69" t="str">
        <f>IF(CI$7&gt;$D$3,"",_xlfn.XLOOKUP(CI$7,Procurement!$M$6:$BM$6,Procurement!$M$16:$BM$16))</f>
        <v/>
      </c>
      <c r="CJ93" s="69" t="str">
        <f>IF(CJ$7&gt;$D$3,"",_xlfn.XLOOKUP(CJ$7,Procurement!$M$6:$BM$6,Procurement!$M$16:$BM$16))</f>
        <v/>
      </c>
      <c r="CK93" s="69" t="str">
        <f>IF(CK$7&gt;$D$3,"",_xlfn.XLOOKUP(CK$7,Procurement!$M$6:$BM$6,Procurement!$M$16:$BM$16))</f>
        <v/>
      </c>
      <c r="CL93" s="69" t="str">
        <f>IF(CL$7&gt;$D$3,"",_xlfn.XLOOKUP(CL$7,Procurement!$M$6:$BM$6,Procurement!$M$16:$BM$16))</f>
        <v/>
      </c>
      <c r="CM93" s="69" t="str">
        <f>IF(CM$7&gt;$D$3,"",_xlfn.XLOOKUP(CM$7,Procurement!$M$6:$BM$6,Procurement!$M$16:$BM$16))</f>
        <v/>
      </c>
      <c r="CO93" s="465" t="str">
        <f>+$A93</f>
        <v>Procurement-KPI Q1</v>
      </c>
      <c r="CP93" s="136" t="str">
        <f t="shared" si="318"/>
        <v>KPI Q1</v>
      </c>
      <c r="CQ93" s="144" t="str">
        <f t="shared" si="318"/>
        <v>Quality</v>
      </c>
      <c r="CR93" s="514" t="str">
        <f t="shared" si="303"/>
        <v>Cost of Quality - Raw materials - Quality Failures</v>
      </c>
      <c r="CS93" s="145" t="str">
        <f t="shared" si="303"/>
        <v>Count</v>
      </c>
      <c r="CT93" s="168" t="s">
        <v>247</v>
      </c>
      <c r="CU93" s="423" t="str">
        <f>IF(CU$7&gt;$D$3,"",_xlfn.XLOOKUP(CU$7,Procurement!$M$6:$BM$6,Procurement!$M$16:$BM$16))</f>
        <v>Blank</v>
      </c>
      <c r="CV93" s="509" t="str">
        <f>IF(CV$7&gt;$D$3,"",IF(AN93="Missed","Missed",IF(AN93="OD","OD",IF(AN93="TBC","TBC",IF(AN93="Undefined","Undefined",_xlfn.XLOOKUP(CV$7,Procurement!$M$6:$BM$6,Procurement!$M$15:$BM$15))))))</f>
        <v>TBC</v>
      </c>
      <c r="CW93" s="508" t="str">
        <f>IF(CW$7&gt;$D$3,"",IF(AO93="Missed","Missed",IF(AO93="OD","OD",IF(AO93="TBC","TBC",IF(AO93="Undefined","Undefined",_xlfn.XLOOKUP(CW$7,Procurement!$M$6:$BM$6,Procurement!$M$15:$BM$15))))))</f>
        <v>TBC</v>
      </c>
      <c r="CX93" s="508" t="str">
        <f>IF(CX$7&gt;$D$3,"",IF(AP93="Missed","Missed",IF(AP93="OD","OD",IF(AP93="TBC","TBC",IF(AP93="Undefined","Undefined",_xlfn.XLOOKUP(CX$7,Procurement!$M$6:$BM$6,Procurement!$M$15:$BM$15))))))</f>
        <v>TBC</v>
      </c>
      <c r="CY93" s="508" t="str">
        <f>IF(CY$7&gt;$D$3,"",IF(AQ93="Missed","Missed",IF(AQ93="OD","OD",IF(AQ93="TBC","TBC",IF(AQ93="Undefined","Undefined",_xlfn.XLOOKUP(CY$7,Procurement!$M$6:$BM$6,Procurement!$M$15:$BM$15))))))</f>
        <v>TBC</v>
      </c>
      <c r="CZ93" s="508" t="str">
        <f>IF(CZ$7&gt;$D$3,"",IF(AR93="Missed","Missed",IF(AR93="OD","OD",IF(AR93="TBC","TBC",IF(AR93="Undefined","Undefined",_xlfn.XLOOKUP(CZ$7,Procurement!$M$6:$BM$6,Procurement!$M$15:$BM$15))))))</f>
        <v>TBC</v>
      </c>
      <c r="DA93" s="508" t="str">
        <f>IF(DA$7&gt;$D$3,"",IF(AS93="Missed","Missed",IF(AS93="OD","OD",IF(AS93="TBC","TBC",IF(AS93="Undefined","Undefined",_xlfn.XLOOKUP(DA$7,Procurement!$M$6:$BM$6,Procurement!$M$15:$BM$15))))))</f>
        <v>TBC</v>
      </c>
      <c r="DB93" s="508" t="str">
        <f>IF(DB$7&gt;$D$3,"",IF(AT93="Missed","Missed",IF(AT93="OD","OD",IF(AT93="TBC","TBC",IF(AT93="Undefined","Undefined",_xlfn.XLOOKUP(DB$7,Procurement!$M$6:$BM$6,Procurement!$M$15:$BM$15))))))</f>
        <v>TBC</v>
      </c>
      <c r="DC93" s="508" t="str">
        <f>IF(DC$7&gt;$D$3,"",IF(AU93="Missed","Missed",IF(AU93="OD","OD",IF(AU93="TBC","TBC",IF(AU93="Undefined","Undefined",_xlfn.XLOOKUP(DC$7,Procurement!$M$6:$BM$6,Procurement!$M$15:$BM$15))))))</f>
        <v>TBC</v>
      </c>
      <c r="DD93" s="508" t="str">
        <f>IF(DD$7&gt;$D$3,"",IF(AV93="Missed","Missed",IF(AV93="OD","OD",IF(AV93="TBC","TBC",IF(AV93="Undefined","Undefined",_xlfn.XLOOKUP(DD$7,Procurement!$M$6:$BM$6,Procurement!$M$15:$BM$15))))))</f>
        <v>TBC</v>
      </c>
      <c r="DE93" s="508" t="str">
        <f>IF(DE$7&gt;$D$3,"",IF(AW93="Missed","Missed",IF(AW93="OD","OD",IF(AW93="TBC","TBC",IF(AW93="Undefined","Undefined",_xlfn.XLOOKUP(DE$7,Procurement!$M$6:$BM$6,Procurement!$M$15:$BM$15))))))</f>
        <v>TBC</v>
      </c>
      <c r="DF93" s="508">
        <f>IF(DF$7&gt;$D$3,"",IF(AX93="Missed","Missed",IF(AX93="OD","OD",IF(AX93="TBC","TBC",IF(AX93="Undefined","Undefined",_xlfn.XLOOKUP(DF$7,Procurement!$M$6:$BM$6,Procurement!$M$15:$BM$15))))))</f>
        <v>0</v>
      </c>
      <c r="DG93" s="508">
        <f>IF(DG$7&gt;$D$3,"",IF(AY93="Missed","Missed",IF(AY93="OD","OD",IF(AY93="TBC","TBC",IF(AY93="Undefined","Undefined",_xlfn.XLOOKUP(DG$7,Procurement!$M$6:$BM$6,Procurement!$M$15:$BM$15))))))</f>
        <v>0</v>
      </c>
      <c r="DH93" s="508">
        <f>IF(DH$7&gt;$D$3,"",IF(AZ93="Missed","Missed",IF(AZ93="OD","OD",IF(AZ93="TBC","TBC",IF(AZ93="Undefined","Undefined",_xlfn.XLOOKUP(DH$7,Procurement!$M$6:$BM$6,Procurement!$M$15:$BM$15))))))</f>
        <v>0</v>
      </c>
      <c r="DI93" s="508">
        <f>IF(DI$7&gt;$D$3,"",IF(BA93="Missed","Missed",IF(BA93="OD","OD",IF(BA93="TBC","TBC",IF(BA93="Undefined","Undefined",_xlfn.XLOOKUP(DI$7,Procurement!$M$6:$BM$6,Procurement!$M$15:$BM$15))))))</f>
        <v>0</v>
      </c>
      <c r="DJ93" s="508">
        <f>IF(DJ$7&gt;$D$3,"",IF(BB93="Missed","Missed",IF(BB93="OD","OD",IF(BB93="TBC","TBC",IF(BB93="Undefined","Undefined",_xlfn.XLOOKUP(DJ$7,Procurement!$M$6:$BM$6,Procurement!$M$15:$BM$15))))))</f>
        <v>0</v>
      </c>
      <c r="DK93" s="508">
        <f>IF(DK$7&gt;$D$3,"",IF(BC93="Missed","Missed",IF(BC93="OD","OD",IF(BC93="TBC","TBC",IF(BC93="Undefined","Undefined",_xlfn.XLOOKUP(DK$7,Procurement!$M$6:$BM$6,Procurement!$M$15:$BM$15))))))</f>
        <v>0</v>
      </c>
      <c r="DL93" s="508">
        <f>IF(DL$7&gt;$D$3,"",IF(BD93="Missed","Missed",IF(BD93="OD","OD",IF(BD93="TBC","TBC",IF(BD93="Undefined","Undefined",_xlfn.XLOOKUP(DL$7,Procurement!$M$6:$BM$6,Procurement!$M$15:$BM$15))))))</f>
        <v>0</v>
      </c>
      <c r="DM93" s="508">
        <f>IF(DM$7&gt;$D$3,"",IF(BE93="Missed","Missed",IF(BE93="OD","OD",IF(BE93="TBC","TBC",IF(BE93="Undefined","Undefined",_xlfn.XLOOKUP(DM$7,Procurement!$M$6:$BM$6,Procurement!$M$15:$BM$15))))))</f>
        <v>0</v>
      </c>
      <c r="DN93" s="508">
        <f>IF(DN$7&gt;$D$3,"",IF(BF93="Missed","Missed",IF(BF93="OD","OD",IF(BF93="TBC","TBC",IF(BF93="Undefined","Undefined",_xlfn.XLOOKUP(DN$7,Procurement!$M$6:$BM$6,Procurement!$M$15:$BM$15))))))</f>
        <v>0</v>
      </c>
      <c r="DO93" s="508">
        <f>IF(DO$7&gt;$D$3,"",IF(BG93="Missed","Missed",IF(BG93="OD","OD",IF(BG93="TBC","TBC",IF(BG93="Undefined","Undefined",_xlfn.XLOOKUP(DO$7,Procurement!$M$6:$BM$6,Procurement!$M$15:$BM$15))))))</f>
        <v>0</v>
      </c>
      <c r="DP93" s="508">
        <f>IF(DP$7&gt;$D$3,"",IF(BH93="Missed","Missed",IF(BH93="OD","OD",IF(BH93="TBC","TBC",IF(BH93="Undefined","Undefined",_xlfn.XLOOKUP(DP$7,Procurement!$M$6:$BM$6,Procurement!$M$15:$BM$15))))))</f>
        <v>0</v>
      </c>
      <c r="DQ93" s="508">
        <f>IF(DQ$7&gt;$D$3,"",IF(BI93="Missed","Missed",IF(BI93="OD","OD",IF(BI93="TBC","TBC",IF(BI93="Undefined","Undefined",_xlfn.XLOOKUP(DQ$7,Procurement!$M$6:$BM$6,Procurement!$M$15:$BM$15))))))</f>
        <v>2</v>
      </c>
      <c r="DR93" s="508">
        <f>IF(DR$7&gt;$D$3,"",IF(BJ93="Missed","Missed",IF(BJ93="OD","OD",IF(BJ93="TBC","TBC",IF(BJ93="Undefined","Undefined",_xlfn.XLOOKUP(DR$7,Procurement!$M$6:$BM$6,Procurement!$M$15:$BM$15))))))</f>
        <v>0</v>
      </c>
      <c r="DS93" s="508">
        <f>IF(DS$7&gt;$D$3,"",IF(BK93="Missed","Missed",IF(BK93="OD","OD",IF(BK93="TBC","TBC",IF(BK93="Undefined","Undefined",_xlfn.XLOOKUP(DS$7,Procurement!$M$6:$BM$6,Procurement!$M$15:$BM$15))))))</f>
        <v>0</v>
      </c>
      <c r="DT93" s="508">
        <f>IF(DT$7&gt;$D$3,"",IF(BL93="Missed","Missed",IF(BL93="OD","OD",IF(BL93="TBC","TBC",IF(BL93="Undefined","Undefined",_xlfn.XLOOKUP(DT$7,Procurement!$M$6:$BM$6,Procurement!$M$15:$BM$15))))))</f>
        <v>0</v>
      </c>
      <c r="DU93" s="508">
        <f>IF(DU$7&gt;$D$3,"",IF(BM93="Missed","Missed",IF(BM93="OD","OD",IF(BM93="TBC","TBC",IF(BM93="Undefined","Undefined",_xlfn.XLOOKUP(DU$7,Procurement!$M$6:$BM$6,Procurement!$M$15:$BM$15))))))</f>
        <v>0</v>
      </c>
      <c r="DV93" s="508">
        <f>IF(DV$7&gt;$D$3,"",IF(BN93="Missed","Missed",IF(BN93="OD","OD",IF(BN93="TBC","TBC",IF(BN93="Undefined","Undefined",_xlfn.XLOOKUP(DV$7,Procurement!$M$6:$BM$6,Procurement!$M$15:$BM$15))))))</f>
        <v>0</v>
      </c>
      <c r="DW93" s="508">
        <f>IF(DW$7&gt;$D$3,"",IF(BO93="Missed","Missed",IF(BO93="OD","OD",IF(BO93="TBC","TBC",IF(BO93="Undefined","Undefined",_xlfn.XLOOKUP(DW$7,Procurement!$M$6:$BM$6,Procurement!$M$15:$BM$15))))))</f>
        <v>0</v>
      </c>
      <c r="DX93" s="508">
        <f>IF(DX$7&gt;$D$3,"",IF(BP93="Missed","Missed",IF(BP93="OD","OD",IF(BP93="TBC","TBC",IF(BP93="Undefined","Undefined",_xlfn.XLOOKUP(DX$7,Procurement!$M$6:$BM$6,Procurement!$M$15:$BM$15))))))</f>
        <v>0</v>
      </c>
      <c r="DY93" s="508">
        <f>IF(DY$7&gt;$D$3,"",IF(BQ93="Missed","Missed",IF(BQ93="OD","OD",IF(BQ93="TBC","TBC",IF(BQ93="Undefined","Undefined",_xlfn.XLOOKUP(DY$7,Procurement!$M$6:$BM$6,Procurement!$M$15:$BM$15))))))</f>
        <v>0</v>
      </c>
      <c r="DZ93" s="508">
        <f>IF(DZ$7&gt;$D$3,"",IF(BR93="Missed","Missed",IF(BR93="OD","OD",IF(BR93="TBC","TBC",IF(BR93="Undefined","Undefined",_xlfn.XLOOKUP(DZ$7,Procurement!$M$6:$BM$6,Procurement!$M$15:$BM$15))))))</f>
        <v>0</v>
      </c>
      <c r="EA93" s="508">
        <f>IF(EA$7&gt;$D$3,"",IF(BS93="Missed","Missed",IF(BS93="OD","OD",IF(BS93="TBC","TBC",IF(BS93="Undefined","Undefined",_xlfn.XLOOKUP(EA$7,Procurement!$M$6:$BM$6,Procurement!$M$15:$BM$15))))))</f>
        <v>0</v>
      </c>
      <c r="EB93" s="508">
        <f>IF(EB$7&gt;$D$3,"",IF(BT93="Missed","Missed",IF(BT93="OD","OD",IF(BT93="TBC","TBC",IF(BT93="Undefined","Undefined",_xlfn.XLOOKUP(EB$7,Procurement!$M$6:$BM$6,Procurement!$M$15:$BM$15))))))</f>
        <v>0</v>
      </c>
      <c r="EC93" s="508">
        <f>IF(EC$7&gt;$D$3,"",IF(BU93="Missed","Missed",IF(BU93="OD","OD",IF(BU93="TBC","TBC",IF(BU93="Undefined","Undefined",_xlfn.XLOOKUP(EC$7,Procurement!$M$6:$BM$6,Procurement!$M$15:$BM$15))))))</f>
        <v>0</v>
      </c>
      <c r="ED93" s="508">
        <f>IF(ED$7&gt;$D$3,"",IF(BV93="Missed","Missed",IF(BV93="OD","OD",IF(BV93="TBC","TBC",IF(BV93="Undefined","Undefined",_xlfn.XLOOKUP(ED$7,Procurement!$M$6:$BM$6,Procurement!$M$15:$BM$15))))))</f>
        <v>0</v>
      </c>
      <c r="EE93" s="508">
        <f>IF(EE$7&gt;$D$3,"",IF(BW93="Missed","Missed",IF(BW93="OD","OD",IF(BW93="TBC","TBC",IF(BW93="Undefined","Undefined",_xlfn.XLOOKUP(EE$7,Procurement!$M$6:$BM$6,Procurement!$M$15:$BM$15))))))</f>
        <v>0</v>
      </c>
      <c r="EF93" s="508">
        <f>IF(EF$7&gt;$D$3,"",IF(BX93="Missed","Missed",IF(BX93="OD","OD",IF(BX93="TBC","TBC",IF(BX93="Undefined","Undefined",_xlfn.XLOOKUP(EF$7,Procurement!$M$6:$BM$6,Procurement!$M$15:$BM$15))))))</f>
        <v>0</v>
      </c>
      <c r="EG93" s="508">
        <f>IF(EG$7&gt;$D$3,"",IF(BY93="Missed","Missed",IF(BY93="OD","OD",IF(BY93="TBC","TBC",IF(BY93="Undefined","Undefined",_xlfn.XLOOKUP(EG$7,Procurement!$M$6:$BM$6,Procurement!$M$15:$BM$15))))))</f>
        <v>0</v>
      </c>
      <c r="EH93" s="508">
        <f>IF(EH$7&gt;$D$3,"",IF(BZ93="Missed","Missed",IF(BZ93="OD","OD",IF(BZ93="TBC","TBC",IF(BZ93="Undefined","Undefined",_xlfn.XLOOKUP(EH$7,Procurement!$M$6:$BM$6,Procurement!$M$15:$BM$15))))))</f>
        <v>0</v>
      </c>
      <c r="EI93" s="508">
        <f>IF(EI$7&gt;$D$3,"",IF(CA93="Missed","Missed",IF(CA93="OD","OD",IF(CA93="TBC","TBC",IF(CA93="Undefined","Undefined",_xlfn.XLOOKUP(EI$7,Procurement!$M$6:$BM$6,Procurement!$M$15:$BM$15))))))</f>
        <v>0</v>
      </c>
      <c r="EJ93" s="508">
        <f>IF(EJ$7&gt;$D$3,"",IF(CB93="Missed","Missed",IF(CB93="OD","OD",IF(CB93="TBC","TBC",IF(CB93="Undefined","Undefined",_xlfn.XLOOKUP(EJ$7,Procurement!$M$6:$BM$6,Procurement!$M$15:$BM$15))))))</f>
        <v>0</v>
      </c>
      <c r="EK93" s="508" t="str">
        <f>IF(EK$7&gt;$D$3,"",IF(CC93="Missed","Missed",IF(CC93="OD","OD",IF(CC93="TBC","TBC",IF(CC93="Undefined","Undefined",_xlfn.XLOOKUP(EK$7,Procurement!$M$6:$BM$6,Procurement!$M$15:$BM$15))))))</f>
        <v/>
      </c>
      <c r="EL93" s="508" t="str">
        <f>IF(EL$7&gt;$D$3,"",IF(CD93="Missed","Missed",IF(CD93="OD","OD",IF(CD93="TBC","TBC",IF(CD93="Undefined","Undefined",_xlfn.XLOOKUP(EL$7,Procurement!$M$6:$BM$6,Procurement!$M$15:$BM$15))))))</f>
        <v/>
      </c>
      <c r="EM93" s="508" t="str">
        <f>IF(EM$7&gt;$D$3,"",IF(CE93="Missed","Missed",IF(CE93="OD","OD",IF(CE93="TBC","TBC",IF(CE93="Undefined","Undefined",_xlfn.XLOOKUP(EM$7,Procurement!$M$6:$BM$6,Procurement!$M$15:$BM$15))))))</f>
        <v/>
      </c>
      <c r="EN93" s="508" t="str">
        <f>IF(EN$7&gt;$D$3,"",IF(CF93="Missed","Missed",IF(CF93="OD","OD",IF(CF93="TBC","TBC",IF(CF93="Undefined","Undefined",_xlfn.XLOOKUP(EN$7,Procurement!$M$6:$BM$6,Procurement!$M$15:$BM$15))))))</f>
        <v/>
      </c>
      <c r="EO93" s="508" t="str">
        <f>IF(EO$7&gt;$D$3,"",IF(CG93="Missed","Missed",IF(CG93="OD","OD",IF(CG93="TBC","TBC",IF(CG93="Undefined","Undefined",_xlfn.XLOOKUP(EO$7,Procurement!$M$6:$BM$6,Procurement!$M$15:$BM$15))))))</f>
        <v/>
      </c>
      <c r="EP93" s="508" t="str">
        <f>IF(EP$7&gt;$D$3,"",IF(CH93="Missed","Missed",IF(CH93="OD","OD",IF(CH93="TBC","TBC",IF(CH93="Undefined","Undefined",_xlfn.XLOOKUP(EP$7,Procurement!$M$6:$BM$6,Procurement!$M$15:$BM$15))))))</f>
        <v/>
      </c>
      <c r="EQ93" s="508" t="str">
        <f>IF(EQ$7&gt;$D$3,"",IF(CI93="Missed","Missed",IF(CI93="OD","OD",IF(CI93="TBC","TBC",IF(CI93="Undefined","Undefined",_xlfn.XLOOKUP(EQ$7,Procurement!$M$6:$BM$6,Procurement!$M$15:$BM$15))))))</f>
        <v/>
      </c>
      <c r="ER93" s="508" t="str">
        <f>IF(ER$7&gt;$D$3,"",IF(CJ93="Missed","Missed",IF(CJ93="OD","OD",IF(CJ93="TBC","TBC",IF(CJ93="Undefined","Undefined",_xlfn.XLOOKUP(ER$7,Procurement!$M$6:$BM$6,Procurement!$M$15:$BM$15))))))</f>
        <v/>
      </c>
      <c r="ES93" s="508" t="str">
        <f>IF(ES$7&gt;$D$3,"",IF(CK93="Missed","Missed",IF(CK93="OD","OD",IF(CK93="TBC","TBC",IF(CK93="Undefined","Undefined",_xlfn.XLOOKUP(ES$7,Procurement!$M$6:$BM$6,Procurement!$M$15:$BM$15))))))</f>
        <v/>
      </c>
      <c r="ET93" s="508" t="str">
        <f>IF(ET$7&gt;$D$3,"",IF(CL93="Missed","Missed",IF(CL93="OD","OD",IF(CL93="TBC","TBC",IF(CL93="Undefined","Undefined",_xlfn.XLOOKUP(ET$7,Procurement!$M$6:$BM$6,Procurement!$M$15:$BM$15))))))</f>
        <v/>
      </c>
      <c r="EU93" s="508" t="str">
        <f>IF(EU$7&gt;$D$3,"",IF(CM93="Missed","Missed",IF(CM93="OD","OD",IF(CM93="TBC","TBC",IF(CM93="Undefined","Undefined",_xlfn.XLOOKUP(EU$7,Procurement!$M$6:$BM$6,Procurement!$M$15:$BM$15))))))</f>
        <v/>
      </c>
      <c r="EW93" s="465" t="str">
        <f>+$A93</f>
        <v>Procurement-KPI Q1</v>
      </c>
      <c r="EX93" s="136" t="str">
        <f>+$C93</f>
        <v>KPI Q1</v>
      </c>
      <c r="EY93" s="144" t="str">
        <f>+$D93</f>
        <v>Quality</v>
      </c>
      <c r="EZ93" s="144" t="str">
        <f>+$E93</f>
        <v>Cost of Quality - Raw materials - Quality Failures</v>
      </c>
      <c r="FA93" s="145" t="str">
        <f>+$F93</f>
        <v>Count</v>
      </c>
      <c r="FB93" s="145" t="s">
        <v>251</v>
      </c>
      <c r="FC93" s="199" t="str">
        <f>IF(FC$7&gt;$D$3,"",IF($FA90&lt;FC$7,"OD",_xlfn.XLOOKUP(FC$7,Procurement!$M$6:$BM$6,Procurement!$M$15:$BM$15)))</f>
        <v>Blank</v>
      </c>
      <c r="FD93" s="199" t="str">
        <f>IF(FD$7&gt;$D$3,"",IF($FA90&lt;FD$7,"OD",_xlfn.XLOOKUP(FD$7,Procurement!$M$6:$BM$6,Procurement!$M$15:$BM$15)))</f>
        <v>TBC</v>
      </c>
      <c r="FE93" s="199" t="str">
        <f>IF(FE$7&gt;$D$3,"",IF($FA90&lt;FE$7,"OD",_xlfn.XLOOKUP(FE$7,Procurement!$M$6:$BM$6,Procurement!$M$15:$BM$15)))</f>
        <v>TBC</v>
      </c>
      <c r="FF93" s="199" t="str">
        <f>IF(FF$7&gt;$D$3,"",IF($FA90&lt;FF$7,"OD",_xlfn.XLOOKUP(FF$7,Procurement!$M$6:$BM$6,Procurement!$M$15:$BM$15)))</f>
        <v>TBC</v>
      </c>
      <c r="FG93" s="199" t="str">
        <f>IF(FG$7&gt;$D$3,"",IF($FA90&lt;FG$7,"OD",_xlfn.XLOOKUP(FG$7,Procurement!$M$6:$BM$6,Procurement!$M$15:$BM$15)))</f>
        <v>TBC</v>
      </c>
      <c r="FH93" s="199" t="str">
        <f>IF(FH$7&gt;$D$3,"",IF($FA90&lt;FH$7,"OD",_xlfn.XLOOKUP(FH$7,Procurement!$M$6:$BM$6,Procurement!$M$15:$BM$15)))</f>
        <v>TBC</v>
      </c>
      <c r="FI93" s="199" t="str">
        <f>IF(FI$7&gt;$D$3,"",IF($FA90&lt;FI$7,"OD",_xlfn.XLOOKUP(FI$7,Procurement!$M$6:$BM$6,Procurement!$M$15:$BM$15)))</f>
        <v>TBC</v>
      </c>
      <c r="FJ93" s="199" t="str">
        <f>IF(FJ$7&gt;$D$3,"",IF($FA90&lt;FJ$7,"OD",_xlfn.XLOOKUP(FJ$7,Procurement!$M$6:$BM$6,Procurement!$M$15:$BM$15)))</f>
        <v>TBC</v>
      </c>
      <c r="FK93" s="199" t="str">
        <f>IF(FK$7&gt;$D$3,"",IF($FA90&lt;FK$7,"OD",_xlfn.XLOOKUP(FK$7,Procurement!$M$6:$BM$6,Procurement!$M$15:$BM$15)))</f>
        <v>TBC</v>
      </c>
      <c r="FL93" s="199" t="str">
        <f>IF(FL$7&gt;$D$3,"",IF($FA90&lt;FL$7,"OD",_xlfn.XLOOKUP(FL$7,Procurement!$M$6:$BM$6,Procurement!$M$15:$BM$15)))</f>
        <v>TBC</v>
      </c>
      <c r="FM93" s="199" t="str">
        <f>IF(FM$7&gt;$D$3,"",IF($FA90&lt;FM$7,"OD",_xlfn.XLOOKUP(FM$7,Procurement!$M$6:$BM$6,Procurement!$M$15:$BM$15)))</f>
        <v>TBC</v>
      </c>
      <c r="FN93" s="199">
        <f>IF(FN$7&gt;$D$3,"",IF($FA90&lt;FN$7,"OD",_xlfn.XLOOKUP(FN$7,Procurement!$M$6:$BM$6,Procurement!$M$15:$BM$15)))</f>
        <v>0</v>
      </c>
      <c r="FO93" s="199">
        <f>IF(FO$7&gt;$D$3,"",IF($FA90&lt;FO$7,"OD",_xlfn.XLOOKUP(FO$7,Procurement!$M$6:$BM$6,Procurement!$M$15:$BM$15)))</f>
        <v>0</v>
      </c>
      <c r="FP93" s="199">
        <f>IF(FP$7&gt;$D$3,"",IF($FA90&lt;FP$7,"OD",_xlfn.XLOOKUP(FP$7,Procurement!$M$6:$BM$6,Procurement!$M$15:$BM$15)))</f>
        <v>0</v>
      </c>
      <c r="FQ93" s="199">
        <f>IF(FQ$7&gt;$D$3,"",IF($FA90&lt;FQ$7,"OD",_xlfn.XLOOKUP(FQ$7,Procurement!$M$6:$BM$6,Procurement!$M$15:$BM$15)))</f>
        <v>0</v>
      </c>
      <c r="FR93" s="199">
        <f>IF(FR$7&gt;$D$3,"",IF($FA90&lt;FR$7,"OD",_xlfn.XLOOKUP(FR$7,Procurement!$M$6:$BM$6,Procurement!$M$15:$BM$15)))</f>
        <v>0</v>
      </c>
      <c r="FS93" s="199">
        <f>IF(FS$7&gt;$D$3,"",IF($FA90&lt;FS$7,"OD",_xlfn.XLOOKUP(FS$7,Procurement!$M$6:$BM$6,Procurement!$M$15:$BM$15)))</f>
        <v>0</v>
      </c>
      <c r="FT93" s="199">
        <f>IF(FT$7&gt;$D$3,"",IF($FA90&lt;FT$7,"OD",_xlfn.XLOOKUP(FT$7,Procurement!$M$6:$BM$6,Procurement!$M$15:$BM$15)))</f>
        <v>0</v>
      </c>
      <c r="FU93" s="199">
        <f>IF(FU$7&gt;$D$3,"",IF($FA90&lt;FU$7,"OD",_xlfn.XLOOKUP(FU$7,Procurement!$M$6:$BM$6,Procurement!$M$15:$BM$15)))</f>
        <v>0</v>
      </c>
      <c r="FV93" s="199">
        <f>IF(FV$7&gt;$D$3,"",IF($FA90&lt;FV$7,"OD",_xlfn.XLOOKUP(FV$7,Procurement!$M$6:$BM$6,Procurement!$M$15:$BM$15)))</f>
        <v>0</v>
      </c>
      <c r="FW93" s="199">
        <f>IF(FW$7&gt;$D$3,"",IF($FA90&lt;FW$7,"OD",_xlfn.XLOOKUP(FW$7,Procurement!$M$6:$BM$6,Procurement!$M$15:$BM$15)))</f>
        <v>0</v>
      </c>
      <c r="FX93" s="199">
        <f>IF(FX$7&gt;$D$3,"",IF($FA90&lt;FX$7,"OD",_xlfn.XLOOKUP(FX$7,Procurement!$M$6:$BM$6,Procurement!$M$15:$BM$15)))</f>
        <v>0</v>
      </c>
      <c r="FY93" s="199">
        <f>IF(FY$7&gt;$D$3,"",IF($FA90&lt;FY$7,"OD",_xlfn.XLOOKUP(FY$7,Procurement!$M$6:$BM$6,Procurement!$M$15:$BM$15)))</f>
        <v>2</v>
      </c>
      <c r="FZ93" s="199">
        <f>IF(FZ$7&gt;$D$3,"",IF($FA90&lt;FZ$7,"OD",_xlfn.XLOOKUP(FZ$7,Procurement!$M$6:$BM$6,Procurement!$M$15:$BM$15)))</f>
        <v>0</v>
      </c>
      <c r="GA93" s="199">
        <f>IF(GA$7&gt;$D$3,"",IF($FA90&lt;GA$7,"OD",_xlfn.XLOOKUP(GA$7,Procurement!$M$6:$BM$6,Procurement!$M$15:$BM$15)))</f>
        <v>0</v>
      </c>
      <c r="GB93" s="199">
        <f>IF(GB$7&gt;$D$3,"",IF($FA90&lt;GB$7,"OD",_xlfn.XLOOKUP(GB$7,Procurement!$M$6:$BM$6,Procurement!$M$15:$BM$15)))</f>
        <v>0</v>
      </c>
      <c r="GC93" s="199">
        <f>IF(GC$7&gt;$D$3,"",IF($FA90&lt;GC$7,"OD",_xlfn.XLOOKUP(GC$7,Procurement!$M$6:$BM$6,Procurement!$M$15:$BM$15)))</f>
        <v>0</v>
      </c>
      <c r="GD93" s="199">
        <f>IF(GD$7&gt;$D$3,"",IF($FA90&lt;GD$7,"OD",_xlfn.XLOOKUP(GD$7,Procurement!$M$6:$BM$6,Procurement!$M$15:$BM$15)))</f>
        <v>0</v>
      </c>
      <c r="GE93" s="199">
        <f>IF(GE$7&gt;$D$3,"",IF($FA90&lt;GE$7,"OD",_xlfn.XLOOKUP(GE$7,Procurement!$M$6:$BM$6,Procurement!$M$15:$BM$15)))</f>
        <v>0</v>
      </c>
      <c r="GF93" s="199">
        <f>IF(GF$7&gt;$D$3,"",IF($FA90&lt;GF$7,"OD",_xlfn.XLOOKUP(GF$7,Procurement!$M$6:$BM$6,Procurement!$M$15:$BM$15)))</f>
        <v>0</v>
      </c>
      <c r="GG93" s="199">
        <f>IF(GG$7&gt;$D$3,"",IF($FA90&lt;GG$7,"OD",_xlfn.XLOOKUP(GG$7,Procurement!$M$6:$BM$6,Procurement!$M$15:$BM$15)))</f>
        <v>0</v>
      </c>
      <c r="GH93" s="199">
        <f>IF(GH$7&gt;$D$3,"",IF($FA90&lt;GH$7,"OD",_xlfn.XLOOKUP(GH$7,Procurement!$M$6:$BM$6,Procurement!$M$15:$BM$15)))</f>
        <v>0</v>
      </c>
      <c r="GI93" s="199">
        <f>IF(GI$7&gt;$D$3,"",IF($FA90&lt;GI$7,"OD",_xlfn.XLOOKUP(GI$7,Procurement!$M$6:$BM$6,Procurement!$M$15:$BM$15)))</f>
        <v>0</v>
      </c>
      <c r="GJ93" s="199">
        <f>IF(GJ$7&gt;$D$3,"",IF($FA90&lt;GJ$7,"OD",_xlfn.XLOOKUP(GJ$7,Procurement!$M$6:$BM$6,Procurement!$M$15:$BM$15)))</f>
        <v>0</v>
      </c>
      <c r="GK93" s="199">
        <f>IF(GK$7&gt;$D$3,"",IF($FA90&lt;GK$7,"OD",_xlfn.XLOOKUP(GK$7,Procurement!$M$6:$BM$6,Procurement!$M$15:$BM$15)))</f>
        <v>0</v>
      </c>
      <c r="GL93" s="199">
        <f>IF(GL$7&gt;$D$3,"",IF($FA90&lt;GL$7,"OD",_xlfn.XLOOKUP(GL$7,Procurement!$M$6:$BM$6,Procurement!$M$15:$BM$15)))</f>
        <v>0</v>
      </c>
      <c r="GM93" s="199">
        <f>IF(GM$7&gt;$D$3,"",IF($FA90&lt;GM$7,"OD",_xlfn.XLOOKUP(GM$7,Procurement!$M$6:$BM$6,Procurement!$M$15:$BM$15)))</f>
        <v>0</v>
      </c>
      <c r="GN93" s="199">
        <f>IF(GN$7&gt;$D$3,"",IF($FA90&lt;GN$7,"OD",_xlfn.XLOOKUP(GN$7,Procurement!$M$6:$BM$6,Procurement!$M$15:$BM$15)))</f>
        <v>0</v>
      </c>
      <c r="GO93" s="199">
        <f>IF(GO$7&gt;$D$3,"",IF($FA90&lt;GO$7,"OD",_xlfn.XLOOKUP(GO$7,Procurement!$M$6:$BM$6,Procurement!$M$15:$BM$15)))</f>
        <v>0</v>
      </c>
      <c r="GP93" s="199">
        <f>IF(GP$7&gt;$D$3,"",IF($FA90&lt;GP$7,"OD",_xlfn.XLOOKUP(GP$7,Procurement!$M$6:$BM$6,Procurement!$M$15:$BM$15)))</f>
        <v>0</v>
      </c>
      <c r="GQ93" s="199">
        <f>IF(GQ$7&gt;$D$3,"",IF($FA90&lt;GQ$7,"OD",_xlfn.XLOOKUP(GQ$7,Procurement!$M$6:$BM$6,Procurement!$M$15:$BM$15)))</f>
        <v>0</v>
      </c>
      <c r="GR93" s="199">
        <f>IF(GR$7&gt;$D$3,"",IF($FA90&lt;GR$7,"OD",_xlfn.XLOOKUP(GR$7,Procurement!$M$6:$BM$6,Procurement!$M$15:$BM$15)))</f>
        <v>0</v>
      </c>
      <c r="GS93" s="199" t="str">
        <f>IF(GS$7&gt;$D$3,"",IF($FA90&lt;GS$7,"OD",_xlfn.XLOOKUP(GS$7,Procurement!$M$6:$BM$6,Procurement!$M$15:$BM$15)))</f>
        <v/>
      </c>
      <c r="GT93" s="199" t="str">
        <f>IF(GT$7&gt;$D$3,"",IF($FA90&lt;GT$7,"OD",_xlfn.XLOOKUP(GT$7,Procurement!$M$6:$BM$6,Procurement!$M$15:$BM$15)))</f>
        <v/>
      </c>
      <c r="GU93" s="199" t="str">
        <f>IF(GU$7&gt;$D$3,"",IF($FA90&lt;GU$7,"OD",_xlfn.XLOOKUP(GU$7,Procurement!$M$6:$BM$6,Procurement!$M$15:$BM$15)))</f>
        <v/>
      </c>
      <c r="GV93" s="199" t="str">
        <f>IF(GV$7&gt;$D$3,"",IF($FA90&lt;GV$7,"OD",_xlfn.XLOOKUP(GV$7,Procurement!$M$6:$BM$6,Procurement!$M$15:$BM$15)))</f>
        <v/>
      </c>
      <c r="GW93" s="199" t="str">
        <f>IF(GW$7&gt;$D$3,"",IF($FA90&lt;GW$7,"OD",_xlfn.XLOOKUP(GW$7,Procurement!$M$6:$BM$6,Procurement!$M$15:$BM$15)))</f>
        <v/>
      </c>
      <c r="GX93" s="199" t="str">
        <f>IF(GX$7&gt;$D$3,"",IF($FA90&lt;GX$7,"OD",_xlfn.XLOOKUP(GX$7,Procurement!$M$6:$BM$6,Procurement!$M$15:$BM$15)))</f>
        <v/>
      </c>
      <c r="GY93" s="199" t="str">
        <f>IF(GY$7&gt;$D$3,"",IF($FA90&lt;GY$7,"OD",_xlfn.XLOOKUP(GY$7,Procurement!$M$6:$BM$6,Procurement!$M$15:$BM$15)))</f>
        <v/>
      </c>
      <c r="GZ93" s="199" t="str">
        <f>IF(GZ$7&gt;$D$3,"",IF($FA90&lt;GZ$7,"OD",_xlfn.XLOOKUP(GZ$7,Procurement!$M$6:$BM$6,Procurement!$M$15:$BM$15)))</f>
        <v/>
      </c>
      <c r="HA93" s="199" t="str">
        <f>IF(HA$7&gt;$D$3,"",IF($FA90&lt;HA$7,"OD",_xlfn.XLOOKUP(HA$7,Procurement!$M$6:$BM$6,Procurement!$M$15:$BM$15)))</f>
        <v/>
      </c>
      <c r="HB93" s="199" t="str">
        <f>IF(HB$7&gt;$D$3,"",IF($FA90&lt;HB$7,"OD",_xlfn.XLOOKUP(HB$7,Procurement!$M$6:$BM$6,Procurement!$M$15:$BM$15)))</f>
        <v/>
      </c>
      <c r="HC93" s="199" t="str">
        <f>IF(HC$7&gt;$D$3,"",IF($FA90&lt;HC$7,"OD",_xlfn.XLOOKUP(HC$7,Procurement!$M$6:$BM$6,Procurement!$M$15:$BM$15)))</f>
        <v/>
      </c>
      <c r="HE93" s="136" t="str">
        <f>+$C93</f>
        <v>KPI Q1</v>
      </c>
      <c r="HF93" s="144" t="str">
        <f>+$D93</f>
        <v>Quality</v>
      </c>
      <c r="HG93" s="144" t="str">
        <f>+$E93</f>
        <v>Cost of Quality - Raw materials - Quality Failures</v>
      </c>
      <c r="HH93" s="145" t="str">
        <f>+$F93</f>
        <v>Count</v>
      </c>
      <c r="HI93" s="145" t="s">
        <v>44</v>
      </c>
      <c r="HJ93" s="199" t="str">
        <f>IF(HJ$7&gt;$D$3,"",IF($FA90&lt;HJ$7,"OD",_xlfn.XLOOKUP(HJ$7,Procurement!$M$6:$BM$6,Procurement!$M$14:$BM$14)))</f>
        <v>Blank</v>
      </c>
      <c r="HK93" s="199">
        <f>IF(HK$7&gt;$D$3,"",IF($FA90&lt;HK$7,"OD",_xlfn.XLOOKUP(HK$7,Procurement!$M$6:$BM$6,Procurement!$M$14:$BM$14)))</f>
        <v>0</v>
      </c>
      <c r="HL93" s="199">
        <f>IF(HL$7&gt;$D$3,"",IF($FA90&lt;HL$7,"OD",_xlfn.XLOOKUP(HL$7,Procurement!$M$6:$BM$6,Procurement!$M$14:$BM$14)))</f>
        <v>0</v>
      </c>
      <c r="HM93" s="199">
        <f>IF(HM$7&gt;$D$3,"",IF($FA90&lt;HM$7,"OD",_xlfn.XLOOKUP(HM$7,Procurement!$M$6:$BM$6,Procurement!$M$14:$BM$14)))</f>
        <v>0</v>
      </c>
      <c r="HN93" s="199">
        <f>IF(HN$7&gt;$D$3,"",IF($FA90&lt;HN$7,"OD",_xlfn.XLOOKUP(HN$7,Procurement!$M$6:$BM$6,Procurement!$M$14:$BM$14)))</f>
        <v>0</v>
      </c>
      <c r="HO93" s="199">
        <f>IF(HO$7&gt;$D$3,"",IF($FA90&lt;HO$7,"OD",_xlfn.XLOOKUP(HO$7,Procurement!$M$6:$BM$6,Procurement!$M$14:$BM$14)))</f>
        <v>0</v>
      </c>
      <c r="HP93" s="199">
        <f>IF(HP$7&gt;$D$3,"",IF($FA90&lt;HP$7,"OD",_xlfn.XLOOKUP(HP$7,Procurement!$M$6:$BM$6,Procurement!$M$14:$BM$14)))</f>
        <v>0</v>
      </c>
      <c r="HQ93" s="199">
        <f>IF(HQ$7&gt;$D$3,"",IF($FA90&lt;HQ$7,"OD",_xlfn.XLOOKUP(HQ$7,Procurement!$M$6:$BM$6,Procurement!$M$14:$BM$14)))</f>
        <v>0</v>
      </c>
      <c r="HR93" s="199">
        <f>IF(HR$7&gt;$D$3,"",IF($FA90&lt;HR$7,"OD",_xlfn.XLOOKUP(HR$7,Procurement!$M$6:$BM$6,Procurement!$M$14:$BM$14)))</f>
        <v>0</v>
      </c>
      <c r="HS93" s="199">
        <f>IF(HS$7&gt;$D$3,"",IF($FA90&lt;HS$7,"OD",_xlfn.XLOOKUP(HS$7,Procurement!$M$6:$BM$6,Procurement!$M$14:$BM$14)))</f>
        <v>0</v>
      </c>
      <c r="HT93" s="199">
        <f>IF(HT$7&gt;$D$3,"",IF($FA90&lt;HT$7,"OD",_xlfn.XLOOKUP(HT$7,Procurement!$M$6:$BM$6,Procurement!$M$14:$BM$14)))</f>
        <v>0</v>
      </c>
      <c r="HU93" s="199">
        <f>IF(HU$7&gt;$D$3,"",IF($FA90&lt;HU$7,"OD",_xlfn.XLOOKUP(HU$7,Procurement!$M$6:$BM$6,Procurement!$M$14:$BM$14)))</f>
        <v>0</v>
      </c>
      <c r="HV93" s="199">
        <f>IF(HV$7&gt;$D$3,"",IF($FA90&lt;HV$7,"OD",_xlfn.XLOOKUP(HV$7,Procurement!$M$6:$BM$6,Procurement!$M$14:$BM$14)))</f>
        <v>0</v>
      </c>
      <c r="HW93" s="199">
        <f>IF(HW$7&gt;$D$3,"",IF($FA90&lt;HW$7,"OD",_xlfn.XLOOKUP(HW$7,Procurement!$M$6:$BM$6,Procurement!$M$14:$BM$14)))</f>
        <v>0</v>
      </c>
      <c r="HX93" s="199">
        <f>IF(HX$7&gt;$D$3,"",IF($FA90&lt;HX$7,"OD",_xlfn.XLOOKUP(HX$7,Procurement!$M$6:$BM$6,Procurement!$M$14:$BM$14)))</f>
        <v>0</v>
      </c>
      <c r="HY93" s="199">
        <f>IF(HY$7&gt;$D$3,"",IF($FA90&lt;HY$7,"OD",_xlfn.XLOOKUP(HY$7,Procurement!$M$6:$BM$6,Procurement!$M$14:$BM$14)))</f>
        <v>0</v>
      </c>
      <c r="HZ93" s="199">
        <f>IF(HZ$7&gt;$D$3,"",IF($FA90&lt;HZ$7,"OD",_xlfn.XLOOKUP(HZ$7,Procurement!$M$6:$BM$6,Procurement!$M$14:$BM$14)))</f>
        <v>0</v>
      </c>
      <c r="IA93" s="199">
        <f>IF(IA$7&gt;$D$3,"",IF($FA90&lt;IA$7,"OD",_xlfn.XLOOKUP(IA$7,Procurement!$M$6:$BM$6,Procurement!$M$14:$BM$14)))</f>
        <v>0</v>
      </c>
      <c r="IB93" s="199">
        <f>IF(IB$7&gt;$D$3,"",IF($FA90&lt;IB$7,"OD",_xlfn.XLOOKUP(IB$7,Procurement!$M$6:$BM$6,Procurement!$M$14:$BM$14)))</f>
        <v>0</v>
      </c>
      <c r="IC93" s="199">
        <f>IF(IC$7&gt;$D$3,"",IF($FA90&lt;IC$7,"OD",_xlfn.XLOOKUP(IC$7,Procurement!$M$6:$BM$6,Procurement!$M$14:$BM$14)))</f>
        <v>0</v>
      </c>
      <c r="ID93" s="199">
        <f>IF(ID$7&gt;$D$3,"",IF($FA90&lt;ID$7,"OD",_xlfn.XLOOKUP(ID$7,Procurement!$M$6:$BM$6,Procurement!$M$14:$BM$14)))</f>
        <v>0</v>
      </c>
      <c r="IE93" s="199">
        <f>IF(IE$7&gt;$D$3,"",IF($FA90&lt;IE$7,"OD",_xlfn.XLOOKUP(IE$7,Procurement!$M$6:$BM$6,Procurement!$M$14:$BM$14)))</f>
        <v>0</v>
      </c>
      <c r="IF93" s="199">
        <f>IF(IF$7&gt;$D$3,"",IF($FA90&lt;IF$7,"OD",_xlfn.XLOOKUP(IF$7,Procurement!$M$6:$BM$6,Procurement!$M$14:$BM$14)))</f>
        <v>0</v>
      </c>
      <c r="IG93" s="199">
        <f>IF(IG$7&gt;$D$3,"",IF($FA90&lt;IG$7,"OD",_xlfn.XLOOKUP(IG$7,Procurement!$M$6:$BM$6,Procurement!$M$14:$BM$14)))</f>
        <v>0</v>
      </c>
      <c r="IH93" s="199">
        <f>IF(IH$7&gt;$D$3,"",IF($FA90&lt;IH$7,"OD",_xlfn.XLOOKUP(IH$7,Procurement!$M$6:$BM$6,Procurement!$M$14:$BM$14)))</f>
        <v>0</v>
      </c>
      <c r="II93" s="199">
        <f>IF(II$7&gt;$D$3,"",IF($FA90&lt;II$7,"OD",_xlfn.XLOOKUP(II$7,Procurement!$M$6:$BM$6,Procurement!$M$14:$BM$14)))</f>
        <v>0</v>
      </c>
      <c r="IJ93" s="199">
        <f>IF(IJ$7&gt;$D$3,"",IF($FA90&lt;IJ$7,"OD",_xlfn.XLOOKUP(IJ$7,Procurement!$M$6:$BM$6,Procurement!$M$14:$BM$14)))</f>
        <v>0</v>
      </c>
      <c r="IK93" s="199">
        <f>IF(IK$7&gt;$D$3,"",IF($FA90&lt;IK$7,"OD",_xlfn.XLOOKUP(IK$7,Procurement!$M$6:$BM$6,Procurement!$M$14:$BM$14)))</f>
        <v>0</v>
      </c>
      <c r="IL93" s="199">
        <f>IF(IL$7&gt;$D$3,"",IF($FA90&lt;IL$7,"OD",_xlfn.XLOOKUP(IL$7,Procurement!$M$6:$BM$6,Procurement!$M$14:$BM$14)))</f>
        <v>0</v>
      </c>
      <c r="IM93" s="199">
        <f>IF(IM$7&gt;$D$3,"",IF($FA90&lt;IM$7,"OD",_xlfn.XLOOKUP(IM$7,Procurement!$M$6:$BM$6,Procurement!$M$14:$BM$14)))</f>
        <v>0</v>
      </c>
      <c r="IN93" s="199">
        <f>IF(IN$7&gt;$D$3,"",IF($FA90&lt;IN$7,"OD",_xlfn.XLOOKUP(IN$7,Procurement!$M$6:$BM$6,Procurement!$M$14:$BM$14)))</f>
        <v>0</v>
      </c>
      <c r="IO93" s="199">
        <f>IF(IO$7&gt;$D$3,"",IF($FA90&lt;IO$7,"OD",_xlfn.XLOOKUP(IO$7,Procurement!$M$6:$BM$6,Procurement!$M$14:$BM$14)))</f>
        <v>0</v>
      </c>
      <c r="IP93" s="199">
        <f>IF(IP$7&gt;$D$3,"",IF($FA90&lt;IP$7,"OD",_xlfn.XLOOKUP(IP$7,Procurement!$M$6:$BM$6,Procurement!$M$14:$BM$14)))</f>
        <v>0</v>
      </c>
      <c r="IQ93" s="199">
        <f>IF(IQ$7&gt;$D$3,"",IF($FA90&lt;IQ$7,"OD",_xlfn.XLOOKUP(IQ$7,Procurement!$M$6:$BM$6,Procurement!$M$14:$BM$14)))</f>
        <v>0</v>
      </c>
      <c r="IR93" s="199">
        <f>IF(IR$7&gt;$D$3,"",IF($FA90&lt;IR$7,"OD",_xlfn.XLOOKUP(IR$7,Procurement!$M$6:$BM$6,Procurement!$M$14:$BM$14)))</f>
        <v>0</v>
      </c>
      <c r="IS93" s="199">
        <f>IF(IS$7&gt;$D$3,"",IF($FA90&lt;IS$7,"OD",_xlfn.XLOOKUP(IS$7,Procurement!$M$6:$BM$6,Procurement!$M$14:$BM$14)))</f>
        <v>0</v>
      </c>
      <c r="IT93" s="199">
        <f>IF(IT$7&gt;$D$3,"",IF($FA90&lt;IT$7,"OD",_xlfn.XLOOKUP(IT$7,Procurement!$M$6:$BM$6,Procurement!$M$14:$BM$14)))</f>
        <v>0</v>
      </c>
      <c r="IU93" s="199">
        <f>IF(IU$7&gt;$D$3,"",IF($FA90&lt;IU$7,"OD",_xlfn.XLOOKUP(IU$7,Procurement!$M$6:$BM$6,Procurement!$M$14:$BM$14)))</f>
        <v>0</v>
      </c>
      <c r="IV93" s="199">
        <f>IF(IV$7&gt;$D$3,"",IF($FA90&lt;IV$7,"OD",_xlfn.XLOOKUP(IV$7,Procurement!$M$6:$BM$6,Procurement!$M$14:$BM$14)))</f>
        <v>0</v>
      </c>
      <c r="IW93" s="199">
        <f>IF(IW$7&gt;$D$3,"",IF($FA90&lt;IW$7,"OD",_xlfn.XLOOKUP(IW$7,Procurement!$M$6:$BM$6,Procurement!$M$14:$BM$14)))</f>
        <v>0</v>
      </c>
      <c r="IX93" s="199">
        <f>IF(IX$7&gt;$D$3,"",IF($FA90&lt;IX$7,"OD",_xlfn.XLOOKUP(IX$7,Procurement!$M$6:$BM$6,Procurement!$M$14:$BM$14)))</f>
        <v>0</v>
      </c>
      <c r="IY93" s="199">
        <f>IF(IY$7&gt;$D$3,"",IF($FA90&lt;IY$7,"OD",_xlfn.XLOOKUP(IY$7,Procurement!$M$6:$BM$6,Procurement!$M$14:$BM$14)))</f>
        <v>0</v>
      </c>
      <c r="IZ93" s="199" t="str">
        <f>IF(IZ$7&gt;$D$3,"",IF($FA90&lt;IZ$7,"OD",_xlfn.XLOOKUP(IZ$7,Procurement!$M$6:$BM$6,Procurement!$M$14:$BM$14)))</f>
        <v/>
      </c>
      <c r="JA93" s="199" t="str">
        <f>IF(JA$7&gt;$D$3,"",IF($FA90&lt;JA$7,"OD",_xlfn.XLOOKUP(JA$7,Procurement!$M$6:$BM$6,Procurement!$M$14:$BM$14)))</f>
        <v/>
      </c>
      <c r="JB93" s="199" t="str">
        <f>IF(JB$7&gt;$D$3,"",IF($FA90&lt;JB$7,"OD",_xlfn.XLOOKUP(JB$7,Procurement!$M$6:$BM$6,Procurement!$M$14:$BM$14)))</f>
        <v/>
      </c>
      <c r="JC93" s="199" t="str">
        <f>IF(JC$7&gt;$D$3,"",IF($FA90&lt;JC$7,"OD",_xlfn.XLOOKUP(JC$7,Procurement!$M$6:$BM$6,Procurement!$M$14:$BM$14)))</f>
        <v/>
      </c>
      <c r="JD93" s="199" t="str">
        <f>IF(JD$7&gt;$D$3,"",IF($FA90&lt;JD$7,"OD",_xlfn.XLOOKUP(JD$7,Procurement!$M$6:$BM$6,Procurement!$M$14:$BM$14)))</f>
        <v/>
      </c>
      <c r="JE93" s="199" t="str">
        <f>IF(JE$7&gt;$D$3,"",IF($FA90&lt;JE$7,"OD",_xlfn.XLOOKUP(JE$7,Procurement!$M$6:$BM$6,Procurement!$M$14:$BM$14)))</f>
        <v/>
      </c>
      <c r="JF93" s="199" t="str">
        <f>IF(JF$7&gt;$D$3,"",IF($FA90&lt;JF$7,"OD",_xlfn.XLOOKUP(JF$7,Procurement!$M$6:$BM$6,Procurement!$M$14:$BM$14)))</f>
        <v/>
      </c>
      <c r="JG93" s="199" t="str">
        <f>IF(JG$7&gt;$D$3,"",IF($FA90&lt;JG$7,"OD",_xlfn.XLOOKUP(JG$7,Procurement!$M$6:$BM$6,Procurement!$M$14:$BM$14)))</f>
        <v/>
      </c>
      <c r="JH93" s="199" t="str">
        <f>IF(JH$7&gt;$D$3,"",IF($FA90&lt;JH$7,"OD",_xlfn.XLOOKUP(JH$7,Procurement!$M$6:$BM$6,Procurement!$M$14:$BM$14)))</f>
        <v/>
      </c>
      <c r="JI93" s="199" t="str">
        <f>IF(JI$7&gt;$D$3,"",IF($FA90&lt;JI$7,"OD",_xlfn.XLOOKUP(JI$7,Procurement!$M$6:$BM$6,Procurement!$M$14:$BM$14)))</f>
        <v/>
      </c>
      <c r="JJ93" s="199" t="str">
        <f>IF(JJ$7&gt;$D$3,"",IF($FA90&lt;JJ$7,"OD",_xlfn.XLOOKUP(JJ$7,Procurement!$M$6:$BM$6,Procurement!$M$14:$BM$14)))</f>
        <v/>
      </c>
      <c r="JM93" s="136" t="str">
        <f>+$C93</f>
        <v>KPI Q1</v>
      </c>
      <c r="JN93" s="144" t="str">
        <f>+$D93</f>
        <v>Quality</v>
      </c>
      <c r="JO93" s="144" t="str">
        <f>+$E93</f>
        <v>Cost of Quality - Raw materials - Quality Failures</v>
      </c>
      <c r="JP93" s="145" t="str">
        <f>+$F93</f>
        <v>Count</v>
      </c>
      <c r="JQ93" s="145" t="s">
        <v>284</v>
      </c>
      <c r="JR93" s="247" t="str">
        <f>IFERROR(AVERAGE(FC93:$FC93),"")</f>
        <v/>
      </c>
      <c r="JS93" s="247" t="str">
        <f>IFERROR(AVERAGE($FC93:FD93),"")</f>
        <v/>
      </c>
      <c r="JT93" s="247" t="str">
        <f>IFERROR(AVERAGE($FC93:FE93),"")</f>
        <v/>
      </c>
      <c r="JU93" s="247" t="str">
        <f>IFERROR(AVERAGE($FC93:FF93),"")</f>
        <v/>
      </c>
      <c r="JV93" s="247" t="str">
        <f>IFERROR(AVERAGE($FC93:FG93),"")</f>
        <v/>
      </c>
      <c r="JW93" s="247" t="str">
        <f>IFERROR(AVERAGE($FC93:FH93),"")</f>
        <v/>
      </c>
      <c r="JX93" s="247" t="str">
        <f>IFERROR(AVERAGE($FC93:FI93),"")</f>
        <v/>
      </c>
      <c r="JY93" s="247" t="str">
        <f>IFERROR(AVERAGE($FC93:FJ93),"")</f>
        <v/>
      </c>
      <c r="JZ93" s="247" t="str">
        <f>IFERROR(AVERAGE($FC93:FK93),"")</f>
        <v/>
      </c>
      <c r="KA93" s="247" t="str">
        <f>IFERROR(AVERAGE($FC93:FL93),"")</f>
        <v/>
      </c>
      <c r="KB93" s="247" t="str">
        <f>IFERROR(AVERAGE($FC93:FM93),"")</f>
        <v/>
      </c>
      <c r="KC93" s="247">
        <f>IFERROR(AVERAGE($FC93:FN93),"")</f>
        <v>0</v>
      </c>
      <c r="KD93" s="247">
        <f>IFERROR(AVERAGE($FC93:FO93),"")</f>
        <v>0</v>
      </c>
      <c r="KE93" s="247">
        <f>IFERROR(AVERAGE($FC93:FP93),"")</f>
        <v>0</v>
      </c>
      <c r="KF93" s="247">
        <f>IFERROR(AVERAGE($FC93:FQ93),"")</f>
        <v>0</v>
      </c>
      <c r="KG93" s="247">
        <f>IFERROR(AVERAGE($FC93:FR93),"")</f>
        <v>0</v>
      </c>
      <c r="KH93" s="247">
        <f>IFERROR(AVERAGE($FC93:FS93),"")</f>
        <v>0</v>
      </c>
      <c r="KI93" s="247">
        <f>IFERROR(AVERAGE($FC93:FT93),"")</f>
        <v>0</v>
      </c>
      <c r="KJ93" s="247">
        <f>IFERROR(AVERAGE($FC93:FU93),"")</f>
        <v>0</v>
      </c>
      <c r="KK93" s="247">
        <f>IFERROR(AVERAGE($FC93:FV93),"")</f>
        <v>0</v>
      </c>
      <c r="KL93" s="247">
        <f>IFERROR(AVERAGE($FC93:FW93),"")</f>
        <v>0</v>
      </c>
      <c r="KM93" s="247">
        <f>IFERROR(AVERAGE($FC93:FX93),"")</f>
        <v>0</v>
      </c>
      <c r="KN93" s="247">
        <f>IFERROR(AVERAGE($FC93:FY93),"")</f>
        <v>0.16666666666666666</v>
      </c>
      <c r="KO93" s="247">
        <f>IFERROR(AVERAGE($FC93:FZ93),"")</f>
        <v>0.15384615384615385</v>
      </c>
      <c r="KP93" s="247">
        <f>IFERROR(AVERAGE($FC93:GA93),"")</f>
        <v>0.14285714285714285</v>
      </c>
      <c r="KQ93" s="247">
        <f>IFERROR(AVERAGE($FC93:GB93),"")</f>
        <v>0.13333333333333333</v>
      </c>
      <c r="KR93" s="247">
        <f>IFERROR(AVERAGE($FC93:GC93),"")</f>
        <v>0.125</v>
      </c>
      <c r="KS93" s="247">
        <f>IFERROR(AVERAGE($FC93:GD93),"")</f>
        <v>0.11764705882352941</v>
      </c>
      <c r="KT93" s="247">
        <f>IFERROR(AVERAGE($FC93:GE93),"")</f>
        <v>0.1111111111111111</v>
      </c>
      <c r="KU93" s="247">
        <f>IFERROR(AVERAGE($FC93:GF93),"")</f>
        <v>0.10526315789473684</v>
      </c>
      <c r="KV93" s="247">
        <f>IFERROR(AVERAGE($FC93:GG93),"")</f>
        <v>0.1</v>
      </c>
      <c r="KW93" s="247">
        <f>IFERROR(AVERAGE($FC93:GH93),"")</f>
        <v>9.5238095238095233E-2</v>
      </c>
      <c r="KX93" s="247">
        <f>IFERROR(AVERAGE($FC93:GI93),"")</f>
        <v>9.0909090909090912E-2</v>
      </c>
      <c r="KY93" s="247">
        <f>IFERROR(AVERAGE($FC93:GJ93),"")</f>
        <v>8.6956521739130432E-2</v>
      </c>
      <c r="KZ93" s="247">
        <f>IFERROR(AVERAGE($FC93:GK93),"")</f>
        <v>8.3333333333333329E-2</v>
      </c>
      <c r="LA93" s="247">
        <f>IFERROR(AVERAGE($FC93:GL93),"")</f>
        <v>0.08</v>
      </c>
      <c r="LB93" s="247">
        <f>IFERROR(AVERAGE($FC93:GM93),"")</f>
        <v>7.6923076923076927E-2</v>
      </c>
      <c r="LC93" s="247">
        <f>IFERROR(AVERAGE($FC93:GN93),"")</f>
        <v>7.407407407407407E-2</v>
      </c>
      <c r="LD93" s="247">
        <f>IFERROR(AVERAGE($FC93:GO93),"")</f>
        <v>7.1428571428571425E-2</v>
      </c>
      <c r="LE93" s="247">
        <f>IFERROR(AVERAGE($FC93:GP93),"")</f>
        <v>6.8965517241379309E-2</v>
      </c>
      <c r="LF93" s="247">
        <f>IFERROR(AVERAGE($FC93:GQ93),"")</f>
        <v>6.6666666666666666E-2</v>
      </c>
      <c r="LG93" s="247">
        <f>IFERROR(AVERAGE($FC93:GR93),"")</f>
        <v>6.4516129032258063E-2</v>
      </c>
      <c r="LH93" s="247">
        <f>IFERROR(AVERAGE($FC93:GS93),"")</f>
        <v>6.4516129032258063E-2</v>
      </c>
      <c r="LI93" s="247">
        <f>IFERROR(AVERAGE($FC93:GT93),"")</f>
        <v>6.4516129032258063E-2</v>
      </c>
      <c r="LJ93" s="247">
        <f>IFERROR(AVERAGE($FC93:GU93),"")</f>
        <v>6.4516129032258063E-2</v>
      </c>
      <c r="LK93" s="247">
        <f>IFERROR(AVERAGE($FC93:GV93),"")</f>
        <v>6.4516129032258063E-2</v>
      </c>
      <c r="LL93" s="247">
        <f>IFERROR(AVERAGE($FC93:GW93),"")</f>
        <v>6.4516129032258063E-2</v>
      </c>
      <c r="LM93" s="247">
        <f>IFERROR(AVERAGE($FC93:GX93),"")</f>
        <v>6.4516129032258063E-2</v>
      </c>
      <c r="LN93" s="247">
        <f>IFERROR(AVERAGE($FC93:GY93),"")</f>
        <v>6.4516129032258063E-2</v>
      </c>
      <c r="LO93" s="247">
        <f>IFERROR(AVERAGE($FC93:GZ93),"")</f>
        <v>6.4516129032258063E-2</v>
      </c>
      <c r="LP93" s="247">
        <f>IFERROR(AVERAGE($FC93:HA93),"")</f>
        <v>6.4516129032258063E-2</v>
      </c>
      <c r="LQ93" s="247">
        <f>IFERROR(AVERAGE($FC93:HB93),"")</f>
        <v>6.4516129032258063E-2</v>
      </c>
      <c r="LR93" s="247">
        <f>IFERROR(AVERAGE($FC93:HC93),"")</f>
        <v>6.4516129032258063E-2</v>
      </c>
      <c r="LT93" s="136" t="str">
        <f>+$C93</f>
        <v>KPI Q1</v>
      </c>
      <c r="LU93" s="144" t="str">
        <f>+$D93</f>
        <v>Quality</v>
      </c>
      <c r="LV93" s="144" t="str">
        <f>+$E93</f>
        <v>Cost of Quality - Raw materials - Quality Failures</v>
      </c>
      <c r="LW93" s="145" t="str">
        <f>+$F93</f>
        <v>Count</v>
      </c>
      <c r="LX93" s="145" t="s">
        <v>285</v>
      </c>
      <c r="LY93" s="247" t="str">
        <f>IFERROR(AVERAGE($HJ93:HJ93),"")</f>
        <v/>
      </c>
      <c r="LZ93" s="247">
        <f>IFERROR(IF(LAD$7&gt;$D$3,"",AVERAGE($HJ93:HK93)),"")</f>
        <v>0</v>
      </c>
      <c r="MA93" s="247">
        <f>IFERROR(IF(MA$7&gt;$D$3,"",AVERAGE($HJ93:HL93)),"")</f>
        <v>0</v>
      </c>
      <c r="MB93" s="247">
        <f>IFERROR(IF(MB$7&gt;$D$3,"",AVERAGE($HJ93:HM93)),"")</f>
        <v>0</v>
      </c>
      <c r="MC93" s="247">
        <f>IFERROR(IF(MC$7&gt;$D$3,"",AVERAGE($HJ93:HN93)),"")</f>
        <v>0</v>
      </c>
      <c r="MD93" s="247">
        <f>IFERROR(IF(MD$7&gt;$D$3,"",AVERAGE($HJ93:HO93)),"")</f>
        <v>0</v>
      </c>
      <c r="ME93" s="247">
        <f>IFERROR(IF(ME$7&gt;$D$3,"",AVERAGE($HJ93:HP93)),"")</f>
        <v>0</v>
      </c>
      <c r="MF93" s="247">
        <f>IFERROR(IF(MF$7&gt;$D$3,"",AVERAGE($HJ93:HQ93)),"")</f>
        <v>0</v>
      </c>
      <c r="MG93" s="247">
        <f>IFERROR(IF(MG$7&gt;$D$3,"",AVERAGE($HJ93:HR93)),"")</f>
        <v>0</v>
      </c>
      <c r="MH93" s="247">
        <f>IFERROR(IF(MH$7&gt;$D$3,"",AVERAGE($HJ93:HS93)),"")</f>
        <v>0</v>
      </c>
      <c r="MI93" s="247">
        <f>IFERROR(IF(MI$7&gt;$D$3,"",AVERAGE($HJ93:HT93)),"")</f>
        <v>0</v>
      </c>
      <c r="MJ93" s="247">
        <f>IFERROR(IF(MJ$7&gt;$D$3,"",AVERAGE($HJ93:HU93)),"")</f>
        <v>0</v>
      </c>
      <c r="MK93" s="247">
        <f>IFERROR(IF(MK$7&gt;$D$3,"",AVERAGE($HJ93:HV93)),"")</f>
        <v>0</v>
      </c>
      <c r="ML93" s="247">
        <f>IFERROR(IF(ML$7&gt;$D$3,"",AVERAGE($HJ93:HW93)),"")</f>
        <v>0</v>
      </c>
      <c r="MM93" s="247">
        <f>IFERROR(IF(MM$7&gt;$D$3,"",AVERAGE($HJ93:HX93)),"")</f>
        <v>0</v>
      </c>
      <c r="MN93" s="247">
        <f>IFERROR(IF(MN$7&gt;$D$3,"",AVERAGE($HJ93:HY93)),"")</f>
        <v>0</v>
      </c>
      <c r="MO93" s="247">
        <f>IFERROR(IF(MO$7&gt;$D$3,"",AVERAGE($HJ93:HZ93)),"")</f>
        <v>0</v>
      </c>
      <c r="MP93" s="247">
        <f>IFERROR(IF(MP$7&gt;$D$3,"",AVERAGE($HJ93:IA93)),"")</f>
        <v>0</v>
      </c>
      <c r="MQ93" s="247">
        <f>IFERROR(IF(MQ$7&gt;$D$3,"",AVERAGE($HJ93:IB93)),"")</f>
        <v>0</v>
      </c>
      <c r="MR93" s="247">
        <f>IFERROR(IF(MR$7&gt;$D$3,"",AVERAGE($HJ93:IC93)),"")</f>
        <v>0</v>
      </c>
      <c r="MS93" s="247">
        <f>IFERROR(IF(MS$7&gt;$D$3,"",AVERAGE($HJ93:ID93)),"")</f>
        <v>0</v>
      </c>
      <c r="MT93" s="247">
        <f>IFERROR(IF(MT$7&gt;$D$3,"",AVERAGE($HJ93:IE93)),"")</f>
        <v>0</v>
      </c>
      <c r="MU93" s="247">
        <f>IFERROR(IF(MU$7&gt;$D$3,"",AVERAGE($HJ93:IF93)),"")</f>
        <v>0</v>
      </c>
      <c r="MV93" s="247">
        <f>IFERROR(IF(MV$7&gt;$D$3,"",AVERAGE($HJ93:IG93)),"")</f>
        <v>0</v>
      </c>
      <c r="MW93" s="247">
        <f>IFERROR(IF(MW$7&gt;$D$3,"",AVERAGE($HJ93:IH93)),"")</f>
        <v>0</v>
      </c>
      <c r="MX93" s="247">
        <f>IFERROR(IF(MX$7&gt;$D$3,"",AVERAGE($HJ93:II93)),"")</f>
        <v>0</v>
      </c>
      <c r="MY93" s="247">
        <f>IFERROR(IF(MY$7&gt;$D$3,"",AVERAGE($HJ93:IJ93)),"")</f>
        <v>0</v>
      </c>
      <c r="MZ93" s="247">
        <f>IFERROR(IF(MZ$7&gt;$D$3,"",AVERAGE($HJ93:IK93)),"")</f>
        <v>0</v>
      </c>
      <c r="NA93" s="247">
        <f>IFERROR(IF(NA$7&gt;$D$3,"",AVERAGE($HJ93:IL93)),"")</f>
        <v>0</v>
      </c>
      <c r="NB93" s="247">
        <f>IFERROR(IF(NB$7&gt;$D$3,"",AVERAGE($HJ93:IM93)),"")</f>
        <v>0</v>
      </c>
      <c r="NC93" s="247">
        <f>IFERROR(IF(NC$7&gt;$D$3,"",AVERAGE($HJ93:IN93)),"")</f>
        <v>0</v>
      </c>
      <c r="ND93" s="247">
        <f>IFERROR(IF(ND$7&gt;$D$3,"",AVERAGE($HJ93:IO93)),"")</f>
        <v>0</v>
      </c>
      <c r="NE93" s="247">
        <f>IFERROR(IF(NE$7&gt;$D$3,"",AVERAGE($HJ93:IP93)),"")</f>
        <v>0</v>
      </c>
      <c r="NF93" s="247">
        <f>IFERROR(IF(NF$7&gt;$D$3,"",AVERAGE($HJ93:IQ93)),"")</f>
        <v>0</v>
      </c>
      <c r="NG93" s="247">
        <f>IFERROR(IF(NG$7&gt;$D$3,"",AVERAGE($HJ93:IR93)),"")</f>
        <v>0</v>
      </c>
      <c r="NH93" s="247">
        <f>IFERROR(IF(NH$7&gt;$D$3,"",AVERAGE($HJ93:IS93)),"")</f>
        <v>0</v>
      </c>
      <c r="NI93" s="247">
        <f>IFERROR(IF(NI$7&gt;$D$3,"",AVERAGE($HJ93:IT93)),"")</f>
        <v>0</v>
      </c>
      <c r="NJ93" s="247">
        <f>IFERROR(IF(NJ$7&gt;$D$3,"",AVERAGE($HJ93:IU93)),"")</f>
        <v>0</v>
      </c>
      <c r="NK93" s="247">
        <f>IFERROR(IF(NK$7&gt;$D$3,"",AVERAGE($HJ93:IV93)),"")</f>
        <v>0</v>
      </c>
      <c r="NL93" s="247">
        <f>IFERROR(IF(NL$7&gt;$D$3,"",AVERAGE($HJ93:IW93)),"")</f>
        <v>0</v>
      </c>
      <c r="NM93" s="247">
        <f>IFERROR(IF(NM$7&gt;$D$3,"",AVERAGE($HJ93:IX93)),"")</f>
        <v>0</v>
      </c>
      <c r="NN93" s="247">
        <f>IFERROR(IF(NN$7&gt;$D$3,"",AVERAGE($HJ93:IY93)),"")</f>
        <v>0</v>
      </c>
      <c r="NO93" s="247" t="str">
        <f>IFERROR(IF(NO$7&gt;$D$3,"",AVERAGE($HJ93:IZ93)),"")</f>
        <v/>
      </c>
      <c r="NP93" s="247" t="str">
        <f>IFERROR(IF(NP$7&gt;$D$3,"",AVERAGE($HJ93:JA93)),"")</f>
        <v/>
      </c>
      <c r="NQ93" s="247" t="str">
        <f>IFERROR(IF(NQ$7&gt;$D$3,"",AVERAGE($HJ93:JB93)),"")</f>
        <v/>
      </c>
      <c r="NR93" s="247" t="str">
        <f>IFERROR(IF(NR$7&gt;$D$3,"",AVERAGE($HJ93:JC93)),"")</f>
        <v/>
      </c>
      <c r="NS93" s="247" t="str">
        <f>IFERROR(IF(NS$7&gt;$D$3,"",AVERAGE($HJ93:JD93)),"")</f>
        <v/>
      </c>
      <c r="NT93" s="247" t="str">
        <f>IFERROR(IF(NT$7&gt;$D$3,"",AVERAGE($HJ93:JE93)),"")</f>
        <v/>
      </c>
      <c r="NU93" s="247" t="str">
        <f>IFERROR(IF(NU$7&gt;$D$3,"",AVERAGE($HJ93:JF93)),"")</f>
        <v/>
      </c>
      <c r="NV93" s="247" t="str">
        <f>IFERROR(IF(NV$7&gt;$D$3,"",AVERAGE($HJ93:JG93)),"")</f>
        <v/>
      </c>
      <c r="NW93" s="247" t="str">
        <f>IFERROR(IF(NW$7&gt;$D$3,"",AVERAGE($HJ93:JH93)),"")</f>
        <v/>
      </c>
      <c r="NX93" s="247" t="str">
        <f>IFERROR(IF(NX$7&gt;$D$3,"",AVERAGE($HJ93:JI93)),"")</f>
        <v/>
      </c>
      <c r="NY93" s="247" t="str">
        <f>IFERROR(IF(NY$7&gt;$D$3,"",AVERAGE($HJ93:JJ93)),"")</f>
        <v/>
      </c>
    </row>
    <row r="94" spans="1:389" ht="15" thickBot="1" x14ac:dyDescent="0.35">
      <c r="A94" t="str">
        <f>$B$90&amp;"-"&amp;C94</f>
        <v>Procurement-KPI C1</v>
      </c>
      <c r="B94" s="138"/>
      <c r="C94" s="138" t="str">
        <f>+'KPI Stats'!C93</f>
        <v>KPI C1</v>
      </c>
      <c r="D94" s="146" t="str">
        <f>+'KPI Stats'!D93</f>
        <v>Cost</v>
      </c>
      <c r="E94" s="146" t="str">
        <f>+'KPI Stats'!E93</f>
        <v>PPV - Cost differential between Std and Inv Cost</v>
      </c>
      <c r="F94" s="147" t="str">
        <f>+'KPI Stats'!F93</f>
        <v>£'s</v>
      </c>
      <c r="G94" s="188" t="str">
        <f>+'KPI Stats'!G93</f>
        <v>Under</v>
      </c>
      <c r="J94" s="160" t="str">
        <f>_xlfn.XLOOKUP(J$7,$AM$7:$CM$7,$AM94:$CM94,,FALSE)</f>
        <v>G</v>
      </c>
      <c r="K94" s="266">
        <f>_xlfn.XLOOKUP(K$7,$FC$7:$HC$7,$FC94:$HC94,,FALSE)</f>
        <v>500</v>
      </c>
      <c r="L94" s="279">
        <f>_xlfn.XLOOKUP(L$7,$HJ$7:$JJ$7,$HJ94:$JJ94,,FALSE)</f>
        <v>500</v>
      </c>
      <c r="M94" s="276">
        <f>_xlfn.XLOOKUP(M$7,$CU$7:$EU$7,$CU94:$EU94,,FALSE)</f>
        <v>1</v>
      </c>
      <c r="P94" s="160" t="str">
        <f>_xlfn.XLOOKUP(P$7,$AM$7:$CM$7,$AM94:$CM94,,FALSE)</f>
        <v>G</v>
      </c>
      <c r="Q94" s="266">
        <f t="shared" si="313"/>
        <v>500</v>
      </c>
      <c r="R94" s="279">
        <f t="shared" si="313"/>
        <v>500</v>
      </c>
      <c r="S94" s="289">
        <f t="shared" si="314"/>
        <v>1</v>
      </c>
      <c r="T94" s="267">
        <f t="shared" si="314"/>
        <v>1</v>
      </c>
      <c r="U94" s="296" t="str">
        <f>IF(F90&lt;$R$2,"Not Complete",IF(Q94=R94,"Same −",IF($G94="Over",IF(Q94&lt;R94,"Better ↑","Worse ↓"),IF($G94="Under",IF(Q94&gt;R94,"Better ↑","Worse ↓"),"err"))))</f>
        <v>Same −</v>
      </c>
      <c r="X94" s="160" t="str">
        <f t="shared" si="315"/>
        <v>G</v>
      </c>
      <c r="Y94" s="164">
        <f>_xlfn.XLOOKUP(Y$7,$JR$7:$LR$7,$JR94:$LR94,FALSE)</f>
        <v>601.61290322580646</v>
      </c>
      <c r="Z94" s="164">
        <f>_xlfn.XLOOKUP(Z$7,$LY$7:$NY$7,$LY94:$NY94,FALSE)</f>
        <v>378.04878048780489</v>
      </c>
      <c r="AA94" s="255">
        <f>IF(G94="Undefined","",IF(G94="under",Y94/Z94,IF(G94="over",Z94/Y94,"err")))</f>
        <v>1.591363163371488</v>
      </c>
      <c r="AB94" s="296" t="str">
        <f>IF(F90&lt;$R$2,"TBC",IF(Y94=Z94,"Same −",IF($G94="Over",IF(Z94&lt;Y94,"Better ↑ ","Worse ↓ "),IF($G94="Under",IF(Y94&gt;Z94,"Better ↑ ","Worse ↓ "),"err"))))</f>
        <v xml:space="preserve">Better ↑ </v>
      </c>
      <c r="AC94" s="160" t="str">
        <f>IF(AND(G94="above adero",AD94&gt;0),"R",IF(AF94&gt;1,"G",IF(AF94&gt;0.95,"A","R")))</f>
        <v>G</v>
      </c>
      <c r="AD94" s="164">
        <f>_xlfn.XLOOKUP(AD$7,$JR$7:$LR$7,$JR94:$LR94,FALSE)</f>
        <v>605</v>
      </c>
      <c r="AE94" s="164">
        <f>_xlfn.XLOOKUP(AE$7,$LY$7:$NY$7,$LY94:$NY94,FALSE)</f>
        <v>375</v>
      </c>
      <c r="AF94" s="255">
        <f>IF(G94="Undefined","",IF(G94="under",AD94/AE94,IF(G94="over",AE94/AD94,"err")))</f>
        <v>1.6133333333333333</v>
      </c>
      <c r="AH94" s="465" t="str">
        <f>+$A94</f>
        <v>Procurement-KPI C1</v>
      </c>
      <c r="AI94" s="138" t="str">
        <f t="shared" si="317"/>
        <v>KPI C1</v>
      </c>
      <c r="AJ94" s="146" t="str">
        <f t="shared" si="317"/>
        <v>Cost</v>
      </c>
      <c r="AK94" s="146" t="str">
        <f t="shared" si="300"/>
        <v>PPV - Cost differential between Std and Inv Cost</v>
      </c>
      <c r="AL94" s="147" t="str">
        <f t="shared" si="300"/>
        <v>£'s</v>
      </c>
      <c r="AM94" s="160" t="str">
        <f>IF(AM$7&gt;$D$3,"",_xlfn.XLOOKUP(AM$7,Procurement!$M$6:$BM$6,Procurement!$M$19:$BM$19))</f>
        <v>Blank</v>
      </c>
      <c r="AN94" s="200" t="str">
        <f>IF(AN$7&gt;$D$3,"",_xlfn.XLOOKUP(AN$7,Procurement!$M$6:$BM$6,Procurement!$M$19:$BM$19))</f>
        <v>TBC</v>
      </c>
      <c r="AO94" s="160" t="str">
        <f>IF(AO$7&gt;$D$3,"",_xlfn.XLOOKUP(AO$7,Procurement!$M$6:$BM$6,Procurement!$M$19:$BM$19))</f>
        <v>TBC</v>
      </c>
      <c r="AP94" s="160" t="str">
        <f>IF(AP$7&gt;$D$3,"",_xlfn.XLOOKUP(AP$7,Procurement!$M$6:$BM$6,Procurement!$M$19:$BM$19))</f>
        <v>TBC</v>
      </c>
      <c r="AQ94" s="160" t="str">
        <f>IF(AQ$7&gt;$D$3,"",_xlfn.XLOOKUP(AQ$7,Procurement!$M$6:$BM$6,Procurement!$M$19:$BM$19))</f>
        <v>TBC</v>
      </c>
      <c r="AR94" s="160" t="str">
        <f>IF(AR$7&gt;$D$3,"",_xlfn.XLOOKUP(AR$7,Procurement!$M$6:$BM$6,Procurement!$M$19:$BM$19))</f>
        <v>TBC</v>
      </c>
      <c r="AS94" s="160" t="str">
        <f>IF(AS$7&gt;$D$3,"",_xlfn.XLOOKUP(AS$7,Procurement!$M$6:$BM$6,Procurement!$M$19:$BM$19))</f>
        <v>TBC</v>
      </c>
      <c r="AT94" s="160" t="str">
        <f>IF(AT$7&gt;$D$3,"",_xlfn.XLOOKUP(AT$7,Procurement!$M$6:$BM$6,Procurement!$M$19:$BM$19))</f>
        <v>TBC</v>
      </c>
      <c r="AU94" s="160" t="str">
        <f>IF(AU$7&gt;$D$3,"",_xlfn.XLOOKUP(AU$7,Procurement!$M$6:$BM$6,Procurement!$M$19:$BM$19))</f>
        <v>TBC</v>
      </c>
      <c r="AV94" s="160" t="str">
        <f>IF(AV$7&gt;$D$3,"",_xlfn.XLOOKUP(AV$7,Procurement!$M$6:$BM$6,Procurement!$M$19:$BM$19))</f>
        <v>TBC</v>
      </c>
      <c r="AW94" s="160" t="str">
        <f>IF(AW$7&gt;$D$3,"",_xlfn.XLOOKUP(AW$7,Procurement!$M$6:$BM$6,Procurement!$M$19:$BM$19))</f>
        <v>TBC</v>
      </c>
      <c r="AX94" s="160" t="str">
        <f>IF(AX$7&gt;$D$3,"",_xlfn.XLOOKUP(AX$7,Procurement!$M$6:$BM$6,Procurement!$M$19:$BM$19))</f>
        <v>G</v>
      </c>
      <c r="AY94" s="160" t="str">
        <f>IF(AY$7&gt;$D$3,"",_xlfn.XLOOKUP(AY$7,Procurement!$M$6:$BM$6,Procurement!$M$19:$BM$19))</f>
        <v>G</v>
      </c>
      <c r="AZ94" s="160" t="str">
        <f>IF(AZ$7&gt;$D$3,"",_xlfn.XLOOKUP(AZ$7,Procurement!$M$6:$BM$6,Procurement!$M$19:$BM$19))</f>
        <v>G</v>
      </c>
      <c r="BA94" s="160" t="str">
        <f>IF(BA$7&gt;$D$3,"",_xlfn.XLOOKUP(BA$7,Procurement!$M$6:$BM$6,Procurement!$M$19:$BM$19))</f>
        <v>G</v>
      </c>
      <c r="BB94" s="160" t="str">
        <f>IF(BB$7&gt;$D$3,"",_xlfn.XLOOKUP(BB$7,Procurement!$M$6:$BM$6,Procurement!$M$19:$BM$19))</f>
        <v>G</v>
      </c>
      <c r="BC94" s="160" t="str">
        <f>IF(BC$7&gt;$D$3,"",_xlfn.XLOOKUP(BC$7,Procurement!$M$6:$BM$6,Procurement!$M$19:$BM$19))</f>
        <v>G</v>
      </c>
      <c r="BD94" s="160" t="str">
        <f>IF(BD$7&gt;$D$3,"",_xlfn.XLOOKUP(BD$7,Procurement!$M$6:$BM$6,Procurement!$M$19:$BM$19))</f>
        <v>G</v>
      </c>
      <c r="BE94" s="160" t="str">
        <f>IF(BE$7&gt;$D$3,"",_xlfn.XLOOKUP(BE$7,Procurement!$M$6:$BM$6,Procurement!$M$19:$BM$19))</f>
        <v>G</v>
      </c>
      <c r="BF94" s="160" t="str">
        <f>IF(BF$7&gt;$D$3,"",_xlfn.XLOOKUP(BF$7,Procurement!$M$6:$BM$6,Procurement!$M$19:$BM$19))</f>
        <v>G</v>
      </c>
      <c r="BG94" s="160" t="str">
        <f>IF(BG$7&gt;$D$3,"",_xlfn.XLOOKUP(BG$7,Procurement!$M$6:$BM$6,Procurement!$M$19:$BM$19))</f>
        <v>G</v>
      </c>
      <c r="BH94" s="160" t="str">
        <f>IF(BH$7&gt;$D$3,"",_xlfn.XLOOKUP(BH$7,Procurement!$M$6:$BM$6,Procurement!$M$19:$BM$19))</f>
        <v>G</v>
      </c>
      <c r="BI94" s="160" t="str">
        <f>IF(BI$7&gt;$D$3,"",_xlfn.XLOOKUP(BI$7,Procurement!$M$6:$BM$6,Procurement!$M$19:$BM$19))</f>
        <v>G</v>
      </c>
      <c r="BJ94" s="160" t="str">
        <f>IF(BJ$7&gt;$D$3,"",_xlfn.XLOOKUP(BJ$7,Procurement!$M$6:$BM$6,Procurement!$M$19:$BM$19))</f>
        <v>G</v>
      </c>
      <c r="BK94" s="160" t="str">
        <f>IF(BK$7&gt;$D$3,"",_xlfn.XLOOKUP(BK$7,Procurement!$M$6:$BM$6,Procurement!$M$19:$BM$19))</f>
        <v>G</v>
      </c>
      <c r="BL94" s="160" t="str">
        <f>IF(BL$7&gt;$D$3,"",_xlfn.XLOOKUP(BL$7,Procurement!$M$6:$BM$6,Procurement!$M$19:$BM$19))</f>
        <v>G</v>
      </c>
      <c r="BM94" s="160" t="str">
        <f>IF(BM$7&gt;$D$3,"",_xlfn.XLOOKUP(BM$7,Procurement!$M$6:$BM$6,Procurement!$M$19:$BM$19))</f>
        <v>G</v>
      </c>
      <c r="BN94" s="160" t="str">
        <f>IF(BN$7&gt;$D$3,"",_xlfn.XLOOKUP(BN$7,Procurement!$M$6:$BM$6,Procurement!$M$19:$BM$19))</f>
        <v>G</v>
      </c>
      <c r="BO94" s="160" t="str">
        <f>IF(BO$7&gt;$D$3,"",_xlfn.XLOOKUP(BO$7,Procurement!$M$6:$BM$6,Procurement!$M$19:$BM$19))</f>
        <v>G</v>
      </c>
      <c r="BP94" s="160" t="str">
        <f>IF(BP$7&gt;$D$3,"",_xlfn.XLOOKUP(BP$7,Procurement!$M$6:$BM$6,Procurement!$M$19:$BM$19))</f>
        <v>G</v>
      </c>
      <c r="BQ94" s="160" t="str">
        <f>IF(BQ$7&gt;$D$3,"",_xlfn.XLOOKUP(BQ$7,Procurement!$M$6:$BM$6,Procurement!$M$19:$BM$19))</f>
        <v>G</v>
      </c>
      <c r="BR94" s="160" t="str">
        <f>IF(BR$7&gt;$D$3,"",_xlfn.XLOOKUP(BR$7,Procurement!$M$6:$BM$6,Procurement!$M$19:$BM$19))</f>
        <v>G</v>
      </c>
      <c r="BS94" s="160" t="str">
        <f>IF(BS$7&gt;$D$3,"",_xlfn.XLOOKUP(BS$7,Procurement!$M$6:$BM$6,Procurement!$M$19:$BM$19))</f>
        <v>G</v>
      </c>
      <c r="BT94" s="160" t="str">
        <f>IF(BT$7&gt;$D$3,"",_xlfn.XLOOKUP(BT$7,Procurement!$M$6:$BM$6,Procurement!$M$19:$BM$19))</f>
        <v>G</v>
      </c>
      <c r="BU94" s="160" t="str">
        <f>IF(BU$7&gt;$D$3,"",_xlfn.XLOOKUP(BU$7,Procurement!$M$6:$BM$6,Procurement!$M$19:$BM$19))</f>
        <v>G</v>
      </c>
      <c r="BV94" s="160" t="str">
        <f>IF(BV$7&gt;$D$3,"",_xlfn.XLOOKUP(BV$7,Procurement!$M$6:$BM$6,Procurement!$M$19:$BM$19))</f>
        <v>G</v>
      </c>
      <c r="BW94" s="160" t="str">
        <f>IF(BW$7&gt;$D$3,"",_xlfn.XLOOKUP(BW$7,Procurement!$M$6:$BM$6,Procurement!$M$19:$BM$19))</f>
        <v>G</v>
      </c>
      <c r="BX94" s="160" t="str">
        <f>IF(BX$7&gt;$D$3,"",_xlfn.XLOOKUP(BX$7,Procurement!$M$6:$BM$6,Procurement!$M$19:$BM$19))</f>
        <v>G</v>
      </c>
      <c r="BY94" s="160" t="str">
        <f>IF(BY$7&gt;$D$3,"",_xlfn.XLOOKUP(BY$7,Procurement!$M$6:$BM$6,Procurement!$M$19:$BM$19))</f>
        <v>G</v>
      </c>
      <c r="BZ94" s="160" t="str">
        <f>IF(BZ$7&gt;$D$3,"",_xlfn.XLOOKUP(BZ$7,Procurement!$M$6:$BM$6,Procurement!$M$19:$BM$19))</f>
        <v>G</v>
      </c>
      <c r="CA94" s="160" t="str">
        <f>IF(CA$7&gt;$D$3,"",_xlfn.XLOOKUP(CA$7,Procurement!$M$6:$BM$6,Procurement!$M$19:$BM$19))</f>
        <v>G</v>
      </c>
      <c r="CB94" s="160" t="str">
        <f>IF(CB$7&gt;$D$3,"",_xlfn.XLOOKUP(CB$7,Procurement!$M$6:$BM$6,Procurement!$M$19:$BM$19))</f>
        <v>G</v>
      </c>
      <c r="CC94" s="160" t="str">
        <f>IF(CC$7&gt;$D$3,"",_xlfn.XLOOKUP(CC$7,Procurement!$M$6:$BM$6,Procurement!$M$19:$BM$19))</f>
        <v/>
      </c>
      <c r="CD94" s="160" t="str">
        <f>IF(CD$7&gt;$D$3,"",_xlfn.XLOOKUP(CD$7,Procurement!$M$6:$BM$6,Procurement!$M$19:$BM$19))</f>
        <v/>
      </c>
      <c r="CE94" s="160" t="str">
        <f>IF(CE$7&gt;$D$3,"",_xlfn.XLOOKUP(CE$7,Procurement!$M$6:$BM$6,Procurement!$M$19:$BM$19))</f>
        <v/>
      </c>
      <c r="CF94" s="160" t="str">
        <f>IF(CF$7&gt;$D$3,"",_xlfn.XLOOKUP(CF$7,Procurement!$M$6:$BM$6,Procurement!$M$19:$BM$19))</f>
        <v/>
      </c>
      <c r="CG94" s="160" t="str">
        <f>IF(CG$7&gt;$D$3,"",_xlfn.XLOOKUP(CG$7,Procurement!$M$6:$BM$6,Procurement!$M$19:$BM$19))</f>
        <v/>
      </c>
      <c r="CH94" s="160" t="str">
        <f>IF(CH$7&gt;$D$3,"",_xlfn.XLOOKUP(CH$7,Procurement!$M$6:$BM$6,Procurement!$M$19:$BM$19))</f>
        <v/>
      </c>
      <c r="CI94" s="160" t="str">
        <f>IF(CI$7&gt;$D$3,"",_xlfn.XLOOKUP(CI$7,Procurement!$M$6:$BM$6,Procurement!$M$19:$BM$19))</f>
        <v/>
      </c>
      <c r="CJ94" s="160" t="str">
        <f>IF(CJ$7&gt;$D$3,"",_xlfn.XLOOKUP(CJ$7,Procurement!$M$6:$BM$6,Procurement!$M$19:$BM$19))</f>
        <v/>
      </c>
      <c r="CK94" s="160" t="str">
        <f>IF(CK$7&gt;$D$3,"",_xlfn.XLOOKUP(CK$7,Procurement!$M$6:$BM$6,Procurement!$M$19:$BM$19))</f>
        <v/>
      </c>
      <c r="CL94" s="160" t="str">
        <f>IF(CL$7&gt;$D$3,"",_xlfn.XLOOKUP(CL$7,Procurement!$M$6:$BM$6,Procurement!$M$19:$BM$19))</f>
        <v/>
      </c>
      <c r="CM94" s="160" t="str">
        <f>IF(CM$7&gt;$D$3,"",_xlfn.XLOOKUP(CM$7,Procurement!$M$6:$BM$6,Procurement!$M$19:$BM$19))</f>
        <v/>
      </c>
      <c r="CO94" s="465" t="str">
        <f>+$A94</f>
        <v>Procurement-KPI C1</v>
      </c>
      <c r="CP94" s="138" t="str">
        <f t="shared" si="318"/>
        <v>KPI C1</v>
      </c>
      <c r="CQ94" s="146" t="str">
        <f t="shared" si="318"/>
        <v>Cost</v>
      </c>
      <c r="CR94" s="146" t="str">
        <f t="shared" si="303"/>
        <v>PPV - Cost differential between Std and Inv Cost</v>
      </c>
      <c r="CS94" s="147" t="str">
        <f t="shared" si="303"/>
        <v>£'s</v>
      </c>
      <c r="CT94" s="208" t="s">
        <v>246</v>
      </c>
      <c r="CU94" s="424" t="str">
        <f>IF(CU$7&gt;$D$3,"",_xlfn.XLOOKUP(CU$7,Procurement!$M$6:$BM$6,Procurement!$M$19:$BM$19))</f>
        <v>Blank</v>
      </c>
      <c r="CV94" s="324" t="str">
        <f>IF(CV$7&gt;$D$3,"",IF(AN94="Missed","Missed",IF(AN94="OD","OD",IF(AN94="TBC","TBC",IF(AN94="Undefined","Undefined",_xlfn.XLOOKUP(CV$7,Procurement!$M$6:$BM$6,Procurement!$M$18:$BM$18)/_xlfn.XLOOKUP(CV$7,Procurement!$M$6:$BM$6,Procurement!$M$17:$BM$17))))))</f>
        <v>TBC</v>
      </c>
      <c r="CW94" s="325" t="str">
        <f>IF(CW$7&gt;$D$3,"",IF(AO94="Missed","Missed",IF(AO94="OD","OD",IF(AO94="TBC","TBC",IF(AO94="Undefined","Undefined",_xlfn.XLOOKUP(CW$7,Procurement!$M$6:$BM$6,Procurement!$M$18:$BM$18)/_xlfn.XLOOKUP(CW$7,Procurement!$M$6:$BM$6,Procurement!$M$17:$BM$17))))))</f>
        <v>TBC</v>
      </c>
      <c r="CX94" s="325" t="str">
        <f>IF(CX$7&gt;$D$3,"",IF(AP94="Missed","Missed",IF(AP94="OD","OD",IF(AP94="TBC","TBC",IF(AP94="Undefined","Undefined",_xlfn.XLOOKUP(CX$7,Procurement!$M$6:$BM$6,Procurement!$M$18:$BM$18)/_xlfn.XLOOKUP(CX$7,Procurement!$M$6:$BM$6,Procurement!$M$17:$BM$17))))))</f>
        <v>TBC</v>
      </c>
      <c r="CY94" s="325" t="str">
        <f>IF(CY$7&gt;$D$3,"",IF(AQ94="Missed","Missed",IF(AQ94="OD","OD",IF(AQ94="TBC","TBC",IF(AQ94="Undefined","Undefined",_xlfn.XLOOKUP(CY$7,Procurement!$M$6:$BM$6,Procurement!$M$18:$BM$18)/_xlfn.XLOOKUP(CY$7,Procurement!$M$6:$BM$6,Procurement!$M$17:$BM$17))))))</f>
        <v>TBC</v>
      </c>
      <c r="CZ94" s="325" t="str">
        <f>IF(CZ$7&gt;$D$3,"",IF(AR94="Missed","Missed",IF(AR94="OD","OD",IF(AR94="TBC","TBC",IF(AR94="Undefined","Undefined",_xlfn.XLOOKUP(CZ$7,Procurement!$M$6:$BM$6,Procurement!$M$18:$BM$18)/_xlfn.XLOOKUP(CZ$7,Procurement!$M$6:$BM$6,Procurement!$M$17:$BM$17))))))</f>
        <v>TBC</v>
      </c>
      <c r="DA94" s="325" t="str">
        <f>IF(DA$7&gt;$D$3,"",IF(AS94="Missed","Missed",IF(AS94="OD","OD",IF(AS94="TBC","TBC",IF(AS94="Undefined","Undefined",_xlfn.XLOOKUP(DA$7,Procurement!$M$6:$BM$6,Procurement!$M$18:$BM$18)/_xlfn.XLOOKUP(DA$7,Procurement!$M$6:$BM$6,Procurement!$M$17:$BM$17))))))</f>
        <v>TBC</v>
      </c>
      <c r="DB94" s="325" t="str">
        <f>IF(DB$7&gt;$D$3,"",IF(AT94="Missed","Missed",IF(AT94="OD","OD",IF(AT94="TBC","TBC",IF(AT94="Undefined","Undefined",_xlfn.XLOOKUP(DB$7,Procurement!$M$6:$BM$6,Procurement!$M$18:$BM$18)/_xlfn.XLOOKUP(DB$7,Procurement!$M$6:$BM$6,Procurement!$M$17:$BM$17))))))</f>
        <v>TBC</v>
      </c>
      <c r="DC94" s="325" t="str">
        <f>IF(DC$7&gt;$D$3,"",IF(AU94="Missed","Missed",IF(AU94="OD","OD",IF(AU94="TBC","TBC",IF(AU94="Undefined","Undefined",_xlfn.XLOOKUP(DC$7,Procurement!$M$6:$BM$6,Procurement!$M$18:$BM$18)/_xlfn.XLOOKUP(DC$7,Procurement!$M$6:$BM$6,Procurement!$M$17:$BM$17))))))</f>
        <v>TBC</v>
      </c>
      <c r="DD94" s="325" t="str">
        <f>IF(DD$7&gt;$D$3,"",IF(AV94="Missed","Missed",IF(AV94="OD","OD",IF(AV94="TBC","TBC",IF(AV94="Undefined","Undefined",_xlfn.XLOOKUP(DD$7,Procurement!$M$6:$BM$6,Procurement!$M$18:$BM$18)/_xlfn.XLOOKUP(DD$7,Procurement!$M$6:$BM$6,Procurement!$M$17:$BM$17))))))</f>
        <v>TBC</v>
      </c>
      <c r="DE94" s="325" t="str">
        <f>IF(DE$7&gt;$D$3,"",IF(AW94="Missed","Missed",IF(AW94="OD","OD",IF(AW94="TBC","TBC",IF(AW94="Undefined","Undefined",_xlfn.XLOOKUP(DE$7,Procurement!$M$6:$BM$6,Procurement!$M$18:$BM$18)/_xlfn.XLOOKUP(DE$7,Procurement!$M$6:$BM$6,Procurement!$M$17:$BM$17))))))</f>
        <v>TBC</v>
      </c>
      <c r="DF94" s="325">
        <f>IF(DF$7&gt;$D$3,"",IF(AX94="Missed","Missed",IF(AX94="OD","OD",IF(AX94="TBC","TBC",IF(AX94="Undefined","Undefined",_xlfn.XLOOKUP(DF$7,Procurement!$M$6:$BM$6,Procurement!$M$18:$BM$18)/_xlfn.XLOOKUP(DF$7,Procurement!$M$6:$BM$6,Procurement!$M$17:$BM$17))))))</f>
        <v>2.8</v>
      </c>
      <c r="DG94" s="325">
        <f>IF(DG$7&gt;$D$3,"",IF(AY94="Missed","Missed",IF(AY94="OD","OD",IF(AY94="TBC","TBC",IF(AY94="Undefined","Undefined",_xlfn.XLOOKUP(DG$7,Procurement!$M$6:$BM$6,Procurement!$M$18:$BM$18)/_xlfn.XLOOKUP(DG$7,Procurement!$M$6:$BM$6,Procurement!$M$17:$BM$17))))))</f>
        <v>2.5</v>
      </c>
      <c r="DH94" s="325">
        <f>IF(DH$7&gt;$D$3,"",IF(AZ94="Missed","Missed",IF(AZ94="OD","OD",IF(AZ94="TBC","TBC",IF(AZ94="Undefined","Undefined",_xlfn.XLOOKUP(DH$7,Procurement!$M$6:$BM$6,Procurement!$M$18:$BM$18)/_xlfn.XLOOKUP(DH$7,Procurement!$M$6:$BM$6,Procurement!$M$17:$BM$17))))))</f>
        <v>2.5</v>
      </c>
      <c r="DI94" s="325">
        <f>IF(DI$7&gt;$D$3,"",IF(BA94="Missed","Missed",IF(BA94="OD","OD",IF(BA94="TBC","TBC",IF(BA94="Undefined","Undefined",_xlfn.XLOOKUP(DI$7,Procurement!$M$6:$BM$6,Procurement!$M$18:$BM$18)/_xlfn.XLOOKUP(DI$7,Procurement!$M$6:$BM$6,Procurement!$M$17:$BM$17))))))</f>
        <v>1</v>
      </c>
      <c r="DJ94" s="325">
        <f>IF(DJ$7&gt;$D$3,"",IF(BB94="Missed","Missed",IF(BB94="OD","OD",IF(BB94="TBC","TBC",IF(BB94="Undefined","Undefined",_xlfn.XLOOKUP(DJ$7,Procurement!$M$6:$BM$6,Procurement!$M$18:$BM$18)/_xlfn.XLOOKUP(DJ$7,Procurement!$M$6:$BM$6,Procurement!$M$17:$BM$17))))))</f>
        <v>1</v>
      </c>
      <c r="DK94" s="325">
        <f>IF(DK$7&gt;$D$3,"",IF(BC94="Missed","Missed",IF(BC94="OD","OD",IF(BC94="TBC","TBC",IF(BC94="Undefined","Undefined",_xlfn.XLOOKUP(DK$7,Procurement!$M$6:$BM$6,Procurement!$M$18:$BM$18)/_xlfn.XLOOKUP(DK$7,Procurement!$M$6:$BM$6,Procurement!$M$17:$BM$17))))))</f>
        <v>1</v>
      </c>
      <c r="DL94" s="325">
        <f>IF(DL$7&gt;$D$3,"",IF(BD94="Missed","Missed",IF(BD94="OD","OD",IF(BD94="TBC","TBC",IF(BD94="Undefined","Undefined",_xlfn.XLOOKUP(DL$7,Procurement!$M$6:$BM$6,Procurement!$M$18:$BM$18)/_xlfn.XLOOKUP(DL$7,Procurement!$M$6:$BM$6,Procurement!$M$17:$BM$17))))))</f>
        <v>1</v>
      </c>
      <c r="DM94" s="325">
        <f>IF(DM$7&gt;$D$3,"",IF(BE94="Missed","Missed",IF(BE94="OD","OD",IF(BE94="TBC","TBC",IF(BE94="Undefined","Undefined",_xlfn.XLOOKUP(DM$7,Procurement!$M$6:$BM$6,Procurement!$M$18:$BM$18)/_xlfn.XLOOKUP(DM$7,Procurement!$M$6:$BM$6,Procurement!$M$17:$BM$17))))))</f>
        <v>1</v>
      </c>
      <c r="DN94" s="325">
        <f>IF(DN$7&gt;$D$3,"",IF(BF94="Missed","Missed",IF(BF94="OD","OD",IF(BF94="TBC","TBC",IF(BF94="Undefined","Undefined",_xlfn.XLOOKUP(DN$7,Procurement!$M$6:$BM$6,Procurement!$M$18:$BM$18)/_xlfn.XLOOKUP(DN$7,Procurement!$M$6:$BM$6,Procurement!$M$17:$BM$17))))))</f>
        <v>2.5</v>
      </c>
      <c r="DO94" s="325">
        <f>IF(DO$7&gt;$D$3,"",IF(BG94="Missed","Missed",IF(BG94="OD","OD",IF(BG94="TBC","TBC",IF(BG94="Undefined","Undefined",_xlfn.XLOOKUP(DO$7,Procurement!$M$6:$BM$6,Procurement!$M$18:$BM$18)/_xlfn.XLOOKUP(DO$7,Procurement!$M$6:$BM$6,Procurement!$M$17:$BM$17))))))</f>
        <v>1</v>
      </c>
      <c r="DP94" s="325">
        <f>IF(DP$7&gt;$D$3,"",IF(BH94="Missed","Missed",IF(BH94="OD","OD",IF(BH94="TBC","TBC",IF(BH94="Undefined","Undefined",_xlfn.XLOOKUP(DP$7,Procurement!$M$6:$BM$6,Procurement!$M$18:$BM$18)/_xlfn.XLOOKUP(DP$7,Procurement!$M$6:$BM$6,Procurement!$M$17:$BM$17))))))</f>
        <v>1</v>
      </c>
      <c r="DQ94" s="325">
        <f>IF(DQ$7&gt;$D$3,"",IF(BI94="Missed","Missed",IF(BI94="OD","OD",IF(BI94="TBC","TBC",IF(BI94="Undefined","Undefined",_xlfn.XLOOKUP(DQ$7,Procurement!$M$6:$BM$6,Procurement!$M$18:$BM$18)/_xlfn.XLOOKUP(DQ$7,Procurement!$M$6:$BM$6,Procurement!$M$17:$BM$17))))))</f>
        <v>1</v>
      </c>
      <c r="DR94" s="325">
        <f>IF(DR$7&gt;$D$3,"",IF(BJ94="Missed","Missed",IF(BJ94="OD","OD",IF(BJ94="TBC","TBC",IF(BJ94="Undefined","Undefined",_xlfn.XLOOKUP(DR$7,Procurement!$M$6:$BM$6,Procurement!$M$18:$BM$18)/_xlfn.XLOOKUP(DR$7,Procurement!$M$6:$BM$6,Procurement!$M$17:$BM$17))))))</f>
        <v>1</v>
      </c>
      <c r="DS94" s="325">
        <f>IF(DS$7&gt;$D$3,"",IF(BK94="Missed","Missed",IF(BK94="OD","OD",IF(BK94="TBC","TBC",IF(BK94="Undefined","Undefined",_xlfn.XLOOKUP(DS$7,Procurement!$M$6:$BM$6,Procurement!$M$18:$BM$18)/_xlfn.XLOOKUP(DS$7,Procurement!$M$6:$BM$6,Procurement!$M$17:$BM$17))))))</f>
        <v>1</v>
      </c>
      <c r="DT94" s="325">
        <f>IF(DT$7&gt;$D$3,"",IF(BL94="Missed","Missed",IF(BL94="OD","OD",IF(BL94="TBC","TBC",IF(BL94="Undefined","Undefined",_xlfn.XLOOKUP(DT$7,Procurement!$M$6:$BM$6,Procurement!$M$18:$BM$18)/_xlfn.XLOOKUP(DT$7,Procurement!$M$6:$BM$6,Procurement!$M$17:$BM$17))))))</f>
        <v>1</v>
      </c>
      <c r="DU94" s="325">
        <f>IF(DU$7&gt;$D$3,"",IF(BM94="Missed","Missed",IF(BM94="OD","OD",IF(BM94="TBC","TBC",IF(BM94="Undefined","Undefined",_xlfn.XLOOKUP(DU$7,Procurement!$M$6:$BM$6,Procurement!$M$18:$BM$18)/_xlfn.XLOOKUP(DU$7,Procurement!$M$6:$BM$6,Procurement!$M$17:$BM$17))))))</f>
        <v>1</v>
      </c>
      <c r="DV94" s="325">
        <f>IF(DV$7&gt;$D$3,"",IF(BN94="Missed","Missed",IF(BN94="OD","OD",IF(BN94="TBC","TBC",IF(BN94="Undefined","Undefined",_xlfn.XLOOKUP(DV$7,Procurement!$M$6:$BM$6,Procurement!$M$18:$BM$18)/_xlfn.XLOOKUP(DV$7,Procurement!$M$6:$BM$6,Procurement!$M$17:$BM$17))))))</f>
        <v>1</v>
      </c>
      <c r="DW94" s="325">
        <f>IF(DW$7&gt;$D$3,"",IF(BO94="Missed","Missed",IF(BO94="OD","OD",IF(BO94="TBC","TBC",IF(BO94="Undefined","Undefined",_xlfn.XLOOKUP(DW$7,Procurement!$M$6:$BM$6,Procurement!$M$18:$BM$18)/_xlfn.XLOOKUP(DW$7,Procurement!$M$6:$BM$6,Procurement!$M$17:$BM$17))))))</f>
        <v>1</v>
      </c>
      <c r="DX94" s="325">
        <f>IF(DX$7&gt;$D$3,"",IF(BP94="Missed","Missed",IF(BP94="OD","OD",IF(BP94="TBC","TBC",IF(BP94="Undefined","Undefined",_xlfn.XLOOKUP(DX$7,Procurement!$M$6:$BM$6,Procurement!$M$18:$BM$18)/_xlfn.XLOOKUP(DX$7,Procurement!$M$6:$BM$6,Procurement!$M$17:$BM$17))))))</f>
        <v>1</v>
      </c>
      <c r="DY94" s="325">
        <f>IF(DY$7&gt;$D$3,"",IF(BQ94="Missed","Missed",IF(BQ94="OD","OD",IF(BQ94="TBC","TBC",IF(BQ94="Undefined","Undefined",_xlfn.XLOOKUP(DY$7,Procurement!$M$6:$BM$6,Procurement!$M$18:$BM$18)/_xlfn.XLOOKUP(DY$7,Procurement!$M$6:$BM$6,Procurement!$M$17:$BM$17))))))</f>
        <v>1</v>
      </c>
      <c r="DZ94" s="325">
        <f>IF(DZ$7&gt;$D$3,"",IF(BR94="Missed","Missed",IF(BR94="OD","OD",IF(BR94="TBC","TBC",IF(BR94="Undefined","Undefined",_xlfn.XLOOKUP(DZ$7,Procurement!$M$6:$BM$6,Procurement!$M$18:$BM$18)/_xlfn.XLOOKUP(DZ$7,Procurement!$M$6:$BM$6,Procurement!$M$17:$BM$17))))))</f>
        <v>1</v>
      </c>
      <c r="EA94" s="325">
        <f>IF(EA$7&gt;$D$3,"",IF(BS94="Missed","Missed",IF(BS94="OD","OD",IF(BS94="TBC","TBC",IF(BS94="Undefined","Undefined",_xlfn.XLOOKUP(EA$7,Procurement!$M$6:$BM$6,Procurement!$M$18:$BM$18)/_xlfn.XLOOKUP(EA$7,Procurement!$M$6:$BM$6,Procurement!$M$17:$BM$17))))))</f>
        <v>1</v>
      </c>
      <c r="EB94" s="325">
        <f>IF(EB$7&gt;$D$3,"",IF(BT94="Missed","Missed",IF(BT94="OD","OD",IF(BT94="TBC","TBC",IF(BT94="Undefined","Undefined",_xlfn.XLOOKUP(EB$7,Procurement!$M$6:$BM$6,Procurement!$M$18:$BM$18)/_xlfn.XLOOKUP(EB$7,Procurement!$M$6:$BM$6,Procurement!$M$17:$BM$17))))))</f>
        <v>1</v>
      </c>
      <c r="EC94" s="325">
        <f>IF(EC$7&gt;$D$3,"",IF(BU94="Missed","Missed",IF(BU94="OD","OD",IF(BU94="TBC","TBC",IF(BU94="Undefined","Undefined",_xlfn.XLOOKUP(EC$7,Procurement!$M$6:$BM$6,Procurement!$M$18:$BM$18)/_xlfn.XLOOKUP(EC$7,Procurement!$M$6:$BM$6,Procurement!$M$17:$BM$17))))))</f>
        <v>1</v>
      </c>
      <c r="ED94" s="325">
        <f>IF(ED$7&gt;$D$3,"",IF(BV94="Missed","Missed",IF(BV94="OD","OD",IF(BV94="TBC","TBC",IF(BV94="Undefined","Undefined",_xlfn.XLOOKUP(ED$7,Procurement!$M$6:$BM$6,Procurement!$M$18:$BM$18)/_xlfn.XLOOKUP(ED$7,Procurement!$M$6:$BM$6,Procurement!$M$17:$BM$17))))))</f>
        <v>1</v>
      </c>
      <c r="EE94" s="325">
        <f>IF(EE$7&gt;$D$3,"",IF(BW94="Missed","Missed",IF(BW94="OD","OD",IF(BW94="TBC","TBC",IF(BW94="Undefined","Undefined",_xlfn.XLOOKUP(EE$7,Procurement!$M$6:$BM$6,Procurement!$M$18:$BM$18)/_xlfn.XLOOKUP(EE$7,Procurement!$M$6:$BM$6,Procurement!$M$17:$BM$17))))))</f>
        <v>1</v>
      </c>
      <c r="EF94" s="325">
        <f>IF(EF$7&gt;$D$3,"",IF(BX94="Missed","Missed",IF(BX94="OD","OD",IF(BX94="TBC","TBC",IF(BX94="Undefined","Undefined",_xlfn.XLOOKUP(EF$7,Procurement!$M$6:$BM$6,Procurement!$M$18:$BM$18)/_xlfn.XLOOKUP(EF$7,Procurement!$M$6:$BM$6,Procurement!$M$17:$BM$17))))))</f>
        <v>1</v>
      </c>
      <c r="EG94" s="325">
        <f>IF(EG$7&gt;$D$3,"",IF(BY94="Missed","Missed",IF(BY94="OD","OD",IF(BY94="TBC","TBC",IF(BY94="Undefined","Undefined",_xlfn.XLOOKUP(EG$7,Procurement!$M$6:$BM$6,Procurement!$M$18:$BM$18)/_xlfn.XLOOKUP(EG$7,Procurement!$M$6:$BM$6,Procurement!$M$17:$BM$17))))))</f>
        <v>1</v>
      </c>
      <c r="EH94" s="325">
        <f>IF(EH$7&gt;$D$3,"",IF(BZ94="Missed","Missed",IF(BZ94="OD","OD",IF(BZ94="TBC","TBC",IF(BZ94="Undefined","Undefined",_xlfn.XLOOKUP(EH$7,Procurement!$M$6:$BM$6,Procurement!$M$18:$BM$18)/_xlfn.XLOOKUP(EH$7,Procurement!$M$6:$BM$6,Procurement!$M$17:$BM$17))))))</f>
        <v>1</v>
      </c>
      <c r="EI94" s="325">
        <f>IF(EI$7&gt;$D$3,"",IF(CA94="Missed","Missed",IF(CA94="OD","OD",IF(CA94="TBC","TBC",IF(CA94="Undefined","Undefined",_xlfn.XLOOKUP(EI$7,Procurement!$M$6:$BM$6,Procurement!$M$18:$BM$18)/_xlfn.XLOOKUP(EI$7,Procurement!$M$6:$BM$6,Procurement!$M$17:$BM$17))))))</f>
        <v>1</v>
      </c>
      <c r="EJ94" s="325">
        <f>IF(EJ$7&gt;$D$3,"",IF(CB94="Missed","Missed",IF(CB94="OD","OD",IF(CB94="TBC","TBC",IF(CB94="Undefined","Undefined",_xlfn.XLOOKUP(EJ$7,Procurement!$M$6:$BM$6,Procurement!$M$18:$BM$18)/_xlfn.XLOOKUP(EJ$7,Procurement!$M$6:$BM$6,Procurement!$M$17:$BM$17))))))</f>
        <v>1</v>
      </c>
      <c r="EK94" s="325" t="str">
        <f>IF(EK$7&gt;$D$3,"",IF(CC94="Missed","Missed",IF(CC94="OD","OD",IF(CC94="TBC","TBC",IF(CC94="Undefined","Undefined",_xlfn.XLOOKUP(EK$7,Procurement!$M$6:$BM$6,Procurement!$M$18:$BM$18)/_xlfn.XLOOKUP(EK$7,Procurement!$M$6:$BM$6,Procurement!$M$17:$BM$17))))))</f>
        <v/>
      </c>
      <c r="EL94" s="325" t="str">
        <f>IF(EL$7&gt;$D$3,"",IF(CD94="Missed","Missed",IF(CD94="OD","OD",IF(CD94="TBC","TBC",IF(CD94="Undefined","Undefined",_xlfn.XLOOKUP(EL$7,Procurement!$M$6:$BM$6,Procurement!$M$18:$BM$18)/_xlfn.XLOOKUP(EL$7,Procurement!$M$6:$BM$6,Procurement!$M$17:$BM$17))))))</f>
        <v/>
      </c>
      <c r="EM94" s="325" t="str">
        <f>IF(EM$7&gt;$D$3,"",IF(CE94="Missed","Missed",IF(CE94="OD","OD",IF(CE94="TBC","TBC",IF(CE94="Undefined","Undefined",_xlfn.XLOOKUP(EM$7,Procurement!$M$6:$BM$6,Procurement!$M$18:$BM$18)/_xlfn.XLOOKUP(EM$7,Procurement!$M$6:$BM$6,Procurement!$M$17:$BM$17))))))</f>
        <v/>
      </c>
      <c r="EN94" s="325" t="str">
        <f>IF(EN$7&gt;$D$3,"",IF(CF94="Missed","Missed",IF(CF94="OD","OD",IF(CF94="TBC","TBC",IF(CF94="Undefined","Undefined",_xlfn.XLOOKUP(EN$7,Procurement!$M$6:$BM$6,Procurement!$M$18:$BM$18)/_xlfn.XLOOKUP(EN$7,Procurement!$M$6:$BM$6,Procurement!$M$17:$BM$17))))))</f>
        <v/>
      </c>
      <c r="EO94" s="325" t="str">
        <f>IF(EO$7&gt;$D$3,"",IF(CG94="Missed","Missed",IF(CG94="OD","OD",IF(CG94="TBC","TBC",IF(CG94="Undefined","Undefined",_xlfn.XLOOKUP(EO$7,Procurement!$M$6:$BM$6,Procurement!$M$18:$BM$18)/_xlfn.XLOOKUP(EO$7,Procurement!$M$6:$BM$6,Procurement!$M$17:$BM$17))))))</f>
        <v/>
      </c>
      <c r="EP94" s="325" t="str">
        <f>IF(EP$7&gt;$D$3,"",IF(CH94="Missed","Missed",IF(CH94="OD","OD",IF(CH94="TBC","TBC",IF(CH94="Undefined","Undefined",_xlfn.XLOOKUP(EP$7,Procurement!$M$6:$BM$6,Procurement!$M$18:$BM$18)/_xlfn.XLOOKUP(EP$7,Procurement!$M$6:$BM$6,Procurement!$M$17:$BM$17))))))</f>
        <v/>
      </c>
      <c r="EQ94" s="325" t="str">
        <f>IF(EQ$7&gt;$D$3,"",IF(CI94="Missed","Missed",IF(CI94="OD","OD",IF(CI94="TBC","TBC",IF(CI94="Undefined","Undefined",_xlfn.XLOOKUP(EQ$7,Procurement!$M$6:$BM$6,Procurement!$M$18:$BM$18)/_xlfn.XLOOKUP(EQ$7,Procurement!$M$6:$BM$6,Procurement!$M$17:$BM$17))))))</f>
        <v/>
      </c>
      <c r="ER94" s="325" t="str">
        <f>IF(ER$7&gt;$D$3,"",IF(CJ94="Missed","Missed",IF(CJ94="OD","OD",IF(CJ94="TBC","TBC",IF(CJ94="Undefined","Undefined",_xlfn.XLOOKUP(ER$7,Procurement!$M$6:$BM$6,Procurement!$M$18:$BM$18)/_xlfn.XLOOKUP(ER$7,Procurement!$M$6:$BM$6,Procurement!$M$17:$BM$17))))))</f>
        <v/>
      </c>
      <c r="ES94" s="325" t="str">
        <f>IF(ES$7&gt;$D$3,"",IF(CK94="Missed","Missed",IF(CK94="OD","OD",IF(CK94="TBC","TBC",IF(CK94="Undefined","Undefined",_xlfn.XLOOKUP(ES$7,Procurement!$M$6:$BM$6,Procurement!$M$18:$BM$18)/_xlfn.XLOOKUP(ES$7,Procurement!$M$6:$BM$6,Procurement!$M$17:$BM$17))))))</f>
        <v/>
      </c>
      <c r="ET94" s="325" t="str">
        <f>IF(ET$7&gt;$D$3,"",IF(CL94="Missed","Missed",IF(CL94="OD","OD",IF(CL94="TBC","TBC",IF(CL94="Undefined","Undefined",_xlfn.XLOOKUP(ET$7,Procurement!$M$6:$BM$6,Procurement!$M$18:$BM$18)/_xlfn.XLOOKUP(ET$7,Procurement!$M$6:$BM$6,Procurement!$M$17:$BM$17))))))</f>
        <v/>
      </c>
      <c r="EU94" s="325" t="str">
        <f>IF(EU$7&gt;$D$3,"",IF(CM94="Missed","Missed",IF(CM94="OD","OD",IF(CM94="TBC","TBC",IF(CM94="Undefined","Undefined",_xlfn.XLOOKUP(EU$7,Procurement!$M$6:$BM$6,Procurement!$M$18:$BM$18)/_xlfn.XLOOKUP(EU$7,Procurement!$M$6:$BM$6,Procurement!$M$17:$BM$17))))))</f>
        <v/>
      </c>
      <c r="EW94" s="465" t="str">
        <f>+$A94</f>
        <v>Procurement-KPI C1</v>
      </c>
      <c r="EX94" s="138" t="str">
        <f>+$C94</f>
        <v>KPI C1</v>
      </c>
      <c r="EY94" s="146" t="str">
        <f>+$D94</f>
        <v>Cost</v>
      </c>
      <c r="EZ94" s="146" t="str">
        <f>+$E94</f>
        <v>PPV - Cost differential between Std and Inv Cost</v>
      </c>
      <c r="FA94" s="147" t="str">
        <f>+$F94</f>
        <v>£'s</v>
      </c>
      <c r="FB94" s="147" t="s">
        <v>251</v>
      </c>
      <c r="FC94" s="200" t="str">
        <f>IF(FC$7&gt;$D$3,"",IF($FA90&lt;FC$7,"OD",_xlfn.XLOOKUP(FC$7,Procurement!$M$6:$BM$6,Procurement!$M$18:$BM$18)))</f>
        <v>Blank</v>
      </c>
      <c r="FD94" s="200" t="str">
        <f>IF(FD$7&gt;$D$3,"",IF($FA90&lt;FD$7,"OD",_xlfn.XLOOKUP(FD$7,Procurement!$M$6:$BM$6,Procurement!$M$18:$BM$18)))</f>
        <v>TBC</v>
      </c>
      <c r="FE94" s="200" t="str">
        <f>IF(FE$7&gt;$D$3,"",IF($FA90&lt;FE$7,"OD",_xlfn.XLOOKUP(FE$7,Procurement!$M$6:$BM$6,Procurement!$M$18:$BM$18)))</f>
        <v>TBC</v>
      </c>
      <c r="FF94" s="200" t="str">
        <f>IF(FF$7&gt;$D$3,"",IF($FA90&lt;FF$7,"OD",_xlfn.XLOOKUP(FF$7,Procurement!$M$6:$BM$6,Procurement!$M$18:$BM$18)))</f>
        <v>TBC</v>
      </c>
      <c r="FG94" s="200" t="str">
        <f>IF(FG$7&gt;$D$3,"",IF($FA90&lt;FG$7,"OD",_xlfn.XLOOKUP(FG$7,Procurement!$M$6:$BM$6,Procurement!$M$18:$BM$18)))</f>
        <v>TBC</v>
      </c>
      <c r="FH94" s="200" t="str">
        <f>IF(FH$7&gt;$D$3,"",IF($FA90&lt;FH$7,"OD",_xlfn.XLOOKUP(FH$7,Procurement!$M$6:$BM$6,Procurement!$M$18:$BM$18)))</f>
        <v>TBC</v>
      </c>
      <c r="FI94" s="200" t="str">
        <f>IF(FI$7&gt;$D$3,"",IF($FA90&lt;FI$7,"OD",_xlfn.XLOOKUP(FI$7,Procurement!$M$6:$BM$6,Procurement!$M$18:$BM$18)))</f>
        <v>TBC</v>
      </c>
      <c r="FJ94" s="200" t="str">
        <f>IF(FJ$7&gt;$D$3,"",IF($FA90&lt;FJ$7,"OD",_xlfn.XLOOKUP(FJ$7,Procurement!$M$6:$BM$6,Procurement!$M$18:$BM$18)))</f>
        <v>TBC</v>
      </c>
      <c r="FK94" s="200" t="str">
        <f>IF(FK$7&gt;$D$3,"",IF($FA90&lt;FK$7,"OD",_xlfn.XLOOKUP(FK$7,Procurement!$M$6:$BM$6,Procurement!$M$18:$BM$18)))</f>
        <v>TBC</v>
      </c>
      <c r="FL94" s="200" t="str">
        <f>IF(FL$7&gt;$D$3,"",IF($FA90&lt;FL$7,"OD",_xlfn.XLOOKUP(FL$7,Procurement!$M$6:$BM$6,Procurement!$M$18:$BM$18)))</f>
        <v>TBC</v>
      </c>
      <c r="FM94" s="200" t="str">
        <f>IF(FM$7&gt;$D$3,"",IF($FA90&lt;FM$7,"OD",_xlfn.XLOOKUP(FM$7,Procurement!$M$6:$BM$6,Procurement!$M$18:$BM$18)))</f>
        <v>TBC</v>
      </c>
      <c r="FN94" s="200">
        <f>IF(FN$7&gt;$D$3,"",IF($FA90&lt;FN$7,"OD",_xlfn.XLOOKUP(FN$7,Procurement!$M$6:$BM$6,Procurement!$M$18:$BM$18)))</f>
        <v>1400</v>
      </c>
      <c r="FO94" s="200">
        <f>IF(FO$7&gt;$D$3,"",IF($FA90&lt;FO$7,"OD",_xlfn.XLOOKUP(FO$7,Procurement!$M$6:$BM$6,Procurement!$M$18:$BM$18)))</f>
        <v>1250</v>
      </c>
      <c r="FP94" s="200">
        <f>IF(FP$7&gt;$D$3,"",IF($FA90&lt;FP$7,"OD",_xlfn.XLOOKUP(FP$7,Procurement!$M$6:$BM$6,Procurement!$M$18:$BM$18)))</f>
        <v>1250</v>
      </c>
      <c r="FQ94" s="200">
        <f>IF(FQ$7&gt;$D$3,"",IF($FA90&lt;FQ$7,"OD",_xlfn.XLOOKUP(FQ$7,Procurement!$M$6:$BM$6,Procurement!$M$18:$BM$18)))</f>
        <v>500</v>
      </c>
      <c r="FR94" s="200">
        <f>IF(FR$7&gt;$D$3,"",IF($FA90&lt;FR$7,"OD",_xlfn.XLOOKUP(FR$7,Procurement!$M$6:$BM$6,Procurement!$M$18:$BM$18)))</f>
        <v>500</v>
      </c>
      <c r="FS94" s="200">
        <f>IF(FS$7&gt;$D$3,"",IF($FA90&lt;FS$7,"OD",_xlfn.XLOOKUP(FS$7,Procurement!$M$6:$BM$6,Procurement!$M$18:$BM$18)))</f>
        <v>500</v>
      </c>
      <c r="FT94" s="200">
        <f>IF(FT$7&gt;$D$3,"",IF($FA90&lt;FT$7,"OD",_xlfn.XLOOKUP(FT$7,Procurement!$M$6:$BM$6,Procurement!$M$18:$BM$18)))</f>
        <v>500</v>
      </c>
      <c r="FU94" s="200">
        <f>IF(FU$7&gt;$D$3,"",IF($FA90&lt;FU$7,"OD",_xlfn.XLOOKUP(FU$7,Procurement!$M$6:$BM$6,Procurement!$M$18:$BM$18)))</f>
        <v>500</v>
      </c>
      <c r="FV94" s="200">
        <f>IF(FV$7&gt;$D$3,"",IF($FA90&lt;FV$7,"OD",_xlfn.XLOOKUP(FV$7,Procurement!$M$6:$BM$6,Procurement!$M$18:$BM$18)))</f>
        <v>1250</v>
      </c>
      <c r="FW94" s="200">
        <f>IF(FW$7&gt;$D$3,"",IF($FA90&lt;FW$7,"OD",_xlfn.XLOOKUP(FW$7,Procurement!$M$6:$BM$6,Procurement!$M$18:$BM$18)))</f>
        <v>500</v>
      </c>
      <c r="FX94" s="200">
        <f>IF(FX$7&gt;$D$3,"",IF($FA90&lt;FX$7,"OD",_xlfn.XLOOKUP(FX$7,Procurement!$M$6:$BM$6,Procurement!$M$18:$BM$18)))</f>
        <v>500</v>
      </c>
      <c r="FY94" s="200">
        <f>IF(FY$7&gt;$D$3,"",IF($FA90&lt;FY$7,"OD",_xlfn.XLOOKUP(FY$7,Procurement!$M$6:$BM$6,Procurement!$M$18:$BM$18)))</f>
        <v>500</v>
      </c>
      <c r="FZ94" s="200">
        <f>IF(FZ$7&gt;$D$3,"",IF($FA90&lt;FZ$7,"OD",_xlfn.XLOOKUP(FZ$7,Procurement!$M$6:$BM$6,Procurement!$M$18:$BM$18)))</f>
        <v>500</v>
      </c>
      <c r="GA94" s="200">
        <f>IF(GA$7&gt;$D$3,"",IF($FA90&lt;GA$7,"OD",_xlfn.XLOOKUP(GA$7,Procurement!$M$6:$BM$6,Procurement!$M$18:$BM$18)))</f>
        <v>500</v>
      </c>
      <c r="GB94" s="200">
        <f>IF(GB$7&gt;$D$3,"",IF($FA90&lt;GB$7,"OD",_xlfn.XLOOKUP(GB$7,Procurement!$M$6:$BM$6,Procurement!$M$18:$BM$18)))</f>
        <v>500</v>
      </c>
      <c r="GC94" s="200">
        <f>IF(GC$7&gt;$D$3,"",IF($FA90&lt;GC$7,"OD",_xlfn.XLOOKUP(GC$7,Procurement!$M$6:$BM$6,Procurement!$M$18:$BM$18)))</f>
        <v>500</v>
      </c>
      <c r="GD94" s="200">
        <f>IF(GD$7&gt;$D$3,"",IF($FA90&lt;GD$7,"OD",_xlfn.XLOOKUP(GD$7,Procurement!$M$6:$BM$6,Procurement!$M$18:$BM$18)))</f>
        <v>500</v>
      </c>
      <c r="GE94" s="200">
        <f>IF(GE$7&gt;$D$3,"",IF($FA90&lt;GE$7,"OD",_xlfn.XLOOKUP(GE$7,Procurement!$M$6:$BM$6,Procurement!$M$18:$BM$18)))</f>
        <v>500</v>
      </c>
      <c r="GF94" s="200">
        <f>IF(GF$7&gt;$D$3,"",IF($FA90&lt;GF$7,"OD",_xlfn.XLOOKUP(GF$7,Procurement!$M$6:$BM$6,Procurement!$M$18:$BM$18)))</f>
        <v>500</v>
      </c>
      <c r="GG94" s="200">
        <f>IF(GG$7&gt;$D$3,"",IF($FA90&lt;GG$7,"OD",_xlfn.XLOOKUP(GG$7,Procurement!$M$6:$BM$6,Procurement!$M$18:$BM$18)))</f>
        <v>500</v>
      </c>
      <c r="GH94" s="200">
        <f>IF(GH$7&gt;$D$3,"",IF($FA90&lt;GH$7,"OD",_xlfn.XLOOKUP(GH$7,Procurement!$M$6:$BM$6,Procurement!$M$18:$BM$18)))</f>
        <v>500</v>
      </c>
      <c r="GI94" s="200">
        <f>IF(GI$7&gt;$D$3,"",IF($FA90&lt;GI$7,"OD",_xlfn.XLOOKUP(GI$7,Procurement!$M$6:$BM$6,Procurement!$M$18:$BM$18)))</f>
        <v>500</v>
      </c>
      <c r="GJ94" s="200">
        <f>IF(GJ$7&gt;$D$3,"",IF($FA90&lt;GJ$7,"OD",_xlfn.XLOOKUP(GJ$7,Procurement!$M$6:$BM$6,Procurement!$M$18:$BM$18)))</f>
        <v>500</v>
      </c>
      <c r="GK94" s="200">
        <f>IF(GK$7&gt;$D$3,"",IF($FA90&lt;GK$7,"OD",_xlfn.XLOOKUP(GK$7,Procurement!$M$6:$BM$6,Procurement!$M$18:$BM$18)))</f>
        <v>500</v>
      </c>
      <c r="GL94" s="200">
        <f>IF(GL$7&gt;$D$3,"",IF($FA90&lt;GL$7,"OD",_xlfn.XLOOKUP(GL$7,Procurement!$M$6:$BM$6,Procurement!$M$18:$BM$18)))</f>
        <v>500</v>
      </c>
      <c r="GM94" s="200">
        <f>IF(GM$7&gt;$D$3,"",IF($FA90&lt;GM$7,"OD",_xlfn.XLOOKUP(GM$7,Procurement!$M$6:$BM$6,Procurement!$M$18:$BM$18)))</f>
        <v>500</v>
      </c>
      <c r="GN94" s="200">
        <f>IF(GN$7&gt;$D$3,"",IF($FA90&lt;GN$7,"OD",_xlfn.XLOOKUP(GN$7,Procurement!$M$6:$BM$6,Procurement!$M$18:$BM$18)))</f>
        <v>500</v>
      </c>
      <c r="GO94" s="200">
        <f>IF(GO$7&gt;$D$3,"",IF($FA90&lt;GO$7,"OD",_xlfn.XLOOKUP(GO$7,Procurement!$M$6:$BM$6,Procurement!$M$18:$BM$18)))</f>
        <v>500</v>
      </c>
      <c r="GP94" s="200">
        <f>IF(GP$7&gt;$D$3,"",IF($FA90&lt;GP$7,"OD",_xlfn.XLOOKUP(GP$7,Procurement!$M$6:$BM$6,Procurement!$M$18:$BM$18)))</f>
        <v>500</v>
      </c>
      <c r="GQ94" s="200">
        <f>IF(GQ$7&gt;$D$3,"",IF($FA90&lt;GQ$7,"OD",_xlfn.XLOOKUP(GQ$7,Procurement!$M$6:$BM$6,Procurement!$M$18:$BM$18)))</f>
        <v>500</v>
      </c>
      <c r="GR94" s="200">
        <f>IF(GR$7&gt;$D$3,"",IF($FA90&lt;GR$7,"OD",_xlfn.XLOOKUP(GR$7,Procurement!$M$6:$BM$6,Procurement!$M$18:$BM$18)))</f>
        <v>500</v>
      </c>
      <c r="GS94" s="200" t="str">
        <f>IF(GS$7&gt;$D$3,"",IF($FA90&lt;GS$7,"OD",_xlfn.XLOOKUP(GS$7,Procurement!$M$6:$BM$6,Procurement!$M$18:$BM$18)))</f>
        <v/>
      </c>
      <c r="GT94" s="200" t="str">
        <f>IF(GT$7&gt;$D$3,"",IF($FA90&lt;GT$7,"OD",_xlfn.XLOOKUP(GT$7,Procurement!$M$6:$BM$6,Procurement!$M$18:$BM$18)))</f>
        <v/>
      </c>
      <c r="GU94" s="200" t="str">
        <f>IF(GU$7&gt;$D$3,"",IF($FA90&lt;GU$7,"OD",_xlfn.XLOOKUP(GU$7,Procurement!$M$6:$BM$6,Procurement!$M$18:$BM$18)))</f>
        <v/>
      </c>
      <c r="GV94" s="200" t="str">
        <f>IF(GV$7&gt;$D$3,"",IF($FA90&lt;GV$7,"OD",_xlfn.XLOOKUP(GV$7,Procurement!$M$6:$BM$6,Procurement!$M$18:$BM$18)))</f>
        <v/>
      </c>
      <c r="GW94" s="200" t="str">
        <f>IF(GW$7&gt;$D$3,"",IF($FA90&lt;GW$7,"OD",_xlfn.XLOOKUP(GW$7,Procurement!$M$6:$BM$6,Procurement!$M$18:$BM$18)))</f>
        <v/>
      </c>
      <c r="GX94" s="200" t="str">
        <f>IF(GX$7&gt;$D$3,"",IF($FA90&lt;GX$7,"OD",_xlfn.XLOOKUP(GX$7,Procurement!$M$6:$BM$6,Procurement!$M$18:$BM$18)))</f>
        <v/>
      </c>
      <c r="GY94" s="200" t="str">
        <f>IF(GY$7&gt;$D$3,"",IF($FA90&lt;GY$7,"OD",_xlfn.XLOOKUP(GY$7,Procurement!$M$6:$BM$6,Procurement!$M$18:$BM$18)))</f>
        <v/>
      </c>
      <c r="GZ94" s="200" t="str">
        <f>IF(GZ$7&gt;$D$3,"",IF($FA90&lt;GZ$7,"OD",_xlfn.XLOOKUP(GZ$7,Procurement!$M$6:$BM$6,Procurement!$M$18:$BM$18)))</f>
        <v/>
      </c>
      <c r="HA94" s="200" t="str">
        <f>IF(HA$7&gt;$D$3,"",IF($FA90&lt;HA$7,"OD",_xlfn.XLOOKUP(HA$7,Procurement!$M$6:$BM$6,Procurement!$M$18:$BM$18)))</f>
        <v/>
      </c>
      <c r="HB94" s="200" t="str">
        <f>IF(HB$7&gt;$D$3,"",IF($FA90&lt;HB$7,"OD",_xlfn.XLOOKUP(HB$7,Procurement!$M$6:$BM$6,Procurement!$M$18:$BM$18)))</f>
        <v/>
      </c>
      <c r="HC94" s="200" t="str">
        <f>IF(HC$7&gt;$D$3,"",IF($FA90&lt;HC$7,"OD",_xlfn.XLOOKUP(HC$7,Procurement!$M$6:$BM$6,Procurement!$M$18:$BM$18)))</f>
        <v/>
      </c>
      <c r="HE94" s="138" t="str">
        <f>+$C94</f>
        <v>KPI C1</v>
      </c>
      <c r="HF94" s="146" t="str">
        <f>+$D94</f>
        <v>Cost</v>
      </c>
      <c r="HG94" s="146" t="str">
        <f>+$E94</f>
        <v>PPV - Cost differential between Std and Inv Cost</v>
      </c>
      <c r="HH94" s="147" t="str">
        <f>+$F94</f>
        <v>£'s</v>
      </c>
      <c r="HI94" s="147" t="s">
        <v>44</v>
      </c>
      <c r="HJ94" s="200" t="str">
        <f>IF(HJ$7&gt;$D$3,"",IF($FA90&lt;HJ$7,"OD",_xlfn.XLOOKUP(HJ$7,Procurement!$M$6:$BM$6,Procurement!$M$17:$BM$17)))</f>
        <v>Blank</v>
      </c>
      <c r="HK94" s="200">
        <f>IF(HK$7&gt;$D$3,"",IF($FA90&lt;HK$7,"OD",_xlfn.XLOOKUP(HK$7,Procurement!$M$6:$BM$6,Procurement!$M$17:$BM$17)))</f>
        <v>0</v>
      </c>
      <c r="HL94" s="200">
        <f>IF(HL$7&gt;$D$3,"",IF($FA90&lt;HL$7,"OD",_xlfn.XLOOKUP(HL$7,Procurement!$M$6:$BM$6,Procurement!$M$17:$BM$17)))</f>
        <v>0</v>
      </c>
      <c r="HM94" s="200">
        <f>IF(HM$7&gt;$D$3,"",IF($FA90&lt;HM$7,"OD",_xlfn.XLOOKUP(HM$7,Procurement!$M$6:$BM$6,Procurement!$M$17:$BM$17)))</f>
        <v>0</v>
      </c>
      <c r="HN94" s="200">
        <f>IF(HN$7&gt;$D$3,"",IF($FA90&lt;HN$7,"OD",_xlfn.XLOOKUP(HN$7,Procurement!$M$6:$BM$6,Procurement!$M$17:$BM$17)))</f>
        <v>0</v>
      </c>
      <c r="HO94" s="200">
        <f>IF(HO$7&gt;$D$3,"",IF($FA90&lt;HO$7,"OD",_xlfn.XLOOKUP(HO$7,Procurement!$M$6:$BM$6,Procurement!$M$17:$BM$17)))</f>
        <v>0</v>
      </c>
      <c r="HP94" s="200">
        <f>IF(HP$7&gt;$D$3,"",IF($FA90&lt;HP$7,"OD",_xlfn.XLOOKUP(HP$7,Procurement!$M$6:$BM$6,Procurement!$M$17:$BM$17)))</f>
        <v>0</v>
      </c>
      <c r="HQ94" s="200">
        <f>IF(HQ$7&gt;$D$3,"",IF($FA90&lt;HQ$7,"OD",_xlfn.XLOOKUP(HQ$7,Procurement!$M$6:$BM$6,Procurement!$M$17:$BM$17)))</f>
        <v>0</v>
      </c>
      <c r="HR94" s="200">
        <f>IF(HR$7&gt;$D$3,"",IF($FA90&lt;HR$7,"OD",_xlfn.XLOOKUP(HR$7,Procurement!$M$6:$BM$6,Procurement!$M$17:$BM$17)))</f>
        <v>0</v>
      </c>
      <c r="HS94" s="200">
        <f>IF(HS$7&gt;$D$3,"",IF($FA90&lt;HS$7,"OD",_xlfn.XLOOKUP(HS$7,Procurement!$M$6:$BM$6,Procurement!$M$17:$BM$17)))</f>
        <v>0</v>
      </c>
      <c r="HT94" s="200">
        <f>IF(HT$7&gt;$D$3,"",IF($FA90&lt;HT$7,"OD",_xlfn.XLOOKUP(HT$7,Procurement!$M$6:$BM$6,Procurement!$M$17:$BM$17)))</f>
        <v>0</v>
      </c>
      <c r="HU94" s="200">
        <f>IF(HU$7&gt;$D$3,"",IF($FA90&lt;HU$7,"OD",_xlfn.XLOOKUP(HU$7,Procurement!$M$6:$BM$6,Procurement!$M$17:$BM$17)))</f>
        <v>500</v>
      </c>
      <c r="HV94" s="200">
        <f>IF(HV$7&gt;$D$3,"",IF($FA90&lt;HV$7,"OD",_xlfn.XLOOKUP(HV$7,Procurement!$M$6:$BM$6,Procurement!$M$17:$BM$17)))</f>
        <v>500</v>
      </c>
      <c r="HW94" s="200">
        <f>IF(HW$7&gt;$D$3,"",IF($FA90&lt;HW$7,"OD",_xlfn.XLOOKUP(HW$7,Procurement!$M$6:$BM$6,Procurement!$M$17:$BM$17)))</f>
        <v>500</v>
      </c>
      <c r="HX94" s="200">
        <f>IF(HX$7&gt;$D$3,"",IF($FA90&lt;HX$7,"OD",_xlfn.XLOOKUP(HX$7,Procurement!$M$6:$BM$6,Procurement!$M$17:$BM$17)))</f>
        <v>500</v>
      </c>
      <c r="HY94" s="200">
        <f>IF(HY$7&gt;$D$3,"",IF($FA90&lt;HY$7,"OD",_xlfn.XLOOKUP(HY$7,Procurement!$M$6:$BM$6,Procurement!$M$17:$BM$17)))</f>
        <v>500</v>
      </c>
      <c r="HZ94" s="200">
        <f>IF(HZ$7&gt;$D$3,"",IF($FA90&lt;HZ$7,"OD",_xlfn.XLOOKUP(HZ$7,Procurement!$M$6:$BM$6,Procurement!$M$17:$BM$17)))</f>
        <v>500</v>
      </c>
      <c r="IA94" s="200">
        <f>IF(IA$7&gt;$D$3,"",IF($FA90&lt;IA$7,"OD",_xlfn.XLOOKUP(IA$7,Procurement!$M$6:$BM$6,Procurement!$M$17:$BM$17)))</f>
        <v>500</v>
      </c>
      <c r="IB94" s="200">
        <f>IF(IB$7&gt;$D$3,"",IF($FA90&lt;IB$7,"OD",_xlfn.XLOOKUP(IB$7,Procurement!$M$6:$BM$6,Procurement!$M$17:$BM$17)))</f>
        <v>500</v>
      </c>
      <c r="IC94" s="200">
        <f>IF(IC$7&gt;$D$3,"",IF($FA90&lt;IC$7,"OD",_xlfn.XLOOKUP(IC$7,Procurement!$M$6:$BM$6,Procurement!$M$17:$BM$17)))</f>
        <v>500</v>
      </c>
      <c r="ID94" s="200">
        <f>IF(ID$7&gt;$D$3,"",IF($FA90&lt;ID$7,"OD",_xlfn.XLOOKUP(ID$7,Procurement!$M$6:$BM$6,Procurement!$M$17:$BM$17)))</f>
        <v>500</v>
      </c>
      <c r="IE94" s="200">
        <f>IF(IE$7&gt;$D$3,"",IF($FA90&lt;IE$7,"OD",_xlfn.XLOOKUP(IE$7,Procurement!$M$6:$BM$6,Procurement!$M$17:$BM$17)))</f>
        <v>500</v>
      </c>
      <c r="IF94" s="200">
        <f>IF(IF$7&gt;$D$3,"",IF($FA90&lt;IF$7,"OD",_xlfn.XLOOKUP(IF$7,Procurement!$M$6:$BM$6,Procurement!$M$17:$BM$17)))</f>
        <v>500</v>
      </c>
      <c r="IG94" s="200">
        <f>IF(IG$7&gt;$D$3,"",IF($FA90&lt;IG$7,"OD",_xlfn.XLOOKUP(IG$7,Procurement!$M$6:$BM$6,Procurement!$M$17:$BM$17)))</f>
        <v>500</v>
      </c>
      <c r="IH94" s="200">
        <f>IF(IH$7&gt;$D$3,"",IF($FA90&lt;IH$7,"OD",_xlfn.XLOOKUP(IH$7,Procurement!$M$6:$BM$6,Procurement!$M$17:$BM$17)))</f>
        <v>500</v>
      </c>
      <c r="II94" s="200">
        <f>IF(II$7&gt;$D$3,"",IF($FA90&lt;II$7,"OD",_xlfn.XLOOKUP(II$7,Procurement!$M$6:$BM$6,Procurement!$M$17:$BM$17)))</f>
        <v>500</v>
      </c>
      <c r="IJ94" s="200">
        <f>IF(IJ$7&gt;$D$3,"",IF($FA90&lt;IJ$7,"OD",_xlfn.XLOOKUP(IJ$7,Procurement!$M$6:$BM$6,Procurement!$M$17:$BM$17)))</f>
        <v>500</v>
      </c>
      <c r="IK94" s="200">
        <f>IF(IK$7&gt;$D$3,"",IF($FA90&lt;IK$7,"OD",_xlfn.XLOOKUP(IK$7,Procurement!$M$6:$BM$6,Procurement!$M$17:$BM$17)))</f>
        <v>500</v>
      </c>
      <c r="IL94" s="200">
        <f>IF(IL$7&gt;$D$3,"",IF($FA90&lt;IL$7,"OD",_xlfn.XLOOKUP(IL$7,Procurement!$M$6:$BM$6,Procurement!$M$17:$BM$17)))</f>
        <v>500</v>
      </c>
      <c r="IM94" s="200">
        <f>IF(IM$7&gt;$D$3,"",IF($FA90&lt;IM$7,"OD",_xlfn.XLOOKUP(IM$7,Procurement!$M$6:$BM$6,Procurement!$M$17:$BM$17)))</f>
        <v>500</v>
      </c>
      <c r="IN94" s="200">
        <f>IF(IN$7&gt;$D$3,"",IF($FA90&lt;IN$7,"OD",_xlfn.XLOOKUP(IN$7,Procurement!$M$6:$BM$6,Procurement!$M$17:$BM$17)))</f>
        <v>500</v>
      </c>
      <c r="IO94" s="200">
        <f>IF(IO$7&gt;$D$3,"",IF($FA90&lt;IO$7,"OD",_xlfn.XLOOKUP(IO$7,Procurement!$M$6:$BM$6,Procurement!$M$17:$BM$17)))</f>
        <v>500</v>
      </c>
      <c r="IP94" s="200">
        <f>IF(IP$7&gt;$D$3,"",IF($FA90&lt;IP$7,"OD",_xlfn.XLOOKUP(IP$7,Procurement!$M$6:$BM$6,Procurement!$M$17:$BM$17)))</f>
        <v>500</v>
      </c>
      <c r="IQ94" s="200">
        <f>IF(IQ$7&gt;$D$3,"",IF($FA90&lt;IQ$7,"OD",_xlfn.XLOOKUP(IQ$7,Procurement!$M$6:$BM$6,Procurement!$M$17:$BM$17)))</f>
        <v>500</v>
      </c>
      <c r="IR94" s="200">
        <f>IF(IR$7&gt;$D$3,"",IF($FA90&lt;IR$7,"OD",_xlfn.XLOOKUP(IR$7,Procurement!$M$6:$BM$6,Procurement!$M$17:$BM$17)))</f>
        <v>500</v>
      </c>
      <c r="IS94" s="200">
        <f>IF(IS$7&gt;$D$3,"",IF($FA90&lt;IS$7,"OD",_xlfn.XLOOKUP(IS$7,Procurement!$M$6:$BM$6,Procurement!$M$17:$BM$17)))</f>
        <v>500</v>
      </c>
      <c r="IT94" s="200">
        <f>IF(IT$7&gt;$D$3,"",IF($FA90&lt;IT$7,"OD",_xlfn.XLOOKUP(IT$7,Procurement!$M$6:$BM$6,Procurement!$M$17:$BM$17)))</f>
        <v>500</v>
      </c>
      <c r="IU94" s="200">
        <f>IF(IU$7&gt;$D$3,"",IF($FA90&lt;IU$7,"OD",_xlfn.XLOOKUP(IU$7,Procurement!$M$6:$BM$6,Procurement!$M$17:$BM$17)))</f>
        <v>500</v>
      </c>
      <c r="IV94" s="200">
        <f>IF(IV$7&gt;$D$3,"",IF($FA90&lt;IV$7,"OD",_xlfn.XLOOKUP(IV$7,Procurement!$M$6:$BM$6,Procurement!$M$17:$BM$17)))</f>
        <v>500</v>
      </c>
      <c r="IW94" s="200">
        <f>IF(IW$7&gt;$D$3,"",IF($FA90&lt;IW$7,"OD",_xlfn.XLOOKUP(IW$7,Procurement!$M$6:$BM$6,Procurement!$M$17:$BM$17)))</f>
        <v>500</v>
      </c>
      <c r="IX94" s="200">
        <f>IF(IX$7&gt;$D$3,"",IF($FA90&lt;IX$7,"OD",_xlfn.XLOOKUP(IX$7,Procurement!$M$6:$BM$6,Procurement!$M$17:$BM$17)))</f>
        <v>500</v>
      </c>
      <c r="IY94" s="200">
        <f>IF(IY$7&gt;$D$3,"",IF($FA90&lt;IY$7,"OD",_xlfn.XLOOKUP(IY$7,Procurement!$M$6:$BM$6,Procurement!$M$17:$BM$17)))</f>
        <v>500</v>
      </c>
      <c r="IZ94" s="200" t="str">
        <f>IF(IZ$7&gt;$D$3,"",IF($FA90&lt;IZ$7,"OD",_xlfn.XLOOKUP(IZ$7,Procurement!$M$6:$BM$6,Procurement!$M$17:$BM$17)))</f>
        <v/>
      </c>
      <c r="JA94" s="200" t="str">
        <f>IF(JA$7&gt;$D$3,"",IF($FA90&lt;JA$7,"OD",_xlfn.XLOOKUP(JA$7,Procurement!$M$6:$BM$6,Procurement!$M$17:$BM$17)))</f>
        <v/>
      </c>
      <c r="JB94" s="200" t="str">
        <f>IF(JB$7&gt;$D$3,"",IF($FA90&lt;JB$7,"OD",_xlfn.XLOOKUP(JB$7,Procurement!$M$6:$BM$6,Procurement!$M$17:$BM$17)))</f>
        <v/>
      </c>
      <c r="JC94" s="200" t="str">
        <f>IF(JC$7&gt;$D$3,"",IF($FA90&lt;JC$7,"OD",_xlfn.XLOOKUP(JC$7,Procurement!$M$6:$BM$6,Procurement!$M$17:$BM$17)))</f>
        <v/>
      </c>
      <c r="JD94" s="200" t="str">
        <f>IF(JD$7&gt;$D$3,"",IF($FA90&lt;JD$7,"OD",_xlfn.XLOOKUP(JD$7,Procurement!$M$6:$BM$6,Procurement!$M$17:$BM$17)))</f>
        <v/>
      </c>
      <c r="JE94" s="200" t="str">
        <f>IF(JE$7&gt;$D$3,"",IF($FA90&lt;JE$7,"OD",_xlfn.XLOOKUP(JE$7,Procurement!$M$6:$BM$6,Procurement!$M$17:$BM$17)))</f>
        <v/>
      </c>
      <c r="JF94" s="200" t="str">
        <f>IF(JF$7&gt;$D$3,"",IF($FA90&lt;JF$7,"OD",_xlfn.XLOOKUP(JF$7,Procurement!$M$6:$BM$6,Procurement!$M$17:$BM$17)))</f>
        <v/>
      </c>
      <c r="JG94" s="200" t="str">
        <f>IF(JG$7&gt;$D$3,"",IF($FA90&lt;JG$7,"OD",_xlfn.XLOOKUP(JG$7,Procurement!$M$6:$BM$6,Procurement!$M$17:$BM$17)))</f>
        <v/>
      </c>
      <c r="JH94" s="200" t="str">
        <f>IF(JH$7&gt;$D$3,"",IF($FA90&lt;JH$7,"OD",_xlfn.XLOOKUP(JH$7,Procurement!$M$6:$BM$6,Procurement!$M$17:$BM$17)))</f>
        <v/>
      </c>
      <c r="JI94" s="200" t="str">
        <f>IF(JI$7&gt;$D$3,"",IF($FA90&lt;JI$7,"OD",_xlfn.XLOOKUP(JI$7,Procurement!$M$6:$BM$6,Procurement!$M$17:$BM$17)))</f>
        <v/>
      </c>
      <c r="JJ94" s="200" t="str">
        <f>IF(JJ$7&gt;$D$3,"",IF($FA90&lt;JJ$7,"OD",_xlfn.XLOOKUP(JJ$7,Procurement!$M$6:$BM$6,Procurement!$M$17:$BM$17)))</f>
        <v/>
      </c>
      <c r="JM94" s="138" t="str">
        <f>+$C94</f>
        <v>KPI C1</v>
      </c>
      <c r="JN94" s="146" t="str">
        <f>+$D94</f>
        <v>Cost</v>
      </c>
      <c r="JO94" s="146" t="str">
        <f>+$E94</f>
        <v>PPV - Cost differential between Std and Inv Cost</v>
      </c>
      <c r="JP94" s="147" t="str">
        <f>+$F94</f>
        <v>£'s</v>
      </c>
      <c r="JQ94" s="147" t="s">
        <v>284</v>
      </c>
      <c r="JR94" s="248" t="str">
        <f>IFERROR(AVERAGE(FC94:$FC94),"")</f>
        <v/>
      </c>
      <c r="JS94" s="248" t="str">
        <f>IFERROR(AVERAGE($FC94:FD94),"")</f>
        <v/>
      </c>
      <c r="JT94" s="248" t="str">
        <f>IFERROR(AVERAGE($FC94:FE94),"")</f>
        <v/>
      </c>
      <c r="JU94" s="248" t="str">
        <f>IFERROR(AVERAGE($FC94:FF94),"")</f>
        <v/>
      </c>
      <c r="JV94" s="248" t="str">
        <f>IFERROR(AVERAGE($FC94:FG94),"")</f>
        <v/>
      </c>
      <c r="JW94" s="248" t="str">
        <f>IFERROR(AVERAGE($FC94:FH94),"")</f>
        <v/>
      </c>
      <c r="JX94" s="248" t="str">
        <f>IFERROR(AVERAGE($FC94:FI94),"")</f>
        <v/>
      </c>
      <c r="JY94" s="248" t="str">
        <f>IFERROR(AVERAGE($FC94:FJ94),"")</f>
        <v/>
      </c>
      <c r="JZ94" s="248" t="str">
        <f>IFERROR(AVERAGE($FC94:FK94),"")</f>
        <v/>
      </c>
      <c r="KA94" s="248" t="str">
        <f>IFERROR(AVERAGE($FC94:FL94),"")</f>
        <v/>
      </c>
      <c r="KB94" s="248" t="str">
        <f>IFERROR(AVERAGE($FC94:FM94),"")</f>
        <v/>
      </c>
      <c r="KC94" s="248">
        <f>IFERROR(AVERAGE($FC94:FN94),"")</f>
        <v>1400</v>
      </c>
      <c r="KD94" s="248">
        <f>IFERROR(AVERAGE($FC94:FO94),"")</f>
        <v>1325</v>
      </c>
      <c r="KE94" s="248">
        <f>IFERROR(AVERAGE($FC94:FP94),"")</f>
        <v>1300</v>
      </c>
      <c r="KF94" s="248">
        <f>IFERROR(AVERAGE($FC94:FQ94),"")</f>
        <v>1100</v>
      </c>
      <c r="KG94" s="248">
        <f>IFERROR(AVERAGE($FC94:FR94),"")</f>
        <v>980</v>
      </c>
      <c r="KH94" s="248">
        <f>IFERROR(AVERAGE($FC94:FS94),"")</f>
        <v>900</v>
      </c>
      <c r="KI94" s="248">
        <f>IFERROR(AVERAGE($FC94:FT94),"")</f>
        <v>842.85714285714289</v>
      </c>
      <c r="KJ94" s="248">
        <f>IFERROR(AVERAGE($FC94:FU94),"")</f>
        <v>800</v>
      </c>
      <c r="KK94" s="248">
        <f>IFERROR(AVERAGE($FC94:FV94),"")</f>
        <v>850</v>
      </c>
      <c r="KL94" s="248">
        <f>IFERROR(AVERAGE($FC94:FW94),"")</f>
        <v>815</v>
      </c>
      <c r="KM94" s="248">
        <f>IFERROR(AVERAGE($FC94:FX94),"")</f>
        <v>786.36363636363637</v>
      </c>
      <c r="KN94" s="248">
        <f>IFERROR(AVERAGE($FC94:FY94),"")</f>
        <v>762.5</v>
      </c>
      <c r="KO94" s="248">
        <f>IFERROR(AVERAGE($FC94:FZ94),"")</f>
        <v>742.30769230769226</v>
      </c>
      <c r="KP94" s="248">
        <f>IFERROR(AVERAGE($FC94:GA94),"")</f>
        <v>725</v>
      </c>
      <c r="KQ94" s="248">
        <f>IFERROR(AVERAGE($FC94:GB94),"")</f>
        <v>710</v>
      </c>
      <c r="KR94" s="248">
        <f>IFERROR(AVERAGE($FC94:GC94),"")</f>
        <v>696.875</v>
      </c>
      <c r="KS94" s="248">
        <f>IFERROR(AVERAGE($FC94:GD94),"")</f>
        <v>685.29411764705878</v>
      </c>
      <c r="KT94" s="248">
        <f>IFERROR(AVERAGE($FC94:GE94),"")</f>
        <v>675</v>
      </c>
      <c r="KU94" s="248">
        <f>IFERROR(AVERAGE($FC94:GF94),"")</f>
        <v>665.78947368421052</v>
      </c>
      <c r="KV94" s="248">
        <f>IFERROR(AVERAGE($FC94:GG94),"")</f>
        <v>657.5</v>
      </c>
      <c r="KW94" s="248">
        <f>IFERROR(AVERAGE($FC94:GH94),"")</f>
        <v>650</v>
      </c>
      <c r="KX94" s="248">
        <f>IFERROR(AVERAGE($FC94:GI94),"")</f>
        <v>643.18181818181813</v>
      </c>
      <c r="KY94" s="248">
        <f>IFERROR(AVERAGE($FC94:GJ94),"")</f>
        <v>636.95652173913038</v>
      </c>
      <c r="KZ94" s="248">
        <f>IFERROR(AVERAGE($FC94:GK94),"")</f>
        <v>631.25</v>
      </c>
      <c r="LA94" s="248">
        <f>IFERROR(AVERAGE($FC94:GL94),"")</f>
        <v>626</v>
      </c>
      <c r="LB94" s="248">
        <f>IFERROR(AVERAGE($FC94:GM94),"")</f>
        <v>621.15384615384619</v>
      </c>
      <c r="LC94" s="248">
        <f>IFERROR(AVERAGE($FC94:GN94),"")</f>
        <v>616.66666666666663</v>
      </c>
      <c r="LD94" s="248">
        <f>IFERROR(AVERAGE($FC94:GO94),"")</f>
        <v>612.5</v>
      </c>
      <c r="LE94" s="248">
        <f>IFERROR(AVERAGE($FC94:GP94),"")</f>
        <v>608.62068965517244</v>
      </c>
      <c r="LF94" s="248">
        <f>IFERROR(AVERAGE($FC94:GQ94),"")</f>
        <v>605</v>
      </c>
      <c r="LG94" s="248">
        <f>IFERROR(AVERAGE($FC94:GR94),"")</f>
        <v>601.61290322580646</v>
      </c>
      <c r="LH94" s="248">
        <f>IFERROR(AVERAGE($FC94:GS94),"")</f>
        <v>601.61290322580646</v>
      </c>
      <c r="LI94" s="248">
        <f>IFERROR(AVERAGE($FC94:GT94),"")</f>
        <v>601.61290322580646</v>
      </c>
      <c r="LJ94" s="248">
        <f>IFERROR(AVERAGE($FC94:GU94),"")</f>
        <v>601.61290322580646</v>
      </c>
      <c r="LK94" s="248">
        <f>IFERROR(AVERAGE($FC94:GV94),"")</f>
        <v>601.61290322580646</v>
      </c>
      <c r="LL94" s="248">
        <f>IFERROR(AVERAGE($FC94:GW94),"")</f>
        <v>601.61290322580646</v>
      </c>
      <c r="LM94" s="248">
        <f>IFERROR(AVERAGE($FC94:GX94),"")</f>
        <v>601.61290322580646</v>
      </c>
      <c r="LN94" s="248">
        <f>IFERROR(AVERAGE($FC94:GY94),"")</f>
        <v>601.61290322580646</v>
      </c>
      <c r="LO94" s="248">
        <f>IFERROR(AVERAGE($FC94:GZ94),"")</f>
        <v>601.61290322580646</v>
      </c>
      <c r="LP94" s="248">
        <f>IFERROR(AVERAGE($FC94:HA94),"")</f>
        <v>601.61290322580646</v>
      </c>
      <c r="LQ94" s="248">
        <f>IFERROR(AVERAGE($FC94:HB94),"")</f>
        <v>601.61290322580646</v>
      </c>
      <c r="LR94" s="248">
        <f>IFERROR(AVERAGE($FC94:HC94),"")</f>
        <v>601.61290322580646</v>
      </c>
      <c r="LT94" s="138" t="str">
        <f>+$C94</f>
        <v>KPI C1</v>
      </c>
      <c r="LU94" s="146" t="str">
        <f>+$D94</f>
        <v>Cost</v>
      </c>
      <c r="LV94" s="146" t="str">
        <f>+$E94</f>
        <v>PPV - Cost differential between Std and Inv Cost</v>
      </c>
      <c r="LW94" s="147" t="str">
        <f>+$F94</f>
        <v>£'s</v>
      </c>
      <c r="LX94" s="147" t="s">
        <v>285</v>
      </c>
      <c r="LY94" s="248" t="str">
        <f>IFERROR(AVERAGE($HJ94:HJ94),"")</f>
        <v/>
      </c>
      <c r="LZ94" s="248">
        <f>IFERROR(IF(LAD$7&gt;$D$3,"",AVERAGE($HJ94:HK94)),"")</f>
        <v>0</v>
      </c>
      <c r="MA94" s="248">
        <f>IFERROR(IF(MA$7&gt;$D$3,"",AVERAGE($HJ94:HL94)),"")</f>
        <v>0</v>
      </c>
      <c r="MB94" s="248">
        <f>IFERROR(IF(MB$7&gt;$D$3,"",AVERAGE($HJ94:HM94)),"")</f>
        <v>0</v>
      </c>
      <c r="MC94" s="248">
        <f>IFERROR(IF(MC$7&gt;$D$3,"",AVERAGE($HJ94:HN94)),"")</f>
        <v>0</v>
      </c>
      <c r="MD94" s="248">
        <f>IFERROR(IF(MD$7&gt;$D$3,"",AVERAGE($HJ94:HO94)),"")</f>
        <v>0</v>
      </c>
      <c r="ME94" s="248">
        <f>IFERROR(IF(ME$7&gt;$D$3,"",AVERAGE($HJ94:HP94)),"")</f>
        <v>0</v>
      </c>
      <c r="MF94" s="248">
        <f>IFERROR(IF(MF$7&gt;$D$3,"",AVERAGE($HJ94:HQ94)),"")</f>
        <v>0</v>
      </c>
      <c r="MG94" s="248">
        <f>IFERROR(IF(MG$7&gt;$D$3,"",AVERAGE($HJ94:HR94)),"")</f>
        <v>0</v>
      </c>
      <c r="MH94" s="248">
        <f>IFERROR(IF(MH$7&gt;$D$3,"",AVERAGE($HJ94:HS94)),"")</f>
        <v>0</v>
      </c>
      <c r="MI94" s="248">
        <f>IFERROR(IF(MI$7&gt;$D$3,"",AVERAGE($HJ94:HT94)),"")</f>
        <v>0</v>
      </c>
      <c r="MJ94" s="248">
        <f>IFERROR(IF(MJ$7&gt;$D$3,"",AVERAGE($HJ94:HU94)),"")</f>
        <v>45.454545454545453</v>
      </c>
      <c r="MK94" s="248">
        <f>IFERROR(IF(MK$7&gt;$D$3,"",AVERAGE($HJ94:HV94)),"")</f>
        <v>83.333333333333329</v>
      </c>
      <c r="ML94" s="248">
        <f>IFERROR(IF(ML$7&gt;$D$3,"",AVERAGE($HJ94:HW94)),"")</f>
        <v>115.38461538461539</v>
      </c>
      <c r="MM94" s="248">
        <f>IFERROR(IF(MM$7&gt;$D$3,"",AVERAGE($HJ94:HX94)),"")</f>
        <v>142.85714285714286</v>
      </c>
      <c r="MN94" s="248">
        <f>IFERROR(IF(MN$7&gt;$D$3,"",AVERAGE($HJ94:HY94)),"")</f>
        <v>166.66666666666666</v>
      </c>
      <c r="MO94" s="248">
        <f>IFERROR(IF(MO$7&gt;$D$3,"",AVERAGE($HJ94:HZ94)),"")</f>
        <v>187.5</v>
      </c>
      <c r="MP94" s="248">
        <f>IFERROR(IF(MP$7&gt;$D$3,"",AVERAGE($HJ94:IA94)),"")</f>
        <v>205.88235294117646</v>
      </c>
      <c r="MQ94" s="248">
        <f>IFERROR(IF(MQ$7&gt;$D$3,"",AVERAGE($HJ94:IB94)),"")</f>
        <v>222.22222222222223</v>
      </c>
      <c r="MR94" s="248">
        <f>IFERROR(IF(MR$7&gt;$D$3,"",AVERAGE($HJ94:IC94)),"")</f>
        <v>236.84210526315789</v>
      </c>
      <c r="MS94" s="248">
        <f>IFERROR(IF(MS$7&gt;$D$3,"",AVERAGE($HJ94:ID94)),"")</f>
        <v>250</v>
      </c>
      <c r="MT94" s="248">
        <f>IFERROR(IF(MT$7&gt;$D$3,"",AVERAGE($HJ94:IE94)),"")</f>
        <v>261.90476190476193</v>
      </c>
      <c r="MU94" s="248">
        <f>IFERROR(IF(MU$7&gt;$D$3,"",AVERAGE($HJ94:IF94)),"")</f>
        <v>272.72727272727275</v>
      </c>
      <c r="MV94" s="248">
        <f>IFERROR(IF(MV$7&gt;$D$3,"",AVERAGE($HJ94:IG94)),"")</f>
        <v>282.60869565217394</v>
      </c>
      <c r="MW94" s="248">
        <f>IFERROR(IF(MW$7&gt;$D$3,"",AVERAGE($HJ94:IH94)),"")</f>
        <v>291.66666666666669</v>
      </c>
      <c r="MX94" s="248">
        <f>IFERROR(IF(MX$7&gt;$D$3,"",AVERAGE($HJ94:II94)),"")</f>
        <v>300</v>
      </c>
      <c r="MY94" s="248">
        <f>IFERROR(IF(MY$7&gt;$D$3,"",AVERAGE($HJ94:IJ94)),"")</f>
        <v>307.69230769230768</v>
      </c>
      <c r="MZ94" s="248">
        <f>IFERROR(IF(MZ$7&gt;$D$3,"",AVERAGE($HJ94:IK94)),"")</f>
        <v>314.81481481481484</v>
      </c>
      <c r="NA94" s="248">
        <f>IFERROR(IF(NA$7&gt;$D$3,"",AVERAGE($HJ94:IL94)),"")</f>
        <v>321.42857142857144</v>
      </c>
      <c r="NB94" s="248">
        <f>IFERROR(IF(NB$7&gt;$D$3,"",AVERAGE($HJ94:IM94)),"")</f>
        <v>327.58620689655174</v>
      </c>
      <c r="NC94" s="248">
        <f>IFERROR(IF(NC$7&gt;$D$3,"",AVERAGE($HJ94:IN94)),"")</f>
        <v>333.33333333333331</v>
      </c>
      <c r="ND94" s="248">
        <f>IFERROR(IF(ND$7&gt;$D$3,"",AVERAGE($HJ94:IO94)),"")</f>
        <v>338.70967741935482</v>
      </c>
      <c r="NE94" s="248">
        <f>IFERROR(IF(NE$7&gt;$D$3,"",AVERAGE($HJ94:IP94)),"")</f>
        <v>343.75</v>
      </c>
      <c r="NF94" s="248">
        <f>IFERROR(IF(NF$7&gt;$D$3,"",AVERAGE($HJ94:IQ94)),"")</f>
        <v>348.4848484848485</v>
      </c>
      <c r="NG94" s="248">
        <f>IFERROR(IF(NG$7&gt;$D$3,"",AVERAGE($HJ94:IR94)),"")</f>
        <v>352.94117647058823</v>
      </c>
      <c r="NH94" s="248">
        <f>IFERROR(IF(NH$7&gt;$D$3,"",AVERAGE($HJ94:IS94)),"")</f>
        <v>357.14285714285717</v>
      </c>
      <c r="NI94" s="248">
        <f>IFERROR(IF(NI$7&gt;$D$3,"",AVERAGE($HJ94:IT94)),"")</f>
        <v>361.11111111111109</v>
      </c>
      <c r="NJ94" s="248">
        <f>IFERROR(IF(NJ$7&gt;$D$3,"",AVERAGE($HJ94:IU94)),"")</f>
        <v>364.86486486486484</v>
      </c>
      <c r="NK94" s="248">
        <f>IFERROR(IF(NK$7&gt;$D$3,"",AVERAGE($HJ94:IV94)),"")</f>
        <v>368.42105263157896</v>
      </c>
      <c r="NL94" s="248">
        <f>IFERROR(IF(NL$7&gt;$D$3,"",AVERAGE($HJ94:IW94)),"")</f>
        <v>371.79487179487177</v>
      </c>
      <c r="NM94" s="248">
        <f>IFERROR(IF(NM$7&gt;$D$3,"",AVERAGE($HJ94:IX94)),"")</f>
        <v>375</v>
      </c>
      <c r="NN94" s="248">
        <f>IFERROR(IF(NN$7&gt;$D$3,"",AVERAGE($HJ94:IY94)),"")</f>
        <v>378.04878048780489</v>
      </c>
      <c r="NO94" s="248" t="str">
        <f>IFERROR(IF(NO$7&gt;$D$3,"",AVERAGE($HJ94:IZ94)),"")</f>
        <v/>
      </c>
      <c r="NP94" s="248" t="str">
        <f>IFERROR(IF(NP$7&gt;$D$3,"",AVERAGE($HJ94:JA94)),"")</f>
        <v/>
      </c>
      <c r="NQ94" s="248" t="str">
        <f>IFERROR(IF(NQ$7&gt;$D$3,"",AVERAGE($HJ94:JB94)),"")</f>
        <v/>
      </c>
      <c r="NR94" s="248" t="str">
        <f>IFERROR(IF(NR$7&gt;$D$3,"",AVERAGE($HJ94:JC94)),"")</f>
        <v/>
      </c>
      <c r="NS94" s="248" t="str">
        <f>IFERROR(IF(NS$7&gt;$D$3,"",AVERAGE($HJ94:JD94)),"")</f>
        <v/>
      </c>
      <c r="NT94" s="248" t="str">
        <f>IFERROR(IF(NT$7&gt;$D$3,"",AVERAGE($HJ94:JE94)),"")</f>
        <v/>
      </c>
      <c r="NU94" s="248" t="str">
        <f>IFERROR(IF(NU$7&gt;$D$3,"",AVERAGE($HJ94:JF94)),"")</f>
        <v/>
      </c>
      <c r="NV94" s="248" t="str">
        <f>IFERROR(IF(NV$7&gt;$D$3,"",AVERAGE($HJ94:JG94)),"")</f>
        <v/>
      </c>
      <c r="NW94" s="248" t="str">
        <f>IFERROR(IF(NW$7&gt;$D$3,"",AVERAGE($HJ94:JH94)),"")</f>
        <v/>
      </c>
      <c r="NX94" s="248" t="str">
        <f>IFERROR(IF(NX$7&gt;$D$3,"",AVERAGE($HJ94:JI94)),"")</f>
        <v/>
      </c>
      <c r="NY94" s="248" t="str">
        <f>IFERROR(IF(NY$7&gt;$D$3,"",AVERAGE($HJ94:JJ94)),"")</f>
        <v/>
      </c>
    </row>
    <row r="95" spans="1:389" ht="15" thickBot="1" x14ac:dyDescent="0.35">
      <c r="AB95" s="292"/>
      <c r="AH95" s="465"/>
      <c r="AN95" s="201"/>
      <c r="CO95" s="465"/>
      <c r="CV95" s="316"/>
      <c r="CW95" s="316"/>
      <c r="CX95" s="316"/>
      <c r="CY95" s="316"/>
      <c r="CZ95" s="316"/>
      <c r="DA95" s="316"/>
      <c r="DB95" s="316"/>
      <c r="DC95" s="316"/>
      <c r="DD95" s="316"/>
      <c r="DE95" s="316"/>
      <c r="DF95" s="316"/>
      <c r="DG95" s="316"/>
      <c r="DH95" s="316"/>
      <c r="DI95" s="316"/>
      <c r="DJ95" s="316"/>
      <c r="DK95" s="316"/>
      <c r="DL95" s="316"/>
      <c r="DM95" s="316"/>
      <c r="DN95" s="316"/>
      <c r="DO95" s="316"/>
      <c r="DP95" s="316"/>
      <c r="DQ95" s="316"/>
      <c r="DR95" s="316"/>
      <c r="DS95" s="316"/>
      <c r="DT95" s="316"/>
      <c r="DU95" s="316"/>
      <c r="DV95" s="316"/>
      <c r="DW95" s="316"/>
      <c r="DX95" s="316"/>
      <c r="DY95" s="316"/>
      <c r="DZ95" s="316"/>
      <c r="EA95" s="316"/>
      <c r="EB95" s="316"/>
      <c r="EC95" s="316"/>
      <c r="ED95" s="316"/>
      <c r="EE95" s="316"/>
      <c r="EF95" s="316"/>
      <c r="EG95" s="316"/>
      <c r="EH95" s="316"/>
      <c r="EI95" s="316"/>
      <c r="EJ95" s="316"/>
      <c r="EK95" s="316"/>
      <c r="EL95" s="316"/>
      <c r="EM95" s="316"/>
      <c r="EN95" s="316"/>
      <c r="EO95" s="316"/>
      <c r="EP95" s="316"/>
      <c r="EQ95" s="316"/>
      <c r="ER95" s="316"/>
      <c r="ES95" s="316"/>
      <c r="ET95" s="316"/>
      <c r="EU95" s="316"/>
      <c r="EW95" s="465"/>
      <c r="FC95" s="201"/>
      <c r="FD95" s="201"/>
      <c r="FE95" s="201"/>
      <c r="FF95" s="201"/>
      <c r="FG95" s="201"/>
      <c r="FH95" s="201"/>
      <c r="FI95" s="201"/>
      <c r="FJ95" s="201"/>
      <c r="FK95" s="201"/>
      <c r="FL95" s="201"/>
      <c r="FM95" s="201"/>
      <c r="FN95" s="201"/>
      <c r="FO95" s="201"/>
      <c r="FP95" s="201"/>
      <c r="FQ95" s="201"/>
      <c r="FR95" s="201"/>
      <c r="FS95" s="201"/>
      <c r="FT95" s="201"/>
      <c r="FU95" s="201"/>
      <c r="FV95" s="201"/>
      <c r="FW95" s="201"/>
      <c r="FX95" s="201"/>
      <c r="FY95" s="201"/>
      <c r="FZ95" s="201"/>
      <c r="GA95" s="201"/>
      <c r="GB95" s="201"/>
      <c r="GC95" s="201"/>
      <c r="GD95" s="201"/>
      <c r="GE95" s="201"/>
      <c r="GF95" s="201"/>
      <c r="GG95" s="201"/>
      <c r="GH95" s="201"/>
      <c r="GI95" s="201"/>
      <c r="GJ95" s="201"/>
      <c r="GK95" s="201"/>
      <c r="GL95" s="201"/>
      <c r="GM95" s="201"/>
      <c r="GN95" s="201"/>
      <c r="GO95" s="201"/>
      <c r="GP95" s="201"/>
      <c r="GQ95" s="201"/>
      <c r="GR95" s="201"/>
      <c r="GS95" s="201"/>
      <c r="GT95" s="201"/>
      <c r="GU95" s="201"/>
      <c r="GV95" s="201"/>
      <c r="GW95" s="201"/>
      <c r="GX95" s="201"/>
      <c r="GY95" s="201"/>
      <c r="GZ95" s="201"/>
      <c r="HA95" s="201"/>
      <c r="HB95" s="201"/>
      <c r="HC95" s="201"/>
      <c r="HJ95" s="201"/>
      <c r="HK95" s="201"/>
      <c r="HL95" s="249"/>
      <c r="HM95" s="249"/>
      <c r="HN95" s="249"/>
      <c r="HO95" s="249"/>
      <c r="HP95" s="249"/>
      <c r="HQ95" s="249"/>
      <c r="HR95" s="249"/>
      <c r="HS95" s="249"/>
      <c r="HT95" s="249"/>
      <c r="HU95" s="249"/>
      <c r="HV95" s="249"/>
      <c r="HW95" s="249"/>
      <c r="HX95" s="249"/>
      <c r="HY95" s="249"/>
      <c r="HZ95" s="249"/>
      <c r="IA95" s="249"/>
      <c r="IB95" s="249"/>
      <c r="IC95" s="249"/>
      <c r="ID95" s="249"/>
      <c r="IE95" s="249"/>
      <c r="IF95" s="249"/>
      <c r="IG95" s="249"/>
      <c r="IH95" s="249"/>
      <c r="II95" s="249"/>
      <c r="IJ95" s="249"/>
      <c r="IK95" s="249"/>
      <c r="IL95" s="249"/>
      <c r="IM95" s="249"/>
      <c r="IN95" s="249"/>
      <c r="IO95" s="249"/>
      <c r="IP95" s="249"/>
      <c r="IQ95" s="249"/>
      <c r="IR95" s="249"/>
      <c r="IS95" s="249"/>
      <c r="IT95" s="249"/>
      <c r="IU95" s="249"/>
      <c r="IV95" s="249"/>
      <c r="IW95" s="249"/>
      <c r="IX95" s="249"/>
      <c r="IY95" s="249"/>
      <c r="IZ95" s="249"/>
      <c r="JA95" s="249"/>
      <c r="JB95" s="249"/>
      <c r="JC95" s="249"/>
      <c r="JD95" s="249"/>
      <c r="JE95" s="249"/>
      <c r="JF95" s="249"/>
      <c r="JG95" s="249"/>
      <c r="JH95" s="249"/>
      <c r="JI95" s="249"/>
      <c r="JJ95" s="249"/>
      <c r="JR95" s="249"/>
      <c r="JS95" s="249"/>
      <c r="JT95" s="249"/>
      <c r="JU95" s="249"/>
      <c r="JV95" s="249"/>
      <c r="JW95" s="249"/>
      <c r="JX95" s="249"/>
      <c r="JY95" s="249"/>
      <c r="JZ95" s="249"/>
      <c r="KA95" s="249"/>
      <c r="KB95" s="249"/>
      <c r="KC95" s="249"/>
      <c r="KD95" s="249"/>
      <c r="KE95" s="249"/>
      <c r="KF95" s="249"/>
      <c r="KG95" s="249"/>
      <c r="KH95" s="249"/>
      <c r="KI95" s="249"/>
      <c r="KJ95" s="249"/>
      <c r="KK95" s="249"/>
      <c r="KL95" s="249"/>
      <c r="KM95" s="249"/>
      <c r="KN95" s="249"/>
      <c r="KO95" s="249"/>
      <c r="KP95" s="249"/>
      <c r="KQ95" s="249"/>
      <c r="KR95" s="249"/>
      <c r="KS95" s="249"/>
      <c r="KT95" s="249"/>
      <c r="KU95" s="249"/>
      <c r="KV95" s="249"/>
      <c r="KW95" s="249"/>
      <c r="KX95" s="249"/>
      <c r="KY95" s="249"/>
      <c r="KZ95" s="249"/>
      <c r="LA95" s="249"/>
      <c r="LB95" s="249"/>
      <c r="LC95" s="249"/>
      <c r="LD95" s="249"/>
      <c r="LE95" s="249"/>
      <c r="LF95" s="249"/>
      <c r="LG95" s="249"/>
      <c r="LH95" s="249"/>
      <c r="LI95" s="249"/>
      <c r="LJ95" s="249"/>
      <c r="LK95" s="249"/>
      <c r="LL95" s="249"/>
      <c r="LM95" s="249"/>
      <c r="LN95" s="249"/>
      <c r="LO95" s="249"/>
      <c r="LP95" s="249"/>
      <c r="LQ95" s="249"/>
      <c r="LR95" s="249"/>
      <c r="LY95" s="201"/>
      <c r="LZ95" s="201"/>
      <c r="MA95" s="201"/>
      <c r="MB95" s="201"/>
      <c r="MC95" s="201"/>
      <c r="MD95" s="201"/>
      <c r="ME95" s="201"/>
      <c r="MF95" s="201"/>
      <c r="MG95" s="201"/>
      <c r="MH95" s="201"/>
      <c r="MI95" s="201"/>
      <c r="MJ95" s="201"/>
      <c r="MK95" s="201"/>
      <c r="ML95" s="201"/>
      <c r="MM95" s="201"/>
      <c r="MN95" s="201"/>
      <c r="MO95" s="201"/>
      <c r="MP95" s="201"/>
      <c r="MQ95" s="201"/>
      <c r="MR95" s="201"/>
      <c r="MS95" s="201"/>
      <c r="MT95" s="201"/>
      <c r="MU95" s="201"/>
      <c r="MV95" s="201"/>
      <c r="MW95" s="201"/>
      <c r="MX95" s="201"/>
      <c r="MY95" s="201"/>
      <c r="MZ95" s="201"/>
      <c r="NA95" s="201"/>
      <c r="NB95" s="201"/>
      <c r="NC95" s="201"/>
      <c r="ND95" s="201"/>
      <c r="NE95" s="201"/>
      <c r="NF95" s="201"/>
      <c r="NG95" s="201"/>
      <c r="NH95" s="201"/>
      <c r="NI95" s="201"/>
      <c r="NJ95" s="201"/>
      <c r="NK95" s="201"/>
      <c r="NL95" s="201"/>
      <c r="NM95" s="201"/>
      <c r="NN95" s="201"/>
      <c r="NO95" s="201"/>
      <c r="NP95" s="201"/>
      <c r="NQ95" s="201"/>
      <c r="NR95" s="201"/>
      <c r="NS95" s="201"/>
      <c r="NT95" s="201"/>
      <c r="NU95" s="201"/>
      <c r="NV95" s="201"/>
      <c r="NW95" s="201"/>
      <c r="NX95" s="201"/>
      <c r="NY95" s="201"/>
    </row>
    <row r="96" spans="1:389" ht="29.4" customHeight="1" thickBot="1" x14ac:dyDescent="0.35">
      <c r="B96" s="185" t="str">
        <f>+'KPI Stats'!B95</f>
        <v>IT</v>
      </c>
      <c r="C96" s="133" t="str">
        <f>+'KPI Stats'!C95</f>
        <v>Rhian Owen</v>
      </c>
      <c r="D96" s="134"/>
      <c r="E96" s="141" t="str">
        <f>+'KPI Stats'!E95</f>
        <v>Completed to Week</v>
      </c>
      <c r="F96" s="141">
        <f>+'KPI Stats'!F95</f>
        <v>42</v>
      </c>
      <c r="G96" s="181" t="str">
        <f>+'KPI Stats'!G95</f>
        <v>Weekly KPI</v>
      </c>
      <c r="J96" s="181" t="str">
        <f>+$B96</f>
        <v>IT</v>
      </c>
      <c r="K96" s="181"/>
      <c r="L96" s="182"/>
      <c r="M96" s="183"/>
      <c r="P96" s="181" t="str">
        <f>+$B96</f>
        <v>IT</v>
      </c>
      <c r="Q96" s="181"/>
      <c r="R96" s="181"/>
      <c r="S96" s="183"/>
      <c r="T96" s="183"/>
      <c r="U96" s="183"/>
      <c r="X96" s="181" t="str">
        <f>+$B96</f>
        <v>IT</v>
      </c>
      <c r="Y96" s="181"/>
      <c r="Z96" s="181"/>
      <c r="AA96" s="183"/>
      <c r="AB96" s="183"/>
      <c r="AC96" s="181" t="str">
        <f>+$B96</f>
        <v>IT</v>
      </c>
      <c r="AD96" s="181"/>
      <c r="AE96" s="181"/>
      <c r="AF96" s="183"/>
      <c r="AH96" s="465"/>
      <c r="AI96" s="191" t="str">
        <f>+B97</f>
        <v>Information Technology</v>
      </c>
      <c r="AJ96" s="192"/>
      <c r="AK96" s="141" t="str">
        <f t="shared" ref="AK96:AL100" si="319">+E96</f>
        <v>Completed to Week</v>
      </c>
      <c r="AL96" s="141">
        <f t="shared" si="319"/>
        <v>42</v>
      </c>
      <c r="AM96" s="181" t="str">
        <f t="shared" ref="AM96:BR96" si="320">+$B96</f>
        <v>IT</v>
      </c>
      <c r="AN96" s="197" t="str">
        <f t="shared" si="320"/>
        <v>IT</v>
      </c>
      <c r="AO96" s="181" t="str">
        <f t="shared" si="320"/>
        <v>IT</v>
      </c>
      <c r="AP96" s="181" t="str">
        <f t="shared" si="320"/>
        <v>IT</v>
      </c>
      <c r="AQ96" s="181" t="str">
        <f t="shared" si="320"/>
        <v>IT</v>
      </c>
      <c r="AR96" s="181" t="str">
        <f t="shared" si="320"/>
        <v>IT</v>
      </c>
      <c r="AS96" s="181" t="str">
        <f t="shared" si="320"/>
        <v>IT</v>
      </c>
      <c r="AT96" s="181" t="str">
        <f t="shared" si="320"/>
        <v>IT</v>
      </c>
      <c r="AU96" s="181" t="str">
        <f t="shared" si="320"/>
        <v>IT</v>
      </c>
      <c r="AV96" s="181" t="str">
        <f t="shared" si="320"/>
        <v>IT</v>
      </c>
      <c r="AW96" s="181" t="str">
        <f t="shared" si="320"/>
        <v>IT</v>
      </c>
      <c r="AX96" s="181" t="str">
        <f t="shared" si="320"/>
        <v>IT</v>
      </c>
      <c r="AY96" s="181" t="str">
        <f t="shared" si="320"/>
        <v>IT</v>
      </c>
      <c r="AZ96" s="181" t="str">
        <f t="shared" si="320"/>
        <v>IT</v>
      </c>
      <c r="BA96" s="181" t="str">
        <f t="shared" si="320"/>
        <v>IT</v>
      </c>
      <c r="BB96" s="181" t="str">
        <f t="shared" si="320"/>
        <v>IT</v>
      </c>
      <c r="BC96" s="181" t="str">
        <f t="shared" si="320"/>
        <v>IT</v>
      </c>
      <c r="BD96" s="181" t="str">
        <f t="shared" si="320"/>
        <v>IT</v>
      </c>
      <c r="BE96" s="181" t="str">
        <f t="shared" si="320"/>
        <v>IT</v>
      </c>
      <c r="BF96" s="181" t="str">
        <f t="shared" si="320"/>
        <v>IT</v>
      </c>
      <c r="BG96" s="181" t="str">
        <f t="shared" si="320"/>
        <v>IT</v>
      </c>
      <c r="BH96" s="181" t="str">
        <f t="shared" si="320"/>
        <v>IT</v>
      </c>
      <c r="BI96" s="181" t="str">
        <f t="shared" si="320"/>
        <v>IT</v>
      </c>
      <c r="BJ96" s="181" t="str">
        <f t="shared" si="320"/>
        <v>IT</v>
      </c>
      <c r="BK96" s="181" t="str">
        <f t="shared" si="320"/>
        <v>IT</v>
      </c>
      <c r="BL96" s="181" t="str">
        <f t="shared" si="320"/>
        <v>IT</v>
      </c>
      <c r="BM96" s="181" t="str">
        <f t="shared" si="320"/>
        <v>IT</v>
      </c>
      <c r="BN96" s="181" t="str">
        <f t="shared" si="320"/>
        <v>IT</v>
      </c>
      <c r="BO96" s="181" t="str">
        <f t="shared" si="320"/>
        <v>IT</v>
      </c>
      <c r="BP96" s="181" t="str">
        <f t="shared" si="320"/>
        <v>IT</v>
      </c>
      <c r="BQ96" s="181" t="str">
        <f t="shared" si="320"/>
        <v>IT</v>
      </c>
      <c r="BR96" s="181" t="str">
        <f t="shared" si="320"/>
        <v>IT</v>
      </c>
      <c r="BS96" s="181" t="str">
        <f t="shared" ref="BS96:CM96" si="321">+$B96</f>
        <v>IT</v>
      </c>
      <c r="BT96" s="181" t="str">
        <f t="shared" si="321"/>
        <v>IT</v>
      </c>
      <c r="BU96" s="181" t="str">
        <f t="shared" si="321"/>
        <v>IT</v>
      </c>
      <c r="BV96" s="181" t="str">
        <f t="shared" si="321"/>
        <v>IT</v>
      </c>
      <c r="BW96" s="181" t="str">
        <f t="shared" si="321"/>
        <v>IT</v>
      </c>
      <c r="BX96" s="181" t="str">
        <f t="shared" si="321"/>
        <v>IT</v>
      </c>
      <c r="BY96" s="181" t="str">
        <f t="shared" si="321"/>
        <v>IT</v>
      </c>
      <c r="BZ96" s="181" t="str">
        <f t="shared" si="321"/>
        <v>IT</v>
      </c>
      <c r="CA96" s="181" t="str">
        <f t="shared" si="321"/>
        <v>IT</v>
      </c>
      <c r="CB96" s="181" t="str">
        <f t="shared" si="321"/>
        <v>IT</v>
      </c>
      <c r="CC96" s="181" t="str">
        <f t="shared" si="321"/>
        <v>IT</v>
      </c>
      <c r="CD96" s="181" t="str">
        <f t="shared" si="321"/>
        <v>IT</v>
      </c>
      <c r="CE96" s="181" t="str">
        <f t="shared" si="321"/>
        <v>IT</v>
      </c>
      <c r="CF96" s="181" t="str">
        <f t="shared" si="321"/>
        <v>IT</v>
      </c>
      <c r="CG96" s="181" t="str">
        <f t="shared" si="321"/>
        <v>IT</v>
      </c>
      <c r="CH96" s="181" t="str">
        <f t="shared" si="321"/>
        <v>IT</v>
      </c>
      <c r="CI96" s="181" t="str">
        <f t="shared" si="321"/>
        <v>IT</v>
      </c>
      <c r="CJ96" s="181" t="str">
        <f t="shared" si="321"/>
        <v>IT</v>
      </c>
      <c r="CK96" s="181" t="str">
        <f t="shared" si="321"/>
        <v>IT</v>
      </c>
      <c r="CL96" s="181" t="str">
        <f t="shared" si="321"/>
        <v>IT</v>
      </c>
      <c r="CM96" s="181" t="str">
        <f t="shared" si="321"/>
        <v>IT</v>
      </c>
      <c r="CO96" s="465"/>
      <c r="CP96" s="191" t="str">
        <f>+B97</f>
        <v>Information Technology</v>
      </c>
      <c r="CQ96" s="192"/>
      <c r="CR96" s="141" t="str">
        <f t="shared" ref="CR96:CS100" si="322">+E96</f>
        <v>Completed to Week</v>
      </c>
      <c r="CS96" s="141">
        <f t="shared" si="322"/>
        <v>42</v>
      </c>
      <c r="CT96" s="351" t="str">
        <f>+G96</f>
        <v>Weekly KPI</v>
      </c>
      <c r="CU96" s="181" t="str">
        <f t="shared" ref="CU96:EU96" si="323">+$B96</f>
        <v>IT</v>
      </c>
      <c r="CV96" s="317" t="str">
        <f t="shared" si="323"/>
        <v>IT</v>
      </c>
      <c r="CW96" s="317" t="str">
        <f t="shared" si="323"/>
        <v>IT</v>
      </c>
      <c r="CX96" s="317" t="str">
        <f t="shared" si="323"/>
        <v>IT</v>
      </c>
      <c r="CY96" s="317" t="str">
        <f t="shared" si="323"/>
        <v>IT</v>
      </c>
      <c r="CZ96" s="317" t="str">
        <f t="shared" si="323"/>
        <v>IT</v>
      </c>
      <c r="DA96" s="317" t="str">
        <f t="shared" si="323"/>
        <v>IT</v>
      </c>
      <c r="DB96" s="317" t="str">
        <f t="shared" si="323"/>
        <v>IT</v>
      </c>
      <c r="DC96" s="317" t="str">
        <f t="shared" si="323"/>
        <v>IT</v>
      </c>
      <c r="DD96" s="317" t="str">
        <f t="shared" si="323"/>
        <v>IT</v>
      </c>
      <c r="DE96" s="317" t="str">
        <f t="shared" si="323"/>
        <v>IT</v>
      </c>
      <c r="DF96" s="317" t="str">
        <f t="shared" si="323"/>
        <v>IT</v>
      </c>
      <c r="DG96" s="317" t="str">
        <f t="shared" si="323"/>
        <v>IT</v>
      </c>
      <c r="DH96" s="317" t="str">
        <f t="shared" si="323"/>
        <v>IT</v>
      </c>
      <c r="DI96" s="317" t="str">
        <f t="shared" si="323"/>
        <v>IT</v>
      </c>
      <c r="DJ96" s="317" t="str">
        <f t="shared" si="323"/>
        <v>IT</v>
      </c>
      <c r="DK96" s="317" t="str">
        <f t="shared" si="323"/>
        <v>IT</v>
      </c>
      <c r="DL96" s="317" t="str">
        <f t="shared" si="323"/>
        <v>IT</v>
      </c>
      <c r="DM96" s="317" t="str">
        <f t="shared" si="323"/>
        <v>IT</v>
      </c>
      <c r="DN96" s="317" t="str">
        <f t="shared" si="323"/>
        <v>IT</v>
      </c>
      <c r="DO96" s="317" t="str">
        <f t="shared" si="323"/>
        <v>IT</v>
      </c>
      <c r="DP96" s="317" t="str">
        <f t="shared" si="323"/>
        <v>IT</v>
      </c>
      <c r="DQ96" s="317" t="str">
        <f t="shared" si="323"/>
        <v>IT</v>
      </c>
      <c r="DR96" s="317" t="str">
        <f t="shared" si="323"/>
        <v>IT</v>
      </c>
      <c r="DS96" s="317" t="str">
        <f t="shared" si="323"/>
        <v>IT</v>
      </c>
      <c r="DT96" s="317" t="str">
        <f t="shared" si="323"/>
        <v>IT</v>
      </c>
      <c r="DU96" s="317" t="str">
        <f t="shared" si="323"/>
        <v>IT</v>
      </c>
      <c r="DV96" s="317" t="str">
        <f t="shared" si="323"/>
        <v>IT</v>
      </c>
      <c r="DW96" s="317" t="str">
        <f t="shared" si="323"/>
        <v>IT</v>
      </c>
      <c r="DX96" s="317" t="str">
        <f t="shared" si="323"/>
        <v>IT</v>
      </c>
      <c r="DY96" s="317" t="str">
        <f t="shared" si="323"/>
        <v>IT</v>
      </c>
      <c r="DZ96" s="317" t="str">
        <f t="shared" si="323"/>
        <v>IT</v>
      </c>
      <c r="EA96" s="317" t="str">
        <f t="shared" si="323"/>
        <v>IT</v>
      </c>
      <c r="EB96" s="317" t="str">
        <f t="shared" si="323"/>
        <v>IT</v>
      </c>
      <c r="EC96" s="317" t="str">
        <f t="shared" si="323"/>
        <v>IT</v>
      </c>
      <c r="ED96" s="317" t="str">
        <f t="shared" si="323"/>
        <v>IT</v>
      </c>
      <c r="EE96" s="317" t="str">
        <f t="shared" si="323"/>
        <v>IT</v>
      </c>
      <c r="EF96" s="317" t="str">
        <f t="shared" si="323"/>
        <v>IT</v>
      </c>
      <c r="EG96" s="317" t="str">
        <f t="shared" si="323"/>
        <v>IT</v>
      </c>
      <c r="EH96" s="317" t="str">
        <f t="shared" si="323"/>
        <v>IT</v>
      </c>
      <c r="EI96" s="317" t="str">
        <f t="shared" si="323"/>
        <v>IT</v>
      </c>
      <c r="EJ96" s="317" t="str">
        <f t="shared" si="323"/>
        <v>IT</v>
      </c>
      <c r="EK96" s="317" t="str">
        <f t="shared" si="323"/>
        <v>IT</v>
      </c>
      <c r="EL96" s="317" t="str">
        <f t="shared" si="323"/>
        <v>IT</v>
      </c>
      <c r="EM96" s="317" t="str">
        <f t="shared" si="323"/>
        <v>IT</v>
      </c>
      <c r="EN96" s="317" t="str">
        <f t="shared" si="323"/>
        <v>IT</v>
      </c>
      <c r="EO96" s="317" t="str">
        <f t="shared" si="323"/>
        <v>IT</v>
      </c>
      <c r="EP96" s="317" t="str">
        <f t="shared" si="323"/>
        <v>IT</v>
      </c>
      <c r="EQ96" s="317" t="str">
        <f t="shared" si="323"/>
        <v>IT</v>
      </c>
      <c r="ER96" s="317" t="str">
        <f t="shared" si="323"/>
        <v>IT</v>
      </c>
      <c r="ES96" s="317" t="str">
        <f t="shared" si="323"/>
        <v>IT</v>
      </c>
      <c r="ET96" s="317" t="str">
        <f t="shared" si="323"/>
        <v>IT</v>
      </c>
      <c r="EU96" s="317" t="str">
        <f t="shared" si="323"/>
        <v>IT</v>
      </c>
      <c r="EW96" s="465"/>
      <c r="EX96" s="191" t="str">
        <f>+$B96</f>
        <v>IT</v>
      </c>
      <c r="EY96" s="192"/>
      <c r="EZ96" s="141" t="str">
        <f>+$E96</f>
        <v>Completed to Week</v>
      </c>
      <c r="FA96" s="141">
        <f>+$F96</f>
        <v>42</v>
      </c>
      <c r="FB96" s="141"/>
      <c r="FC96" s="197" t="str">
        <f t="shared" ref="FC96:GH96" si="324">+$B96</f>
        <v>IT</v>
      </c>
      <c r="FD96" s="197" t="str">
        <f t="shared" si="324"/>
        <v>IT</v>
      </c>
      <c r="FE96" s="197" t="str">
        <f t="shared" si="324"/>
        <v>IT</v>
      </c>
      <c r="FF96" s="197" t="str">
        <f t="shared" si="324"/>
        <v>IT</v>
      </c>
      <c r="FG96" s="197" t="str">
        <f t="shared" si="324"/>
        <v>IT</v>
      </c>
      <c r="FH96" s="197" t="str">
        <f t="shared" si="324"/>
        <v>IT</v>
      </c>
      <c r="FI96" s="197" t="str">
        <f t="shared" si="324"/>
        <v>IT</v>
      </c>
      <c r="FJ96" s="197" t="str">
        <f t="shared" si="324"/>
        <v>IT</v>
      </c>
      <c r="FK96" s="197" t="str">
        <f t="shared" si="324"/>
        <v>IT</v>
      </c>
      <c r="FL96" s="197" t="str">
        <f t="shared" si="324"/>
        <v>IT</v>
      </c>
      <c r="FM96" s="197" t="str">
        <f t="shared" si="324"/>
        <v>IT</v>
      </c>
      <c r="FN96" s="197" t="str">
        <f t="shared" si="324"/>
        <v>IT</v>
      </c>
      <c r="FO96" s="197" t="str">
        <f t="shared" si="324"/>
        <v>IT</v>
      </c>
      <c r="FP96" s="197" t="str">
        <f t="shared" si="324"/>
        <v>IT</v>
      </c>
      <c r="FQ96" s="197" t="str">
        <f t="shared" si="324"/>
        <v>IT</v>
      </c>
      <c r="FR96" s="197" t="str">
        <f t="shared" si="324"/>
        <v>IT</v>
      </c>
      <c r="FS96" s="197" t="str">
        <f t="shared" si="324"/>
        <v>IT</v>
      </c>
      <c r="FT96" s="197" t="str">
        <f t="shared" si="324"/>
        <v>IT</v>
      </c>
      <c r="FU96" s="197" t="str">
        <f t="shared" si="324"/>
        <v>IT</v>
      </c>
      <c r="FV96" s="197" t="str">
        <f t="shared" si="324"/>
        <v>IT</v>
      </c>
      <c r="FW96" s="197" t="str">
        <f t="shared" si="324"/>
        <v>IT</v>
      </c>
      <c r="FX96" s="197" t="str">
        <f t="shared" si="324"/>
        <v>IT</v>
      </c>
      <c r="FY96" s="197" t="str">
        <f t="shared" si="324"/>
        <v>IT</v>
      </c>
      <c r="FZ96" s="197" t="str">
        <f t="shared" si="324"/>
        <v>IT</v>
      </c>
      <c r="GA96" s="197" t="str">
        <f t="shared" si="324"/>
        <v>IT</v>
      </c>
      <c r="GB96" s="197" t="str">
        <f t="shared" si="324"/>
        <v>IT</v>
      </c>
      <c r="GC96" s="197" t="str">
        <f t="shared" si="324"/>
        <v>IT</v>
      </c>
      <c r="GD96" s="197" t="str">
        <f t="shared" si="324"/>
        <v>IT</v>
      </c>
      <c r="GE96" s="197" t="str">
        <f t="shared" si="324"/>
        <v>IT</v>
      </c>
      <c r="GF96" s="197" t="str">
        <f t="shared" si="324"/>
        <v>IT</v>
      </c>
      <c r="GG96" s="197" t="str">
        <f t="shared" si="324"/>
        <v>IT</v>
      </c>
      <c r="GH96" s="197" t="str">
        <f t="shared" si="324"/>
        <v>IT</v>
      </c>
      <c r="GI96" s="197" t="str">
        <f t="shared" ref="GI96:HC96" si="325">+$B96</f>
        <v>IT</v>
      </c>
      <c r="GJ96" s="197" t="str">
        <f t="shared" si="325"/>
        <v>IT</v>
      </c>
      <c r="GK96" s="197" t="str">
        <f t="shared" si="325"/>
        <v>IT</v>
      </c>
      <c r="GL96" s="197" t="str">
        <f t="shared" si="325"/>
        <v>IT</v>
      </c>
      <c r="GM96" s="197" t="str">
        <f t="shared" si="325"/>
        <v>IT</v>
      </c>
      <c r="GN96" s="197" t="str">
        <f t="shared" si="325"/>
        <v>IT</v>
      </c>
      <c r="GO96" s="197" t="str">
        <f t="shared" si="325"/>
        <v>IT</v>
      </c>
      <c r="GP96" s="197" t="str">
        <f t="shared" si="325"/>
        <v>IT</v>
      </c>
      <c r="GQ96" s="197" t="str">
        <f t="shared" si="325"/>
        <v>IT</v>
      </c>
      <c r="GR96" s="197" t="str">
        <f t="shared" si="325"/>
        <v>IT</v>
      </c>
      <c r="GS96" s="197" t="str">
        <f t="shared" si="325"/>
        <v>IT</v>
      </c>
      <c r="GT96" s="197" t="str">
        <f t="shared" si="325"/>
        <v>IT</v>
      </c>
      <c r="GU96" s="197" t="str">
        <f t="shared" si="325"/>
        <v>IT</v>
      </c>
      <c r="GV96" s="197" t="str">
        <f t="shared" si="325"/>
        <v>IT</v>
      </c>
      <c r="GW96" s="197" t="str">
        <f t="shared" si="325"/>
        <v>IT</v>
      </c>
      <c r="GX96" s="197" t="str">
        <f t="shared" si="325"/>
        <v>IT</v>
      </c>
      <c r="GY96" s="197" t="str">
        <f t="shared" si="325"/>
        <v>IT</v>
      </c>
      <c r="GZ96" s="197" t="str">
        <f t="shared" si="325"/>
        <v>IT</v>
      </c>
      <c r="HA96" s="197" t="str">
        <f t="shared" si="325"/>
        <v>IT</v>
      </c>
      <c r="HB96" s="197" t="str">
        <f t="shared" si="325"/>
        <v>IT</v>
      </c>
      <c r="HC96" s="197" t="str">
        <f t="shared" si="325"/>
        <v>IT</v>
      </c>
      <c r="HE96" s="191" t="str">
        <f>+$B96</f>
        <v>IT</v>
      </c>
      <c r="HF96" s="192"/>
      <c r="HG96" s="141" t="str">
        <f>+$E96</f>
        <v>Completed to Week</v>
      </c>
      <c r="HH96" s="141">
        <f>+$F96</f>
        <v>42</v>
      </c>
      <c r="HI96" s="141"/>
      <c r="HJ96" s="197" t="str">
        <f t="shared" ref="HJ96:IO96" si="326">+$B96</f>
        <v>IT</v>
      </c>
      <c r="HK96" s="197" t="str">
        <f t="shared" si="326"/>
        <v>IT</v>
      </c>
      <c r="HL96" s="250" t="str">
        <f t="shared" si="326"/>
        <v>IT</v>
      </c>
      <c r="HM96" s="250" t="str">
        <f t="shared" si="326"/>
        <v>IT</v>
      </c>
      <c r="HN96" s="250" t="str">
        <f t="shared" si="326"/>
        <v>IT</v>
      </c>
      <c r="HO96" s="250" t="str">
        <f t="shared" si="326"/>
        <v>IT</v>
      </c>
      <c r="HP96" s="250" t="str">
        <f t="shared" si="326"/>
        <v>IT</v>
      </c>
      <c r="HQ96" s="250" t="str">
        <f t="shared" si="326"/>
        <v>IT</v>
      </c>
      <c r="HR96" s="250" t="str">
        <f t="shared" si="326"/>
        <v>IT</v>
      </c>
      <c r="HS96" s="250" t="str">
        <f t="shared" si="326"/>
        <v>IT</v>
      </c>
      <c r="HT96" s="250" t="str">
        <f t="shared" si="326"/>
        <v>IT</v>
      </c>
      <c r="HU96" s="250" t="str">
        <f t="shared" si="326"/>
        <v>IT</v>
      </c>
      <c r="HV96" s="250" t="str">
        <f t="shared" si="326"/>
        <v>IT</v>
      </c>
      <c r="HW96" s="250" t="str">
        <f t="shared" si="326"/>
        <v>IT</v>
      </c>
      <c r="HX96" s="250" t="str">
        <f t="shared" si="326"/>
        <v>IT</v>
      </c>
      <c r="HY96" s="250" t="str">
        <f t="shared" si="326"/>
        <v>IT</v>
      </c>
      <c r="HZ96" s="250" t="str">
        <f t="shared" si="326"/>
        <v>IT</v>
      </c>
      <c r="IA96" s="250" t="str">
        <f t="shared" si="326"/>
        <v>IT</v>
      </c>
      <c r="IB96" s="250" t="str">
        <f t="shared" si="326"/>
        <v>IT</v>
      </c>
      <c r="IC96" s="250" t="str">
        <f t="shared" si="326"/>
        <v>IT</v>
      </c>
      <c r="ID96" s="250" t="str">
        <f t="shared" si="326"/>
        <v>IT</v>
      </c>
      <c r="IE96" s="250" t="str">
        <f t="shared" si="326"/>
        <v>IT</v>
      </c>
      <c r="IF96" s="250" t="str">
        <f t="shared" si="326"/>
        <v>IT</v>
      </c>
      <c r="IG96" s="250" t="str">
        <f t="shared" si="326"/>
        <v>IT</v>
      </c>
      <c r="IH96" s="250" t="str">
        <f t="shared" si="326"/>
        <v>IT</v>
      </c>
      <c r="II96" s="250" t="str">
        <f t="shared" si="326"/>
        <v>IT</v>
      </c>
      <c r="IJ96" s="250" t="str">
        <f t="shared" si="326"/>
        <v>IT</v>
      </c>
      <c r="IK96" s="250" t="str">
        <f t="shared" si="326"/>
        <v>IT</v>
      </c>
      <c r="IL96" s="250" t="str">
        <f t="shared" si="326"/>
        <v>IT</v>
      </c>
      <c r="IM96" s="250" t="str">
        <f t="shared" si="326"/>
        <v>IT</v>
      </c>
      <c r="IN96" s="250" t="str">
        <f t="shared" si="326"/>
        <v>IT</v>
      </c>
      <c r="IO96" s="250" t="str">
        <f t="shared" si="326"/>
        <v>IT</v>
      </c>
      <c r="IP96" s="250" t="str">
        <f t="shared" ref="IP96:JJ96" si="327">+$B96</f>
        <v>IT</v>
      </c>
      <c r="IQ96" s="250" t="str">
        <f t="shared" si="327"/>
        <v>IT</v>
      </c>
      <c r="IR96" s="250" t="str">
        <f t="shared" si="327"/>
        <v>IT</v>
      </c>
      <c r="IS96" s="250" t="str">
        <f t="shared" si="327"/>
        <v>IT</v>
      </c>
      <c r="IT96" s="250" t="str">
        <f t="shared" si="327"/>
        <v>IT</v>
      </c>
      <c r="IU96" s="250" t="str">
        <f t="shared" si="327"/>
        <v>IT</v>
      </c>
      <c r="IV96" s="250" t="str">
        <f t="shared" si="327"/>
        <v>IT</v>
      </c>
      <c r="IW96" s="250" t="str">
        <f t="shared" si="327"/>
        <v>IT</v>
      </c>
      <c r="IX96" s="250" t="str">
        <f t="shared" si="327"/>
        <v>IT</v>
      </c>
      <c r="IY96" s="250" t="str">
        <f t="shared" si="327"/>
        <v>IT</v>
      </c>
      <c r="IZ96" s="250" t="str">
        <f t="shared" si="327"/>
        <v>IT</v>
      </c>
      <c r="JA96" s="250" t="str">
        <f t="shared" si="327"/>
        <v>IT</v>
      </c>
      <c r="JB96" s="250" t="str">
        <f t="shared" si="327"/>
        <v>IT</v>
      </c>
      <c r="JC96" s="250" t="str">
        <f t="shared" si="327"/>
        <v>IT</v>
      </c>
      <c r="JD96" s="250" t="str">
        <f t="shared" si="327"/>
        <v>IT</v>
      </c>
      <c r="JE96" s="250" t="str">
        <f t="shared" si="327"/>
        <v>IT</v>
      </c>
      <c r="JF96" s="250" t="str">
        <f t="shared" si="327"/>
        <v>IT</v>
      </c>
      <c r="JG96" s="250" t="str">
        <f t="shared" si="327"/>
        <v>IT</v>
      </c>
      <c r="JH96" s="250" t="str">
        <f t="shared" si="327"/>
        <v>IT</v>
      </c>
      <c r="JI96" s="250" t="str">
        <f t="shared" si="327"/>
        <v>IT</v>
      </c>
      <c r="JJ96" s="250" t="str">
        <f t="shared" si="327"/>
        <v>IT</v>
      </c>
      <c r="JM96" s="191" t="str">
        <f>+$B96</f>
        <v>IT</v>
      </c>
      <c r="JN96" s="192"/>
      <c r="JO96" s="141" t="str">
        <f>+$E96</f>
        <v>Completed to Week</v>
      </c>
      <c r="JP96" s="141">
        <f>+$F96</f>
        <v>42</v>
      </c>
      <c r="JQ96" s="141"/>
      <c r="JR96" s="250" t="str">
        <f t="shared" ref="JR96:KW96" si="328">+$B96</f>
        <v>IT</v>
      </c>
      <c r="JS96" s="250" t="str">
        <f t="shared" si="328"/>
        <v>IT</v>
      </c>
      <c r="JT96" s="250" t="str">
        <f t="shared" si="328"/>
        <v>IT</v>
      </c>
      <c r="JU96" s="250" t="str">
        <f t="shared" si="328"/>
        <v>IT</v>
      </c>
      <c r="JV96" s="250" t="str">
        <f t="shared" si="328"/>
        <v>IT</v>
      </c>
      <c r="JW96" s="250" t="str">
        <f t="shared" si="328"/>
        <v>IT</v>
      </c>
      <c r="JX96" s="250" t="str">
        <f t="shared" si="328"/>
        <v>IT</v>
      </c>
      <c r="JY96" s="250" t="str">
        <f t="shared" si="328"/>
        <v>IT</v>
      </c>
      <c r="JZ96" s="250" t="str">
        <f t="shared" si="328"/>
        <v>IT</v>
      </c>
      <c r="KA96" s="250" t="str">
        <f t="shared" si="328"/>
        <v>IT</v>
      </c>
      <c r="KB96" s="250" t="str">
        <f t="shared" si="328"/>
        <v>IT</v>
      </c>
      <c r="KC96" s="250" t="str">
        <f t="shared" si="328"/>
        <v>IT</v>
      </c>
      <c r="KD96" s="250" t="str">
        <f t="shared" si="328"/>
        <v>IT</v>
      </c>
      <c r="KE96" s="250" t="str">
        <f t="shared" si="328"/>
        <v>IT</v>
      </c>
      <c r="KF96" s="250" t="str">
        <f t="shared" si="328"/>
        <v>IT</v>
      </c>
      <c r="KG96" s="250" t="str">
        <f t="shared" si="328"/>
        <v>IT</v>
      </c>
      <c r="KH96" s="250" t="str">
        <f t="shared" si="328"/>
        <v>IT</v>
      </c>
      <c r="KI96" s="250" t="str">
        <f t="shared" si="328"/>
        <v>IT</v>
      </c>
      <c r="KJ96" s="250" t="str">
        <f t="shared" si="328"/>
        <v>IT</v>
      </c>
      <c r="KK96" s="250" t="str">
        <f t="shared" si="328"/>
        <v>IT</v>
      </c>
      <c r="KL96" s="250" t="str">
        <f t="shared" si="328"/>
        <v>IT</v>
      </c>
      <c r="KM96" s="250" t="str">
        <f t="shared" si="328"/>
        <v>IT</v>
      </c>
      <c r="KN96" s="250" t="str">
        <f t="shared" si="328"/>
        <v>IT</v>
      </c>
      <c r="KO96" s="250" t="str">
        <f t="shared" si="328"/>
        <v>IT</v>
      </c>
      <c r="KP96" s="250" t="str">
        <f t="shared" si="328"/>
        <v>IT</v>
      </c>
      <c r="KQ96" s="250" t="str">
        <f t="shared" si="328"/>
        <v>IT</v>
      </c>
      <c r="KR96" s="250" t="str">
        <f t="shared" si="328"/>
        <v>IT</v>
      </c>
      <c r="KS96" s="250" t="str">
        <f t="shared" si="328"/>
        <v>IT</v>
      </c>
      <c r="KT96" s="250" t="str">
        <f t="shared" si="328"/>
        <v>IT</v>
      </c>
      <c r="KU96" s="250" t="str">
        <f t="shared" si="328"/>
        <v>IT</v>
      </c>
      <c r="KV96" s="250" t="str">
        <f t="shared" si="328"/>
        <v>IT</v>
      </c>
      <c r="KW96" s="250" t="str">
        <f t="shared" si="328"/>
        <v>IT</v>
      </c>
      <c r="KX96" s="250" t="str">
        <f t="shared" ref="KX96:LR96" si="329">+$B96</f>
        <v>IT</v>
      </c>
      <c r="KY96" s="250" t="str">
        <f t="shared" si="329"/>
        <v>IT</v>
      </c>
      <c r="KZ96" s="250" t="str">
        <f t="shared" si="329"/>
        <v>IT</v>
      </c>
      <c r="LA96" s="250" t="str">
        <f t="shared" si="329"/>
        <v>IT</v>
      </c>
      <c r="LB96" s="250" t="str">
        <f t="shared" si="329"/>
        <v>IT</v>
      </c>
      <c r="LC96" s="250" t="str">
        <f t="shared" si="329"/>
        <v>IT</v>
      </c>
      <c r="LD96" s="250" t="str">
        <f t="shared" si="329"/>
        <v>IT</v>
      </c>
      <c r="LE96" s="250" t="str">
        <f t="shared" si="329"/>
        <v>IT</v>
      </c>
      <c r="LF96" s="250" t="str">
        <f t="shared" si="329"/>
        <v>IT</v>
      </c>
      <c r="LG96" s="250" t="str">
        <f t="shared" si="329"/>
        <v>IT</v>
      </c>
      <c r="LH96" s="250" t="str">
        <f t="shared" si="329"/>
        <v>IT</v>
      </c>
      <c r="LI96" s="250" t="str">
        <f t="shared" si="329"/>
        <v>IT</v>
      </c>
      <c r="LJ96" s="250" t="str">
        <f t="shared" si="329"/>
        <v>IT</v>
      </c>
      <c r="LK96" s="250" t="str">
        <f t="shared" si="329"/>
        <v>IT</v>
      </c>
      <c r="LL96" s="250" t="str">
        <f t="shared" si="329"/>
        <v>IT</v>
      </c>
      <c r="LM96" s="250" t="str">
        <f t="shared" si="329"/>
        <v>IT</v>
      </c>
      <c r="LN96" s="250" t="str">
        <f t="shared" si="329"/>
        <v>IT</v>
      </c>
      <c r="LO96" s="250" t="str">
        <f t="shared" si="329"/>
        <v>IT</v>
      </c>
      <c r="LP96" s="250" t="str">
        <f t="shared" si="329"/>
        <v>IT</v>
      </c>
      <c r="LQ96" s="250" t="str">
        <f t="shared" si="329"/>
        <v>IT</v>
      </c>
      <c r="LR96" s="250" t="str">
        <f t="shared" si="329"/>
        <v>IT</v>
      </c>
      <c r="LT96" s="191" t="str">
        <f>+$B96</f>
        <v>IT</v>
      </c>
      <c r="LU96" s="192"/>
      <c r="LV96" s="141" t="str">
        <f>+$E96</f>
        <v>Completed to Week</v>
      </c>
      <c r="LW96" s="141">
        <f>+$F96</f>
        <v>42</v>
      </c>
      <c r="LX96" s="141"/>
      <c r="LY96" s="197" t="str">
        <f t="shared" ref="LY96:ND96" si="330">+$B96</f>
        <v>IT</v>
      </c>
      <c r="LZ96" s="197" t="str">
        <f t="shared" si="330"/>
        <v>IT</v>
      </c>
      <c r="MA96" s="197" t="str">
        <f t="shared" si="330"/>
        <v>IT</v>
      </c>
      <c r="MB96" s="197" t="str">
        <f t="shared" si="330"/>
        <v>IT</v>
      </c>
      <c r="MC96" s="197" t="str">
        <f t="shared" si="330"/>
        <v>IT</v>
      </c>
      <c r="MD96" s="197" t="str">
        <f t="shared" si="330"/>
        <v>IT</v>
      </c>
      <c r="ME96" s="197" t="str">
        <f t="shared" si="330"/>
        <v>IT</v>
      </c>
      <c r="MF96" s="197" t="str">
        <f t="shared" si="330"/>
        <v>IT</v>
      </c>
      <c r="MG96" s="197" t="str">
        <f t="shared" si="330"/>
        <v>IT</v>
      </c>
      <c r="MH96" s="197" t="str">
        <f t="shared" si="330"/>
        <v>IT</v>
      </c>
      <c r="MI96" s="197" t="str">
        <f t="shared" si="330"/>
        <v>IT</v>
      </c>
      <c r="MJ96" s="197" t="str">
        <f t="shared" si="330"/>
        <v>IT</v>
      </c>
      <c r="MK96" s="197" t="str">
        <f t="shared" si="330"/>
        <v>IT</v>
      </c>
      <c r="ML96" s="197" t="str">
        <f t="shared" si="330"/>
        <v>IT</v>
      </c>
      <c r="MM96" s="197" t="str">
        <f t="shared" si="330"/>
        <v>IT</v>
      </c>
      <c r="MN96" s="197" t="str">
        <f t="shared" si="330"/>
        <v>IT</v>
      </c>
      <c r="MO96" s="197" t="str">
        <f t="shared" si="330"/>
        <v>IT</v>
      </c>
      <c r="MP96" s="197" t="str">
        <f t="shared" si="330"/>
        <v>IT</v>
      </c>
      <c r="MQ96" s="197" t="str">
        <f t="shared" si="330"/>
        <v>IT</v>
      </c>
      <c r="MR96" s="197" t="str">
        <f t="shared" si="330"/>
        <v>IT</v>
      </c>
      <c r="MS96" s="197" t="str">
        <f t="shared" si="330"/>
        <v>IT</v>
      </c>
      <c r="MT96" s="197" t="str">
        <f t="shared" si="330"/>
        <v>IT</v>
      </c>
      <c r="MU96" s="197" t="str">
        <f t="shared" si="330"/>
        <v>IT</v>
      </c>
      <c r="MV96" s="197" t="str">
        <f t="shared" si="330"/>
        <v>IT</v>
      </c>
      <c r="MW96" s="197" t="str">
        <f t="shared" si="330"/>
        <v>IT</v>
      </c>
      <c r="MX96" s="197" t="str">
        <f t="shared" si="330"/>
        <v>IT</v>
      </c>
      <c r="MY96" s="197" t="str">
        <f t="shared" si="330"/>
        <v>IT</v>
      </c>
      <c r="MZ96" s="197" t="str">
        <f t="shared" si="330"/>
        <v>IT</v>
      </c>
      <c r="NA96" s="197" t="str">
        <f t="shared" si="330"/>
        <v>IT</v>
      </c>
      <c r="NB96" s="197" t="str">
        <f t="shared" si="330"/>
        <v>IT</v>
      </c>
      <c r="NC96" s="197" t="str">
        <f t="shared" si="330"/>
        <v>IT</v>
      </c>
      <c r="ND96" s="197" t="str">
        <f t="shared" si="330"/>
        <v>IT</v>
      </c>
      <c r="NE96" s="197" t="str">
        <f t="shared" ref="NE96:NY96" si="331">+$B96</f>
        <v>IT</v>
      </c>
      <c r="NF96" s="197" t="str">
        <f t="shared" si="331"/>
        <v>IT</v>
      </c>
      <c r="NG96" s="197" t="str">
        <f t="shared" si="331"/>
        <v>IT</v>
      </c>
      <c r="NH96" s="197" t="str">
        <f t="shared" si="331"/>
        <v>IT</v>
      </c>
      <c r="NI96" s="197" t="str">
        <f t="shared" si="331"/>
        <v>IT</v>
      </c>
      <c r="NJ96" s="197" t="str">
        <f t="shared" si="331"/>
        <v>IT</v>
      </c>
      <c r="NK96" s="197" t="str">
        <f t="shared" si="331"/>
        <v>IT</v>
      </c>
      <c r="NL96" s="197" t="str">
        <f t="shared" si="331"/>
        <v>IT</v>
      </c>
      <c r="NM96" s="197" t="str">
        <f t="shared" si="331"/>
        <v>IT</v>
      </c>
      <c r="NN96" s="197" t="str">
        <f t="shared" si="331"/>
        <v>IT</v>
      </c>
      <c r="NO96" s="197" t="str">
        <f t="shared" si="331"/>
        <v>IT</v>
      </c>
      <c r="NP96" s="197" t="str">
        <f t="shared" si="331"/>
        <v>IT</v>
      </c>
      <c r="NQ96" s="197" t="str">
        <f t="shared" si="331"/>
        <v>IT</v>
      </c>
      <c r="NR96" s="197" t="str">
        <f t="shared" si="331"/>
        <v>IT</v>
      </c>
      <c r="NS96" s="197" t="str">
        <f t="shared" si="331"/>
        <v>IT</v>
      </c>
      <c r="NT96" s="197" t="str">
        <f t="shared" si="331"/>
        <v>IT</v>
      </c>
      <c r="NU96" s="197" t="str">
        <f t="shared" si="331"/>
        <v>IT</v>
      </c>
      <c r="NV96" s="197" t="str">
        <f t="shared" si="331"/>
        <v>IT</v>
      </c>
      <c r="NW96" s="197" t="str">
        <f t="shared" si="331"/>
        <v>IT</v>
      </c>
      <c r="NX96" s="197" t="str">
        <f t="shared" si="331"/>
        <v>IT</v>
      </c>
      <c r="NY96" s="197" t="str">
        <f t="shared" si="331"/>
        <v>IT</v>
      </c>
    </row>
    <row r="97" spans="1:389" x14ac:dyDescent="0.3">
      <c r="A97" t="str">
        <f>$B$96&amp;"-"&amp;C97</f>
        <v>IT-KPI P1</v>
      </c>
      <c r="B97" s="917" t="str">
        <f>+'KPI Stats'!B96</f>
        <v>Information Technology</v>
      </c>
      <c r="C97" s="133" t="str">
        <f>+'KPI Stats'!C96</f>
        <v>KPI P1</v>
      </c>
      <c r="D97" s="142" t="str">
        <f>+'KPI Stats'!D96</f>
        <v>Productivity</v>
      </c>
      <c r="E97" s="142" t="str">
        <f>+'KPI Stats'!E96</f>
        <v>Downtime</v>
      </c>
      <c r="F97" s="516" t="str">
        <f>+'KPI Stats'!F96</f>
        <v>Undefined</v>
      </c>
      <c r="G97" s="517" t="str">
        <f>+'KPI Stats'!G96</f>
        <v>Undefined</v>
      </c>
      <c r="J97" s="159" t="str">
        <f>_xlfn.XLOOKUP(J$7,$AM$7:$CM$7,$AM97:$CM97,,FALSE)</f>
        <v>Undefined</v>
      </c>
      <c r="K97" s="262" t="str">
        <f>_xlfn.XLOOKUP(K$7,$FC$7:$HC$7,$FC97:$HC97,,FALSE)</f>
        <v>Undefined</v>
      </c>
      <c r="L97" s="277" t="str">
        <f>_xlfn.XLOOKUP(L$7,$HJ$7:$JJ$7,$HJ97:$JJ97,,FALSE)</f>
        <v>undefined</v>
      </c>
      <c r="M97" s="294" t="str">
        <f>_xlfn.XLOOKUP(M$7,$CU$7:$EU$7,$CU97:$EU97,,FALSE)</f>
        <v>Undefined</v>
      </c>
      <c r="P97" s="159" t="str">
        <f>_xlfn.XLOOKUP(P$7,$AM$7:$CM$7,$AM97:$CM97,,FALSE)</f>
        <v>Undefined</v>
      </c>
      <c r="Q97" s="262" t="str">
        <f t="shared" ref="Q97:R100" si="332">_xlfn.XLOOKUP(Q$7,$FC$7:$HC$7,$FC97:$HC97,FALSE)</f>
        <v>Undefined</v>
      </c>
      <c r="R97" s="277" t="str">
        <f t="shared" si="332"/>
        <v>Undefined</v>
      </c>
      <c r="S97" s="262" t="str">
        <f t="shared" ref="S97:T100" si="333">_xlfn.XLOOKUP(S$7,$CU$7:$EU$7,$CU97:$EU97,,FALSE)</f>
        <v>Undefined</v>
      </c>
      <c r="T97" s="277" t="str">
        <f t="shared" si="333"/>
        <v>Undefined</v>
      </c>
      <c r="U97" s="294" t="str">
        <f>IF(F96&lt;$R$2,"Not Complete",IF(Q97=R97,"Same −",IF($G97="Over",IF(Q97&lt;R97,"Better ↑ ↑","Worse ↓ ↓"),IF($G97="Under",IF(Q97&gt;R97,"Better ↑ ↑","Worse ↓ ↓"),"err"))))</f>
        <v>Same −</v>
      </c>
      <c r="X97" s="159" t="str">
        <f t="shared" ref="X97:X100" si="334">IF(Y97="","",IF(Y97="Blank","",IF(AND(G97="above zero",Y97&gt;0),"R",IF(AA97&gt;1,"G",IF(AA97&gt;0.95,"A","R")))))</f>
        <v/>
      </c>
      <c r="Y97" s="262" t="str">
        <f>_xlfn.XLOOKUP(Y$7,$JR$7:$LR$7,$JR97:$LR97,FALSE)</f>
        <v/>
      </c>
      <c r="Z97" s="277">
        <f>_xlfn.XLOOKUP(Z$7,$LY$7:$NY$7,$LY97:$NY97,FALSE)</f>
        <v>0</v>
      </c>
      <c r="AA97" s="262" t="str">
        <f>IFERROR(IF(G97="under",Y97/Z97,IF(G97="Over",Z97/Y97,"")),"")</f>
        <v/>
      </c>
      <c r="AB97" s="294" t="str">
        <f>IF(F96&lt;$R$2,"TBC",IF(Y97=Z97,"Same −",IF($G97="Over",IF(Z97&lt;Y97,"Better ↑ ","Worse ↓ "),IF($G97="Under",IF(Y97&gt;Z97,"Better ↑ ","Worse ↓ "),"err"))))</f>
        <v>err</v>
      </c>
      <c r="AC97" s="159" t="str">
        <f>IF(AND(G97="above adero",AD97&gt;0),"R",IF(AF97&gt;1,"G",IF(AF97&gt;0.95,"A","R")))</f>
        <v>G</v>
      </c>
      <c r="AD97" s="262" t="str">
        <f>_xlfn.XLOOKUP(AD$7,$JR$7:$LR$7,$JR97:$LR97,FALSE)</f>
        <v/>
      </c>
      <c r="AE97" s="277">
        <f>_xlfn.XLOOKUP(AE$7,$LY$7:$NY$7,$LY97:$NY97,FALSE)</f>
        <v>0</v>
      </c>
      <c r="AF97" s="280" t="str">
        <f>IFERROR(IF(G97="under",AD97/AE97,IF(G97="Over",AE97/AD97,"")),"")</f>
        <v/>
      </c>
      <c r="AH97" s="465" t="str">
        <f>+$A97</f>
        <v>IT-KPI P1</v>
      </c>
      <c r="AI97" s="133" t="str">
        <f t="shared" ref="AI97:AJ100" si="335">+C97</f>
        <v>KPI P1</v>
      </c>
      <c r="AJ97" s="142" t="str">
        <f t="shared" si="335"/>
        <v>Productivity</v>
      </c>
      <c r="AK97" s="142" t="str">
        <f t="shared" si="319"/>
        <v>Downtime</v>
      </c>
      <c r="AL97" s="143" t="str">
        <f t="shared" si="319"/>
        <v>Undefined</v>
      </c>
      <c r="AM97" s="159" t="str">
        <f>IF(AM$7&gt;$D$3,"",_xlfn.XLOOKUP(AM$7,IT!$M$6:$BM$6,IT!$M$10:$BM$10))</f>
        <v>Blank</v>
      </c>
      <c r="AN97" s="198" t="str">
        <f>IF(AN$7&gt;$D$3,"",_xlfn.XLOOKUP(AN$7,IT!$M$6:$BM$6,IT!$M$10:$BM$10))</f>
        <v>Undefined</v>
      </c>
      <c r="AO97" s="159" t="str">
        <f>IF(AO$7&gt;$D$3,"",_xlfn.XLOOKUP(AO$7,IT!$M$6:$BM$6,IT!$M$10:$BM$10))</f>
        <v>Undefined</v>
      </c>
      <c r="AP97" s="159" t="str">
        <f>IF(AP$7&gt;$D$3,"",_xlfn.XLOOKUP(AP$7,IT!$M$6:$BM$6,IT!$M$10:$BM$10))</f>
        <v>Undefined</v>
      </c>
      <c r="AQ97" s="159" t="str">
        <f>IF(AQ$7&gt;$D$3,"",_xlfn.XLOOKUP(AQ$7,IT!$M$6:$BM$6,IT!$M$10:$BM$10))</f>
        <v>Undefined</v>
      </c>
      <c r="AR97" s="159" t="str">
        <f>IF(AR$7&gt;$D$3,"",_xlfn.XLOOKUP(AR$7,IT!$M$6:$BM$6,IT!$M$10:$BM$10))</f>
        <v>Undefined</v>
      </c>
      <c r="AS97" s="159" t="str">
        <f>IF(AS$7&gt;$D$3,"",_xlfn.XLOOKUP(AS$7,IT!$M$6:$BM$6,IT!$M$10:$BM$10))</f>
        <v>Undefined</v>
      </c>
      <c r="AT97" s="159" t="str">
        <f>IF(AT$7&gt;$D$3,"",_xlfn.XLOOKUP(AT$7,IT!$M$6:$BM$6,IT!$M$10:$BM$10))</f>
        <v>Undefined</v>
      </c>
      <c r="AU97" s="159" t="str">
        <f>IF(AU$7&gt;$D$3,"",_xlfn.XLOOKUP(AU$7,IT!$M$6:$BM$6,IT!$M$10:$BM$10))</f>
        <v>Undefined</v>
      </c>
      <c r="AV97" s="159" t="str">
        <f>IF(AV$7&gt;$D$3,"",_xlfn.XLOOKUP(AV$7,IT!$M$6:$BM$6,IT!$M$10:$BM$10))</f>
        <v>Undefined</v>
      </c>
      <c r="AW97" s="159" t="str">
        <f>IF(AW$7&gt;$D$3,"",_xlfn.XLOOKUP(AW$7,IT!$M$6:$BM$6,IT!$M$10:$BM$10))</f>
        <v>Undefined</v>
      </c>
      <c r="AX97" s="159" t="str">
        <f>IF(AX$7&gt;$D$3,"",_xlfn.XLOOKUP(AX$7,IT!$M$6:$BM$6,IT!$M$10:$BM$10))</f>
        <v>Undefined</v>
      </c>
      <c r="AY97" s="159" t="str">
        <f>IF(AY$7&gt;$D$3,"",_xlfn.XLOOKUP(AY$7,IT!$M$6:$BM$6,IT!$M$10:$BM$10))</f>
        <v>Undefined</v>
      </c>
      <c r="AZ97" s="159" t="str">
        <f>IF(AZ$7&gt;$D$3,"",_xlfn.XLOOKUP(AZ$7,IT!$M$6:$BM$6,IT!$M$10:$BM$10))</f>
        <v>Undefined</v>
      </c>
      <c r="BA97" s="159" t="str">
        <f>IF(BA$7&gt;$D$3,"",_xlfn.XLOOKUP(BA$7,IT!$M$6:$BM$6,IT!$M$10:$BM$10))</f>
        <v>Undefined</v>
      </c>
      <c r="BB97" s="159" t="str">
        <f>IF(BB$7&gt;$D$3,"",_xlfn.XLOOKUP(BB$7,IT!$M$6:$BM$6,IT!$M$10:$BM$10))</f>
        <v>Undefined</v>
      </c>
      <c r="BC97" s="159" t="str">
        <f>IF(BC$7&gt;$D$3,"",_xlfn.XLOOKUP(BC$7,IT!$M$6:$BM$6,IT!$M$10:$BM$10))</f>
        <v>Undefined</v>
      </c>
      <c r="BD97" s="159" t="str">
        <f>IF(BD$7&gt;$D$3,"",_xlfn.XLOOKUP(BD$7,IT!$M$6:$BM$6,IT!$M$10:$BM$10))</f>
        <v>Undefined</v>
      </c>
      <c r="BE97" s="159" t="str">
        <f>IF(BE$7&gt;$D$3,"",_xlfn.XLOOKUP(BE$7,IT!$M$6:$BM$6,IT!$M$10:$BM$10))</f>
        <v>Undefined</v>
      </c>
      <c r="BF97" s="159" t="str">
        <f>IF(BF$7&gt;$D$3,"",_xlfn.XLOOKUP(BF$7,IT!$M$6:$BM$6,IT!$M$10:$BM$10))</f>
        <v>Undefined</v>
      </c>
      <c r="BG97" s="159" t="str">
        <f>IF(BG$7&gt;$D$3,"",_xlfn.XLOOKUP(BG$7,IT!$M$6:$BM$6,IT!$M$10:$BM$10))</f>
        <v>Undefined</v>
      </c>
      <c r="BH97" s="159" t="str">
        <f>IF(BH$7&gt;$D$3,"",_xlfn.XLOOKUP(BH$7,IT!$M$6:$BM$6,IT!$M$10:$BM$10))</f>
        <v>Undefined</v>
      </c>
      <c r="BI97" s="159" t="str">
        <f>IF(BI$7&gt;$D$3,"",_xlfn.XLOOKUP(BI$7,IT!$M$6:$BM$6,IT!$M$10:$BM$10))</f>
        <v>Undefined</v>
      </c>
      <c r="BJ97" s="159" t="str">
        <f>IF(BJ$7&gt;$D$3,"",_xlfn.XLOOKUP(BJ$7,IT!$M$6:$BM$6,IT!$M$10:$BM$10))</f>
        <v>Undefined</v>
      </c>
      <c r="BK97" s="159" t="str">
        <f>IF(BK$7&gt;$D$3,"",_xlfn.XLOOKUP(BK$7,IT!$M$6:$BM$6,IT!$M$10:$BM$10))</f>
        <v>Undefined</v>
      </c>
      <c r="BL97" s="159" t="str">
        <f>IF(BL$7&gt;$D$3,"",_xlfn.XLOOKUP(BL$7,IT!$M$6:$BM$6,IT!$M$10:$BM$10))</f>
        <v>Undefined</v>
      </c>
      <c r="BM97" s="159" t="str">
        <f>IF(BM$7&gt;$D$3,"",_xlfn.XLOOKUP(BM$7,IT!$M$6:$BM$6,IT!$M$10:$BM$10))</f>
        <v>Undefined</v>
      </c>
      <c r="BN97" s="159" t="str">
        <f>IF(BN$7&gt;$D$3,"",_xlfn.XLOOKUP(BN$7,IT!$M$6:$BM$6,IT!$M$10:$BM$10))</f>
        <v>Undefined</v>
      </c>
      <c r="BO97" s="159" t="str">
        <f>IF(BO$7&gt;$D$3,"",_xlfn.XLOOKUP(BO$7,IT!$M$6:$BM$6,IT!$M$10:$BM$10))</f>
        <v>Undefined</v>
      </c>
      <c r="BP97" s="159" t="str">
        <f>IF(BP$7&gt;$D$3,"",_xlfn.XLOOKUP(BP$7,IT!$M$6:$BM$6,IT!$M$10:$BM$10))</f>
        <v>Undefined</v>
      </c>
      <c r="BQ97" s="159" t="str">
        <f>IF(BQ$7&gt;$D$3,"",_xlfn.XLOOKUP(BQ$7,IT!$M$6:$BM$6,IT!$M$10:$BM$10))</f>
        <v>Undefined</v>
      </c>
      <c r="BR97" s="159" t="str">
        <f>IF(BR$7&gt;$D$3,"",_xlfn.XLOOKUP(BR$7,IT!$M$6:$BM$6,IT!$M$10:$BM$10))</f>
        <v>Undefined</v>
      </c>
      <c r="BS97" s="159" t="str">
        <f>IF(BS$7&gt;$D$3,"",_xlfn.XLOOKUP(BS$7,IT!$M$6:$BM$6,IT!$M$10:$BM$10))</f>
        <v>Undefined</v>
      </c>
      <c r="BT97" s="159" t="str">
        <f>IF(BT$7&gt;$D$3,"",_xlfn.XLOOKUP(BT$7,IT!$M$6:$BM$6,IT!$M$10:$BM$10))</f>
        <v>Undefined</v>
      </c>
      <c r="BU97" s="159" t="str">
        <f>IF(BU$7&gt;$D$3,"",_xlfn.XLOOKUP(BU$7,IT!$M$6:$BM$6,IT!$M$10:$BM$10))</f>
        <v>Undefined</v>
      </c>
      <c r="BV97" s="159" t="str">
        <f>IF(BV$7&gt;$D$3,"",_xlfn.XLOOKUP(BV$7,IT!$M$6:$BM$6,IT!$M$10:$BM$10))</f>
        <v>Undefined</v>
      </c>
      <c r="BW97" s="159" t="str">
        <f>IF(BW$7&gt;$D$3,"",_xlfn.XLOOKUP(BW$7,IT!$M$6:$BM$6,IT!$M$10:$BM$10))</f>
        <v>Undefined</v>
      </c>
      <c r="BX97" s="159" t="str">
        <f>IF(BX$7&gt;$D$3,"",_xlfn.XLOOKUP(BX$7,IT!$M$6:$BM$6,IT!$M$10:$BM$10))</f>
        <v>Undefined</v>
      </c>
      <c r="BY97" s="159" t="str">
        <f>IF(BY$7&gt;$D$3,"",_xlfn.XLOOKUP(BY$7,IT!$M$6:$BM$6,IT!$M$10:$BM$10))</f>
        <v>Undefined</v>
      </c>
      <c r="BZ97" s="159" t="str">
        <f>IF(BZ$7&gt;$D$3,"",_xlfn.XLOOKUP(BZ$7,IT!$M$6:$BM$6,IT!$M$10:$BM$10))</f>
        <v>Undefined</v>
      </c>
      <c r="CA97" s="159" t="str">
        <f>IF(CA$7&gt;$D$3,"",_xlfn.XLOOKUP(CA$7,IT!$M$6:$BM$6,IT!$M$10:$BM$10))</f>
        <v>Undefined</v>
      </c>
      <c r="CB97" s="159" t="str">
        <f>IF(CB$7&gt;$D$3,"",_xlfn.XLOOKUP(CB$7,IT!$M$6:$BM$6,IT!$M$10:$BM$10))</f>
        <v>Undefined</v>
      </c>
      <c r="CC97" s="159" t="str">
        <f>IF(CC$7&gt;$D$3,"",_xlfn.XLOOKUP(CC$7,IT!$M$6:$BM$6,IT!$M$10:$BM$10))</f>
        <v/>
      </c>
      <c r="CD97" s="159" t="str">
        <f>IF(CD$7&gt;$D$3,"",_xlfn.XLOOKUP(CD$7,IT!$M$6:$BM$6,IT!$M$10:$BM$10))</f>
        <v/>
      </c>
      <c r="CE97" s="159" t="str">
        <f>IF(CE$7&gt;$D$3,"",_xlfn.XLOOKUP(CE$7,IT!$M$6:$BM$6,IT!$M$10:$BM$10))</f>
        <v/>
      </c>
      <c r="CF97" s="159" t="str">
        <f>IF(CF$7&gt;$D$3,"",_xlfn.XLOOKUP(CF$7,IT!$M$6:$BM$6,IT!$M$10:$BM$10))</f>
        <v/>
      </c>
      <c r="CG97" s="159" t="str">
        <f>IF(CG$7&gt;$D$3,"",_xlfn.XLOOKUP(CG$7,IT!$M$6:$BM$6,IT!$M$10:$BM$10))</f>
        <v/>
      </c>
      <c r="CH97" s="159" t="str">
        <f>IF(CH$7&gt;$D$3,"",_xlfn.XLOOKUP(CH$7,IT!$M$6:$BM$6,IT!$M$10:$BM$10))</f>
        <v/>
      </c>
      <c r="CI97" s="159" t="str">
        <f>IF(CI$7&gt;$D$3,"",_xlfn.XLOOKUP(CI$7,IT!$M$6:$BM$6,IT!$M$10:$BM$10))</f>
        <v/>
      </c>
      <c r="CJ97" s="159" t="str">
        <f>IF(CJ$7&gt;$D$3,"",_xlfn.XLOOKUP(CJ$7,IT!$M$6:$BM$6,IT!$M$10:$BM$10))</f>
        <v/>
      </c>
      <c r="CK97" s="159" t="str">
        <f>IF(CK$7&gt;$D$3,"",_xlfn.XLOOKUP(CK$7,IT!$M$6:$BM$6,IT!$M$10:$BM$10))</f>
        <v/>
      </c>
      <c r="CL97" s="159" t="str">
        <f>IF(CL$7&gt;$D$3,"",_xlfn.XLOOKUP(CL$7,IT!$M$6:$BM$6,IT!$M$10:$BM$10))</f>
        <v/>
      </c>
      <c r="CM97" s="159" t="str">
        <f>IF(CM$7&gt;$D$3,"",_xlfn.XLOOKUP(CM$7,IT!$M$6:$BM$6,IT!$M$10:$BM$10))</f>
        <v/>
      </c>
      <c r="CO97" s="465" t="str">
        <f>+$A97</f>
        <v>IT-KPI P1</v>
      </c>
      <c r="CP97" s="133" t="str">
        <f t="shared" ref="CP97:CQ100" si="336">+C97</f>
        <v>KPI P1</v>
      </c>
      <c r="CQ97" s="142" t="str">
        <f t="shared" si="336"/>
        <v>Productivity</v>
      </c>
      <c r="CR97" s="142" t="str">
        <f t="shared" si="322"/>
        <v>Downtime</v>
      </c>
      <c r="CS97" s="143" t="str">
        <f t="shared" si="322"/>
        <v>Undefined</v>
      </c>
      <c r="CT97" s="206" t="s">
        <v>246</v>
      </c>
      <c r="CU97" s="625" t="str">
        <f>IF(CU$7&gt;$D$3,"",_xlfn.XLOOKUP(CU$7,IT!$M$6:$BM$6,IT!$M$10:$BM$10))</f>
        <v>Blank</v>
      </c>
      <c r="CV97" s="319" t="str">
        <f>IF(CV$7&gt;$D$3,"",IF(AN97="OD","OD",IF(AN97="Missed","Missed",IF(AN97="TBC","TBC",IF(AN97="Undefined","Undefined",_xlfn.XLOOKUP(CV$7,IT!$M$6:$BM$6,IT!$M$9:$BM$9))))))</f>
        <v>Undefined</v>
      </c>
      <c r="CW97" s="318" t="str">
        <f>IF(CW$7&gt;$D$3,"",IF(AO97="OD","OD",IF(AO97="Missed","Missed",IF(AO97="TBC","TBC",IF(AO97="Undefined","Undefined",_xlfn.XLOOKUP(CW$7,IT!$M$6:$BM$6,IT!$M$9:$BM$9))))))</f>
        <v>Undefined</v>
      </c>
      <c r="CX97" s="318" t="str">
        <f>IF(CX$7&gt;$D$3,"",IF(AP97="OD","OD",IF(AP97="Missed","Missed",IF(AP97="TBC","TBC",IF(AP97="Undefined","Undefined",_xlfn.XLOOKUP(CX$7,IT!$M$6:$BM$6,IT!$M$9:$BM$9))))))</f>
        <v>Undefined</v>
      </c>
      <c r="CY97" s="318" t="str">
        <f>IF(CY$7&gt;$D$3,"",IF(AQ97="OD","OD",IF(AQ97="Missed","Missed",IF(AQ97="TBC","TBC",IF(AQ97="Undefined","Undefined",_xlfn.XLOOKUP(CY$7,IT!$M$6:$BM$6,IT!$M$9:$BM$9))))))</f>
        <v>Undefined</v>
      </c>
      <c r="CZ97" s="318" t="str">
        <f>IF(CZ$7&gt;$D$3,"",IF(AR97="OD","OD",IF(AR97="Missed","Missed",IF(AR97="TBC","TBC",IF(AR97="Undefined","Undefined",_xlfn.XLOOKUP(CZ$7,IT!$M$6:$BM$6,IT!$M$9:$BM$9))))))</f>
        <v>Undefined</v>
      </c>
      <c r="DA97" s="318" t="str">
        <f>IF(DA$7&gt;$D$3,"",IF(AS97="OD","OD",IF(AS97="Missed","Missed",IF(AS97="TBC","TBC",IF(AS97="Undefined","Undefined",_xlfn.XLOOKUP(DA$7,IT!$M$6:$BM$6,IT!$M$9:$BM$9))))))</f>
        <v>Undefined</v>
      </c>
      <c r="DB97" s="318" t="str">
        <f>IF(DB$7&gt;$D$3,"",IF(AT97="OD","OD",IF(AT97="Missed","Missed",IF(AT97="TBC","TBC",IF(AT97="Undefined","Undefined",_xlfn.XLOOKUP(DB$7,IT!$M$6:$BM$6,IT!$M$9:$BM$9))))))</f>
        <v>Undefined</v>
      </c>
      <c r="DC97" s="318" t="str">
        <f>IF(DC$7&gt;$D$3,"",IF(AU97="OD","OD",IF(AU97="Missed","Missed",IF(AU97="TBC","TBC",IF(AU97="Undefined","Undefined",_xlfn.XLOOKUP(DC$7,IT!$M$6:$BM$6,IT!$M$9:$BM$9))))))</f>
        <v>Undefined</v>
      </c>
      <c r="DD97" s="318" t="str">
        <f>IF(DD$7&gt;$D$3,"",IF(AV97="OD","OD",IF(AV97="Missed","Missed",IF(AV97="TBC","TBC",IF(AV97="Undefined","Undefined",_xlfn.XLOOKUP(DD$7,IT!$M$6:$BM$6,IT!$M$9:$BM$9))))))</f>
        <v>Undefined</v>
      </c>
      <c r="DE97" s="318" t="str">
        <f>IF(DE$7&gt;$D$3,"",IF(AW97="OD","OD",IF(AW97="Missed","Missed",IF(AW97="TBC","TBC",IF(AW97="Undefined","Undefined",_xlfn.XLOOKUP(DE$7,IT!$M$6:$BM$6,IT!$M$9:$BM$9))))))</f>
        <v>Undefined</v>
      </c>
      <c r="DF97" s="318" t="str">
        <f>IF(DF$7&gt;$D$3,"",IF(AX97="OD","OD",IF(AX97="Missed","Missed",IF(AX97="TBC","TBC",IF(AX97="Undefined","Undefined",_xlfn.XLOOKUP(DF$7,IT!$M$6:$BM$6,IT!$M$9:$BM$9))))))</f>
        <v>Undefined</v>
      </c>
      <c r="DG97" s="318" t="str">
        <f>IF(DG$7&gt;$D$3,"",IF(AY97="OD","OD",IF(AY97="Missed","Missed",IF(AY97="TBC","TBC",IF(AY97="Undefined","Undefined",_xlfn.XLOOKUP(DG$7,IT!$M$6:$BM$6,IT!$M$9:$BM$9))))))</f>
        <v>Undefined</v>
      </c>
      <c r="DH97" s="318" t="str">
        <f>IF(DH$7&gt;$D$3,"",IF(AZ97="OD","OD",IF(AZ97="Missed","Missed",IF(AZ97="TBC","TBC",IF(AZ97="Undefined","Undefined",_xlfn.XLOOKUP(DH$7,IT!$M$6:$BM$6,IT!$M$9:$BM$9))))))</f>
        <v>Undefined</v>
      </c>
      <c r="DI97" s="318" t="str">
        <f>IF(DI$7&gt;$D$3,"",IF(BA97="OD","OD",IF(BA97="Missed","Missed",IF(BA97="TBC","TBC",IF(BA97="Undefined","Undefined",_xlfn.XLOOKUP(DI$7,IT!$M$6:$BM$6,IT!$M$9:$BM$9))))))</f>
        <v>Undefined</v>
      </c>
      <c r="DJ97" s="318" t="str">
        <f>IF(DJ$7&gt;$D$3,"",IF(BB97="OD","OD",IF(BB97="Missed","Missed",IF(BB97="TBC","TBC",IF(BB97="Undefined","Undefined",_xlfn.XLOOKUP(DJ$7,IT!$M$6:$BM$6,IT!$M$9:$BM$9))))))</f>
        <v>Undefined</v>
      </c>
      <c r="DK97" s="318" t="str">
        <f>IF(DK$7&gt;$D$3,"",IF(BC97="OD","OD",IF(BC97="Missed","Missed",IF(BC97="TBC","TBC",IF(BC97="Undefined","Undefined",_xlfn.XLOOKUP(DK$7,IT!$M$6:$BM$6,IT!$M$9:$BM$9))))))</f>
        <v>Undefined</v>
      </c>
      <c r="DL97" s="318" t="str">
        <f>IF(DL$7&gt;$D$3,"",IF(BD97="OD","OD",IF(BD97="Missed","Missed",IF(BD97="TBC","TBC",IF(BD97="Undefined","Undefined",_xlfn.XLOOKUP(DL$7,IT!$M$6:$BM$6,IT!$M$9:$BM$9))))))</f>
        <v>Undefined</v>
      </c>
      <c r="DM97" s="318" t="str">
        <f>IF(DM$7&gt;$D$3,"",IF(BE97="OD","OD",IF(BE97="Missed","Missed",IF(BE97="TBC","TBC",IF(BE97="Undefined","Undefined",_xlfn.XLOOKUP(DM$7,IT!$M$6:$BM$6,IT!$M$9:$BM$9))))))</f>
        <v>Undefined</v>
      </c>
      <c r="DN97" s="318" t="str">
        <f>IF(DN$7&gt;$D$3,"",IF(BF97="OD","OD",IF(BF97="Missed","Missed",IF(BF97="TBC","TBC",IF(BF97="Undefined","Undefined",_xlfn.XLOOKUP(DN$7,IT!$M$6:$BM$6,IT!$M$9:$BM$9))))))</f>
        <v>Undefined</v>
      </c>
      <c r="DO97" s="318" t="str">
        <f>IF(DO$7&gt;$D$3,"",IF(BG97="OD","OD",IF(BG97="Missed","Missed",IF(BG97="TBC","TBC",IF(BG97="Undefined","Undefined",_xlfn.XLOOKUP(DO$7,IT!$M$6:$BM$6,IT!$M$9:$BM$9))))))</f>
        <v>Undefined</v>
      </c>
      <c r="DP97" s="318" t="str">
        <f>IF(DP$7&gt;$D$3,"",IF(BH97="OD","OD",IF(BH97="Missed","Missed",IF(BH97="TBC","TBC",IF(BH97="Undefined","Undefined",_xlfn.XLOOKUP(DP$7,IT!$M$6:$BM$6,IT!$M$9:$BM$9))))))</f>
        <v>Undefined</v>
      </c>
      <c r="DQ97" s="318" t="str">
        <f>IF(DQ$7&gt;$D$3,"",IF(BI97="OD","OD",IF(BI97="Missed","Missed",IF(BI97="TBC","TBC",IF(BI97="Undefined","Undefined",_xlfn.XLOOKUP(DQ$7,IT!$M$6:$BM$6,IT!$M$9:$BM$9))))))</f>
        <v>Undefined</v>
      </c>
      <c r="DR97" s="318" t="str">
        <f>IF(DR$7&gt;$D$3,"",IF(BJ97="OD","OD",IF(BJ97="Missed","Missed",IF(BJ97="TBC","TBC",IF(BJ97="Undefined","Undefined",_xlfn.XLOOKUP(DR$7,IT!$M$6:$BM$6,IT!$M$9:$BM$9))))))</f>
        <v>Undefined</v>
      </c>
      <c r="DS97" s="318" t="str">
        <f>IF(DS$7&gt;$D$3,"",IF(BK97="OD","OD",IF(BK97="Missed","Missed",IF(BK97="TBC","TBC",IF(BK97="Undefined","Undefined",_xlfn.XLOOKUP(DS$7,IT!$M$6:$BM$6,IT!$M$9:$BM$9))))))</f>
        <v>Undefined</v>
      </c>
      <c r="DT97" s="318" t="str">
        <f>IF(DT$7&gt;$D$3,"",IF(BL97="OD","OD",IF(BL97="Missed","Missed",IF(BL97="TBC","TBC",IF(BL97="Undefined","Undefined",_xlfn.XLOOKUP(DT$7,IT!$M$6:$BM$6,IT!$M$9:$BM$9))))))</f>
        <v>Undefined</v>
      </c>
      <c r="DU97" s="318" t="str">
        <f>IF(DU$7&gt;$D$3,"",IF(BM97="OD","OD",IF(BM97="Missed","Missed",IF(BM97="TBC","TBC",IF(BM97="Undefined","Undefined",_xlfn.XLOOKUP(DU$7,IT!$M$6:$BM$6,IT!$M$9:$BM$9))))))</f>
        <v>Undefined</v>
      </c>
      <c r="DV97" s="318" t="str">
        <f>IF(DV$7&gt;$D$3,"",IF(BN97="OD","OD",IF(BN97="Missed","Missed",IF(BN97="TBC","TBC",IF(BN97="Undefined","Undefined",_xlfn.XLOOKUP(DV$7,IT!$M$6:$BM$6,IT!$M$9:$BM$9))))))</f>
        <v>Undefined</v>
      </c>
      <c r="DW97" s="318" t="str">
        <f>IF(DW$7&gt;$D$3,"",IF(BO97="OD","OD",IF(BO97="Missed","Missed",IF(BO97="TBC","TBC",IF(BO97="Undefined","Undefined",_xlfn.XLOOKUP(DW$7,IT!$M$6:$BM$6,IT!$M$9:$BM$9))))))</f>
        <v>Undefined</v>
      </c>
      <c r="DX97" s="318" t="str">
        <f>IF(DX$7&gt;$D$3,"",IF(BP97="OD","OD",IF(BP97="Missed","Missed",IF(BP97="TBC","TBC",IF(BP97="Undefined","Undefined",_xlfn.XLOOKUP(DX$7,IT!$M$6:$BM$6,IT!$M$9:$BM$9))))))</f>
        <v>Undefined</v>
      </c>
      <c r="DY97" s="318" t="str">
        <f>IF(DY$7&gt;$D$3,"",IF(BQ97="OD","OD",IF(BQ97="Missed","Missed",IF(BQ97="TBC","TBC",IF(BQ97="Undefined","Undefined",_xlfn.XLOOKUP(DY$7,IT!$M$6:$BM$6,IT!$M$9:$BM$9))))))</f>
        <v>Undefined</v>
      </c>
      <c r="DZ97" s="318" t="str">
        <f>IF(DZ$7&gt;$D$3,"",IF(BR97="OD","OD",IF(BR97="Missed","Missed",IF(BR97="TBC","TBC",IF(BR97="Undefined","Undefined",_xlfn.XLOOKUP(DZ$7,IT!$M$6:$BM$6,IT!$M$9:$BM$9))))))</f>
        <v>Undefined</v>
      </c>
      <c r="EA97" s="318" t="str">
        <f>IF(EA$7&gt;$D$3,"",IF(BS97="OD","OD",IF(BS97="Missed","Missed",IF(BS97="TBC","TBC",IF(BS97="Undefined","Undefined",_xlfn.XLOOKUP(EA$7,IT!$M$6:$BM$6,IT!$M$9:$BM$9))))))</f>
        <v>Undefined</v>
      </c>
      <c r="EB97" s="318" t="str">
        <f>IF(EB$7&gt;$D$3,"",IF(BT97="OD","OD",IF(BT97="Missed","Missed",IF(BT97="TBC","TBC",IF(BT97="Undefined","Undefined",_xlfn.XLOOKUP(EB$7,IT!$M$6:$BM$6,IT!$M$9:$BM$9))))))</f>
        <v>Undefined</v>
      </c>
      <c r="EC97" s="318" t="str">
        <f>IF(EC$7&gt;$D$3,"",IF(BU97="OD","OD",IF(BU97="Missed","Missed",IF(BU97="TBC","TBC",IF(BU97="Undefined","Undefined",_xlfn.XLOOKUP(EC$7,IT!$M$6:$BM$6,IT!$M$9:$BM$9))))))</f>
        <v>Undefined</v>
      </c>
      <c r="ED97" s="318" t="str">
        <f>IF(ED$7&gt;$D$3,"",IF(BV97="OD","OD",IF(BV97="Missed","Missed",IF(BV97="TBC","TBC",IF(BV97="Undefined","Undefined",_xlfn.XLOOKUP(ED$7,IT!$M$6:$BM$6,IT!$M$9:$BM$9))))))</f>
        <v>Undefined</v>
      </c>
      <c r="EE97" s="318" t="str">
        <f>IF(EE$7&gt;$D$3,"",IF(BW97="OD","OD",IF(BW97="Missed","Missed",IF(BW97="TBC","TBC",IF(BW97="Undefined","Undefined",_xlfn.XLOOKUP(EE$7,IT!$M$6:$BM$6,IT!$M$9:$BM$9))))))</f>
        <v>Undefined</v>
      </c>
      <c r="EF97" s="318" t="str">
        <f>IF(EF$7&gt;$D$3,"",IF(BX97="OD","OD",IF(BX97="Missed","Missed",IF(BX97="TBC","TBC",IF(BX97="Undefined","Undefined",_xlfn.XLOOKUP(EF$7,IT!$M$6:$BM$6,IT!$M$9:$BM$9))))))</f>
        <v>Undefined</v>
      </c>
      <c r="EG97" s="318" t="str">
        <f>IF(EG$7&gt;$D$3,"",IF(BY97="OD","OD",IF(BY97="Missed","Missed",IF(BY97="TBC","TBC",IF(BY97="Undefined","Undefined",_xlfn.XLOOKUP(EG$7,IT!$M$6:$BM$6,IT!$M$9:$BM$9))))))</f>
        <v>Undefined</v>
      </c>
      <c r="EH97" s="318" t="str">
        <f>IF(EH$7&gt;$D$3,"",IF(BZ97="OD","OD",IF(BZ97="Missed","Missed",IF(BZ97="TBC","TBC",IF(BZ97="Undefined","Undefined",_xlfn.XLOOKUP(EH$7,IT!$M$6:$BM$6,IT!$M$9:$BM$9))))))</f>
        <v>Undefined</v>
      </c>
      <c r="EI97" s="318" t="str">
        <f>IF(EI$7&gt;$D$3,"",IF(CA97="OD","OD",IF(CA97="Missed","Missed",IF(CA97="TBC","TBC",IF(CA97="Undefined","Undefined",_xlfn.XLOOKUP(EI$7,IT!$M$6:$BM$6,IT!$M$9:$BM$9))))))</f>
        <v>Undefined</v>
      </c>
      <c r="EJ97" s="318" t="str">
        <f>IF(EJ$7&gt;$D$3,"",IF(CB97="OD","OD",IF(CB97="Missed","Missed",IF(CB97="TBC","TBC",IF(CB97="Undefined","Undefined",_xlfn.XLOOKUP(EJ$7,IT!$M$6:$BM$6,IT!$M$9:$BM$9))))))</f>
        <v>Undefined</v>
      </c>
      <c r="EK97" s="318" t="str">
        <f>IF(EK$7&gt;$D$3,"",IF(CC97="OD","OD",IF(CC97="Missed","Missed",IF(CC97="TBC","TBC",IF(CC97="Undefined","Undefined",_xlfn.XLOOKUP(EK$7,IT!$M$6:$BM$6,IT!$M$9:$BM$9))))))</f>
        <v/>
      </c>
      <c r="EL97" s="318" t="str">
        <f>IF(EL$7&gt;$D$3,"",IF(CD97="OD","OD",IF(CD97="Missed","Missed",IF(CD97="TBC","TBC",IF(CD97="Undefined","Undefined",_xlfn.XLOOKUP(EL$7,IT!$M$6:$BM$6,IT!$M$9:$BM$9))))))</f>
        <v/>
      </c>
      <c r="EM97" s="318" t="str">
        <f>IF(EM$7&gt;$D$3,"",IF(CE97="OD","OD",IF(CE97="Missed","Missed",IF(CE97="TBC","TBC",IF(CE97="Undefined","Undefined",_xlfn.XLOOKUP(EM$7,IT!$M$6:$BM$6,IT!$M$9:$BM$9))))))</f>
        <v/>
      </c>
      <c r="EN97" s="318" t="str">
        <f>IF(EN$7&gt;$D$3,"",IF(CF97="OD","OD",IF(CF97="Missed","Missed",IF(CF97="TBC","TBC",IF(CF97="Undefined","Undefined",_xlfn.XLOOKUP(EN$7,IT!$M$6:$BM$6,IT!$M$9:$BM$9))))))</f>
        <v/>
      </c>
      <c r="EO97" s="318" t="str">
        <f>IF(EO$7&gt;$D$3,"",IF(CG97="OD","OD",IF(CG97="Missed","Missed",IF(CG97="TBC","TBC",IF(CG97="Undefined","Undefined",_xlfn.XLOOKUP(EO$7,IT!$M$6:$BM$6,IT!$M$9:$BM$9))))))</f>
        <v/>
      </c>
      <c r="EP97" s="318" t="str">
        <f>IF(EP$7&gt;$D$3,"",IF(CH97="OD","OD",IF(CH97="Missed","Missed",IF(CH97="TBC","TBC",IF(CH97="Undefined","Undefined",_xlfn.XLOOKUP(EP$7,IT!$M$6:$BM$6,IT!$M$9:$BM$9))))))</f>
        <v/>
      </c>
      <c r="EQ97" s="318" t="str">
        <f>IF(EQ$7&gt;$D$3,"",IF(CI97="OD","OD",IF(CI97="Missed","Missed",IF(CI97="TBC","TBC",IF(CI97="Undefined","Undefined",_xlfn.XLOOKUP(EQ$7,IT!$M$6:$BM$6,IT!$M$9:$BM$9))))))</f>
        <v/>
      </c>
      <c r="ER97" s="318" t="str">
        <f>IF(ER$7&gt;$D$3,"",IF(CJ97="OD","OD",IF(CJ97="Missed","Missed",IF(CJ97="TBC","TBC",IF(CJ97="Undefined","Undefined",_xlfn.XLOOKUP(ER$7,IT!$M$6:$BM$6,IT!$M$9:$BM$9))))))</f>
        <v/>
      </c>
      <c r="ES97" s="318" t="str">
        <f>IF(ES$7&gt;$D$3,"",IF(CK97="OD","OD",IF(CK97="Missed","Missed",IF(CK97="TBC","TBC",IF(CK97="Undefined","Undefined",_xlfn.XLOOKUP(ES$7,IT!$M$6:$BM$6,IT!$M$9:$BM$9))))))</f>
        <v/>
      </c>
      <c r="ET97" s="318" t="str">
        <f>IF(ET$7&gt;$D$3,"",IF(CL97="OD","OD",IF(CL97="Missed","Missed",IF(CL97="TBC","TBC",IF(CL97="Undefined","Undefined",_xlfn.XLOOKUP(ET$7,IT!$M$6:$BM$6,IT!$M$9:$BM$9))))))</f>
        <v/>
      </c>
      <c r="EU97" s="318" t="str">
        <f>IF(EU$7&gt;$D$3,"",IF(CM97="OD","OD",IF(CM97="Missed","Missed",IF(CM97="TBC","TBC",IF(CM97="Undefined","Undefined",_xlfn.XLOOKUP(EU$7,IT!$M$6:$BM$6,IT!$M$9:$BM$9))))))</f>
        <v/>
      </c>
      <c r="EW97" s="465" t="str">
        <f>+$A97</f>
        <v>IT-KPI P1</v>
      </c>
      <c r="EX97" s="133" t="str">
        <f>+$C97</f>
        <v>KPI P1</v>
      </c>
      <c r="EY97" s="142" t="str">
        <f>+$D97</f>
        <v>Productivity</v>
      </c>
      <c r="EZ97" s="142" t="str">
        <f>+$E97</f>
        <v>Downtime</v>
      </c>
      <c r="FA97" s="143" t="str">
        <f>+$F97</f>
        <v>Undefined</v>
      </c>
      <c r="FB97" s="143" t="s">
        <v>251</v>
      </c>
      <c r="FC97" s="211" t="str">
        <f>IF(FC$7&gt;$D$3,"",IF($FA96&lt;FC$7,"OD",_xlfn.XLOOKUP(FC$7,IT!$M$6:$BM$6,IT!$M$9:$BM$9)))</f>
        <v>Blank</v>
      </c>
      <c r="FD97" s="211" t="str">
        <f>IF(FD$7&gt;$D$3,"",IF($FA96&lt;FD$7,"OD",_xlfn.XLOOKUP(FD$7,IT!$M$6:$BM$6,IT!$M$9:$BM$9)))</f>
        <v>Undefined</v>
      </c>
      <c r="FE97" s="211" t="str">
        <f>IF(FE$7&gt;$D$3,"",IF($FA96&lt;FE$7,"OD",_xlfn.XLOOKUP(FE$7,IT!$M$6:$BM$6,IT!$M$9:$BM$9)))</f>
        <v>Undefined</v>
      </c>
      <c r="FF97" s="211" t="str">
        <f>IF(FF$7&gt;$D$3,"",IF($FA96&lt;FF$7,"OD",_xlfn.XLOOKUP(FF$7,IT!$M$6:$BM$6,IT!$M$9:$BM$9)))</f>
        <v>Undefined</v>
      </c>
      <c r="FG97" s="211" t="str">
        <f>IF(FG$7&gt;$D$3,"",IF($FA96&lt;FG$7,"OD",_xlfn.XLOOKUP(FG$7,IT!$M$6:$BM$6,IT!$M$9:$BM$9)))</f>
        <v>Undefined</v>
      </c>
      <c r="FH97" s="211" t="str">
        <f>IF(FH$7&gt;$D$3,"",IF($FA96&lt;FH$7,"OD",_xlfn.XLOOKUP(FH$7,IT!$M$6:$BM$6,IT!$M$9:$BM$9)))</f>
        <v>Undefined</v>
      </c>
      <c r="FI97" s="211" t="str">
        <f>IF(FI$7&gt;$D$3,"",IF($FA96&lt;FI$7,"OD",_xlfn.XLOOKUP(FI$7,IT!$M$6:$BM$6,IT!$M$9:$BM$9)))</f>
        <v>Undefined</v>
      </c>
      <c r="FJ97" s="211" t="str">
        <f>IF(FJ$7&gt;$D$3,"",IF($FA96&lt;FJ$7,"OD",_xlfn.XLOOKUP(FJ$7,IT!$M$6:$BM$6,IT!$M$9:$BM$9)))</f>
        <v>Undefined</v>
      </c>
      <c r="FK97" s="211" t="str">
        <f>IF(FK$7&gt;$D$3,"",IF($FA96&lt;FK$7,"OD",_xlfn.XLOOKUP(FK$7,IT!$M$6:$BM$6,IT!$M$9:$BM$9)))</f>
        <v>Undefined</v>
      </c>
      <c r="FL97" s="211" t="str">
        <f>IF(FL$7&gt;$D$3,"",IF($FA96&lt;FL$7,"OD",_xlfn.XLOOKUP(FL$7,IT!$M$6:$BM$6,IT!$M$9:$BM$9)))</f>
        <v>Undefined</v>
      </c>
      <c r="FM97" s="211" t="str">
        <f>IF(FM$7&gt;$D$3,"",IF($FA96&lt;FM$7,"OD",_xlfn.XLOOKUP(FM$7,IT!$M$6:$BM$6,IT!$M$9:$BM$9)))</f>
        <v>Undefined</v>
      </c>
      <c r="FN97" s="211" t="str">
        <f>IF(FN$7&gt;$D$3,"",IF($FA96&lt;FN$7,"OD",_xlfn.XLOOKUP(FN$7,IT!$M$6:$BM$6,IT!$M$9:$BM$9)))</f>
        <v>Undefined</v>
      </c>
      <c r="FO97" s="211" t="str">
        <f>IF(FO$7&gt;$D$3,"",IF($FA96&lt;FO$7,"OD",_xlfn.XLOOKUP(FO$7,IT!$M$6:$BM$6,IT!$M$9:$BM$9)))</f>
        <v>Undefined</v>
      </c>
      <c r="FP97" s="211" t="str">
        <f>IF(FP$7&gt;$D$3,"",IF($FA96&lt;FP$7,"OD",_xlfn.XLOOKUP(FP$7,IT!$M$6:$BM$6,IT!$M$9:$BM$9)))</f>
        <v>Undefined</v>
      </c>
      <c r="FQ97" s="211" t="str">
        <f>IF(FQ$7&gt;$D$3,"",IF($FA96&lt;FQ$7,"OD",_xlfn.XLOOKUP(FQ$7,IT!$M$6:$BM$6,IT!$M$9:$BM$9)))</f>
        <v>Undefined</v>
      </c>
      <c r="FR97" s="211" t="str">
        <f>IF(FR$7&gt;$D$3,"",IF($FA96&lt;FR$7,"OD",_xlfn.XLOOKUP(FR$7,IT!$M$6:$BM$6,IT!$M$9:$BM$9)))</f>
        <v>Undefined</v>
      </c>
      <c r="FS97" s="211" t="str">
        <f>IF(FS$7&gt;$D$3,"",IF($FA96&lt;FS$7,"OD",_xlfn.XLOOKUP(FS$7,IT!$M$6:$BM$6,IT!$M$9:$BM$9)))</f>
        <v>Undefined</v>
      </c>
      <c r="FT97" s="211" t="str">
        <f>IF(FT$7&gt;$D$3,"",IF($FA96&lt;FT$7,"OD",_xlfn.XLOOKUP(FT$7,IT!$M$6:$BM$6,IT!$M$9:$BM$9)))</f>
        <v>Undefined</v>
      </c>
      <c r="FU97" s="211" t="str">
        <f>IF(FU$7&gt;$D$3,"",IF($FA96&lt;FU$7,"OD",_xlfn.XLOOKUP(FU$7,IT!$M$6:$BM$6,IT!$M$9:$BM$9)))</f>
        <v>Undefined</v>
      </c>
      <c r="FV97" s="211" t="str">
        <f>IF(FV$7&gt;$D$3,"",IF($FA96&lt;FV$7,"OD",_xlfn.XLOOKUP(FV$7,IT!$M$6:$BM$6,IT!$M$9:$BM$9)))</f>
        <v>Undefined</v>
      </c>
      <c r="FW97" s="211" t="str">
        <f>IF(FW$7&gt;$D$3,"",IF($FA96&lt;FW$7,"OD",_xlfn.XLOOKUP(FW$7,IT!$M$6:$BM$6,IT!$M$9:$BM$9)))</f>
        <v>Undefined</v>
      </c>
      <c r="FX97" s="211" t="str">
        <f>IF(FX$7&gt;$D$3,"",IF($FA96&lt;FX$7,"OD",_xlfn.XLOOKUP(FX$7,IT!$M$6:$BM$6,IT!$M$9:$BM$9)))</f>
        <v>Undefined</v>
      </c>
      <c r="FY97" s="211" t="str">
        <f>IF(FY$7&gt;$D$3,"",IF($FA96&lt;FY$7,"OD",_xlfn.XLOOKUP(FY$7,IT!$M$6:$BM$6,IT!$M$9:$BM$9)))</f>
        <v>Undefined</v>
      </c>
      <c r="FZ97" s="211" t="str">
        <f>IF(FZ$7&gt;$D$3,"",IF($FA96&lt;FZ$7,"OD",_xlfn.XLOOKUP(FZ$7,IT!$M$6:$BM$6,IT!$M$9:$BM$9)))</f>
        <v>Undefined</v>
      </c>
      <c r="GA97" s="211" t="str">
        <f>IF(GA$7&gt;$D$3,"",IF($FA96&lt;GA$7,"OD",_xlfn.XLOOKUP(GA$7,IT!$M$6:$BM$6,IT!$M$9:$BM$9)))</f>
        <v>Undefined</v>
      </c>
      <c r="GB97" s="211" t="str">
        <f>IF(GB$7&gt;$D$3,"",IF($FA96&lt;GB$7,"OD",_xlfn.XLOOKUP(GB$7,IT!$M$6:$BM$6,IT!$M$9:$BM$9)))</f>
        <v>Undefined</v>
      </c>
      <c r="GC97" s="211" t="str">
        <f>IF(GC$7&gt;$D$3,"",IF($FA96&lt;GC$7,"OD",_xlfn.XLOOKUP(GC$7,IT!$M$6:$BM$6,IT!$M$9:$BM$9)))</f>
        <v>Undefined</v>
      </c>
      <c r="GD97" s="211" t="str">
        <f>IF(GD$7&gt;$D$3,"",IF($FA96&lt;GD$7,"OD",_xlfn.XLOOKUP(GD$7,IT!$M$6:$BM$6,IT!$M$9:$BM$9)))</f>
        <v>Undefined</v>
      </c>
      <c r="GE97" s="211" t="str">
        <f>IF(GE$7&gt;$D$3,"",IF($FA96&lt;GE$7,"OD",_xlfn.XLOOKUP(GE$7,IT!$M$6:$BM$6,IT!$M$9:$BM$9)))</f>
        <v>Undefined</v>
      </c>
      <c r="GF97" s="211" t="str">
        <f>IF(GF$7&gt;$D$3,"",IF($FA96&lt;GF$7,"OD",_xlfn.XLOOKUP(GF$7,IT!$M$6:$BM$6,IT!$M$9:$BM$9)))</f>
        <v>Undefined</v>
      </c>
      <c r="GG97" s="211" t="str">
        <f>IF(GG$7&gt;$D$3,"",IF($FA96&lt;GG$7,"OD",_xlfn.XLOOKUP(GG$7,IT!$M$6:$BM$6,IT!$M$9:$BM$9)))</f>
        <v>Undefined</v>
      </c>
      <c r="GH97" s="211" t="str">
        <f>IF(GH$7&gt;$D$3,"",IF($FA96&lt;GH$7,"OD",_xlfn.XLOOKUP(GH$7,IT!$M$6:$BM$6,IT!$M$9:$BM$9)))</f>
        <v>Undefined</v>
      </c>
      <c r="GI97" s="211" t="str">
        <f>IF(GI$7&gt;$D$3,"",IF($FA96&lt;GI$7,"OD",_xlfn.XLOOKUP(GI$7,IT!$M$6:$BM$6,IT!$M$9:$BM$9)))</f>
        <v>Undefined</v>
      </c>
      <c r="GJ97" s="211" t="str">
        <f>IF(GJ$7&gt;$D$3,"",IF($FA96&lt;GJ$7,"OD",_xlfn.XLOOKUP(GJ$7,IT!$M$6:$BM$6,IT!$M$9:$BM$9)))</f>
        <v>Undefined</v>
      </c>
      <c r="GK97" s="211" t="str">
        <f>IF(GK$7&gt;$D$3,"",IF($FA96&lt;GK$7,"OD",_xlfn.XLOOKUP(GK$7,IT!$M$6:$BM$6,IT!$M$9:$BM$9)))</f>
        <v>Undefined</v>
      </c>
      <c r="GL97" s="211" t="str">
        <f>IF(GL$7&gt;$D$3,"",IF($FA96&lt;GL$7,"OD",_xlfn.XLOOKUP(GL$7,IT!$M$6:$BM$6,IT!$M$9:$BM$9)))</f>
        <v>Undefined</v>
      </c>
      <c r="GM97" s="211" t="str">
        <f>IF(GM$7&gt;$D$3,"",IF($FA96&lt;GM$7,"OD",_xlfn.XLOOKUP(GM$7,IT!$M$6:$BM$6,IT!$M$9:$BM$9)))</f>
        <v>Undefined</v>
      </c>
      <c r="GN97" s="211" t="str">
        <f>IF(GN$7&gt;$D$3,"",IF($FA96&lt;GN$7,"OD",_xlfn.XLOOKUP(GN$7,IT!$M$6:$BM$6,IT!$M$9:$BM$9)))</f>
        <v>Undefined</v>
      </c>
      <c r="GO97" s="211" t="str">
        <f>IF(GO$7&gt;$D$3,"",IF($FA96&lt;GO$7,"OD",_xlfn.XLOOKUP(GO$7,IT!$M$6:$BM$6,IT!$M$9:$BM$9)))</f>
        <v>Undefined</v>
      </c>
      <c r="GP97" s="211" t="str">
        <f>IF(GP$7&gt;$D$3,"",IF($FA96&lt;GP$7,"OD",_xlfn.XLOOKUP(GP$7,IT!$M$6:$BM$6,IT!$M$9:$BM$9)))</f>
        <v>Undefined</v>
      </c>
      <c r="GQ97" s="211" t="str">
        <f>IF(GQ$7&gt;$D$3,"",IF($FA96&lt;GQ$7,"OD",_xlfn.XLOOKUP(GQ$7,IT!$M$6:$BM$6,IT!$M$9:$BM$9)))</f>
        <v>Undefined</v>
      </c>
      <c r="GR97" s="211" t="str">
        <f>IF(GR$7&gt;$D$3,"",IF($FA96&lt;GR$7,"OD",_xlfn.XLOOKUP(GR$7,IT!$M$6:$BM$6,IT!$M$9:$BM$9)))</f>
        <v>Undefined</v>
      </c>
      <c r="GS97" s="211" t="str">
        <f>IF(GS$7&gt;$D$3,"",IF($FA96&lt;GS$7,"OD",_xlfn.XLOOKUP(GS$7,IT!$M$6:$BM$6,IT!$M$9:$BM$9)))</f>
        <v/>
      </c>
      <c r="GT97" s="211" t="str">
        <f>IF(GT$7&gt;$D$3,"",IF($FA96&lt;GT$7,"OD",_xlfn.XLOOKUP(GT$7,IT!$M$6:$BM$6,IT!$M$9:$BM$9)))</f>
        <v/>
      </c>
      <c r="GU97" s="211" t="str">
        <f>IF(GU$7&gt;$D$3,"",IF($FA96&lt;GU$7,"OD",_xlfn.XLOOKUP(GU$7,IT!$M$6:$BM$6,IT!$M$9:$BM$9)))</f>
        <v/>
      </c>
      <c r="GV97" s="211" t="str">
        <f>IF(GV$7&gt;$D$3,"",IF($FA96&lt;GV$7,"OD",_xlfn.XLOOKUP(GV$7,IT!$M$6:$BM$6,IT!$M$9:$BM$9)))</f>
        <v/>
      </c>
      <c r="GW97" s="211" t="str">
        <f>IF(GW$7&gt;$D$3,"",IF($FA96&lt;GW$7,"OD",_xlfn.XLOOKUP(GW$7,IT!$M$6:$BM$6,IT!$M$9:$BM$9)))</f>
        <v/>
      </c>
      <c r="GX97" s="211" t="str">
        <f>IF(GX$7&gt;$D$3,"",IF($FA96&lt;GX$7,"OD",_xlfn.XLOOKUP(GX$7,IT!$M$6:$BM$6,IT!$M$9:$BM$9)))</f>
        <v/>
      </c>
      <c r="GY97" s="211" t="str">
        <f>IF(GY$7&gt;$D$3,"",IF($FA96&lt;GY$7,"OD",_xlfn.XLOOKUP(GY$7,IT!$M$6:$BM$6,IT!$M$9:$BM$9)))</f>
        <v/>
      </c>
      <c r="GZ97" s="211" t="str">
        <f>IF(GZ$7&gt;$D$3,"",IF($FA96&lt;GZ$7,"OD",_xlfn.XLOOKUP(GZ$7,IT!$M$6:$BM$6,IT!$M$9:$BM$9)))</f>
        <v/>
      </c>
      <c r="HA97" s="211" t="str">
        <f>IF(HA$7&gt;$D$3,"",IF($FA96&lt;HA$7,"OD",_xlfn.XLOOKUP(HA$7,IT!$M$6:$BM$6,IT!$M$9:$BM$9)))</f>
        <v/>
      </c>
      <c r="HB97" s="211" t="str">
        <f>IF(HB$7&gt;$D$3,"",IF($FA96&lt;HB$7,"OD",_xlfn.XLOOKUP(HB$7,IT!$M$6:$BM$6,IT!$M$9:$BM$9)))</f>
        <v/>
      </c>
      <c r="HC97" s="211" t="str">
        <f>IF(HC$7&gt;$D$3,"",IF($FA96&lt;HC$7,"OD",_xlfn.XLOOKUP(HC$7,IT!$M$6:$BM$6,IT!$M$9:$BM$9)))</f>
        <v/>
      </c>
      <c r="HE97" s="133" t="str">
        <f>+$C97</f>
        <v>KPI P1</v>
      </c>
      <c r="HF97" s="142" t="str">
        <f>+$D97</f>
        <v>Productivity</v>
      </c>
      <c r="HG97" s="142" t="str">
        <f>+$E97</f>
        <v>Downtime</v>
      </c>
      <c r="HH97" s="143" t="str">
        <f>+$F97</f>
        <v>Undefined</v>
      </c>
      <c r="HI97" s="143" t="s">
        <v>44</v>
      </c>
      <c r="HJ97" s="211">
        <f>IF(HJ$7&gt;$D$3,"",IF($FA96&lt;HJ$7,"OD",_xlfn.XLOOKUP(HJ$7,IT!$M$6:$BM$6,IT!$M$8:$BM$8)))</f>
        <v>0</v>
      </c>
      <c r="HK97" s="211" t="str">
        <f>IF(HK$7&gt;$D$3,"",IF($FA96&lt;HK$7,"OD",_xlfn.XLOOKUP(HK$7,IT!$M$6:$BM$6,IT!$M$8:$BM$8)))</f>
        <v>Undefined</v>
      </c>
      <c r="HL97" s="225" t="str">
        <f>IF(HL$7&gt;$D$3,"",IF($FA96&lt;HL$7,"OD",_xlfn.XLOOKUP(HL$7,IT!$M$6:$BM$6,IT!$M$8:$BM$8)))</f>
        <v>Undefined</v>
      </c>
      <c r="HM97" s="225" t="str">
        <f>IF(HM$7&gt;$D$3,"",IF($FA96&lt;HM$7,"OD",_xlfn.XLOOKUP(HM$7,IT!$M$6:$BM$6,IT!$M$8:$BM$8)))</f>
        <v>Undefined</v>
      </c>
      <c r="HN97" s="225" t="str">
        <f>IF(HN$7&gt;$D$3,"",IF($FA96&lt;HN$7,"OD",_xlfn.XLOOKUP(HN$7,IT!$M$6:$BM$6,IT!$M$8:$BM$8)))</f>
        <v>Undefined</v>
      </c>
      <c r="HO97" s="225" t="str">
        <f>IF(HO$7&gt;$D$3,"",IF($FA96&lt;HO$7,"OD",_xlfn.XLOOKUP(HO$7,IT!$M$6:$BM$6,IT!$M$8:$BM$8)))</f>
        <v>Undefined</v>
      </c>
      <c r="HP97" s="225" t="str">
        <f>IF(HP$7&gt;$D$3,"",IF($FA96&lt;HP$7,"OD",_xlfn.XLOOKUP(HP$7,IT!$M$6:$BM$6,IT!$M$8:$BM$8)))</f>
        <v>Undefined</v>
      </c>
      <c r="HQ97" s="225" t="str">
        <f>IF(HQ$7&gt;$D$3,"",IF($FA96&lt;HQ$7,"OD",_xlfn.XLOOKUP(HQ$7,IT!$M$6:$BM$6,IT!$M$8:$BM$8)))</f>
        <v>Undefined</v>
      </c>
      <c r="HR97" s="225" t="str">
        <f>IF(HR$7&gt;$D$3,"",IF($FA96&lt;HR$7,"OD",_xlfn.XLOOKUP(HR$7,IT!$M$6:$BM$6,IT!$M$8:$BM$8)))</f>
        <v>Undefined</v>
      </c>
      <c r="HS97" s="225" t="str">
        <f>IF(HS$7&gt;$D$3,"",IF($FA96&lt;HS$7,"OD",_xlfn.XLOOKUP(HS$7,IT!$M$6:$BM$6,IT!$M$8:$BM$8)))</f>
        <v>Undefined</v>
      </c>
      <c r="HT97" s="225" t="str">
        <f>IF(HT$7&gt;$D$3,"",IF($FA96&lt;HT$7,"OD",_xlfn.XLOOKUP(HT$7,IT!$M$6:$BM$6,IT!$M$8:$BM$8)))</f>
        <v>Undefined</v>
      </c>
      <c r="HU97" s="225" t="str">
        <f>IF(HU$7&gt;$D$3,"",IF($FA96&lt;HU$7,"OD",_xlfn.XLOOKUP(HU$7,IT!$M$6:$BM$6,IT!$M$8:$BM$8)))</f>
        <v>Undefined</v>
      </c>
      <c r="HV97" s="225" t="str">
        <f>IF(HV$7&gt;$D$3,"",IF($FA96&lt;HV$7,"OD",_xlfn.XLOOKUP(HV$7,IT!$M$6:$BM$6,IT!$M$8:$BM$8)))</f>
        <v>Undefined</v>
      </c>
      <c r="HW97" s="225" t="str">
        <f>IF(HW$7&gt;$D$3,"",IF($FA96&lt;HW$7,"OD",_xlfn.XLOOKUP(HW$7,IT!$M$6:$BM$6,IT!$M$8:$BM$8)))</f>
        <v>Undefined</v>
      </c>
      <c r="HX97" s="225" t="str">
        <f>IF(HX$7&gt;$D$3,"",IF($FA96&lt;HX$7,"OD",_xlfn.XLOOKUP(HX$7,IT!$M$6:$BM$6,IT!$M$8:$BM$8)))</f>
        <v>Undefined</v>
      </c>
      <c r="HY97" s="225" t="str">
        <f>IF(HY$7&gt;$D$3,"",IF($FA96&lt;HY$7,"OD",_xlfn.XLOOKUP(HY$7,IT!$M$6:$BM$6,IT!$M$8:$BM$8)))</f>
        <v>Undefined</v>
      </c>
      <c r="HZ97" s="225" t="str">
        <f>IF(HZ$7&gt;$D$3,"",IF($FA96&lt;HZ$7,"OD",_xlfn.XLOOKUP(HZ$7,IT!$M$6:$BM$6,IT!$M$8:$BM$8)))</f>
        <v>Undefined</v>
      </c>
      <c r="IA97" s="225" t="str">
        <f>IF(IA$7&gt;$D$3,"",IF($FA96&lt;IA$7,"OD",_xlfn.XLOOKUP(IA$7,IT!$M$6:$BM$6,IT!$M$8:$BM$8)))</f>
        <v>Undefined</v>
      </c>
      <c r="IB97" s="225" t="str">
        <f>IF(IB$7&gt;$D$3,"",IF($FA96&lt;IB$7,"OD",_xlfn.XLOOKUP(IB$7,IT!$M$6:$BM$6,IT!$M$8:$BM$8)))</f>
        <v>Undefined</v>
      </c>
      <c r="IC97" s="225" t="str">
        <f>IF(IC$7&gt;$D$3,"",IF($FA96&lt;IC$7,"OD",_xlfn.XLOOKUP(IC$7,IT!$M$6:$BM$6,IT!$M$8:$BM$8)))</f>
        <v>Undefined</v>
      </c>
      <c r="ID97" s="225" t="str">
        <f>IF(ID$7&gt;$D$3,"",IF($FA96&lt;ID$7,"OD",_xlfn.XLOOKUP(ID$7,IT!$M$6:$BM$6,IT!$M$8:$BM$8)))</f>
        <v>Undefined</v>
      </c>
      <c r="IE97" s="225" t="str">
        <f>IF(IE$7&gt;$D$3,"",IF($FA96&lt;IE$7,"OD",_xlfn.XLOOKUP(IE$7,IT!$M$6:$BM$6,IT!$M$8:$BM$8)))</f>
        <v>Undefined</v>
      </c>
      <c r="IF97" s="225" t="str">
        <f>IF(IF$7&gt;$D$3,"",IF($FA96&lt;IF$7,"OD",_xlfn.XLOOKUP(IF$7,IT!$M$6:$BM$6,IT!$M$8:$BM$8)))</f>
        <v>Undefined</v>
      </c>
      <c r="IG97" s="225" t="str">
        <f>IF(IG$7&gt;$D$3,"",IF($FA96&lt;IG$7,"OD",_xlfn.XLOOKUP(IG$7,IT!$M$6:$BM$6,IT!$M$8:$BM$8)))</f>
        <v>undefined</v>
      </c>
      <c r="IH97" s="225" t="str">
        <f>IF(IH$7&gt;$D$3,"",IF($FA96&lt;IH$7,"OD",_xlfn.XLOOKUP(IH$7,IT!$M$6:$BM$6,IT!$M$8:$BM$8)))</f>
        <v>undefined</v>
      </c>
      <c r="II97" s="225" t="str">
        <f>IF(II$7&gt;$D$3,"",IF($FA96&lt;II$7,"OD",_xlfn.XLOOKUP(II$7,IT!$M$6:$BM$6,IT!$M$8:$BM$8)))</f>
        <v>undefined</v>
      </c>
      <c r="IJ97" s="225" t="str">
        <f>IF(IJ$7&gt;$D$3,"",IF($FA96&lt;IJ$7,"OD",_xlfn.XLOOKUP(IJ$7,IT!$M$6:$BM$6,IT!$M$8:$BM$8)))</f>
        <v>undefined</v>
      </c>
      <c r="IK97" s="225" t="str">
        <f>IF(IK$7&gt;$D$3,"",IF($FA96&lt;IK$7,"OD",_xlfn.XLOOKUP(IK$7,IT!$M$6:$BM$6,IT!$M$8:$BM$8)))</f>
        <v>undefined</v>
      </c>
      <c r="IL97" s="225" t="str">
        <f>IF(IL$7&gt;$D$3,"",IF($FA96&lt;IL$7,"OD",_xlfn.XLOOKUP(IL$7,IT!$M$6:$BM$6,IT!$M$8:$BM$8)))</f>
        <v>undefined</v>
      </c>
      <c r="IM97" s="225" t="str">
        <f>IF(IM$7&gt;$D$3,"",IF($FA96&lt;IM$7,"OD",_xlfn.XLOOKUP(IM$7,IT!$M$6:$BM$6,IT!$M$8:$BM$8)))</f>
        <v>undefined</v>
      </c>
      <c r="IN97" s="225" t="str">
        <f>IF(IN$7&gt;$D$3,"",IF($FA96&lt;IN$7,"OD",_xlfn.XLOOKUP(IN$7,IT!$M$6:$BM$6,IT!$M$8:$BM$8)))</f>
        <v>undefined</v>
      </c>
      <c r="IO97" s="225" t="str">
        <f>IF(IO$7&gt;$D$3,"",IF($FA96&lt;IO$7,"OD",_xlfn.XLOOKUP(IO$7,IT!$M$6:$BM$6,IT!$M$8:$BM$8)))</f>
        <v>undefined</v>
      </c>
      <c r="IP97" s="225" t="str">
        <f>IF(IP$7&gt;$D$3,"",IF($FA96&lt;IP$7,"OD",_xlfn.XLOOKUP(IP$7,IT!$M$6:$BM$6,IT!$M$8:$BM$8)))</f>
        <v>undefined</v>
      </c>
      <c r="IQ97" s="225" t="str">
        <f>IF(IQ$7&gt;$D$3,"",IF($FA96&lt;IQ$7,"OD",_xlfn.XLOOKUP(IQ$7,IT!$M$6:$BM$6,IT!$M$8:$BM$8)))</f>
        <v>undefined</v>
      </c>
      <c r="IR97" s="225" t="str">
        <f>IF(IR$7&gt;$D$3,"",IF($FA96&lt;IR$7,"OD",_xlfn.XLOOKUP(IR$7,IT!$M$6:$BM$6,IT!$M$8:$BM$8)))</f>
        <v>undefined</v>
      </c>
      <c r="IS97" s="225" t="str">
        <f>IF(IS$7&gt;$D$3,"",IF($FA96&lt;IS$7,"OD",_xlfn.XLOOKUP(IS$7,IT!$M$6:$BM$6,IT!$M$8:$BM$8)))</f>
        <v>undefined</v>
      </c>
      <c r="IT97" s="225" t="str">
        <f>IF(IT$7&gt;$D$3,"",IF($FA96&lt;IT$7,"OD",_xlfn.XLOOKUP(IT$7,IT!$M$6:$BM$6,IT!$M$8:$BM$8)))</f>
        <v>undefined</v>
      </c>
      <c r="IU97" s="225" t="str">
        <f>IF(IU$7&gt;$D$3,"",IF($FA96&lt;IU$7,"OD",_xlfn.XLOOKUP(IU$7,IT!$M$6:$BM$6,IT!$M$8:$BM$8)))</f>
        <v>undefined</v>
      </c>
      <c r="IV97" s="225" t="str">
        <f>IF(IV$7&gt;$D$3,"",IF($FA96&lt;IV$7,"OD",_xlfn.XLOOKUP(IV$7,IT!$M$6:$BM$6,IT!$M$8:$BM$8)))</f>
        <v>undefined</v>
      </c>
      <c r="IW97" s="225" t="str">
        <f>IF(IW$7&gt;$D$3,"",IF($FA96&lt;IW$7,"OD",_xlfn.XLOOKUP(IW$7,IT!$M$6:$BM$6,IT!$M$8:$BM$8)))</f>
        <v>undefined</v>
      </c>
      <c r="IX97" s="225" t="str">
        <f>IF(IX$7&gt;$D$3,"",IF($FA96&lt;IX$7,"OD",_xlfn.XLOOKUP(IX$7,IT!$M$6:$BM$6,IT!$M$8:$BM$8)))</f>
        <v>undefined</v>
      </c>
      <c r="IY97" s="225" t="str">
        <f>IF(IY$7&gt;$D$3,"",IF($FA96&lt;IY$7,"OD",_xlfn.XLOOKUP(IY$7,IT!$M$6:$BM$6,IT!$M$8:$BM$8)))</f>
        <v>undefined</v>
      </c>
      <c r="IZ97" s="225" t="str">
        <f>IF(IZ$7&gt;$D$3,"",IF($FA96&lt;IZ$7,"OD",_xlfn.XLOOKUP(IZ$7,IT!$M$6:$BM$6,IT!$M$8:$BM$8)))</f>
        <v/>
      </c>
      <c r="JA97" s="225" t="str">
        <f>IF(JA$7&gt;$D$3,"",IF($FA96&lt;JA$7,"OD",_xlfn.XLOOKUP(JA$7,IT!$M$6:$BM$6,IT!$M$8:$BM$8)))</f>
        <v/>
      </c>
      <c r="JB97" s="225" t="str">
        <f>IF(JB$7&gt;$D$3,"",IF($FA96&lt;JB$7,"OD",_xlfn.XLOOKUP(JB$7,IT!$M$6:$BM$6,IT!$M$8:$BM$8)))</f>
        <v/>
      </c>
      <c r="JC97" s="225" t="str">
        <f>IF(JC$7&gt;$D$3,"",IF($FA96&lt;JC$7,"OD",_xlfn.XLOOKUP(JC$7,IT!$M$6:$BM$6,IT!$M$8:$BM$8)))</f>
        <v/>
      </c>
      <c r="JD97" s="225" t="str">
        <f>IF(JD$7&gt;$D$3,"",IF($FA96&lt;JD$7,"OD",_xlfn.XLOOKUP(JD$7,IT!$M$6:$BM$6,IT!$M$8:$BM$8)))</f>
        <v/>
      </c>
      <c r="JE97" s="225" t="str">
        <f>IF(JE$7&gt;$D$3,"",IF($FA96&lt;JE$7,"OD",_xlfn.XLOOKUP(JE$7,IT!$M$6:$BM$6,IT!$M$8:$BM$8)))</f>
        <v/>
      </c>
      <c r="JF97" s="225" t="str">
        <f>IF(JF$7&gt;$D$3,"",IF($FA96&lt;JF$7,"OD",_xlfn.XLOOKUP(JF$7,IT!$M$6:$BM$6,IT!$M$8:$BM$8)))</f>
        <v/>
      </c>
      <c r="JG97" s="225" t="str">
        <f>IF(JG$7&gt;$D$3,"",IF($FA96&lt;JG$7,"OD",_xlfn.XLOOKUP(JG$7,IT!$M$6:$BM$6,IT!$M$8:$BM$8)))</f>
        <v/>
      </c>
      <c r="JH97" s="225" t="str">
        <f>IF(JH$7&gt;$D$3,"",IF($FA96&lt;JH$7,"OD",_xlfn.XLOOKUP(JH$7,IT!$M$6:$BM$6,IT!$M$8:$BM$8)))</f>
        <v/>
      </c>
      <c r="JI97" s="225" t="str">
        <f>IF(JI$7&gt;$D$3,"",IF($FA96&lt;JI$7,"OD",_xlfn.XLOOKUP(JI$7,IT!$M$6:$BM$6,IT!$M$8:$BM$8)))</f>
        <v/>
      </c>
      <c r="JJ97" s="225" t="str">
        <f>IF(JJ$7&gt;$D$3,"",IF($FA96&lt;JJ$7,"OD",_xlfn.XLOOKUP(JJ$7,IT!$M$6:$BM$6,IT!$M$8:$BM$8)))</f>
        <v/>
      </c>
      <c r="JM97" s="133" t="str">
        <f>+$C97</f>
        <v>KPI P1</v>
      </c>
      <c r="JN97" s="142" t="str">
        <f>+$D97</f>
        <v>Productivity</v>
      </c>
      <c r="JO97" s="142" t="str">
        <f>+$E97</f>
        <v>Downtime</v>
      </c>
      <c r="JP97" s="143" t="str">
        <f>+$F97</f>
        <v>Undefined</v>
      </c>
      <c r="JQ97" s="143" t="s">
        <v>284</v>
      </c>
      <c r="JR97" s="225" t="str">
        <f>IFERROR(AVERAGE(FC97:$FC97),"")</f>
        <v/>
      </c>
      <c r="JS97" s="225" t="str">
        <f>IFERROR(AVERAGE($FC97:FD97),"")</f>
        <v/>
      </c>
      <c r="JT97" s="225" t="str">
        <f>IFERROR(AVERAGE($FC97:FE97),"")</f>
        <v/>
      </c>
      <c r="JU97" s="225" t="str">
        <f>IFERROR(AVERAGE($FC97:FF97),"")</f>
        <v/>
      </c>
      <c r="JV97" s="225" t="str">
        <f>IFERROR(AVERAGE($FC97:FG97),"")</f>
        <v/>
      </c>
      <c r="JW97" s="225" t="str">
        <f>IFERROR(AVERAGE($FC97:FH97),"")</f>
        <v/>
      </c>
      <c r="JX97" s="225" t="str">
        <f>IFERROR(AVERAGE($FC97:FI97),"")</f>
        <v/>
      </c>
      <c r="JY97" s="225" t="str">
        <f>IFERROR(AVERAGE($FC97:FJ97),"")</f>
        <v/>
      </c>
      <c r="JZ97" s="225" t="str">
        <f>IFERROR(AVERAGE($FC97:FK97),"")</f>
        <v/>
      </c>
      <c r="KA97" s="225" t="str">
        <f>IFERROR(AVERAGE($FC97:FL97),"")</f>
        <v/>
      </c>
      <c r="KB97" s="225" t="str">
        <f>IFERROR(AVERAGE($FC97:FM97),"")</f>
        <v/>
      </c>
      <c r="KC97" s="225" t="str">
        <f>IFERROR(AVERAGE($FC97:FN97),"")</f>
        <v/>
      </c>
      <c r="KD97" s="225" t="str">
        <f>IFERROR(AVERAGE($FC97:FO97),"")</f>
        <v/>
      </c>
      <c r="KE97" s="225" t="str">
        <f>IFERROR(AVERAGE($FC97:FP97),"")</f>
        <v/>
      </c>
      <c r="KF97" s="225" t="str">
        <f>IFERROR(AVERAGE($FC97:FQ97),"")</f>
        <v/>
      </c>
      <c r="KG97" s="225" t="str">
        <f>IFERROR(AVERAGE($FC97:FR97),"")</f>
        <v/>
      </c>
      <c r="KH97" s="225" t="str">
        <f>IFERROR(AVERAGE($FC97:FS97),"")</f>
        <v/>
      </c>
      <c r="KI97" s="225" t="str">
        <f>IFERROR(AVERAGE($FC97:FT97),"")</f>
        <v/>
      </c>
      <c r="KJ97" s="225" t="str">
        <f>IFERROR(AVERAGE($FC97:FU97),"")</f>
        <v/>
      </c>
      <c r="KK97" s="225" t="str">
        <f>IFERROR(AVERAGE($FC97:FV97),"")</f>
        <v/>
      </c>
      <c r="KL97" s="225" t="str">
        <f>IFERROR(AVERAGE($FC97:FW97),"")</f>
        <v/>
      </c>
      <c r="KM97" s="225" t="str">
        <f>IFERROR(AVERAGE($FC97:FX97),"")</f>
        <v/>
      </c>
      <c r="KN97" s="225" t="str">
        <f>IFERROR(AVERAGE($FC97:FY97),"")</f>
        <v/>
      </c>
      <c r="KO97" s="225" t="str">
        <f>IFERROR(AVERAGE($FC97:FZ97),"")</f>
        <v/>
      </c>
      <c r="KP97" s="225" t="str">
        <f>IFERROR(AVERAGE($FC97:GA97),"")</f>
        <v/>
      </c>
      <c r="KQ97" s="225" t="str">
        <f>IFERROR(AVERAGE($FC97:GB97),"")</f>
        <v/>
      </c>
      <c r="KR97" s="225" t="str">
        <f>IFERROR(AVERAGE($FC97:GC97),"")</f>
        <v/>
      </c>
      <c r="KS97" s="225" t="str">
        <f>IFERROR(AVERAGE($FC97:GD97),"")</f>
        <v/>
      </c>
      <c r="KT97" s="225" t="str">
        <f>IFERROR(AVERAGE($FC97:GE97),"")</f>
        <v/>
      </c>
      <c r="KU97" s="225" t="str">
        <f>IFERROR(AVERAGE($FC97:GF97),"")</f>
        <v/>
      </c>
      <c r="KV97" s="225" t="str">
        <f>IFERROR(AVERAGE($FC97:GG97),"")</f>
        <v/>
      </c>
      <c r="KW97" s="225" t="str">
        <f>IFERROR(AVERAGE($FC97:GH97),"")</f>
        <v/>
      </c>
      <c r="KX97" s="225" t="str">
        <f>IFERROR(AVERAGE($FC97:GI97),"")</f>
        <v/>
      </c>
      <c r="KY97" s="225" t="str">
        <f>IFERROR(AVERAGE($FC97:GJ97),"")</f>
        <v/>
      </c>
      <c r="KZ97" s="225" t="str">
        <f>IFERROR(AVERAGE($FC97:GK97),"")</f>
        <v/>
      </c>
      <c r="LA97" s="225" t="str">
        <f>IFERROR(AVERAGE($FC97:GL97),"")</f>
        <v/>
      </c>
      <c r="LB97" s="225" t="str">
        <f>IFERROR(AVERAGE($FC97:GM97),"")</f>
        <v/>
      </c>
      <c r="LC97" s="225" t="str">
        <f>IFERROR(AVERAGE($FC97:GN97),"")</f>
        <v/>
      </c>
      <c r="LD97" s="225" t="str">
        <f>IFERROR(AVERAGE($FC97:GO97),"")</f>
        <v/>
      </c>
      <c r="LE97" s="225" t="str">
        <f>IFERROR(AVERAGE($FC97:GP97),"")</f>
        <v/>
      </c>
      <c r="LF97" s="225" t="str">
        <f>IFERROR(AVERAGE($FC97:GQ97),"")</f>
        <v/>
      </c>
      <c r="LG97" s="225" t="str">
        <f>IFERROR(AVERAGE($FC97:GR97),"")</f>
        <v/>
      </c>
      <c r="LH97" s="225" t="str">
        <f>IFERROR(AVERAGE($FC97:GS97),"")</f>
        <v/>
      </c>
      <c r="LI97" s="225" t="str">
        <f>IFERROR(AVERAGE($FC97:GT97),"")</f>
        <v/>
      </c>
      <c r="LJ97" s="225" t="str">
        <f>IFERROR(AVERAGE($FC97:GU97),"")</f>
        <v/>
      </c>
      <c r="LK97" s="225" t="str">
        <f>IFERROR(AVERAGE($FC97:GV97),"")</f>
        <v/>
      </c>
      <c r="LL97" s="225" t="str">
        <f>IFERROR(AVERAGE($FC97:GW97),"")</f>
        <v/>
      </c>
      <c r="LM97" s="225" t="str">
        <f>IFERROR(AVERAGE($FC97:GX97),"")</f>
        <v/>
      </c>
      <c r="LN97" s="225" t="str">
        <f>IFERROR(AVERAGE($FC97:GY97),"")</f>
        <v/>
      </c>
      <c r="LO97" s="225" t="str">
        <f>IFERROR(AVERAGE($FC97:GZ97),"")</f>
        <v/>
      </c>
      <c r="LP97" s="225" t="str">
        <f>IFERROR(AVERAGE($FC97:HA97),"")</f>
        <v/>
      </c>
      <c r="LQ97" s="225" t="str">
        <f>IFERROR(AVERAGE($FC97:HB97),"")</f>
        <v/>
      </c>
      <c r="LR97" s="225" t="str">
        <f>IFERROR(AVERAGE($FC97:HC97),"")</f>
        <v/>
      </c>
      <c r="LT97" s="133" t="str">
        <f>+$C97</f>
        <v>KPI P1</v>
      </c>
      <c r="LU97" s="142" t="str">
        <f>+$D97</f>
        <v>Productivity</v>
      </c>
      <c r="LV97" s="142" t="str">
        <f>+$E97</f>
        <v>Downtime</v>
      </c>
      <c r="LW97" s="143" t="str">
        <f>+$F97</f>
        <v>Undefined</v>
      </c>
      <c r="LX97" s="143" t="s">
        <v>285</v>
      </c>
      <c r="LY97" s="211">
        <f>IFERROR(AVERAGE($HJ97:HJ97),"")</f>
        <v>0</v>
      </c>
      <c r="LZ97" s="211">
        <f>IFERROR(IF(LAD$7&gt;$D$3,"",AVERAGE($HJ97:HK97)),"")</f>
        <v>0</v>
      </c>
      <c r="MA97" s="211">
        <f>IFERROR(IF(MA$7&gt;$D$3,"",AVERAGE($HJ97:HL97)),"")</f>
        <v>0</v>
      </c>
      <c r="MB97" s="211">
        <f>IFERROR(IF(MB$7&gt;$D$3,"",AVERAGE($HJ97:HM97)),"")</f>
        <v>0</v>
      </c>
      <c r="MC97" s="211">
        <f>IFERROR(IF(MC$7&gt;$D$3,"",AVERAGE($HJ97:HN97)),"")</f>
        <v>0</v>
      </c>
      <c r="MD97" s="211">
        <f>IFERROR(IF(MD$7&gt;$D$3,"",AVERAGE($HJ97:HO97)),"")</f>
        <v>0</v>
      </c>
      <c r="ME97" s="211">
        <f>IFERROR(IF(ME$7&gt;$D$3,"",AVERAGE($HJ97:HP97)),"")</f>
        <v>0</v>
      </c>
      <c r="MF97" s="211">
        <f>IFERROR(IF(MF$7&gt;$D$3,"",AVERAGE($HJ97:HQ97)),"")</f>
        <v>0</v>
      </c>
      <c r="MG97" s="211">
        <f>IFERROR(IF(MG$7&gt;$D$3,"",AVERAGE($HJ97:HR97)),"")</f>
        <v>0</v>
      </c>
      <c r="MH97" s="211">
        <f>IFERROR(IF(MH$7&gt;$D$3,"",AVERAGE($HJ97:HS97)),"")</f>
        <v>0</v>
      </c>
      <c r="MI97" s="211">
        <f>IFERROR(IF(MI$7&gt;$D$3,"",AVERAGE($HJ97:HT97)),"")</f>
        <v>0</v>
      </c>
      <c r="MJ97" s="211">
        <f>IFERROR(IF(MJ$7&gt;$D$3,"",AVERAGE($HJ97:HU97)),"")</f>
        <v>0</v>
      </c>
      <c r="MK97" s="211">
        <f>IFERROR(IF(MK$7&gt;$D$3,"",AVERAGE($HJ97:HV97)),"")</f>
        <v>0</v>
      </c>
      <c r="ML97" s="211">
        <f>IFERROR(IF(ML$7&gt;$D$3,"",AVERAGE($HJ97:HW97)),"")</f>
        <v>0</v>
      </c>
      <c r="MM97" s="211">
        <f>IFERROR(IF(MM$7&gt;$D$3,"",AVERAGE($HJ97:HX97)),"")</f>
        <v>0</v>
      </c>
      <c r="MN97" s="211">
        <f>IFERROR(IF(MN$7&gt;$D$3,"",AVERAGE($HJ97:HY97)),"")</f>
        <v>0</v>
      </c>
      <c r="MO97" s="211">
        <f>IFERROR(IF(MO$7&gt;$D$3,"",AVERAGE($HJ97:HZ97)),"")</f>
        <v>0</v>
      </c>
      <c r="MP97" s="211">
        <f>IFERROR(IF(MP$7&gt;$D$3,"",AVERAGE($HJ97:IA97)),"")</f>
        <v>0</v>
      </c>
      <c r="MQ97" s="211">
        <f>IFERROR(IF(MQ$7&gt;$D$3,"",AVERAGE($HJ97:IB97)),"")</f>
        <v>0</v>
      </c>
      <c r="MR97" s="211">
        <f>IFERROR(IF(MR$7&gt;$D$3,"",AVERAGE($HJ97:IC97)),"")</f>
        <v>0</v>
      </c>
      <c r="MS97" s="211">
        <f>IFERROR(IF(MS$7&gt;$D$3,"",AVERAGE($HJ97:ID97)),"")</f>
        <v>0</v>
      </c>
      <c r="MT97" s="211">
        <f>IFERROR(IF(MT$7&gt;$D$3,"",AVERAGE($HJ97:IE97)),"")</f>
        <v>0</v>
      </c>
      <c r="MU97" s="211">
        <f>IFERROR(IF(MU$7&gt;$D$3,"",AVERAGE($HJ97:IF97)),"")</f>
        <v>0</v>
      </c>
      <c r="MV97" s="211">
        <f>IFERROR(IF(MV$7&gt;$D$3,"",AVERAGE($HJ97:IG97)),"")</f>
        <v>0</v>
      </c>
      <c r="MW97" s="211">
        <f>IFERROR(IF(MW$7&gt;$D$3,"",AVERAGE($HJ97:IH97)),"")</f>
        <v>0</v>
      </c>
      <c r="MX97" s="211">
        <f>IFERROR(IF(MX$7&gt;$D$3,"",AVERAGE($HJ97:II97)),"")</f>
        <v>0</v>
      </c>
      <c r="MY97" s="211">
        <f>IFERROR(IF(MY$7&gt;$D$3,"",AVERAGE($HJ97:IJ97)),"")</f>
        <v>0</v>
      </c>
      <c r="MZ97" s="211">
        <f>IFERROR(IF(MZ$7&gt;$D$3,"",AVERAGE($HJ97:IK97)),"")</f>
        <v>0</v>
      </c>
      <c r="NA97" s="211">
        <f>IFERROR(IF(NA$7&gt;$D$3,"",AVERAGE($HJ97:IL97)),"")</f>
        <v>0</v>
      </c>
      <c r="NB97" s="211">
        <f>IFERROR(IF(NB$7&gt;$D$3,"",AVERAGE($HJ97:IM97)),"")</f>
        <v>0</v>
      </c>
      <c r="NC97" s="211">
        <f>IFERROR(IF(NC$7&gt;$D$3,"",AVERAGE($HJ97:IN97)),"")</f>
        <v>0</v>
      </c>
      <c r="ND97" s="211">
        <f>IFERROR(IF(ND$7&gt;$D$3,"",AVERAGE($HJ97:IO97)),"")</f>
        <v>0</v>
      </c>
      <c r="NE97" s="211">
        <f>IFERROR(IF(NE$7&gt;$D$3,"",AVERAGE($HJ97:IP97)),"")</f>
        <v>0</v>
      </c>
      <c r="NF97" s="211">
        <f>IFERROR(IF(NF$7&gt;$D$3,"",AVERAGE($HJ97:IQ97)),"")</f>
        <v>0</v>
      </c>
      <c r="NG97" s="211">
        <f>IFERROR(IF(NG$7&gt;$D$3,"",AVERAGE($HJ97:IR97)),"")</f>
        <v>0</v>
      </c>
      <c r="NH97" s="211">
        <f>IFERROR(IF(NH$7&gt;$D$3,"",AVERAGE($HJ97:IS97)),"")</f>
        <v>0</v>
      </c>
      <c r="NI97" s="211">
        <f>IFERROR(IF(NI$7&gt;$D$3,"",AVERAGE($HJ97:IT97)),"")</f>
        <v>0</v>
      </c>
      <c r="NJ97" s="211">
        <f>IFERROR(IF(NJ$7&gt;$D$3,"",AVERAGE($HJ97:IU97)),"")</f>
        <v>0</v>
      </c>
      <c r="NK97" s="211">
        <f>IFERROR(IF(NK$7&gt;$D$3,"",AVERAGE($HJ97:IV97)),"")</f>
        <v>0</v>
      </c>
      <c r="NL97" s="211">
        <f>IFERROR(IF(NL$7&gt;$D$3,"",AVERAGE($HJ97:IW97)),"")</f>
        <v>0</v>
      </c>
      <c r="NM97" s="211">
        <f>IFERROR(IF(NM$7&gt;$D$3,"",AVERAGE($HJ97:IX97)),"")</f>
        <v>0</v>
      </c>
      <c r="NN97" s="211">
        <f>IFERROR(IF(NN$7&gt;$D$3,"",AVERAGE($HJ97:IY97)),"")</f>
        <v>0</v>
      </c>
      <c r="NO97" s="211" t="str">
        <f>IFERROR(IF(NO$7&gt;$D$3,"",AVERAGE($HJ97:IZ97)),"")</f>
        <v/>
      </c>
      <c r="NP97" s="211" t="str">
        <f>IFERROR(IF(NP$7&gt;$D$3,"",AVERAGE($HJ97:JA97)),"")</f>
        <v/>
      </c>
      <c r="NQ97" s="211" t="str">
        <f>IFERROR(IF(NQ$7&gt;$D$3,"",AVERAGE($HJ97:JB97)),"")</f>
        <v/>
      </c>
      <c r="NR97" s="211" t="str">
        <f>IFERROR(IF(NR$7&gt;$D$3,"",AVERAGE($HJ97:JC97)),"")</f>
        <v/>
      </c>
      <c r="NS97" s="211" t="str">
        <f>IFERROR(IF(NS$7&gt;$D$3,"",AVERAGE($HJ97:JD97)),"")</f>
        <v/>
      </c>
      <c r="NT97" s="211" t="str">
        <f>IFERROR(IF(NT$7&gt;$D$3,"",AVERAGE($HJ97:JE97)),"")</f>
        <v/>
      </c>
      <c r="NU97" s="211" t="str">
        <f>IFERROR(IF(NU$7&gt;$D$3,"",AVERAGE($HJ97:JF97)),"")</f>
        <v/>
      </c>
      <c r="NV97" s="211" t="str">
        <f>IFERROR(IF(NV$7&gt;$D$3,"",AVERAGE($HJ97:JG97)),"")</f>
        <v/>
      </c>
      <c r="NW97" s="211" t="str">
        <f>IFERROR(IF(NW$7&gt;$D$3,"",AVERAGE($HJ97:JH97)),"")</f>
        <v/>
      </c>
      <c r="NX97" s="211" t="str">
        <f>IFERROR(IF(NX$7&gt;$D$3,"",AVERAGE($HJ97:JI97)),"")</f>
        <v/>
      </c>
      <c r="NY97" s="211" t="str">
        <f>IFERROR(IF(NY$7&gt;$D$3,"",AVERAGE($HJ97:JJ97)),"")</f>
        <v/>
      </c>
    </row>
    <row r="98" spans="1:389" x14ac:dyDescent="0.3">
      <c r="A98" t="str">
        <f>$B$96&amp;"-"&amp;C98</f>
        <v>IT-KPI D1</v>
      </c>
      <c r="B98" s="918">
        <f>+'KPI Stats'!B97</f>
        <v>0</v>
      </c>
      <c r="C98" s="136" t="str">
        <f>+'KPI Stats'!C97</f>
        <v>KPI D1</v>
      </c>
      <c r="D98" s="144" t="str">
        <f>+'KPI Stats'!D97</f>
        <v>Delivery</v>
      </c>
      <c r="E98" s="144" t="str">
        <f>+'KPI Stats'!E97</f>
        <v>Percentage of Tickets Closed on Time</v>
      </c>
      <c r="F98" s="518" t="str">
        <f>+'KPI Stats'!F97</f>
        <v>Percentage</v>
      </c>
      <c r="G98" s="519" t="str">
        <f>+'KPI Stats'!G97</f>
        <v>Under</v>
      </c>
      <c r="J98" s="69" t="str">
        <f>_xlfn.XLOOKUP(J$7,$AM$7:$CM$7,$AM98:$CM98,,FALSE)</f>
        <v>OD</v>
      </c>
      <c r="K98" s="264" t="str">
        <f>_xlfn.XLOOKUP(K$7,$FC$7:$HC$7,$FC98:$HC98,,FALSE)</f>
        <v>OD</v>
      </c>
      <c r="L98" s="278">
        <f>_xlfn.XLOOKUP(L$7,$HJ$7:$JJ$7,$HJ98:$JJ98,,FALSE)</f>
        <v>0.95</v>
      </c>
      <c r="M98" s="295" t="str">
        <f>_xlfn.XLOOKUP(M$7,$CU$7:$EU$7,$CU98:$EU98,,FALSE)</f>
        <v>OD</v>
      </c>
      <c r="P98" s="69" t="str">
        <f>_xlfn.XLOOKUP(P$7,$AM$7:$CM$7,$AM98:$CM98,,FALSE)</f>
        <v>OD</v>
      </c>
      <c r="Q98" s="264" t="str">
        <f t="shared" si="332"/>
        <v>OD</v>
      </c>
      <c r="R98" s="278">
        <f t="shared" si="332"/>
        <v>0.97</v>
      </c>
      <c r="S98" s="288" t="str">
        <f t="shared" si="333"/>
        <v>OD</v>
      </c>
      <c r="T98" s="265">
        <f t="shared" si="333"/>
        <v>1.0210526315789474</v>
      </c>
      <c r="U98" s="295" t="str">
        <f>IF(F96&lt;$R$2,"Not Complete",IF(Q98=R98,"Same −",IF($G98="Over",IF(Q98&lt;R98,"Better ↑ ↑","Worse ↓ ↓"),IF($G98="Under",IF(Q98&gt;R98,"Better ↑ ↑","Worse ↓ ↓"),"err"))))</f>
        <v>Better ↑ ↑</v>
      </c>
      <c r="X98" s="69" t="str">
        <f t="shared" si="334"/>
        <v>G</v>
      </c>
      <c r="Y98" s="264">
        <f>_xlfn.XLOOKUP(Y$7,$JR$7:$LR$7,$JR98:$LR98,FALSE)</f>
        <v>5.9205263157894734</v>
      </c>
      <c r="Z98" s="278">
        <f>_xlfn.XLOOKUP(Z$7,$LY$7:$NY$7,$LY98:$NY98,FALSE)</f>
        <v>0.94999999999999962</v>
      </c>
      <c r="AA98" s="288">
        <f>IFERROR(IF(G98="under",Y98/Z98,IF(G98="Over",Z98/Y98,"")),"")</f>
        <v>6.2321329639889216</v>
      </c>
      <c r="AB98" s="295" t="str">
        <f>IF(F96&lt;$R$2,"TBC",IF(Y98=Z98,"Same −",IF($G98="Over",IF(Z98&lt;Y98,"Better ↑ ","Worse ↓ "),IF($G98="Under",IF(Y98&gt;Z98,"Better ↑ ","Worse ↓ "),"err"))))</f>
        <v xml:space="preserve">Better ↑ </v>
      </c>
      <c r="AC98" s="69" t="str">
        <f>IF(AND(G98="above adero",AD98&gt;0),"R",IF(AF98&gt;1,"G",IF(AF98&gt;0.95,"A","R")))</f>
        <v>G</v>
      </c>
      <c r="AD98" s="264">
        <f>_xlfn.XLOOKUP(AD$7,$JR$7:$LR$7,$JR98:$LR98,FALSE)</f>
        <v>5.9205263157894734</v>
      </c>
      <c r="AE98" s="278">
        <f>_xlfn.XLOOKUP(AE$7,$LY$7:$NY$7,$LY98:$NY98,FALSE)</f>
        <v>0.94999999999999962</v>
      </c>
      <c r="AF98" s="272">
        <f>IFERROR(IF(G98="under",AD98/AE98,IF(G98="Over",AE98/AD98,"")),"")</f>
        <v>6.2321329639889216</v>
      </c>
      <c r="AH98" s="465" t="str">
        <f>+$A98</f>
        <v>IT-KPI D1</v>
      </c>
      <c r="AI98" s="136" t="str">
        <f t="shared" si="335"/>
        <v>KPI D1</v>
      </c>
      <c r="AJ98" s="144" t="str">
        <f t="shared" si="335"/>
        <v>Delivery</v>
      </c>
      <c r="AK98" s="144" t="str">
        <f t="shared" si="319"/>
        <v>Percentage of Tickets Closed on Time</v>
      </c>
      <c r="AL98" s="145" t="str">
        <f t="shared" si="319"/>
        <v>Percentage</v>
      </c>
      <c r="AM98" s="69" t="str">
        <f>IF(AM$7&gt;$D$3,"",_xlfn.XLOOKUP(AM$7,IT!$M$6:$BM$6,IT!$M$13:$BM$13))</f>
        <v>Blank</v>
      </c>
      <c r="AN98" s="199" t="str">
        <f>IF(AN$7&gt;$D$3,"",_xlfn.XLOOKUP(AN$7,IT!$M$6:$BM$6,IT!$M$13:$BM$13))</f>
        <v>TBC</v>
      </c>
      <c r="AO98" s="69" t="str">
        <f>IF(AO$7&gt;$D$3,"",_xlfn.XLOOKUP(AO$7,IT!$M$6:$BM$6,IT!$M$13:$BM$13))</f>
        <v>TBC</v>
      </c>
      <c r="AP98" s="69" t="str">
        <f>IF(AP$7&gt;$D$3,"",_xlfn.XLOOKUP(AP$7,IT!$M$6:$BM$6,IT!$M$13:$BM$13))</f>
        <v>TBC</v>
      </c>
      <c r="AQ98" s="69" t="str">
        <f>IF(AQ$7&gt;$D$3,"",_xlfn.XLOOKUP(AQ$7,IT!$M$6:$BM$6,IT!$M$13:$BM$13))</f>
        <v>TBC</v>
      </c>
      <c r="AR98" s="69" t="str">
        <f>IF(AR$7&gt;$D$3,"",_xlfn.XLOOKUP(AR$7,IT!$M$6:$BM$6,IT!$M$13:$BM$13))</f>
        <v>TBC</v>
      </c>
      <c r="AS98" s="69" t="str">
        <f>IF(AS$7&gt;$D$3,"",_xlfn.XLOOKUP(AS$7,IT!$M$6:$BM$6,IT!$M$13:$BM$13))</f>
        <v>TBC</v>
      </c>
      <c r="AT98" s="69" t="str">
        <f>IF(AT$7&gt;$D$3,"",_xlfn.XLOOKUP(AT$7,IT!$M$6:$BM$6,IT!$M$13:$BM$13))</f>
        <v>TBC</v>
      </c>
      <c r="AU98" s="69" t="str">
        <f>IF(AU$7&gt;$D$3,"",_xlfn.XLOOKUP(AU$7,IT!$M$6:$BM$6,IT!$M$13:$BM$13))</f>
        <v>TBC</v>
      </c>
      <c r="AV98" s="69" t="str">
        <f>IF(AV$7&gt;$D$3,"",_xlfn.XLOOKUP(AV$7,IT!$M$6:$BM$6,IT!$M$13:$BM$13))</f>
        <v>TBC</v>
      </c>
      <c r="AW98" s="69" t="str">
        <f>IF(AW$7&gt;$D$3,"",_xlfn.XLOOKUP(AW$7,IT!$M$6:$BM$6,IT!$M$13:$BM$13))</f>
        <v>TBC</v>
      </c>
      <c r="AX98" s="69" t="str">
        <f>IF(AX$7&gt;$D$3,"",_xlfn.XLOOKUP(AX$7,IT!$M$6:$BM$6,IT!$M$13:$BM$13))</f>
        <v>TBC</v>
      </c>
      <c r="AY98" s="69" t="str">
        <f>IF(AY$7&gt;$D$3,"",_xlfn.XLOOKUP(AY$7,IT!$M$6:$BM$6,IT!$M$13:$BM$13))</f>
        <v>TBC</v>
      </c>
      <c r="AZ98" s="69" t="str">
        <f>IF(AZ$7&gt;$D$3,"",_xlfn.XLOOKUP(AZ$7,IT!$M$6:$BM$6,IT!$M$13:$BM$13))</f>
        <v>TBC</v>
      </c>
      <c r="BA98" s="69" t="str">
        <f>IF(BA$7&gt;$D$3,"",_xlfn.XLOOKUP(BA$7,IT!$M$6:$BM$6,IT!$M$13:$BM$13))</f>
        <v>TBC</v>
      </c>
      <c r="BB98" s="69" t="str">
        <f>IF(BB$7&gt;$D$3,"",_xlfn.XLOOKUP(BB$7,IT!$M$6:$BM$6,IT!$M$13:$BM$13))</f>
        <v>TBC</v>
      </c>
      <c r="BC98" s="69" t="str">
        <f>IF(BC$7&gt;$D$3,"",_xlfn.XLOOKUP(BC$7,IT!$M$6:$BM$6,IT!$M$13:$BM$13))</f>
        <v>TBC</v>
      </c>
      <c r="BD98" s="69" t="str">
        <f>IF(BD$7&gt;$D$3,"",_xlfn.XLOOKUP(BD$7,IT!$M$6:$BM$6,IT!$M$13:$BM$13))</f>
        <v>TBC</v>
      </c>
      <c r="BE98" s="69" t="str">
        <f>IF(BE$7&gt;$D$3,"",_xlfn.XLOOKUP(BE$7,IT!$M$6:$BM$6,IT!$M$13:$BM$13))</f>
        <v>TBC</v>
      </c>
      <c r="BF98" s="69" t="str">
        <f>IF(BF$7&gt;$D$3,"",_xlfn.XLOOKUP(BF$7,IT!$M$6:$BM$6,IT!$M$13:$BM$13))</f>
        <v>TBC</v>
      </c>
      <c r="BG98" s="69" t="str">
        <f>IF(BG$7&gt;$D$3,"",_xlfn.XLOOKUP(BG$7,IT!$M$6:$BM$6,IT!$M$13:$BM$13))</f>
        <v>TBC</v>
      </c>
      <c r="BH98" s="69" t="str">
        <f>IF(BH$7&gt;$D$3,"",_xlfn.XLOOKUP(BH$7,IT!$M$6:$BM$6,IT!$M$13:$BM$13))</f>
        <v>TBC</v>
      </c>
      <c r="BI98" s="69" t="str">
        <f>IF(BI$7&gt;$D$3,"",_xlfn.XLOOKUP(BI$7,IT!$M$6:$BM$6,IT!$M$13:$BM$13))</f>
        <v>G</v>
      </c>
      <c r="BJ98" s="69" t="str">
        <f>IF(BJ$7&gt;$D$3,"",_xlfn.XLOOKUP(BJ$7,IT!$M$6:$BM$6,IT!$M$13:$BM$13))</f>
        <v>G</v>
      </c>
      <c r="BK98" s="69" t="str">
        <f>IF(BK$7&gt;$D$3,"",_xlfn.XLOOKUP(BK$7,IT!$M$6:$BM$6,IT!$M$13:$BM$13))</f>
        <v>G</v>
      </c>
      <c r="BL98" s="69" t="str">
        <f>IF(BL$7&gt;$D$3,"",_xlfn.XLOOKUP(BL$7,IT!$M$6:$BM$6,IT!$M$13:$BM$13))</f>
        <v>R</v>
      </c>
      <c r="BM98" s="69" t="str">
        <f>IF(BM$7&gt;$D$3,"",_xlfn.XLOOKUP(BM$7,IT!$M$6:$BM$6,IT!$M$13:$BM$13))</f>
        <v>G</v>
      </c>
      <c r="BN98" s="69" t="str">
        <f>IF(BN$7&gt;$D$3,"",_xlfn.XLOOKUP(BN$7,IT!$M$6:$BM$6,IT!$M$13:$BM$13))</f>
        <v>G</v>
      </c>
      <c r="BO98" s="69" t="str">
        <f>IF(BO$7&gt;$D$3,"",_xlfn.XLOOKUP(BO$7,IT!$M$6:$BM$6,IT!$M$13:$BM$13))</f>
        <v>G</v>
      </c>
      <c r="BP98" s="69" t="str">
        <f>IF(BP$7&gt;$D$3,"",_xlfn.XLOOKUP(BP$7,IT!$M$6:$BM$6,IT!$M$13:$BM$13))</f>
        <v>G</v>
      </c>
      <c r="BQ98" s="69" t="str">
        <f>IF(BQ$7&gt;$D$3,"",_xlfn.XLOOKUP(BQ$7,IT!$M$6:$BM$6,IT!$M$13:$BM$13))</f>
        <v>G</v>
      </c>
      <c r="BR98" s="69" t="str">
        <f>IF(BR$7&gt;$D$3,"",_xlfn.XLOOKUP(BR$7,IT!$M$6:$BM$6,IT!$M$13:$BM$13))</f>
        <v>G</v>
      </c>
      <c r="BS98" s="69" t="str">
        <f>IF(BS$7&gt;$D$3,"",_xlfn.XLOOKUP(BS$7,IT!$M$6:$BM$6,IT!$M$13:$BM$13))</f>
        <v>G</v>
      </c>
      <c r="BT98" s="69" t="str">
        <f>IF(BT$7&gt;$D$3,"",_xlfn.XLOOKUP(BT$7,IT!$M$6:$BM$6,IT!$M$13:$BM$13))</f>
        <v>G</v>
      </c>
      <c r="BU98" s="69" t="str">
        <f>IF(BU$7&gt;$D$3,"",_xlfn.XLOOKUP(BU$7,IT!$M$6:$BM$6,IT!$M$13:$BM$13))</f>
        <v>A</v>
      </c>
      <c r="BV98" s="69" t="str">
        <f>IF(BV$7&gt;$D$3,"",_xlfn.XLOOKUP(BV$7,IT!$M$6:$BM$6,IT!$M$13:$BM$13))</f>
        <v>OD</v>
      </c>
      <c r="BW98" s="69" t="str">
        <f>IF(BW$7&gt;$D$3,"",_xlfn.XLOOKUP(BW$7,IT!$M$6:$BM$6,IT!$M$13:$BM$13))</f>
        <v>OD</v>
      </c>
      <c r="BX98" s="69" t="str">
        <f>IF(BX$7&gt;$D$3,"",_xlfn.XLOOKUP(BX$7,IT!$M$6:$BM$6,IT!$M$13:$BM$13))</f>
        <v>G</v>
      </c>
      <c r="BY98" s="69" t="str">
        <f>IF(BY$7&gt;$D$3,"",_xlfn.XLOOKUP(BY$7,IT!$M$6:$BM$6,IT!$M$13:$BM$13))</f>
        <v>G</v>
      </c>
      <c r="BZ98" s="69" t="str">
        <f>IF(BZ$7&gt;$D$3,"",_xlfn.XLOOKUP(BZ$7,IT!$M$6:$BM$6,IT!$M$13:$BM$13))</f>
        <v>G</v>
      </c>
      <c r="CA98" s="69" t="str">
        <f>IF(CA$7&gt;$D$3,"",_xlfn.XLOOKUP(CA$7,IT!$M$6:$BM$6,IT!$M$13:$BM$13))</f>
        <v>G</v>
      </c>
      <c r="CB98" s="69" t="str">
        <f>IF(CB$7&gt;$D$3,"",_xlfn.XLOOKUP(CB$7,IT!$M$6:$BM$6,IT!$M$13:$BM$13))</f>
        <v>OD</v>
      </c>
      <c r="CC98" s="69" t="str">
        <f>IF(CC$7&gt;$D$3,"",_xlfn.XLOOKUP(CC$7,IT!$M$6:$BM$6,IT!$M$13:$BM$13))</f>
        <v/>
      </c>
      <c r="CD98" s="69" t="str">
        <f>IF(CD$7&gt;$D$3,"",_xlfn.XLOOKUP(CD$7,IT!$M$6:$BM$6,IT!$M$13:$BM$13))</f>
        <v/>
      </c>
      <c r="CE98" s="69" t="str">
        <f>IF(CE$7&gt;$D$3,"",_xlfn.XLOOKUP(CE$7,IT!$M$6:$BM$6,IT!$M$13:$BM$13))</f>
        <v/>
      </c>
      <c r="CF98" s="69" t="str">
        <f>IF(CF$7&gt;$D$3,"",_xlfn.XLOOKUP(CF$7,IT!$M$6:$BM$6,IT!$M$13:$BM$13))</f>
        <v/>
      </c>
      <c r="CG98" s="69" t="str">
        <f>IF(CG$7&gt;$D$3,"",_xlfn.XLOOKUP(CG$7,IT!$M$6:$BM$6,IT!$M$13:$BM$13))</f>
        <v/>
      </c>
      <c r="CH98" s="69" t="str">
        <f>IF(CH$7&gt;$D$3,"",_xlfn.XLOOKUP(CH$7,IT!$M$6:$BM$6,IT!$M$13:$BM$13))</f>
        <v/>
      </c>
      <c r="CI98" s="69" t="str">
        <f>IF(CI$7&gt;$D$3,"",_xlfn.XLOOKUP(CI$7,IT!$M$6:$BM$6,IT!$M$13:$BM$13))</f>
        <v/>
      </c>
      <c r="CJ98" s="69" t="str">
        <f>IF(CJ$7&gt;$D$3,"",_xlfn.XLOOKUP(CJ$7,IT!$M$6:$BM$6,IT!$M$13:$BM$13))</f>
        <v/>
      </c>
      <c r="CK98" s="69" t="str">
        <f>IF(CK$7&gt;$D$3,"",_xlfn.XLOOKUP(CK$7,IT!$M$6:$BM$6,IT!$M$13:$BM$13))</f>
        <v/>
      </c>
      <c r="CL98" s="69" t="str">
        <f>IF(CL$7&gt;$D$3,"",_xlfn.XLOOKUP(CL$7,IT!$M$6:$BM$6,IT!$M$13:$BM$13))</f>
        <v/>
      </c>
      <c r="CM98" s="69" t="str">
        <f>IF(CM$7&gt;$D$3,"",_xlfn.XLOOKUP(CM$7,IT!$M$6:$BM$6,IT!$M$13:$BM$13))</f>
        <v/>
      </c>
      <c r="CO98" s="465" t="str">
        <f>+$A98</f>
        <v>IT-KPI D1</v>
      </c>
      <c r="CP98" s="136" t="str">
        <f t="shared" si="336"/>
        <v>KPI D1</v>
      </c>
      <c r="CQ98" s="144" t="str">
        <f t="shared" si="336"/>
        <v>Delivery</v>
      </c>
      <c r="CR98" s="144" t="str">
        <f t="shared" si="322"/>
        <v>Percentage of Tickets Closed on Time</v>
      </c>
      <c r="CS98" s="145" t="str">
        <f t="shared" si="322"/>
        <v>Percentage</v>
      </c>
      <c r="CT98" s="207" t="s">
        <v>246</v>
      </c>
      <c r="CU98" s="626" t="str">
        <f>IF(CU$7&gt;$D$3,"",_xlfn.XLOOKUP(CU$7,IT!$M$6:$BM$6,IT!$M$13:$BM$13))</f>
        <v>Blank</v>
      </c>
      <c r="CV98" s="730" t="str" cm="1">
        <f t="array" ref="CV98">IF(CV$7&gt;$D$3,"",IF(AN98="OD","OD",IF(AN98="Missed","Missed",IF(AN98="TBC","TBC",IF(AN98="Undefined","Undefined",_xlfn.XLOOKUP(CV$7,IT!$M$6:$BM$6,IT!$M$12:$BM$12/_xlfn.XLOOKUP(CV$7,IT!$M$6:$BM$6,IT!$M$11:$BM$11)))))))</f>
        <v>TBC</v>
      </c>
      <c r="CW98" s="730" t="str" cm="1">
        <f t="array" ref="CW98">IF(CW$7&gt;$D$3,"",IF(AO98="OD","OD",IF(AO98="Missed","Missed",IF(AO98="TBC","TBC",IF(AO98="Undefined","Undefined",_xlfn.XLOOKUP(CW$7,IT!$M$6:$BM$6,IT!$M$12:$BM$12/_xlfn.XLOOKUP(CW$7,IT!$M$6:$BM$6,IT!$M$11:$BM$11)))))))</f>
        <v>TBC</v>
      </c>
      <c r="CX98" s="730" t="str" cm="1">
        <f t="array" ref="CX98">IF(CX$7&gt;$D$3,"",IF(AP98="OD","OD",IF(AP98="Missed","Missed",IF(AP98="TBC","TBC",IF(AP98="Undefined","Undefined",_xlfn.XLOOKUP(CX$7,IT!$M$6:$BM$6,IT!$M$12:$BM$12/_xlfn.XLOOKUP(CX$7,IT!$M$6:$BM$6,IT!$M$11:$BM$11)))))))</f>
        <v>TBC</v>
      </c>
      <c r="CY98" s="730" t="str" cm="1">
        <f t="array" ref="CY98">IF(CY$7&gt;$D$3,"",IF(AQ98="OD","OD",IF(AQ98="Missed","Missed",IF(AQ98="TBC","TBC",IF(AQ98="Undefined","Undefined",_xlfn.XLOOKUP(CY$7,IT!$M$6:$BM$6,IT!$M$12:$BM$12/_xlfn.XLOOKUP(CY$7,IT!$M$6:$BM$6,IT!$M$11:$BM$11)))))))</f>
        <v>TBC</v>
      </c>
      <c r="CZ98" s="730" t="str" cm="1">
        <f t="array" ref="CZ98">IF(CZ$7&gt;$D$3,"",IF(AR98="OD","OD",IF(AR98="Missed","Missed",IF(AR98="TBC","TBC",IF(AR98="Undefined","Undefined",_xlfn.XLOOKUP(CZ$7,IT!$M$6:$BM$6,IT!$M$12:$BM$12/_xlfn.XLOOKUP(CZ$7,IT!$M$6:$BM$6,IT!$M$11:$BM$11)))))))</f>
        <v>TBC</v>
      </c>
      <c r="DA98" s="730" t="str" cm="1">
        <f t="array" ref="DA98">IF(DA$7&gt;$D$3,"",IF(AS98="OD","OD",IF(AS98="Missed","Missed",IF(AS98="TBC","TBC",IF(AS98="Undefined","Undefined",_xlfn.XLOOKUP(DA$7,IT!$M$6:$BM$6,IT!$M$12:$BM$12/_xlfn.XLOOKUP(DA$7,IT!$M$6:$BM$6,IT!$M$11:$BM$11)))))))</f>
        <v>TBC</v>
      </c>
      <c r="DB98" s="730" t="str" cm="1">
        <f t="array" ref="DB98">IF(DB$7&gt;$D$3,"",IF(AT98="OD","OD",IF(AT98="Missed","Missed",IF(AT98="TBC","TBC",IF(AT98="Undefined","Undefined",_xlfn.XLOOKUP(DB$7,IT!$M$6:$BM$6,IT!$M$12:$BM$12/_xlfn.XLOOKUP(DB$7,IT!$M$6:$BM$6,IT!$M$11:$BM$11)))))))</f>
        <v>TBC</v>
      </c>
      <c r="DC98" s="730" t="str" cm="1">
        <f t="array" ref="DC98">IF(DC$7&gt;$D$3,"",IF(AU98="OD","OD",IF(AU98="Missed","Missed",IF(AU98="TBC","TBC",IF(AU98="Undefined","Undefined",_xlfn.XLOOKUP(DC$7,IT!$M$6:$BM$6,IT!$M$12:$BM$12/_xlfn.XLOOKUP(DC$7,IT!$M$6:$BM$6,IT!$M$11:$BM$11)))))))</f>
        <v>TBC</v>
      </c>
      <c r="DD98" s="730" t="str" cm="1">
        <f t="array" ref="DD98">IF(DD$7&gt;$D$3,"",IF(AV98="OD","OD",IF(AV98="Missed","Missed",IF(AV98="TBC","TBC",IF(AV98="Undefined","Undefined",_xlfn.XLOOKUP(DD$7,IT!$M$6:$BM$6,IT!$M$12:$BM$12/_xlfn.XLOOKUP(DD$7,IT!$M$6:$BM$6,IT!$M$11:$BM$11)))))))</f>
        <v>TBC</v>
      </c>
      <c r="DE98" s="730" t="str" cm="1">
        <f t="array" ref="DE98">IF(DE$7&gt;$D$3,"",IF(AW98="OD","OD",IF(AW98="Missed","Missed",IF(AW98="TBC","TBC",IF(AW98="Undefined","Undefined",_xlfn.XLOOKUP(DE$7,IT!$M$6:$BM$6,IT!$M$12:$BM$12/_xlfn.XLOOKUP(DE$7,IT!$M$6:$BM$6,IT!$M$11:$BM$11)))))))</f>
        <v>TBC</v>
      </c>
      <c r="DF98" s="730" t="str" cm="1">
        <f t="array" ref="DF98">IF(DF$7&gt;$D$3,"",IF(AX98="OD","OD",IF(AX98="Missed","Missed",IF(AX98="TBC","TBC",IF(AX98="Undefined","Undefined",_xlfn.XLOOKUP(DF$7,IT!$M$6:$BM$6,IT!$M$12:$BM$12/_xlfn.XLOOKUP(DF$7,IT!$M$6:$BM$6,IT!$M$11:$BM$11)))))))</f>
        <v>TBC</v>
      </c>
      <c r="DG98" s="730" t="str" cm="1">
        <f t="array" ref="DG98">IF(DG$7&gt;$D$3,"",IF(AY98="OD","OD",IF(AY98="Missed","Missed",IF(AY98="TBC","TBC",IF(AY98="Undefined","Undefined",_xlfn.XLOOKUP(DG$7,IT!$M$6:$BM$6,IT!$M$12:$BM$12/_xlfn.XLOOKUP(DG$7,IT!$M$6:$BM$6,IT!$M$11:$BM$11)))))))</f>
        <v>TBC</v>
      </c>
      <c r="DH98" s="730" t="str" cm="1">
        <f t="array" ref="DH98">IF(DH$7&gt;$D$3,"",IF(AZ98="OD","OD",IF(AZ98="Missed","Missed",IF(AZ98="TBC","TBC",IF(AZ98="Undefined","Undefined",_xlfn.XLOOKUP(DH$7,IT!$M$6:$BM$6,IT!$M$12:$BM$12/_xlfn.XLOOKUP(DH$7,IT!$M$6:$BM$6,IT!$M$11:$BM$11)))))))</f>
        <v>TBC</v>
      </c>
      <c r="DI98" s="730" t="str" cm="1">
        <f t="array" ref="DI98">IF(DI$7&gt;$D$3,"",IF(BA98="OD","OD",IF(BA98="Missed","Missed",IF(BA98="TBC","TBC",IF(BA98="Undefined","Undefined",_xlfn.XLOOKUP(DI$7,IT!$M$6:$BM$6,IT!$M$12:$BM$12/_xlfn.XLOOKUP(DI$7,IT!$M$6:$BM$6,IT!$M$11:$BM$11)))))))</f>
        <v>TBC</v>
      </c>
      <c r="DJ98" s="730" t="str" cm="1">
        <f t="array" ref="DJ98">IF(DJ$7&gt;$D$3,"",IF(BB98="OD","OD",IF(BB98="Missed","Missed",IF(BB98="TBC","TBC",IF(BB98="Undefined","Undefined",_xlfn.XLOOKUP(DJ$7,IT!$M$6:$BM$6,IT!$M$12:$BM$12/_xlfn.XLOOKUP(DJ$7,IT!$M$6:$BM$6,IT!$M$11:$BM$11)))))))</f>
        <v>TBC</v>
      </c>
      <c r="DK98" s="730" t="str" cm="1">
        <f t="array" ref="DK98">IF(DK$7&gt;$D$3,"",IF(BC98="OD","OD",IF(BC98="Missed","Missed",IF(BC98="TBC","TBC",IF(BC98="Undefined","Undefined",_xlfn.XLOOKUP(DK$7,IT!$M$6:$BM$6,IT!$M$12:$BM$12/_xlfn.XLOOKUP(DK$7,IT!$M$6:$BM$6,IT!$M$11:$BM$11)))))))</f>
        <v>TBC</v>
      </c>
      <c r="DL98" s="730" t="str" cm="1">
        <f t="array" ref="DL98">IF(DL$7&gt;$D$3,"",IF(BD98="OD","OD",IF(BD98="Missed","Missed",IF(BD98="TBC","TBC",IF(BD98="Undefined","Undefined",_xlfn.XLOOKUP(DL$7,IT!$M$6:$BM$6,IT!$M$12:$BM$12/_xlfn.XLOOKUP(DL$7,IT!$M$6:$BM$6,IT!$M$11:$BM$11)))))))</f>
        <v>TBC</v>
      </c>
      <c r="DM98" s="730" t="str" cm="1">
        <f t="array" ref="DM98">IF(DM$7&gt;$D$3,"",IF(BE98="OD","OD",IF(BE98="Missed","Missed",IF(BE98="TBC","TBC",IF(BE98="Undefined","Undefined",_xlfn.XLOOKUP(DM$7,IT!$M$6:$BM$6,IT!$M$12:$BM$12/_xlfn.XLOOKUP(DM$7,IT!$M$6:$BM$6,IT!$M$11:$BM$11)))))))</f>
        <v>TBC</v>
      </c>
      <c r="DN98" s="730" t="str" cm="1">
        <f t="array" ref="DN98">IF(DN$7&gt;$D$3,"",IF(BF98="OD","OD",IF(BF98="Missed","Missed",IF(BF98="TBC","TBC",IF(BF98="Undefined","Undefined",_xlfn.XLOOKUP(DN$7,IT!$M$6:$BM$6,IT!$M$12:$BM$12/_xlfn.XLOOKUP(DN$7,IT!$M$6:$BM$6,IT!$M$11:$BM$11)))))))</f>
        <v>TBC</v>
      </c>
      <c r="DO98" s="730" t="str" cm="1">
        <f t="array" ref="DO98">IF(DO$7&gt;$D$3,"",IF(BG98="OD","OD",IF(BG98="Missed","Missed",IF(BG98="TBC","TBC",IF(BG98="Undefined","Undefined",_xlfn.XLOOKUP(DO$7,IT!$M$6:$BM$6,IT!$M$12:$BM$12/_xlfn.XLOOKUP(DO$7,IT!$M$6:$BM$6,IT!$M$11:$BM$11)))))))</f>
        <v>TBC</v>
      </c>
      <c r="DP98" s="730" t="str" cm="1">
        <f t="array" ref="DP98">IF(DP$7&gt;$D$3,"",IF(BH98="OD","OD",IF(BH98="Missed","Missed",IF(BH98="TBC","TBC",IF(BH98="Undefined","Undefined",_xlfn.XLOOKUP(DP$7,IT!$M$6:$BM$6,IT!$M$12:$BM$12/_xlfn.XLOOKUP(DP$7,IT!$M$6:$BM$6,IT!$M$11:$BM$11)))))))</f>
        <v>TBC</v>
      </c>
      <c r="DQ98" s="730" cm="1">
        <f t="array" ref="DQ98">IF(DQ$7&gt;$D$3,"",IF(BI98="OD","OD",IF(BI98="Missed","Missed",IF(BI98="TBC","TBC",IF(BI98="Undefined","Undefined",_xlfn.XLOOKUP(DQ$7,IT!$M$6:$BM$6,IT!$M$12:$BM$12/_xlfn.XLOOKUP(DQ$7,IT!$M$6:$BM$6,IT!$M$11:$BM$11)))))))</f>
        <v>1.0105263157894737</v>
      </c>
      <c r="DR98" s="730" cm="1">
        <f t="array" ref="DR98">IF(DR$7&gt;$D$3,"",IF(BJ98="OD","OD",IF(BJ98="Missed","Missed",IF(BJ98="TBC","TBC",IF(BJ98="Undefined","Undefined",_xlfn.XLOOKUP(DR$7,IT!$M$6:$BM$6,IT!$M$12:$BM$12/_xlfn.XLOOKUP(DR$7,IT!$M$6:$BM$6,IT!$M$11:$BM$11)))))))</f>
        <v>1.0105263157894737</v>
      </c>
      <c r="DS98" s="730" cm="1">
        <f t="array" ref="DS98">IF(DS$7&gt;$D$3,"",IF(BK98="OD","OD",IF(BK98="Missed","Missed",IF(BK98="TBC","TBC",IF(BK98="Undefined","Undefined",_xlfn.XLOOKUP(DS$7,IT!$M$6:$BM$6,IT!$M$12:$BM$12/_xlfn.XLOOKUP(DS$7,IT!$M$6:$BM$6,IT!$M$11:$BM$11)))))))</f>
        <v>1.0526315789473684</v>
      </c>
      <c r="DT98" s="730" cm="1">
        <f t="array" ref="DT98">IF(DT$7&gt;$D$3,"",IF(BL98="OD","OD",IF(BL98="Missed","Missed",IF(BL98="TBC","TBC",IF(BL98="Undefined","Undefined",_xlfn.XLOOKUP(DT$7,IT!$M$6:$BM$6,IT!$M$12:$BM$12/_xlfn.XLOOKUP(DT$7,IT!$M$6:$BM$6,IT!$M$11:$BM$11)))))))</f>
        <v>0.94736842105263164</v>
      </c>
      <c r="DU98" s="730" cm="1">
        <f t="array" ref="DU98">IF(DU$7&gt;$D$3,"",IF(BM98="OD","OD",IF(BM98="Missed","Missed",IF(BM98="TBC","TBC",IF(BM98="Undefined","Undefined",_xlfn.XLOOKUP(DU$7,IT!$M$6:$BM$6,IT!$M$12:$BM$12/_xlfn.XLOOKUP(DU$7,IT!$M$6:$BM$6,IT!$M$11:$BM$11)))))))</f>
        <v>1.0526315789473684</v>
      </c>
      <c r="DV98" s="730" cm="1">
        <f t="array" ref="DV98">IF(DV$7&gt;$D$3,"",IF(BN98="OD","OD",IF(BN98="Missed","Missed",IF(BN98="TBC","TBC",IF(BN98="Undefined","Undefined",_xlfn.XLOOKUP(DV$7,IT!$M$6:$BM$6,IT!$M$12:$BM$12/_xlfn.XLOOKUP(DV$7,IT!$M$6:$BM$6,IT!$M$11:$BM$11)))))))</f>
        <v>1.0526315789473684</v>
      </c>
      <c r="DW98" s="730" cm="1">
        <f t="array" ref="DW98">IF(DW$7&gt;$D$3,"",IF(BO98="OD","OD",IF(BO98="Missed","Missed",IF(BO98="TBC","TBC",IF(BO98="Undefined","Undefined",_xlfn.XLOOKUP(DW$7,IT!$M$6:$BM$6,IT!$M$12:$BM$12/_xlfn.XLOOKUP(DW$7,IT!$M$6:$BM$6,IT!$M$11:$BM$11)))))))</f>
        <v>1.0210526315789474</v>
      </c>
      <c r="DX98" s="730" cm="1">
        <f t="array" ref="DX98">IF(DX$7&gt;$D$3,"",IF(BP98="OD","OD",IF(BP98="Missed","Missed",IF(BP98="TBC","TBC",IF(BP98="Undefined","Undefined",_xlfn.XLOOKUP(DX$7,IT!$M$6:$BM$6,IT!$M$12:$BM$12/_xlfn.XLOOKUP(DX$7,IT!$M$6:$BM$6,IT!$M$11:$BM$11)))))))</f>
        <v>1.0210526315789474</v>
      </c>
      <c r="DY98" s="730" cm="1">
        <f t="array" ref="DY98">IF(DY$7&gt;$D$3,"",IF(BQ98="OD","OD",IF(BQ98="Missed","Missed",IF(BQ98="TBC","TBC",IF(BQ98="Undefined","Undefined",_xlfn.XLOOKUP(DY$7,IT!$M$6:$BM$6,IT!$M$12:$BM$12/_xlfn.XLOOKUP(DY$7,IT!$M$6:$BM$6,IT!$M$11:$BM$11)))))))</f>
        <v>1.0526315789473684</v>
      </c>
      <c r="DZ98" s="730" cm="1">
        <f t="array" ref="DZ98">IF(DZ$7&gt;$D$3,"",IF(BR98="OD","OD",IF(BR98="Missed","Missed",IF(BR98="TBC","TBC",IF(BR98="Undefined","Undefined",_xlfn.XLOOKUP(DZ$7,IT!$M$6:$BM$6,IT!$M$12:$BM$12/_xlfn.XLOOKUP(DZ$7,IT!$M$6:$BM$6,IT!$M$11:$BM$11)))))))</f>
        <v>1.0315789473684212</v>
      </c>
      <c r="EA98" s="730" cm="1">
        <f t="array" ref="EA98">IF(EA$7&gt;$D$3,"",IF(BS98="OD","OD",IF(BS98="Missed","Missed",IF(BS98="TBC","TBC",IF(BS98="Undefined","Undefined",_xlfn.XLOOKUP(EA$7,IT!$M$6:$BM$6,IT!$M$12:$BM$12/_xlfn.XLOOKUP(EA$7,IT!$M$6:$BM$6,IT!$M$11:$BM$11)))))))</f>
        <v>1.0105263157894737</v>
      </c>
      <c r="EB98" s="730" cm="1">
        <f t="array" ref="EB98">IF(EB$7&gt;$D$3,"",IF(BT98="OD","OD",IF(BT98="Missed","Missed",IF(BT98="TBC","TBC",IF(BT98="Undefined","Undefined",_xlfn.XLOOKUP(EB$7,IT!$M$6:$BM$6,IT!$M$12:$BM$12/_xlfn.XLOOKUP(EB$7,IT!$M$6:$BM$6,IT!$M$11:$BM$11)))))))</f>
        <v>1.0105263157894737</v>
      </c>
      <c r="EC98" s="730" cm="1">
        <f t="array" ref="EC98">IF(EC$7&gt;$D$3,"",IF(BU98="OD","OD",IF(BU98="Missed","Missed",IF(BU98="TBC","TBC",IF(BU98="Undefined","Undefined",_xlfn.XLOOKUP(EC$7,IT!$M$6:$BM$6,IT!$M$12:$BM$12/_xlfn.XLOOKUP(EC$7,IT!$M$6:$BM$6,IT!$M$11:$BM$11)))))))</f>
        <v>0.95789473684210535</v>
      </c>
      <c r="ED98" s="730" t="str" cm="1">
        <f t="array" ref="ED98">IF(ED$7&gt;$D$3,"",IF(BV98="OD","OD",IF(BV98="Missed","Missed",IF(BV98="TBC","TBC",IF(BV98="Undefined","Undefined",_xlfn.XLOOKUP(ED$7,IT!$M$6:$BM$6,IT!$M$12:$BM$12/_xlfn.XLOOKUP(ED$7,IT!$M$6:$BM$6,IT!$M$11:$BM$11)))))))</f>
        <v>OD</v>
      </c>
      <c r="EE98" s="730" t="str" cm="1">
        <f t="array" ref="EE98">IF(EE$7&gt;$D$3,"",IF(BW98="OD","OD",IF(BW98="Missed","Missed",IF(BW98="TBC","TBC",IF(BW98="Undefined","Undefined",_xlfn.XLOOKUP(EE$7,IT!$M$6:$BM$6,IT!$M$12:$BM$12/_xlfn.XLOOKUP(EE$7,IT!$M$6:$BM$6,IT!$M$11:$BM$11)))))))</f>
        <v>OD</v>
      </c>
      <c r="EF98" s="730" cm="1">
        <f t="array" ref="EF98">IF(EF$7&gt;$D$3,"",IF(BX98="OD","OD",IF(BX98="Missed","Missed",IF(BX98="TBC","TBC",IF(BX98="Undefined","Undefined",_xlfn.XLOOKUP(EF$7,IT!$M$6:$BM$6,IT!$M$12:$BM$12/_xlfn.XLOOKUP(EF$7,IT!$M$6:$BM$6,IT!$M$11:$BM$11)))))))</f>
        <v>102.10526315789474</v>
      </c>
      <c r="EG98" s="730" cm="1">
        <f t="array" ref="EG98">IF(EG$7&gt;$D$3,"",IF(BY98="OD","OD",IF(BY98="Missed","Missed",IF(BY98="TBC","TBC",IF(BY98="Undefined","Undefined",_xlfn.XLOOKUP(EG$7,IT!$M$6:$BM$6,IT!$M$12:$BM$12/_xlfn.XLOOKUP(EG$7,IT!$M$6:$BM$6,IT!$M$11:$BM$11)))))))</f>
        <v>1.0210526315789474</v>
      </c>
      <c r="EH98" s="730" cm="1">
        <f t="array" ref="EH98">IF(EH$7&gt;$D$3,"",IF(BZ98="OD","OD",IF(BZ98="Missed","Missed",IF(BZ98="TBC","TBC",IF(BZ98="Undefined","Undefined",_xlfn.XLOOKUP(EH$7,IT!$M$6:$BM$6,IT!$M$12:$BM$12/_xlfn.XLOOKUP(EH$7,IT!$M$6:$BM$6,IT!$M$11:$BM$11)))))))</f>
        <v>1.0315789473684212</v>
      </c>
      <c r="EI98" s="730" cm="1">
        <f t="array" ref="EI98">IF(EI$7&gt;$D$3,"",IF(CA98="OD","OD",IF(CA98="Missed","Missed",IF(CA98="TBC","TBC",IF(CA98="Undefined","Undefined",_xlfn.XLOOKUP(EI$7,IT!$M$6:$BM$6,IT!$M$12:$BM$12/_xlfn.XLOOKUP(EI$7,IT!$M$6:$BM$6,IT!$M$11:$BM$11)))))))</f>
        <v>1.0210526315789474</v>
      </c>
      <c r="EJ98" s="730" t="str" cm="1">
        <f t="array" ref="EJ98">IF(EJ$7&gt;$D$3,"",IF(CB98="OD","OD",IF(CB98="Missed","Missed",IF(CB98="TBC","TBC",IF(CB98="Undefined","Undefined",_xlfn.XLOOKUP(EJ$7,IT!$M$6:$BM$6,IT!$M$12:$BM$12/_xlfn.XLOOKUP(EJ$7,IT!$M$6:$BM$6,IT!$M$11:$BM$11)))))))</f>
        <v>OD</v>
      </c>
      <c r="EK98" s="730" t="str" cm="1">
        <f t="array" ref="EK98">IF(EK$7&gt;$D$3,"",IF(CC98="OD","OD",IF(CC98="Missed","Missed",IF(CC98="TBC","TBC",IF(CC98="Undefined","Undefined",_xlfn.XLOOKUP(EK$7,IT!$M$6:$BM$6,IT!$M$12:$BM$12/_xlfn.XLOOKUP(EK$7,IT!$M$6:$BM$6,IT!$M$11:$BM$11)))))))</f>
        <v/>
      </c>
      <c r="EL98" s="730" t="str" cm="1">
        <f t="array" ref="EL98">IF(EL$7&gt;$D$3,"",IF(CD98="OD","OD",IF(CD98="Missed","Missed",IF(CD98="TBC","TBC",IF(CD98="Undefined","Undefined",_xlfn.XLOOKUP(EL$7,IT!$M$6:$BM$6,IT!$M$12:$BM$12/_xlfn.XLOOKUP(EL$7,IT!$M$6:$BM$6,IT!$M$11:$BM$11)))))))</f>
        <v/>
      </c>
      <c r="EM98" s="730" t="str" cm="1">
        <f t="array" ref="EM98">IF(EM$7&gt;$D$3,"",IF(CE98="OD","OD",IF(CE98="Missed","Missed",IF(CE98="TBC","TBC",IF(CE98="Undefined","Undefined",_xlfn.XLOOKUP(EM$7,IT!$M$6:$BM$6,IT!$M$12:$BM$12/_xlfn.XLOOKUP(EM$7,IT!$M$6:$BM$6,IT!$M$11:$BM$11)))))))</f>
        <v/>
      </c>
      <c r="EN98" s="730" t="str" cm="1">
        <f t="array" ref="EN98">IF(EN$7&gt;$D$3,"",IF(CF98="OD","OD",IF(CF98="Missed","Missed",IF(CF98="TBC","TBC",IF(CF98="Undefined","Undefined",_xlfn.XLOOKUP(EN$7,IT!$M$6:$BM$6,IT!$M$12:$BM$12/_xlfn.XLOOKUP(EN$7,IT!$M$6:$BM$6,IT!$M$11:$BM$11)))))))</f>
        <v/>
      </c>
      <c r="EO98" s="730" t="str" cm="1">
        <f t="array" ref="EO98">IF(EO$7&gt;$D$3,"",IF(CG98="OD","OD",IF(CG98="Missed","Missed",IF(CG98="TBC","TBC",IF(CG98="Undefined","Undefined",_xlfn.XLOOKUP(EO$7,IT!$M$6:$BM$6,IT!$M$12:$BM$12/_xlfn.XLOOKUP(EO$7,IT!$M$6:$BM$6,IT!$M$11:$BM$11)))))))</f>
        <v/>
      </c>
      <c r="EP98" s="730" t="str" cm="1">
        <f t="array" ref="EP98">IF(EP$7&gt;$D$3,"",IF(CH98="OD","OD",IF(CH98="Missed","Missed",IF(CH98="TBC","TBC",IF(CH98="Undefined","Undefined",_xlfn.XLOOKUP(EP$7,IT!$M$6:$BM$6,IT!$M$12:$BM$12/_xlfn.XLOOKUP(EP$7,IT!$M$6:$BM$6,IT!$M$11:$BM$11)))))))</f>
        <v/>
      </c>
      <c r="EQ98" s="730" t="str" cm="1">
        <f t="array" ref="EQ98">IF(EQ$7&gt;$D$3,"",IF(CI98="OD","OD",IF(CI98="Missed","Missed",IF(CI98="TBC","TBC",IF(CI98="Undefined","Undefined",_xlfn.XLOOKUP(EQ$7,IT!$M$6:$BM$6,IT!$M$12:$BM$12/_xlfn.XLOOKUP(EQ$7,IT!$M$6:$BM$6,IT!$M$11:$BM$11)))))))</f>
        <v/>
      </c>
      <c r="ER98" s="730" t="str" cm="1">
        <f t="array" ref="ER98">IF(ER$7&gt;$D$3,"",IF(CJ98="OD","OD",IF(CJ98="Missed","Missed",IF(CJ98="TBC","TBC",IF(CJ98="Undefined","Undefined",_xlfn.XLOOKUP(ER$7,IT!$M$6:$BM$6,IT!$M$12:$BM$12/_xlfn.XLOOKUP(ER$7,IT!$M$6:$BM$6,IT!$M$11:$BM$11)))))))</f>
        <v/>
      </c>
      <c r="ES98" s="730" t="str" cm="1">
        <f t="array" ref="ES98">IF(ES$7&gt;$D$3,"",IF(CK98="OD","OD",IF(CK98="Missed","Missed",IF(CK98="TBC","TBC",IF(CK98="Undefined","Undefined",_xlfn.XLOOKUP(ES$7,IT!$M$6:$BM$6,IT!$M$12:$BM$12/_xlfn.XLOOKUP(ES$7,IT!$M$6:$BM$6,IT!$M$11:$BM$11)))))))</f>
        <v/>
      </c>
      <c r="ET98" s="730" t="str" cm="1">
        <f t="array" ref="ET98">IF(ET$7&gt;$D$3,"",IF(CL98="OD","OD",IF(CL98="Missed","Missed",IF(CL98="TBC","TBC",IF(CL98="Undefined","Undefined",_xlfn.XLOOKUP(ET$7,IT!$M$6:$BM$6,IT!$M$12:$BM$12/_xlfn.XLOOKUP(ET$7,IT!$M$6:$BM$6,IT!$M$11:$BM$11)))))))</f>
        <v/>
      </c>
      <c r="EU98" s="730" t="str" cm="1">
        <f t="array" ref="EU98">IF(EU$7&gt;$D$3,"",IF(CM98="OD","OD",IF(CM98="Missed","Missed",IF(CM98="TBC","TBC",IF(CM98="Undefined","Undefined",_xlfn.XLOOKUP(EU$7,IT!$M$6:$BM$6,IT!$M$12:$BM$12/_xlfn.XLOOKUP(EU$7,IT!$M$6:$BM$6,IT!$M$11:$BM$11)))))))</f>
        <v/>
      </c>
      <c r="EW98" s="465" t="str">
        <f>+$A98</f>
        <v>IT-KPI D1</v>
      </c>
      <c r="EX98" s="136" t="str">
        <f>+$C98</f>
        <v>KPI D1</v>
      </c>
      <c r="EY98" s="144" t="str">
        <f>+$D98</f>
        <v>Delivery</v>
      </c>
      <c r="EZ98" s="144" t="str">
        <f>+$E98</f>
        <v>Percentage of Tickets Closed on Time</v>
      </c>
      <c r="FA98" s="145" t="str">
        <f>+$F98</f>
        <v>Percentage</v>
      </c>
      <c r="FB98" s="145" t="s">
        <v>251</v>
      </c>
      <c r="FC98" s="214" t="str">
        <f>IF(FC$7&gt;$D$3,"",IF($FA96&lt;FC$7,"OD",_xlfn.XLOOKUP(FC$7,IT!$M$6:$BM$6,IT!$M$12:$BM$12)))</f>
        <v>Blank</v>
      </c>
      <c r="FD98" s="214" t="str">
        <f>IF(FD$7&gt;$D$3,"",IF($FA96&lt;FD$7,"OD",_xlfn.XLOOKUP(FD$7,IT!$M$6:$BM$6,IT!$M$12:$BM$12)))</f>
        <v>TBC</v>
      </c>
      <c r="FE98" s="214" t="str">
        <f>IF(FE$7&gt;$D$3,"",IF($FA96&lt;FE$7,"OD",_xlfn.XLOOKUP(FE$7,IT!$M$6:$BM$6,IT!$M$12:$BM$12)))</f>
        <v>TBC</v>
      </c>
      <c r="FF98" s="214" t="str">
        <f>IF(FF$7&gt;$D$3,"",IF($FA96&lt;FF$7,"OD",_xlfn.XLOOKUP(FF$7,IT!$M$6:$BM$6,IT!$M$12:$BM$12)))</f>
        <v>TBC</v>
      </c>
      <c r="FG98" s="214" t="str">
        <f>IF(FG$7&gt;$D$3,"",IF($FA96&lt;FG$7,"OD",_xlfn.XLOOKUP(FG$7,IT!$M$6:$BM$6,IT!$M$12:$BM$12)))</f>
        <v>TBC</v>
      </c>
      <c r="FH98" s="214" t="str">
        <f>IF(FH$7&gt;$D$3,"",IF($FA96&lt;FH$7,"OD",_xlfn.XLOOKUP(FH$7,IT!$M$6:$BM$6,IT!$M$12:$BM$12)))</f>
        <v>TBC</v>
      </c>
      <c r="FI98" s="214" t="str">
        <f>IF(FI$7&gt;$D$3,"",IF($FA96&lt;FI$7,"OD",_xlfn.XLOOKUP(FI$7,IT!$M$6:$BM$6,IT!$M$12:$BM$12)))</f>
        <v>TBC</v>
      </c>
      <c r="FJ98" s="214" t="str">
        <f>IF(FJ$7&gt;$D$3,"",IF($FA96&lt;FJ$7,"OD",_xlfn.XLOOKUP(FJ$7,IT!$M$6:$BM$6,IT!$M$12:$BM$12)))</f>
        <v>TBC</v>
      </c>
      <c r="FK98" s="214" t="str">
        <f>IF(FK$7&gt;$D$3,"",IF($FA96&lt;FK$7,"OD",_xlfn.XLOOKUP(FK$7,IT!$M$6:$BM$6,IT!$M$12:$BM$12)))</f>
        <v>TBC</v>
      </c>
      <c r="FL98" s="214" t="str">
        <f>IF(FL$7&gt;$D$3,"",IF($FA96&lt;FL$7,"OD",_xlfn.XLOOKUP(FL$7,IT!$M$6:$BM$6,IT!$M$12:$BM$12)))</f>
        <v>TBC</v>
      </c>
      <c r="FM98" s="214" t="str">
        <f>IF(FM$7&gt;$D$3,"",IF($FA96&lt;FM$7,"OD",_xlfn.XLOOKUP(FM$7,IT!$M$6:$BM$6,IT!$M$12:$BM$12)))</f>
        <v>TBC</v>
      </c>
      <c r="FN98" s="214" t="str">
        <f>IF(FN$7&gt;$D$3,"",IF($FA96&lt;FN$7,"OD",_xlfn.XLOOKUP(FN$7,IT!$M$6:$BM$6,IT!$M$12:$BM$12)))</f>
        <v>TBC</v>
      </c>
      <c r="FO98" s="214" t="str">
        <f>IF(FO$7&gt;$D$3,"",IF($FA96&lt;FO$7,"OD",_xlfn.XLOOKUP(FO$7,IT!$M$6:$BM$6,IT!$M$12:$BM$12)))</f>
        <v>TBC</v>
      </c>
      <c r="FP98" s="214" t="str">
        <f>IF(FP$7&gt;$D$3,"",IF($FA96&lt;FP$7,"OD",_xlfn.XLOOKUP(FP$7,IT!$M$6:$BM$6,IT!$M$12:$BM$12)))</f>
        <v>TBC</v>
      </c>
      <c r="FQ98" s="214" t="str">
        <f>IF(FQ$7&gt;$D$3,"",IF($FA96&lt;FQ$7,"OD",_xlfn.XLOOKUP(FQ$7,IT!$M$6:$BM$6,IT!$M$12:$BM$12)))</f>
        <v>TBC</v>
      </c>
      <c r="FR98" s="214" t="str">
        <f>IF(FR$7&gt;$D$3,"",IF($FA96&lt;FR$7,"OD",_xlfn.XLOOKUP(FR$7,IT!$M$6:$BM$6,IT!$M$12:$BM$12)))</f>
        <v>TBC</v>
      </c>
      <c r="FS98" s="214" t="str">
        <f>IF(FS$7&gt;$D$3,"",IF($FA96&lt;FS$7,"OD",_xlfn.XLOOKUP(FS$7,IT!$M$6:$BM$6,IT!$M$12:$BM$12)))</f>
        <v>TBC</v>
      </c>
      <c r="FT98" s="214" t="str">
        <f>IF(FT$7&gt;$D$3,"",IF($FA96&lt;FT$7,"OD",_xlfn.XLOOKUP(FT$7,IT!$M$6:$BM$6,IT!$M$12:$BM$12)))</f>
        <v>TBC</v>
      </c>
      <c r="FU98" s="214" t="str">
        <f>IF(FU$7&gt;$D$3,"",IF($FA96&lt;FU$7,"OD",_xlfn.XLOOKUP(FU$7,IT!$M$6:$BM$6,IT!$M$12:$BM$12)))</f>
        <v>TBC</v>
      </c>
      <c r="FV98" s="214" t="str">
        <f>IF(FV$7&gt;$D$3,"",IF($FA96&lt;FV$7,"OD",_xlfn.XLOOKUP(FV$7,IT!$M$6:$BM$6,IT!$M$12:$BM$12)))</f>
        <v>TBC</v>
      </c>
      <c r="FW98" s="214" t="str">
        <f>IF(FW$7&gt;$D$3,"",IF($FA96&lt;FW$7,"OD",_xlfn.XLOOKUP(FW$7,IT!$M$6:$BM$6,IT!$M$12:$BM$12)))</f>
        <v>TBC</v>
      </c>
      <c r="FX98" s="214" t="str">
        <f>IF(FX$7&gt;$D$3,"",IF($FA96&lt;FX$7,"OD",_xlfn.XLOOKUP(FX$7,IT!$M$6:$BM$6,IT!$M$12:$BM$12)))</f>
        <v>TBC</v>
      </c>
      <c r="FY98" s="214">
        <f>IF(FY$7&gt;$D$3,"",IF($FA96&lt;FY$7,"OD",_xlfn.XLOOKUP(FY$7,IT!$M$6:$BM$6,IT!$M$12:$BM$12)))</f>
        <v>0.96</v>
      </c>
      <c r="FZ98" s="214">
        <f>IF(FZ$7&gt;$D$3,"",IF($FA96&lt;FZ$7,"OD",_xlfn.XLOOKUP(FZ$7,IT!$M$6:$BM$6,IT!$M$12:$BM$12)))</f>
        <v>0.96</v>
      </c>
      <c r="GA98" s="214">
        <f>IF(GA$7&gt;$D$3,"",IF($FA96&lt;GA$7,"OD",_xlfn.XLOOKUP(GA$7,IT!$M$6:$BM$6,IT!$M$12:$BM$12)))</f>
        <v>1</v>
      </c>
      <c r="GB98" s="214">
        <f>IF(GB$7&gt;$D$3,"",IF($FA96&lt;GB$7,"OD",_xlfn.XLOOKUP(GB$7,IT!$M$6:$BM$6,IT!$M$12:$BM$12)))</f>
        <v>0.9</v>
      </c>
      <c r="GC98" s="214">
        <f>IF(GC$7&gt;$D$3,"",IF($FA96&lt;GC$7,"OD",_xlfn.XLOOKUP(GC$7,IT!$M$6:$BM$6,IT!$M$12:$BM$12)))</f>
        <v>1</v>
      </c>
      <c r="GD98" s="214">
        <f>IF(GD$7&gt;$D$3,"",IF($FA96&lt;GD$7,"OD",_xlfn.XLOOKUP(GD$7,IT!$M$6:$BM$6,IT!$M$12:$BM$12)))</f>
        <v>1</v>
      </c>
      <c r="GE98" s="214">
        <f>IF(GE$7&gt;$D$3,"",IF($FA96&lt;GE$7,"OD",_xlfn.XLOOKUP(GE$7,IT!$M$6:$BM$6,IT!$M$12:$BM$12)))</f>
        <v>0.97</v>
      </c>
      <c r="GF98" s="214">
        <f>IF(GF$7&gt;$D$3,"",IF($FA96&lt;GF$7,"OD",_xlfn.XLOOKUP(GF$7,IT!$M$6:$BM$6,IT!$M$12:$BM$12)))</f>
        <v>0.97</v>
      </c>
      <c r="GG98" s="214">
        <f>IF(GG$7&gt;$D$3,"",IF($FA96&lt;GG$7,"OD",_xlfn.XLOOKUP(GG$7,IT!$M$6:$BM$6,IT!$M$12:$BM$12)))</f>
        <v>1</v>
      </c>
      <c r="GH98" s="214">
        <f>IF(GH$7&gt;$D$3,"",IF($FA96&lt;GH$7,"OD",_xlfn.XLOOKUP(GH$7,IT!$M$6:$BM$6,IT!$M$12:$BM$12)))</f>
        <v>0.98</v>
      </c>
      <c r="GI98" s="214">
        <f>IF(GI$7&gt;$D$3,"",IF($FA96&lt;GI$7,"OD",_xlfn.XLOOKUP(GI$7,IT!$M$6:$BM$6,IT!$M$12:$BM$12)))</f>
        <v>0.96</v>
      </c>
      <c r="GJ98" s="214">
        <f>IF(GJ$7&gt;$D$3,"",IF($FA96&lt;GJ$7,"OD",_xlfn.XLOOKUP(GJ$7,IT!$M$6:$BM$6,IT!$M$12:$BM$12)))</f>
        <v>0.96</v>
      </c>
      <c r="GK98" s="214">
        <f>IF(GK$7&gt;$D$3,"",IF($FA96&lt;GK$7,"OD",_xlfn.XLOOKUP(GK$7,IT!$M$6:$BM$6,IT!$M$12:$BM$12)))</f>
        <v>0.91</v>
      </c>
      <c r="GL98" s="214">
        <f>IF(GL$7&gt;$D$3,"",IF($FA96&lt;GL$7,"OD",_xlfn.XLOOKUP(GL$7,IT!$M$6:$BM$6,IT!$M$12:$BM$12)))</f>
        <v>0</v>
      </c>
      <c r="GM98" s="214">
        <f>IF(GM$7&gt;$D$3,"",IF($FA96&lt;GM$7,"OD",_xlfn.XLOOKUP(GM$7,IT!$M$6:$BM$6,IT!$M$12:$BM$12)))</f>
        <v>0</v>
      </c>
      <c r="GN98" s="214">
        <f>IF(GN$7&gt;$D$3,"",IF($FA96&lt;GN$7,"OD",_xlfn.XLOOKUP(GN$7,IT!$M$6:$BM$6,IT!$M$12:$BM$12)))</f>
        <v>97</v>
      </c>
      <c r="GO98" s="214">
        <f>IF(GO$7&gt;$D$3,"",IF($FA96&lt;GO$7,"OD",_xlfn.XLOOKUP(GO$7,IT!$M$6:$BM$6,IT!$M$12:$BM$12)))</f>
        <v>0.97</v>
      </c>
      <c r="GP98" s="214">
        <f>IF(GP$7&gt;$D$3,"",IF($FA96&lt;GP$7,"OD",_xlfn.XLOOKUP(GP$7,IT!$M$6:$BM$6,IT!$M$12:$BM$12)))</f>
        <v>0.98</v>
      </c>
      <c r="GQ98" s="214">
        <f>IF(GQ$7&gt;$D$3,"",IF($FA96&lt;GQ$7,"OD",_xlfn.XLOOKUP(GQ$7,IT!$M$6:$BM$6,IT!$M$12:$BM$12)))</f>
        <v>0.97</v>
      </c>
      <c r="GR98" s="214" t="str">
        <f>IF(GR$7&gt;$D$3,"",IF($FA96&lt;GR$7,"OD",_xlfn.XLOOKUP(GR$7,IT!$M$6:$BM$6,IT!$M$12:$BM$12)))</f>
        <v>OD</v>
      </c>
      <c r="GS98" s="214" t="str">
        <f>IF(GS$7&gt;$D$3,"",IF($FA96&lt;GS$7,"OD",_xlfn.XLOOKUP(GS$7,IT!$M$6:$BM$6,IT!$M$12:$BM$12)))</f>
        <v/>
      </c>
      <c r="GT98" s="214" t="str">
        <f>IF(GT$7&gt;$D$3,"",IF($FA96&lt;GT$7,"OD",_xlfn.XLOOKUP(GT$7,IT!$M$6:$BM$6,IT!$M$12:$BM$12)))</f>
        <v/>
      </c>
      <c r="GU98" s="214" t="str">
        <f>IF(GU$7&gt;$D$3,"",IF($FA96&lt;GU$7,"OD",_xlfn.XLOOKUP(GU$7,IT!$M$6:$BM$6,IT!$M$12:$BM$12)))</f>
        <v/>
      </c>
      <c r="GV98" s="214" t="str">
        <f>IF(GV$7&gt;$D$3,"",IF($FA96&lt;GV$7,"OD",_xlfn.XLOOKUP(GV$7,IT!$M$6:$BM$6,IT!$M$12:$BM$12)))</f>
        <v/>
      </c>
      <c r="GW98" s="214" t="str">
        <f>IF(GW$7&gt;$D$3,"",IF($FA96&lt;GW$7,"OD",_xlfn.XLOOKUP(GW$7,IT!$M$6:$BM$6,IT!$M$12:$BM$12)))</f>
        <v/>
      </c>
      <c r="GX98" s="214" t="str">
        <f>IF(GX$7&gt;$D$3,"",IF($FA96&lt;GX$7,"OD",_xlfn.XLOOKUP(GX$7,IT!$M$6:$BM$6,IT!$M$12:$BM$12)))</f>
        <v/>
      </c>
      <c r="GY98" s="214" t="str">
        <f>IF(GY$7&gt;$D$3,"",IF($FA96&lt;GY$7,"OD",_xlfn.XLOOKUP(GY$7,IT!$M$6:$BM$6,IT!$M$12:$BM$12)))</f>
        <v/>
      </c>
      <c r="GZ98" s="214" t="str">
        <f>IF(GZ$7&gt;$D$3,"",IF($FA96&lt;GZ$7,"OD",_xlfn.XLOOKUP(GZ$7,IT!$M$6:$BM$6,IT!$M$12:$BM$12)))</f>
        <v/>
      </c>
      <c r="HA98" s="214" t="str">
        <f>IF(HA$7&gt;$D$3,"",IF($FA96&lt;HA$7,"OD",_xlfn.XLOOKUP(HA$7,IT!$M$6:$BM$6,IT!$M$12:$BM$12)))</f>
        <v/>
      </c>
      <c r="HB98" s="214" t="str">
        <f>IF(HB$7&gt;$D$3,"",IF($FA96&lt;HB$7,"OD",_xlfn.XLOOKUP(HB$7,IT!$M$6:$BM$6,IT!$M$12:$BM$12)))</f>
        <v/>
      </c>
      <c r="HC98" s="214" t="str">
        <f>IF(HC$7&gt;$D$3,"",IF($FA96&lt;HC$7,"OD",_xlfn.XLOOKUP(HC$7,IT!$M$6:$BM$6,IT!$M$12:$BM$12)))</f>
        <v/>
      </c>
      <c r="HE98" s="136" t="str">
        <f>+$C98</f>
        <v>KPI D1</v>
      </c>
      <c r="HF98" s="144" t="str">
        <f>+$D98</f>
        <v>Delivery</v>
      </c>
      <c r="HG98" s="144" t="str">
        <f>+$E98</f>
        <v>Percentage of Tickets Closed on Time</v>
      </c>
      <c r="HH98" s="145" t="str">
        <f>+$F98</f>
        <v>Percentage</v>
      </c>
      <c r="HI98" s="145" t="s">
        <v>44</v>
      </c>
      <c r="HJ98" s="214" t="str">
        <f>IF(HJ$7&gt;$D$3,"",IF($FA96&lt;HJ$7,"OD",_xlfn.XLOOKUP(HJ$7,IT!$M$6:$BM$6,IT!$M$11:$BM$11)))</f>
        <v>Blank</v>
      </c>
      <c r="HK98" s="214" t="str">
        <f>IF(HK$7&gt;$D$3,"",IF($FA96&lt;HK$7,"OD",_xlfn.XLOOKUP(HK$7,IT!$M$6:$BM$6,IT!$M$11:$BM$11)))</f>
        <v>TBC</v>
      </c>
      <c r="HL98" s="226" t="str">
        <f>IF(HL$7&gt;$D$3,"",IF($FA96&lt;HL$7,"OD",_xlfn.XLOOKUP(HL$7,IT!$M$6:$BM$6,IT!$M$11:$BM$11)))</f>
        <v>TBC</v>
      </c>
      <c r="HM98" s="226" t="str">
        <f>IF(HM$7&gt;$D$3,"",IF($FA96&lt;HM$7,"OD",_xlfn.XLOOKUP(HM$7,IT!$M$6:$BM$6,IT!$M$11:$BM$11)))</f>
        <v>TBC</v>
      </c>
      <c r="HN98" s="226" t="str">
        <f>IF(HN$7&gt;$D$3,"",IF($FA96&lt;HN$7,"OD",_xlfn.XLOOKUP(HN$7,IT!$M$6:$BM$6,IT!$M$11:$BM$11)))</f>
        <v>TBC</v>
      </c>
      <c r="HO98" s="226" t="str">
        <f>IF(HO$7&gt;$D$3,"",IF($FA96&lt;HO$7,"OD",_xlfn.XLOOKUP(HO$7,IT!$M$6:$BM$6,IT!$M$11:$BM$11)))</f>
        <v>TBC</v>
      </c>
      <c r="HP98" s="226" t="str">
        <f>IF(HP$7&gt;$D$3,"",IF($FA96&lt;HP$7,"OD",_xlfn.XLOOKUP(HP$7,IT!$M$6:$BM$6,IT!$M$11:$BM$11)))</f>
        <v>TBC</v>
      </c>
      <c r="HQ98" s="226" t="str">
        <f>IF(HQ$7&gt;$D$3,"",IF($FA96&lt;HQ$7,"OD",_xlfn.XLOOKUP(HQ$7,IT!$M$6:$BM$6,IT!$M$11:$BM$11)))</f>
        <v>TBC</v>
      </c>
      <c r="HR98" s="226" t="str">
        <f>IF(HR$7&gt;$D$3,"",IF($FA96&lt;HR$7,"OD",_xlfn.XLOOKUP(HR$7,IT!$M$6:$BM$6,IT!$M$11:$BM$11)))</f>
        <v>TBC</v>
      </c>
      <c r="HS98" s="226" t="str">
        <f>IF(HS$7&gt;$D$3,"",IF($FA96&lt;HS$7,"OD",_xlfn.XLOOKUP(HS$7,IT!$M$6:$BM$6,IT!$M$11:$BM$11)))</f>
        <v>TBC</v>
      </c>
      <c r="HT98" s="226" t="str">
        <f>IF(HT$7&gt;$D$3,"",IF($FA96&lt;HT$7,"OD",_xlfn.XLOOKUP(HT$7,IT!$M$6:$BM$6,IT!$M$11:$BM$11)))</f>
        <v>TBC</v>
      </c>
      <c r="HU98" s="226" t="str">
        <f>IF(HU$7&gt;$D$3,"",IF($FA96&lt;HU$7,"OD",_xlfn.XLOOKUP(HU$7,IT!$M$6:$BM$6,IT!$M$11:$BM$11)))</f>
        <v>TBC</v>
      </c>
      <c r="HV98" s="226" t="str">
        <f>IF(HV$7&gt;$D$3,"",IF($FA96&lt;HV$7,"OD",_xlfn.XLOOKUP(HV$7,IT!$M$6:$BM$6,IT!$M$11:$BM$11)))</f>
        <v>TBC</v>
      </c>
      <c r="HW98" s="226" t="str">
        <f>IF(HW$7&gt;$D$3,"",IF($FA96&lt;HW$7,"OD",_xlfn.XLOOKUP(HW$7,IT!$M$6:$BM$6,IT!$M$11:$BM$11)))</f>
        <v>TBC</v>
      </c>
      <c r="HX98" s="226" t="str">
        <f>IF(HX$7&gt;$D$3,"",IF($FA96&lt;HX$7,"OD",_xlfn.XLOOKUP(HX$7,IT!$M$6:$BM$6,IT!$M$11:$BM$11)))</f>
        <v>TBC</v>
      </c>
      <c r="HY98" s="226" t="str">
        <f>IF(HY$7&gt;$D$3,"",IF($FA96&lt;HY$7,"OD",_xlfn.XLOOKUP(HY$7,IT!$M$6:$BM$6,IT!$M$11:$BM$11)))</f>
        <v>TBC</v>
      </c>
      <c r="HZ98" s="226" t="str">
        <f>IF(HZ$7&gt;$D$3,"",IF($FA96&lt;HZ$7,"OD",_xlfn.XLOOKUP(HZ$7,IT!$M$6:$BM$6,IT!$M$11:$BM$11)))</f>
        <v>TBC</v>
      </c>
      <c r="IA98" s="226" t="str">
        <f>IF(IA$7&gt;$D$3,"",IF($FA96&lt;IA$7,"OD",_xlfn.XLOOKUP(IA$7,IT!$M$6:$BM$6,IT!$M$11:$BM$11)))</f>
        <v>TBC</v>
      </c>
      <c r="IB98" s="226" t="str">
        <f>IF(IB$7&gt;$D$3,"",IF($FA96&lt;IB$7,"OD",_xlfn.XLOOKUP(IB$7,IT!$M$6:$BM$6,IT!$M$11:$BM$11)))</f>
        <v>TBC</v>
      </c>
      <c r="IC98" s="226" t="str">
        <f>IF(IC$7&gt;$D$3,"",IF($FA96&lt;IC$7,"OD",_xlfn.XLOOKUP(IC$7,IT!$M$6:$BM$6,IT!$M$11:$BM$11)))</f>
        <v>TBC</v>
      </c>
      <c r="ID98" s="226" t="str">
        <f>IF(ID$7&gt;$D$3,"",IF($FA96&lt;ID$7,"OD",_xlfn.XLOOKUP(ID$7,IT!$M$6:$BM$6,IT!$M$11:$BM$11)))</f>
        <v>TBC</v>
      </c>
      <c r="IE98" s="226" t="str">
        <f>IF(IE$7&gt;$D$3,"",IF($FA96&lt;IE$7,"OD",_xlfn.XLOOKUP(IE$7,IT!$M$6:$BM$6,IT!$M$11:$BM$11)))</f>
        <v>TBC</v>
      </c>
      <c r="IF98" s="226">
        <f>IF(IF$7&gt;$D$3,"",IF($FA96&lt;IF$7,"OD",_xlfn.XLOOKUP(IF$7,IT!$M$6:$BM$6,IT!$M$11:$BM$11)))</f>
        <v>0.95</v>
      </c>
      <c r="IG98" s="226">
        <f>IF(IG$7&gt;$D$3,"",IF($FA96&lt;IG$7,"OD",_xlfn.XLOOKUP(IG$7,IT!$M$6:$BM$6,IT!$M$11:$BM$11)))</f>
        <v>0.95</v>
      </c>
      <c r="IH98" s="226">
        <f>IF(IH$7&gt;$D$3,"",IF($FA96&lt;IH$7,"OD",_xlfn.XLOOKUP(IH$7,IT!$M$6:$BM$6,IT!$M$11:$BM$11)))</f>
        <v>0.95</v>
      </c>
      <c r="II98" s="226">
        <f>IF(II$7&gt;$D$3,"",IF($FA96&lt;II$7,"OD",_xlfn.XLOOKUP(II$7,IT!$M$6:$BM$6,IT!$M$11:$BM$11)))</f>
        <v>0.95</v>
      </c>
      <c r="IJ98" s="226">
        <f>IF(IJ$7&gt;$D$3,"",IF($FA96&lt;IJ$7,"OD",_xlfn.XLOOKUP(IJ$7,IT!$M$6:$BM$6,IT!$M$11:$BM$11)))</f>
        <v>0.95</v>
      </c>
      <c r="IK98" s="226">
        <f>IF(IK$7&gt;$D$3,"",IF($FA96&lt;IK$7,"OD",_xlfn.XLOOKUP(IK$7,IT!$M$6:$BM$6,IT!$M$11:$BM$11)))</f>
        <v>0.95</v>
      </c>
      <c r="IL98" s="226">
        <f>IF(IL$7&gt;$D$3,"",IF($FA96&lt;IL$7,"OD",_xlfn.XLOOKUP(IL$7,IT!$M$6:$BM$6,IT!$M$11:$BM$11)))</f>
        <v>0.95</v>
      </c>
      <c r="IM98" s="226">
        <f>IF(IM$7&gt;$D$3,"",IF($FA96&lt;IM$7,"OD",_xlfn.XLOOKUP(IM$7,IT!$M$6:$BM$6,IT!$M$11:$BM$11)))</f>
        <v>0.95</v>
      </c>
      <c r="IN98" s="226">
        <f>IF(IN$7&gt;$D$3,"",IF($FA96&lt;IN$7,"OD",_xlfn.XLOOKUP(IN$7,IT!$M$6:$BM$6,IT!$M$11:$BM$11)))</f>
        <v>0.95</v>
      </c>
      <c r="IO98" s="226">
        <f>IF(IO$7&gt;$D$3,"",IF($FA96&lt;IO$7,"OD",_xlfn.XLOOKUP(IO$7,IT!$M$6:$BM$6,IT!$M$11:$BM$11)))</f>
        <v>0.95</v>
      </c>
      <c r="IP98" s="226">
        <f>IF(IP$7&gt;$D$3,"",IF($FA96&lt;IP$7,"OD",_xlfn.XLOOKUP(IP$7,IT!$M$6:$BM$6,IT!$M$11:$BM$11)))</f>
        <v>0.95</v>
      </c>
      <c r="IQ98" s="226">
        <f>IF(IQ$7&gt;$D$3,"",IF($FA96&lt;IQ$7,"OD",_xlfn.XLOOKUP(IQ$7,IT!$M$6:$BM$6,IT!$M$11:$BM$11)))</f>
        <v>0.95</v>
      </c>
      <c r="IR98" s="226">
        <f>IF(IR$7&gt;$D$3,"",IF($FA96&lt;IR$7,"OD",_xlfn.XLOOKUP(IR$7,IT!$M$6:$BM$6,IT!$M$11:$BM$11)))</f>
        <v>0.95</v>
      </c>
      <c r="IS98" s="226">
        <f>IF(IS$7&gt;$D$3,"",IF($FA96&lt;IS$7,"OD",_xlfn.XLOOKUP(IS$7,IT!$M$6:$BM$6,IT!$M$11:$BM$11)))</f>
        <v>0.95</v>
      </c>
      <c r="IT98" s="226">
        <f>IF(IT$7&gt;$D$3,"",IF($FA96&lt;IT$7,"OD",_xlfn.XLOOKUP(IT$7,IT!$M$6:$BM$6,IT!$M$11:$BM$11)))</f>
        <v>0.95</v>
      </c>
      <c r="IU98" s="226">
        <f>IF(IU$7&gt;$D$3,"",IF($FA96&lt;IU$7,"OD",_xlfn.XLOOKUP(IU$7,IT!$M$6:$BM$6,IT!$M$11:$BM$11)))</f>
        <v>0.95</v>
      </c>
      <c r="IV98" s="226">
        <f>IF(IV$7&gt;$D$3,"",IF($FA96&lt;IV$7,"OD",_xlfn.XLOOKUP(IV$7,IT!$M$6:$BM$6,IT!$M$11:$BM$11)))</f>
        <v>0.95</v>
      </c>
      <c r="IW98" s="226">
        <f>IF(IW$7&gt;$D$3,"",IF($FA96&lt;IW$7,"OD",_xlfn.XLOOKUP(IW$7,IT!$M$6:$BM$6,IT!$M$11:$BM$11)))</f>
        <v>0.95</v>
      </c>
      <c r="IX98" s="226">
        <f>IF(IX$7&gt;$D$3,"",IF($FA96&lt;IX$7,"OD",_xlfn.XLOOKUP(IX$7,IT!$M$6:$BM$6,IT!$M$11:$BM$11)))</f>
        <v>0.95</v>
      </c>
      <c r="IY98" s="226">
        <f>IF(IY$7&gt;$D$3,"",IF($FA96&lt;IY$7,"OD",_xlfn.XLOOKUP(IY$7,IT!$M$6:$BM$6,IT!$M$11:$BM$11)))</f>
        <v>0.95</v>
      </c>
      <c r="IZ98" s="226" t="str">
        <f>IF(IZ$7&gt;$D$3,"",IF($FA96&lt;IZ$7,"OD",_xlfn.XLOOKUP(IZ$7,IT!$M$6:$BM$6,IT!$M$11:$BM$11)))</f>
        <v/>
      </c>
      <c r="JA98" s="226" t="str">
        <f>IF(JA$7&gt;$D$3,"",IF($FA96&lt;JA$7,"OD",_xlfn.XLOOKUP(JA$7,IT!$M$6:$BM$6,IT!$M$11:$BM$11)))</f>
        <v/>
      </c>
      <c r="JB98" s="226" t="str">
        <f>IF(JB$7&gt;$D$3,"",IF($FA96&lt;JB$7,"OD",_xlfn.XLOOKUP(JB$7,IT!$M$6:$BM$6,IT!$M$11:$BM$11)))</f>
        <v/>
      </c>
      <c r="JC98" s="226" t="str">
        <f>IF(JC$7&gt;$D$3,"",IF($FA96&lt;JC$7,"OD",_xlfn.XLOOKUP(JC$7,IT!$M$6:$BM$6,IT!$M$11:$BM$11)))</f>
        <v/>
      </c>
      <c r="JD98" s="226" t="str">
        <f>IF(JD$7&gt;$D$3,"",IF($FA96&lt;JD$7,"OD",_xlfn.XLOOKUP(JD$7,IT!$M$6:$BM$6,IT!$M$11:$BM$11)))</f>
        <v/>
      </c>
      <c r="JE98" s="226" t="str">
        <f>IF(JE$7&gt;$D$3,"",IF($FA96&lt;JE$7,"OD",_xlfn.XLOOKUP(JE$7,IT!$M$6:$BM$6,IT!$M$11:$BM$11)))</f>
        <v/>
      </c>
      <c r="JF98" s="226" t="str">
        <f>IF(JF$7&gt;$D$3,"",IF($FA96&lt;JF$7,"OD",_xlfn.XLOOKUP(JF$7,IT!$M$6:$BM$6,IT!$M$11:$BM$11)))</f>
        <v/>
      </c>
      <c r="JG98" s="226" t="str">
        <f>IF(JG$7&gt;$D$3,"",IF($FA96&lt;JG$7,"OD",_xlfn.XLOOKUP(JG$7,IT!$M$6:$BM$6,IT!$M$11:$BM$11)))</f>
        <v/>
      </c>
      <c r="JH98" s="226" t="str">
        <f>IF(JH$7&gt;$D$3,"",IF($FA96&lt;JH$7,"OD",_xlfn.XLOOKUP(JH$7,IT!$M$6:$BM$6,IT!$M$11:$BM$11)))</f>
        <v/>
      </c>
      <c r="JI98" s="226" t="str">
        <f>IF(JI$7&gt;$D$3,"",IF($FA96&lt;JI$7,"OD",_xlfn.XLOOKUP(JI$7,IT!$M$6:$BM$6,IT!$M$11:$BM$11)))</f>
        <v/>
      </c>
      <c r="JJ98" s="226" t="str">
        <f>IF(JJ$7&gt;$D$3,"",IF($FA96&lt;JJ$7,"OD",_xlfn.XLOOKUP(JJ$7,IT!$M$6:$BM$6,IT!$M$11:$BM$11)))</f>
        <v/>
      </c>
      <c r="JM98" s="136" t="str">
        <f>+$C98</f>
        <v>KPI D1</v>
      </c>
      <c r="JN98" s="144" t="str">
        <f>+$D98</f>
        <v>Delivery</v>
      </c>
      <c r="JO98" s="144" t="str">
        <f>+$E98</f>
        <v>Percentage of Tickets Closed on Time</v>
      </c>
      <c r="JP98" s="145" t="str">
        <f>+$F98</f>
        <v>Percentage</v>
      </c>
      <c r="JQ98" s="145" t="s">
        <v>284</v>
      </c>
      <c r="JR98" s="226" t="str">
        <f>IFERROR(AVERAGE(FC98:$FC98),"")</f>
        <v/>
      </c>
      <c r="JS98" s="226" t="str">
        <f>IFERROR(AVERAGE($FC98:FD98),"")</f>
        <v/>
      </c>
      <c r="JT98" s="226" t="str">
        <f>IFERROR(AVERAGE($FC98:FE98),"")</f>
        <v/>
      </c>
      <c r="JU98" s="226" t="str">
        <f>IFERROR(AVERAGE($FC98:FF98),"")</f>
        <v/>
      </c>
      <c r="JV98" s="226" t="str">
        <f>IFERROR(AVERAGE($FC98:FG98),"")</f>
        <v/>
      </c>
      <c r="JW98" s="226" t="str">
        <f>IFERROR(AVERAGE($FC98:FH98),"")</f>
        <v/>
      </c>
      <c r="JX98" s="226" t="str">
        <f>IFERROR(AVERAGE($FC98:FI98),"")</f>
        <v/>
      </c>
      <c r="JY98" s="226" t="str">
        <f>IFERROR(AVERAGE($FC98:FJ98),"")</f>
        <v/>
      </c>
      <c r="JZ98" s="226" t="str">
        <f>IFERROR(AVERAGE($FC98:FK98),"")</f>
        <v/>
      </c>
      <c r="KA98" s="226" t="str">
        <f>IFERROR(AVERAGE($FC98:FL98),"")</f>
        <v/>
      </c>
      <c r="KB98" s="226" t="str">
        <f>IFERROR(AVERAGE($FC98:FM98),"")</f>
        <v/>
      </c>
      <c r="KC98" s="226" t="str">
        <f>IFERROR(AVERAGE($FC98:FN98),"")</f>
        <v/>
      </c>
      <c r="KD98" s="226" t="str">
        <f>IFERROR(AVERAGE($FC98:FO98),"")</f>
        <v/>
      </c>
      <c r="KE98" s="226" t="str">
        <f>IFERROR(AVERAGE($FC98:FP98),"")</f>
        <v/>
      </c>
      <c r="KF98" s="226" t="str">
        <f>IFERROR(AVERAGE($FC98:FQ98),"")</f>
        <v/>
      </c>
      <c r="KG98" s="226" t="str">
        <f>IFERROR(AVERAGE($FC98:FR98),"")</f>
        <v/>
      </c>
      <c r="KH98" s="226" t="str">
        <f>IFERROR(AVERAGE($FC98:FS98),"")</f>
        <v/>
      </c>
      <c r="KI98" s="226" t="str">
        <f>IFERROR(AVERAGE($FC98:FT98),"")</f>
        <v/>
      </c>
      <c r="KJ98" s="226" t="str">
        <f>IFERROR(AVERAGE($FC98:FU98),"")</f>
        <v/>
      </c>
      <c r="KK98" s="226" t="str">
        <f>IFERROR(AVERAGE($FC98:FV98),"")</f>
        <v/>
      </c>
      <c r="KL98" s="226" t="str">
        <f>IFERROR(AVERAGE($FC98:FW98),"")</f>
        <v/>
      </c>
      <c r="KM98" s="226" t="str">
        <f>IFERROR(AVERAGE($FC98:FX98),"")</f>
        <v/>
      </c>
      <c r="KN98" s="226">
        <f>IFERROR(AVERAGE($FC98:FY98),"")</f>
        <v>0.96</v>
      </c>
      <c r="KO98" s="226">
        <f>IFERROR(AVERAGE($FC98:FZ98),"")</f>
        <v>0.96</v>
      </c>
      <c r="KP98" s="226">
        <f>IFERROR(AVERAGE($FC98:GA98),"")</f>
        <v>0.97333333333333327</v>
      </c>
      <c r="KQ98" s="226">
        <f>IFERROR(AVERAGE($FC98:GB98),"")</f>
        <v>0.95499999999999996</v>
      </c>
      <c r="KR98" s="226">
        <f>IFERROR(AVERAGE($FC98:GC98),"")</f>
        <v>0.96400000000000008</v>
      </c>
      <c r="KS98" s="226">
        <f>IFERROR(AVERAGE($FC98:GD98),"")</f>
        <v>0.97000000000000008</v>
      </c>
      <c r="KT98" s="226">
        <f>IFERROR(AVERAGE($FC98:GE98),"")</f>
        <v>0.97</v>
      </c>
      <c r="KU98" s="226">
        <f>IFERROR(AVERAGE($FC98:GF98),"")</f>
        <v>0.97</v>
      </c>
      <c r="KV98" s="226">
        <f>IFERROR(AVERAGE($FC98:GG98),"")</f>
        <v>0.97333333333333327</v>
      </c>
      <c r="KW98" s="226">
        <f>IFERROR(AVERAGE($FC98:GH98),"")</f>
        <v>0.97399999999999998</v>
      </c>
      <c r="KX98" s="226">
        <f>IFERROR(AVERAGE($FC98:GI98),"")</f>
        <v>0.97272727272727266</v>
      </c>
      <c r="KY98" s="226">
        <f>IFERROR(AVERAGE($FC98:GJ98),"")</f>
        <v>0.97166666666666668</v>
      </c>
      <c r="KZ98" s="226">
        <f>IFERROR(AVERAGE($FC98:GK98),"")</f>
        <v>0.966923076923077</v>
      </c>
      <c r="LA98" s="226">
        <f>IFERROR(AVERAGE($FC98:GL98),"")</f>
        <v>0.89785714285714291</v>
      </c>
      <c r="LB98" s="226">
        <f>IFERROR(AVERAGE($FC98:GM98),"")</f>
        <v>0.83799999999999997</v>
      </c>
      <c r="LC98" s="226">
        <f>IFERROR(AVERAGE($FC98:GN98),"")</f>
        <v>6.8481249999999996</v>
      </c>
      <c r="LD98" s="226">
        <f>IFERROR(AVERAGE($FC98:GO98),"")</f>
        <v>6.5023529411764702</v>
      </c>
      <c r="LE98" s="226">
        <f>IFERROR(AVERAGE($FC98:GP98),"")</f>
        <v>6.195555555555555</v>
      </c>
      <c r="LF98" s="226">
        <f>IFERROR(AVERAGE($FC98:GQ98),"")</f>
        <v>5.9205263157894734</v>
      </c>
      <c r="LG98" s="226">
        <f>IFERROR(AVERAGE($FC98:GR98),"")</f>
        <v>5.9205263157894734</v>
      </c>
      <c r="LH98" s="226">
        <f>IFERROR(AVERAGE($FC98:GS98),"")</f>
        <v>5.9205263157894734</v>
      </c>
      <c r="LI98" s="226">
        <f>IFERROR(AVERAGE($FC98:GT98),"")</f>
        <v>5.9205263157894734</v>
      </c>
      <c r="LJ98" s="226">
        <f>IFERROR(AVERAGE($FC98:GU98),"")</f>
        <v>5.9205263157894734</v>
      </c>
      <c r="LK98" s="226">
        <f>IFERROR(AVERAGE($FC98:GV98),"")</f>
        <v>5.9205263157894734</v>
      </c>
      <c r="LL98" s="226">
        <f>IFERROR(AVERAGE($FC98:GW98),"")</f>
        <v>5.9205263157894734</v>
      </c>
      <c r="LM98" s="226">
        <f>IFERROR(AVERAGE($FC98:GX98),"")</f>
        <v>5.9205263157894734</v>
      </c>
      <c r="LN98" s="226">
        <f>IFERROR(AVERAGE($FC98:GY98),"")</f>
        <v>5.9205263157894734</v>
      </c>
      <c r="LO98" s="226">
        <f>IFERROR(AVERAGE($FC98:GZ98),"")</f>
        <v>5.9205263157894734</v>
      </c>
      <c r="LP98" s="226">
        <f>IFERROR(AVERAGE($FC98:HA98),"")</f>
        <v>5.9205263157894734</v>
      </c>
      <c r="LQ98" s="226">
        <f>IFERROR(AVERAGE($FC98:HB98),"")</f>
        <v>5.9205263157894734</v>
      </c>
      <c r="LR98" s="226">
        <f>IFERROR(AVERAGE($FC98:HC98),"")</f>
        <v>5.9205263157894734</v>
      </c>
      <c r="LT98" s="136" t="str">
        <f>+$C98</f>
        <v>KPI D1</v>
      </c>
      <c r="LU98" s="144" t="str">
        <f>+$D98</f>
        <v>Delivery</v>
      </c>
      <c r="LV98" s="144" t="str">
        <f>+$E98</f>
        <v>Percentage of Tickets Closed on Time</v>
      </c>
      <c r="LW98" s="145" t="str">
        <f>+$F98</f>
        <v>Percentage</v>
      </c>
      <c r="LX98" s="145" t="s">
        <v>285</v>
      </c>
      <c r="LY98" s="214" t="str">
        <f>IFERROR(AVERAGE($HJ98:HJ98),"")</f>
        <v/>
      </c>
      <c r="LZ98" s="214" t="str">
        <f>IFERROR(IF(LAD$7&gt;$D$3,"",AVERAGE($HJ98:HK98)),"")</f>
        <v/>
      </c>
      <c r="MA98" s="214" t="str">
        <f>IFERROR(IF(MA$7&gt;$D$3,"",AVERAGE($HJ98:HL98)),"")</f>
        <v/>
      </c>
      <c r="MB98" s="214" t="str">
        <f>IFERROR(IF(MB$7&gt;$D$3,"",AVERAGE($HJ98:HM98)),"")</f>
        <v/>
      </c>
      <c r="MC98" s="214" t="str">
        <f>IFERROR(IF(MC$7&gt;$D$3,"",AVERAGE($HJ98:HN98)),"")</f>
        <v/>
      </c>
      <c r="MD98" s="214" t="str">
        <f>IFERROR(IF(MD$7&gt;$D$3,"",AVERAGE($HJ98:HO98)),"")</f>
        <v/>
      </c>
      <c r="ME98" s="214" t="str">
        <f>IFERROR(IF(ME$7&gt;$D$3,"",AVERAGE($HJ98:HP98)),"")</f>
        <v/>
      </c>
      <c r="MF98" s="214" t="str">
        <f>IFERROR(IF(MF$7&gt;$D$3,"",AVERAGE($HJ98:HQ98)),"")</f>
        <v/>
      </c>
      <c r="MG98" s="214" t="str">
        <f>IFERROR(IF(MG$7&gt;$D$3,"",AVERAGE($HJ98:HR98)),"")</f>
        <v/>
      </c>
      <c r="MH98" s="214" t="str">
        <f>IFERROR(IF(MH$7&gt;$D$3,"",AVERAGE($HJ98:HS98)),"")</f>
        <v/>
      </c>
      <c r="MI98" s="214" t="str">
        <f>IFERROR(IF(MI$7&gt;$D$3,"",AVERAGE($HJ98:HT98)),"")</f>
        <v/>
      </c>
      <c r="MJ98" s="214" t="str">
        <f>IFERROR(IF(MJ$7&gt;$D$3,"",AVERAGE($HJ98:HU98)),"")</f>
        <v/>
      </c>
      <c r="MK98" s="214" t="str">
        <f>IFERROR(IF(MK$7&gt;$D$3,"",AVERAGE($HJ98:HV98)),"")</f>
        <v/>
      </c>
      <c r="ML98" s="214" t="str">
        <f>IFERROR(IF(ML$7&gt;$D$3,"",AVERAGE($HJ98:HW98)),"")</f>
        <v/>
      </c>
      <c r="MM98" s="214" t="str">
        <f>IFERROR(IF(MM$7&gt;$D$3,"",AVERAGE($HJ98:HX98)),"")</f>
        <v/>
      </c>
      <c r="MN98" s="214" t="str">
        <f>IFERROR(IF(MN$7&gt;$D$3,"",AVERAGE($HJ98:HY98)),"")</f>
        <v/>
      </c>
      <c r="MO98" s="214" t="str">
        <f>IFERROR(IF(MO$7&gt;$D$3,"",AVERAGE($HJ98:HZ98)),"")</f>
        <v/>
      </c>
      <c r="MP98" s="214" t="str">
        <f>IFERROR(IF(MP$7&gt;$D$3,"",AVERAGE($HJ98:IA98)),"")</f>
        <v/>
      </c>
      <c r="MQ98" s="214" t="str">
        <f>IFERROR(IF(MQ$7&gt;$D$3,"",AVERAGE($HJ98:IB98)),"")</f>
        <v/>
      </c>
      <c r="MR98" s="214" t="str">
        <f>IFERROR(IF(MR$7&gt;$D$3,"",AVERAGE($HJ98:IC98)),"")</f>
        <v/>
      </c>
      <c r="MS98" s="214" t="str">
        <f>IFERROR(IF(MS$7&gt;$D$3,"",AVERAGE($HJ98:ID98)),"")</f>
        <v/>
      </c>
      <c r="MT98" s="214" t="str">
        <f>IFERROR(IF(MT$7&gt;$D$3,"",AVERAGE($HJ98:IE98)),"")</f>
        <v/>
      </c>
      <c r="MU98" s="214">
        <f>IFERROR(IF(MU$7&gt;$D$3,"",AVERAGE($HJ98:IF98)),"")</f>
        <v>0.95</v>
      </c>
      <c r="MV98" s="214">
        <f>IFERROR(IF(MV$7&gt;$D$3,"",AVERAGE($HJ98:IG98)),"")</f>
        <v>0.95</v>
      </c>
      <c r="MW98" s="214">
        <f>IFERROR(IF(MW$7&gt;$D$3,"",AVERAGE($HJ98:IH98)),"")</f>
        <v>0.94999999999999984</v>
      </c>
      <c r="MX98" s="214">
        <f>IFERROR(IF(MX$7&gt;$D$3,"",AVERAGE($HJ98:II98)),"")</f>
        <v>0.95</v>
      </c>
      <c r="MY98" s="214">
        <f>IFERROR(IF(MY$7&gt;$D$3,"",AVERAGE($HJ98:IJ98)),"")</f>
        <v>0.95</v>
      </c>
      <c r="MZ98" s="214">
        <f>IFERROR(IF(MZ$7&gt;$D$3,"",AVERAGE($HJ98:IK98)),"")</f>
        <v>0.95000000000000007</v>
      </c>
      <c r="NA98" s="214">
        <f>IFERROR(IF(NA$7&gt;$D$3,"",AVERAGE($HJ98:IL98)),"")</f>
        <v>0.95000000000000007</v>
      </c>
      <c r="NB98" s="214">
        <f>IFERROR(IF(NB$7&gt;$D$3,"",AVERAGE($HJ98:IM98)),"")</f>
        <v>0.95000000000000007</v>
      </c>
      <c r="NC98" s="214">
        <f>IFERROR(IF(NC$7&gt;$D$3,"",AVERAGE($HJ98:IN98)),"")</f>
        <v>0.95000000000000007</v>
      </c>
      <c r="ND98" s="214">
        <f>IFERROR(IF(ND$7&gt;$D$3,"",AVERAGE($HJ98:IO98)),"")</f>
        <v>0.95</v>
      </c>
      <c r="NE98" s="214">
        <f>IFERROR(IF(NE$7&gt;$D$3,"",AVERAGE($HJ98:IP98)),"")</f>
        <v>0.95</v>
      </c>
      <c r="NF98" s="214">
        <f>IFERROR(IF(NF$7&gt;$D$3,"",AVERAGE($HJ98:IQ98)),"")</f>
        <v>0.94999999999999984</v>
      </c>
      <c r="NG98" s="214">
        <f>IFERROR(IF(NG$7&gt;$D$3,"",AVERAGE($HJ98:IR98)),"")</f>
        <v>0.94999999999999984</v>
      </c>
      <c r="NH98" s="214">
        <f>IFERROR(IF(NH$7&gt;$D$3,"",AVERAGE($HJ98:IS98)),"")</f>
        <v>0.94999999999999984</v>
      </c>
      <c r="NI98" s="214">
        <f>IFERROR(IF(NI$7&gt;$D$3,"",AVERAGE($HJ98:IT98)),"")</f>
        <v>0.94999999999999973</v>
      </c>
      <c r="NJ98" s="214">
        <f>IFERROR(IF(NJ$7&gt;$D$3,"",AVERAGE($HJ98:IU98)),"")</f>
        <v>0.94999999999999973</v>
      </c>
      <c r="NK98" s="214">
        <f>IFERROR(IF(NK$7&gt;$D$3,"",AVERAGE($HJ98:IV98)),"")</f>
        <v>0.94999999999999973</v>
      </c>
      <c r="NL98" s="214">
        <f>IFERROR(IF(NL$7&gt;$D$3,"",AVERAGE($HJ98:IW98)),"")</f>
        <v>0.94999999999999973</v>
      </c>
      <c r="NM98" s="214">
        <f>IFERROR(IF(NM$7&gt;$D$3,"",AVERAGE($HJ98:IX98)),"")</f>
        <v>0.94999999999999962</v>
      </c>
      <c r="NN98" s="214">
        <f>IFERROR(IF(NN$7&gt;$D$3,"",AVERAGE($HJ98:IY98)),"")</f>
        <v>0.94999999999999962</v>
      </c>
      <c r="NO98" s="214" t="str">
        <f>IFERROR(IF(NO$7&gt;$D$3,"",AVERAGE($HJ98:IZ98)),"")</f>
        <v/>
      </c>
      <c r="NP98" s="214" t="str">
        <f>IFERROR(IF(NP$7&gt;$D$3,"",AVERAGE($HJ98:JA98)),"")</f>
        <v/>
      </c>
      <c r="NQ98" s="214" t="str">
        <f>IFERROR(IF(NQ$7&gt;$D$3,"",AVERAGE($HJ98:JB98)),"")</f>
        <v/>
      </c>
      <c r="NR98" s="214" t="str">
        <f>IFERROR(IF(NR$7&gt;$D$3,"",AVERAGE($HJ98:JC98)),"")</f>
        <v/>
      </c>
      <c r="NS98" s="214" t="str">
        <f>IFERROR(IF(NS$7&gt;$D$3,"",AVERAGE($HJ98:JD98)),"")</f>
        <v/>
      </c>
      <c r="NT98" s="214" t="str">
        <f>IFERROR(IF(NT$7&gt;$D$3,"",AVERAGE($HJ98:JE98)),"")</f>
        <v/>
      </c>
      <c r="NU98" s="214" t="str">
        <f>IFERROR(IF(NU$7&gt;$D$3,"",AVERAGE($HJ98:JF98)),"")</f>
        <v/>
      </c>
      <c r="NV98" s="214" t="str">
        <f>IFERROR(IF(NV$7&gt;$D$3,"",AVERAGE($HJ98:JG98)),"")</f>
        <v/>
      </c>
      <c r="NW98" s="214" t="str">
        <f>IFERROR(IF(NW$7&gt;$D$3,"",AVERAGE($HJ98:JH98)),"")</f>
        <v/>
      </c>
      <c r="NX98" s="214" t="str">
        <f>IFERROR(IF(NX$7&gt;$D$3,"",AVERAGE($HJ98:JI98)),"")</f>
        <v/>
      </c>
      <c r="NY98" s="214" t="str">
        <f>IFERROR(IF(NY$7&gt;$D$3,"",AVERAGE($HJ98:JJ98)),"")</f>
        <v/>
      </c>
    </row>
    <row r="99" spans="1:389" x14ac:dyDescent="0.3">
      <c r="A99" t="str">
        <f>$B$96&amp;"-"&amp;C99</f>
        <v>IT-KPI Q1</v>
      </c>
      <c r="B99" s="918">
        <f>+'KPI Stats'!B98</f>
        <v>0</v>
      </c>
      <c r="C99" s="136" t="str">
        <f>+'KPI Stats'!C98</f>
        <v>KPI Q1</v>
      </c>
      <c r="D99" s="144" t="str">
        <f>+'KPI Stats'!D98</f>
        <v>Quality</v>
      </c>
      <c r="E99" s="144" t="str">
        <f>+'KPI Stats'!E98</f>
        <v>Employee Satisfaction</v>
      </c>
      <c r="F99" s="518" t="str">
        <f>+'KPI Stats'!F98</f>
        <v>Percentage</v>
      </c>
      <c r="G99" s="519" t="str">
        <f>+'KPI Stats'!G98</f>
        <v>Under</v>
      </c>
      <c r="J99" s="69" t="str">
        <f>_xlfn.XLOOKUP(J$7,$AM$7:$CM$7,$AM99:$CM99,,FALSE)</f>
        <v>OD</v>
      </c>
      <c r="K99" s="264" t="str">
        <f>_xlfn.XLOOKUP(K$7,$FC$7:$HC$7,$FC99:$HC99,,FALSE)</f>
        <v>OD</v>
      </c>
      <c r="L99" s="278">
        <f>_xlfn.XLOOKUP(L$7,$HJ$7:$JJ$7,$HJ99:$JJ99,,FALSE)</f>
        <v>0.7</v>
      </c>
      <c r="M99" s="295" t="str">
        <f>_xlfn.XLOOKUP(M$7,$CU$7:$EU$7,$CU99:$EU99,,FALSE)</f>
        <v>OD</v>
      </c>
      <c r="P99" s="69" t="str">
        <f>_xlfn.XLOOKUP(P$7,$AM$7:$CM$7,$AM99:$CM99,,FALSE)</f>
        <v>OD</v>
      </c>
      <c r="Q99" s="264" t="str">
        <f t="shared" si="332"/>
        <v>OD</v>
      </c>
      <c r="R99" s="278">
        <f t="shared" si="332"/>
        <v>1</v>
      </c>
      <c r="S99" s="288" t="str">
        <f t="shared" si="333"/>
        <v>OD</v>
      </c>
      <c r="T99" s="265">
        <f t="shared" si="333"/>
        <v>1.4285714285714286</v>
      </c>
      <c r="U99" s="295" t="str">
        <f>IF(F96&lt;$R$2,"Not Complete",IF(Q99=R99,"Same −",IF($G99="Over",IF(Q99&lt;R99,"Better ↑ ↑","Worse ↓ ↓"),IF($G99="Under",IF(Q99&gt;R99,"Better ↑ ↑","Worse ↓ ↓"),"err"))))</f>
        <v>Better ↑ ↑</v>
      </c>
      <c r="X99" s="69" t="str">
        <f t="shared" si="334"/>
        <v>G</v>
      </c>
      <c r="Y99" s="264">
        <f>_xlfn.XLOOKUP(Y$7,$JR$7:$LR$7,$JR99:$LR99,FALSE)</f>
        <v>0.87736842105263169</v>
      </c>
      <c r="Z99" s="278">
        <f>_xlfn.XLOOKUP(Z$7,$LY$7:$NY$7,$LY99:$NY99,FALSE)</f>
        <v>0.69999999999999973</v>
      </c>
      <c r="AA99" s="288">
        <f>IFERROR(IF(G99="under",Y99/Z99,IF(G99="Over",Z99/Y99,"")),"")</f>
        <v>1.2533834586466173</v>
      </c>
      <c r="AB99" s="295" t="str">
        <f>IF(F96&lt;$R$2,"TBC",IF(Y99=Z99,"Same −",IF($G99="Over",IF(Z99&lt;Y99,"Better ↑ ","Worse ↓ "),IF($G99="Under",IF(Y99&gt;Z99,"Better ↑ ","Worse ↓ "),"err"))))</f>
        <v xml:space="preserve">Better ↑ </v>
      </c>
      <c r="AC99" s="69" t="str">
        <f>IF(AND(G99="above adero",AD99&gt;0),"R",IF(AF99&gt;1,"G",IF(AF99&gt;0.95,"A","R")))</f>
        <v>G</v>
      </c>
      <c r="AD99" s="264">
        <f>_xlfn.XLOOKUP(AD$7,$JR$7:$LR$7,$JR99:$LR99,FALSE)</f>
        <v>0.87736842105263169</v>
      </c>
      <c r="AE99" s="278">
        <f>_xlfn.XLOOKUP(AE$7,$LY$7:$NY$7,$LY99:$NY99,FALSE)</f>
        <v>0.69999999999999973</v>
      </c>
      <c r="AF99" s="272">
        <f>IFERROR(IF(G99="under",AD99/AE99,IF(G99="Over",AE99/AD99,"")),"")</f>
        <v>1.2533834586466173</v>
      </c>
      <c r="AH99" s="465" t="str">
        <f>+$A99</f>
        <v>IT-KPI Q1</v>
      </c>
      <c r="AI99" s="136" t="str">
        <f t="shared" si="335"/>
        <v>KPI Q1</v>
      </c>
      <c r="AJ99" s="144" t="str">
        <f t="shared" si="335"/>
        <v>Quality</v>
      </c>
      <c r="AK99" s="144" t="str">
        <f t="shared" si="319"/>
        <v>Employee Satisfaction</v>
      </c>
      <c r="AL99" s="145" t="str">
        <f t="shared" si="319"/>
        <v>Percentage</v>
      </c>
      <c r="AM99" s="69" t="str">
        <f>IF(AM$7&gt;$D$3,"",_xlfn.XLOOKUP(AM$7,IT!$M$6:$BM$6,IT!$M$16:$BM$16))</f>
        <v>Blank</v>
      </c>
      <c r="AN99" s="199" t="str">
        <f>IF(AN$7&gt;$D$3,"",_xlfn.XLOOKUP(AN$7,IT!$M$6:$BM$6,IT!$M$16:$BM$16))</f>
        <v>TBC</v>
      </c>
      <c r="AO99" s="69" t="str">
        <f>IF(AO$7&gt;$D$3,"",_xlfn.XLOOKUP(AO$7,IT!$M$6:$BM$6,IT!$M$16:$BM$16))</f>
        <v>TBC</v>
      </c>
      <c r="AP99" s="69" t="str">
        <f>IF(AP$7&gt;$D$3,"",_xlfn.XLOOKUP(AP$7,IT!$M$6:$BM$6,IT!$M$16:$BM$16))</f>
        <v>TBC</v>
      </c>
      <c r="AQ99" s="69" t="str">
        <f>IF(AQ$7&gt;$D$3,"",_xlfn.XLOOKUP(AQ$7,IT!$M$6:$BM$6,IT!$M$16:$BM$16))</f>
        <v>TBC</v>
      </c>
      <c r="AR99" s="69" t="str">
        <f>IF(AR$7&gt;$D$3,"",_xlfn.XLOOKUP(AR$7,IT!$M$6:$BM$6,IT!$M$16:$BM$16))</f>
        <v>TBC</v>
      </c>
      <c r="AS99" s="69" t="str">
        <f>IF(AS$7&gt;$D$3,"",_xlfn.XLOOKUP(AS$7,IT!$M$6:$BM$6,IT!$M$16:$BM$16))</f>
        <v>TBC</v>
      </c>
      <c r="AT99" s="69" t="str">
        <f>IF(AT$7&gt;$D$3,"",_xlfn.XLOOKUP(AT$7,IT!$M$6:$BM$6,IT!$M$16:$BM$16))</f>
        <v>TBC</v>
      </c>
      <c r="AU99" s="69" t="str">
        <f>IF(AU$7&gt;$D$3,"",_xlfn.XLOOKUP(AU$7,IT!$M$6:$BM$6,IT!$M$16:$BM$16))</f>
        <v>TBC</v>
      </c>
      <c r="AV99" s="69" t="str">
        <f>IF(AV$7&gt;$D$3,"",_xlfn.XLOOKUP(AV$7,IT!$M$6:$BM$6,IT!$M$16:$BM$16))</f>
        <v>TBC</v>
      </c>
      <c r="AW99" s="69" t="str">
        <f>IF(AW$7&gt;$D$3,"",_xlfn.XLOOKUP(AW$7,IT!$M$6:$BM$6,IT!$M$16:$BM$16))</f>
        <v>TBC</v>
      </c>
      <c r="AX99" s="69" t="str">
        <f>IF(AX$7&gt;$D$3,"",_xlfn.XLOOKUP(AX$7,IT!$M$6:$BM$6,IT!$M$16:$BM$16))</f>
        <v>TBC</v>
      </c>
      <c r="AY99" s="69" t="str">
        <f>IF(AY$7&gt;$D$3,"",_xlfn.XLOOKUP(AY$7,IT!$M$6:$BM$6,IT!$M$16:$BM$16))</f>
        <v>TBC</v>
      </c>
      <c r="AZ99" s="69" t="str">
        <f>IF(AZ$7&gt;$D$3,"",_xlfn.XLOOKUP(AZ$7,IT!$M$6:$BM$6,IT!$M$16:$BM$16))</f>
        <v>TBC</v>
      </c>
      <c r="BA99" s="69" t="str">
        <f>IF(BA$7&gt;$D$3,"",_xlfn.XLOOKUP(BA$7,IT!$M$6:$BM$6,IT!$M$16:$BM$16))</f>
        <v>TBC</v>
      </c>
      <c r="BB99" s="69" t="str">
        <f>IF(BB$7&gt;$D$3,"",_xlfn.XLOOKUP(BB$7,IT!$M$6:$BM$6,IT!$M$16:$BM$16))</f>
        <v>TBC</v>
      </c>
      <c r="BC99" s="69" t="str">
        <f>IF(BC$7&gt;$D$3,"",_xlfn.XLOOKUP(BC$7,IT!$M$6:$BM$6,IT!$M$16:$BM$16))</f>
        <v>TBC</v>
      </c>
      <c r="BD99" s="69" t="str">
        <f>IF(BD$7&gt;$D$3,"",_xlfn.XLOOKUP(BD$7,IT!$M$6:$BM$6,IT!$M$16:$BM$16))</f>
        <v>TBC</v>
      </c>
      <c r="BE99" s="69" t="str">
        <f>IF(BE$7&gt;$D$3,"",_xlfn.XLOOKUP(BE$7,IT!$M$6:$BM$6,IT!$M$16:$BM$16))</f>
        <v>TBC</v>
      </c>
      <c r="BF99" s="69" t="str">
        <f>IF(BF$7&gt;$D$3,"",_xlfn.XLOOKUP(BF$7,IT!$M$6:$BM$6,IT!$M$16:$BM$16))</f>
        <v>TBC</v>
      </c>
      <c r="BG99" s="69" t="str">
        <f>IF(BG$7&gt;$D$3,"",_xlfn.XLOOKUP(BG$7,IT!$M$6:$BM$6,IT!$M$16:$BM$16))</f>
        <v>TBC</v>
      </c>
      <c r="BH99" s="69" t="str">
        <f>IF(BH$7&gt;$D$3,"",_xlfn.XLOOKUP(BH$7,IT!$M$6:$BM$6,IT!$M$16:$BM$16))</f>
        <v>TBC</v>
      </c>
      <c r="BI99" s="69" t="str">
        <f>IF(BI$7&gt;$D$3,"",_xlfn.XLOOKUP(BI$7,IT!$M$6:$BM$6,IT!$M$16:$BM$16))</f>
        <v>G</v>
      </c>
      <c r="BJ99" s="69" t="str">
        <f>IF(BJ$7&gt;$D$3,"",_xlfn.XLOOKUP(BJ$7,IT!$M$6:$BM$6,IT!$M$16:$BM$16))</f>
        <v>G</v>
      </c>
      <c r="BK99" s="69" t="str">
        <f>IF(BK$7&gt;$D$3,"",_xlfn.XLOOKUP(BK$7,IT!$M$6:$BM$6,IT!$M$16:$BM$16))</f>
        <v>G</v>
      </c>
      <c r="BL99" s="69" t="str">
        <f>IF(BL$7&gt;$D$3,"",_xlfn.XLOOKUP(BL$7,IT!$M$6:$BM$6,IT!$M$16:$BM$16))</f>
        <v>G</v>
      </c>
      <c r="BM99" s="69" t="str">
        <f>IF(BM$7&gt;$D$3,"",_xlfn.XLOOKUP(BM$7,IT!$M$6:$BM$6,IT!$M$16:$BM$16))</f>
        <v>G</v>
      </c>
      <c r="BN99" s="69" t="str">
        <f>IF(BN$7&gt;$D$3,"",_xlfn.XLOOKUP(BN$7,IT!$M$6:$BM$6,IT!$M$16:$BM$16))</f>
        <v>G</v>
      </c>
      <c r="BO99" s="69" t="str">
        <f>IF(BO$7&gt;$D$3,"",_xlfn.XLOOKUP(BO$7,IT!$M$6:$BM$6,IT!$M$16:$BM$16))</f>
        <v>G</v>
      </c>
      <c r="BP99" s="69" t="str">
        <f>IF(BP$7&gt;$D$3,"",_xlfn.XLOOKUP(BP$7,IT!$M$6:$BM$6,IT!$M$16:$BM$16))</f>
        <v>G</v>
      </c>
      <c r="BQ99" s="69" t="str">
        <f>IF(BQ$7&gt;$D$3,"",_xlfn.XLOOKUP(BQ$7,IT!$M$6:$BM$6,IT!$M$16:$BM$16))</f>
        <v>G</v>
      </c>
      <c r="BR99" s="69" t="str">
        <f>IF(BR$7&gt;$D$3,"",_xlfn.XLOOKUP(BR$7,IT!$M$6:$BM$6,IT!$M$16:$BM$16))</f>
        <v>G</v>
      </c>
      <c r="BS99" s="69" t="str">
        <f>IF(BS$7&gt;$D$3,"",_xlfn.XLOOKUP(BS$7,IT!$M$6:$BM$6,IT!$M$16:$BM$16))</f>
        <v>G</v>
      </c>
      <c r="BT99" s="69" t="str">
        <f>IF(BT$7&gt;$D$3,"",_xlfn.XLOOKUP(BT$7,IT!$M$6:$BM$6,IT!$M$16:$BM$16))</f>
        <v>G</v>
      </c>
      <c r="BU99" s="69" t="str">
        <f>IF(BU$7&gt;$D$3,"",_xlfn.XLOOKUP(BU$7,IT!$M$6:$BM$6,IT!$M$16:$BM$16))</f>
        <v>G</v>
      </c>
      <c r="BV99" s="69" t="str">
        <f>IF(BV$7&gt;$D$3,"",_xlfn.XLOOKUP(BV$7,IT!$M$6:$BM$6,IT!$M$16:$BM$16))</f>
        <v>OD</v>
      </c>
      <c r="BW99" s="69" t="str">
        <f>IF(BW$7&gt;$D$3,"",_xlfn.XLOOKUP(BW$7,IT!$M$6:$BM$6,IT!$M$16:$BM$16))</f>
        <v>OD</v>
      </c>
      <c r="BX99" s="69" t="str">
        <f>IF(BX$7&gt;$D$3,"",_xlfn.XLOOKUP(BX$7,IT!$M$6:$BM$6,IT!$M$16:$BM$16))</f>
        <v>G</v>
      </c>
      <c r="BY99" s="69" t="str">
        <f>IF(BY$7&gt;$D$3,"",_xlfn.XLOOKUP(BY$7,IT!$M$6:$BM$6,IT!$M$16:$BM$16))</f>
        <v>G</v>
      </c>
      <c r="BZ99" s="69" t="str">
        <f>IF(BZ$7&gt;$D$3,"",_xlfn.XLOOKUP(BZ$7,IT!$M$6:$BM$6,IT!$M$16:$BM$16))</f>
        <v>G</v>
      </c>
      <c r="CA99" s="69" t="str">
        <f>IF(CA$7&gt;$D$3,"",_xlfn.XLOOKUP(CA$7,IT!$M$6:$BM$6,IT!$M$16:$BM$16))</f>
        <v>G</v>
      </c>
      <c r="CB99" s="69" t="str">
        <f>IF(CB$7&gt;$D$3,"",_xlfn.XLOOKUP(CB$7,IT!$M$6:$BM$6,IT!$M$16:$BM$16))</f>
        <v>OD</v>
      </c>
      <c r="CC99" s="69" t="str">
        <f>IF(CC$7&gt;$D$3,"",_xlfn.XLOOKUP(CC$7,IT!$M$6:$BM$6,IT!$M$16:$BM$16))</f>
        <v/>
      </c>
      <c r="CD99" s="69" t="str">
        <f>IF(CD$7&gt;$D$3,"",_xlfn.XLOOKUP(CD$7,IT!$M$6:$BM$6,IT!$M$16:$BM$16))</f>
        <v/>
      </c>
      <c r="CE99" s="69" t="str">
        <f>IF(CE$7&gt;$D$3,"",_xlfn.XLOOKUP(CE$7,IT!$M$6:$BM$6,IT!$M$16:$BM$16))</f>
        <v/>
      </c>
      <c r="CF99" s="69" t="str">
        <f>IF(CF$7&gt;$D$3,"",_xlfn.XLOOKUP(CF$7,IT!$M$6:$BM$6,IT!$M$16:$BM$16))</f>
        <v/>
      </c>
      <c r="CG99" s="69" t="str">
        <f>IF(CG$7&gt;$D$3,"",_xlfn.XLOOKUP(CG$7,IT!$M$6:$BM$6,IT!$M$16:$BM$16))</f>
        <v/>
      </c>
      <c r="CH99" s="69" t="str">
        <f>IF(CH$7&gt;$D$3,"",_xlfn.XLOOKUP(CH$7,IT!$M$6:$BM$6,IT!$M$16:$BM$16))</f>
        <v/>
      </c>
      <c r="CI99" s="69" t="str">
        <f>IF(CI$7&gt;$D$3,"",_xlfn.XLOOKUP(CI$7,IT!$M$6:$BM$6,IT!$M$16:$BM$16))</f>
        <v/>
      </c>
      <c r="CJ99" s="69" t="str">
        <f>IF(CJ$7&gt;$D$3,"",_xlfn.XLOOKUP(CJ$7,IT!$M$6:$BM$6,IT!$M$16:$BM$16))</f>
        <v/>
      </c>
      <c r="CK99" s="69" t="str">
        <f>IF(CK$7&gt;$D$3,"",_xlfn.XLOOKUP(CK$7,IT!$M$6:$BM$6,IT!$M$16:$BM$16))</f>
        <v/>
      </c>
      <c r="CL99" s="69" t="str">
        <f>IF(CL$7&gt;$D$3,"",_xlfn.XLOOKUP(CL$7,IT!$M$6:$BM$6,IT!$M$16:$BM$16))</f>
        <v/>
      </c>
      <c r="CM99" s="69" t="str">
        <f>IF(CM$7&gt;$D$3,"",_xlfn.XLOOKUP(CM$7,IT!$M$6:$BM$6,IT!$M$16:$BM$16))</f>
        <v/>
      </c>
      <c r="CO99" s="465" t="str">
        <f>+$A99</f>
        <v>IT-KPI Q1</v>
      </c>
      <c r="CP99" s="136" t="str">
        <f t="shared" si="336"/>
        <v>KPI Q1</v>
      </c>
      <c r="CQ99" s="144" t="str">
        <f t="shared" si="336"/>
        <v>Quality</v>
      </c>
      <c r="CR99" s="144" t="str">
        <f t="shared" si="322"/>
        <v>Employee Satisfaction</v>
      </c>
      <c r="CS99" s="145" t="str">
        <f t="shared" si="322"/>
        <v>Percentage</v>
      </c>
      <c r="CT99" s="207" t="s">
        <v>246</v>
      </c>
      <c r="CU99" s="626" t="str">
        <f>IF(CU$7&gt;$D$3,"",_xlfn.XLOOKUP(CU$7,IT!$M$6:$BM$6,IT!$M$16:$BM$16))</f>
        <v>Blank</v>
      </c>
      <c r="CV99" s="729" t="str" cm="1">
        <f t="array" ref="CV99">IF(CV$7&gt;$D$3,"",IF(AN99="OD","OD",IF(AN99="Missed","Missed",IF(AN99="TBC","TBC",IF(AN99="Undefined","Undefined",_xlfn.XLOOKUP(CV$7,IT!$M$6:$BM$6,IT!$M$15:$BM$15/_xlfn.XLOOKUP(CV$7,IT!$M$6:$BM$6,IT!$M$14:$BM$14)))))))</f>
        <v>TBC</v>
      </c>
      <c r="CW99" s="729" t="str" cm="1">
        <f t="array" ref="CW99">IF(CW$7&gt;$D$3,"",IF(AO99="OD","OD",IF(AO99="Missed","Missed",IF(AO99="TBC","TBC",IF(AO99="Undefined","Undefined",_xlfn.XLOOKUP(CW$7,IT!$M$6:$BM$6,IT!$M$15:$BM$15/_xlfn.XLOOKUP(CW$7,IT!$M$6:$BM$6,IT!$M$14:$BM$14)))))))</f>
        <v>TBC</v>
      </c>
      <c r="CX99" s="729" t="str" cm="1">
        <f t="array" ref="CX99">IF(CX$7&gt;$D$3,"",IF(AP99="OD","OD",IF(AP99="Missed","Missed",IF(AP99="TBC","TBC",IF(AP99="Undefined","Undefined",_xlfn.XLOOKUP(CX$7,IT!$M$6:$BM$6,IT!$M$15:$BM$15/_xlfn.XLOOKUP(CX$7,IT!$M$6:$BM$6,IT!$M$14:$BM$14)))))))</f>
        <v>TBC</v>
      </c>
      <c r="CY99" s="729" t="str" cm="1">
        <f t="array" ref="CY99">IF(CY$7&gt;$D$3,"",IF(AQ99="OD","OD",IF(AQ99="Missed","Missed",IF(AQ99="TBC","TBC",IF(AQ99="Undefined","Undefined",_xlfn.XLOOKUP(CY$7,IT!$M$6:$BM$6,IT!$M$15:$BM$15/_xlfn.XLOOKUP(CY$7,IT!$M$6:$BM$6,IT!$M$14:$BM$14)))))))</f>
        <v>TBC</v>
      </c>
      <c r="CZ99" s="729" t="str" cm="1">
        <f t="array" ref="CZ99">IF(CZ$7&gt;$D$3,"",IF(AR99="OD","OD",IF(AR99="Missed","Missed",IF(AR99="TBC","TBC",IF(AR99="Undefined","Undefined",_xlfn.XLOOKUP(CZ$7,IT!$M$6:$BM$6,IT!$M$15:$BM$15/_xlfn.XLOOKUP(CZ$7,IT!$M$6:$BM$6,IT!$M$14:$BM$14)))))))</f>
        <v>TBC</v>
      </c>
      <c r="DA99" s="729" t="str" cm="1">
        <f t="array" ref="DA99">IF(DA$7&gt;$D$3,"",IF(AS99="OD","OD",IF(AS99="Missed","Missed",IF(AS99="TBC","TBC",IF(AS99="Undefined","Undefined",_xlfn.XLOOKUP(DA$7,IT!$M$6:$BM$6,IT!$M$15:$BM$15/_xlfn.XLOOKUP(DA$7,IT!$M$6:$BM$6,IT!$M$14:$BM$14)))))))</f>
        <v>TBC</v>
      </c>
      <c r="DB99" s="729" t="str" cm="1">
        <f t="array" ref="DB99">IF(DB$7&gt;$D$3,"",IF(AT99="OD","OD",IF(AT99="Missed","Missed",IF(AT99="TBC","TBC",IF(AT99="Undefined","Undefined",_xlfn.XLOOKUP(DB$7,IT!$M$6:$BM$6,IT!$M$15:$BM$15/_xlfn.XLOOKUP(DB$7,IT!$M$6:$BM$6,IT!$M$14:$BM$14)))))))</f>
        <v>TBC</v>
      </c>
      <c r="DC99" s="729" t="str" cm="1">
        <f t="array" ref="DC99">IF(DC$7&gt;$D$3,"",IF(AU99="OD","OD",IF(AU99="Missed","Missed",IF(AU99="TBC","TBC",IF(AU99="Undefined","Undefined",_xlfn.XLOOKUP(DC$7,IT!$M$6:$BM$6,IT!$M$15:$BM$15/_xlfn.XLOOKUP(DC$7,IT!$M$6:$BM$6,IT!$M$14:$BM$14)))))))</f>
        <v>TBC</v>
      </c>
      <c r="DD99" s="729" t="str" cm="1">
        <f t="array" ref="DD99">IF(DD$7&gt;$D$3,"",IF(AV99="OD","OD",IF(AV99="Missed","Missed",IF(AV99="TBC","TBC",IF(AV99="Undefined","Undefined",_xlfn.XLOOKUP(DD$7,IT!$M$6:$BM$6,IT!$M$15:$BM$15/_xlfn.XLOOKUP(DD$7,IT!$M$6:$BM$6,IT!$M$14:$BM$14)))))))</f>
        <v>TBC</v>
      </c>
      <c r="DE99" s="729" t="str" cm="1">
        <f t="array" ref="DE99">IF(DE$7&gt;$D$3,"",IF(AW99="OD","OD",IF(AW99="Missed","Missed",IF(AW99="TBC","TBC",IF(AW99="Undefined","Undefined",_xlfn.XLOOKUP(DE$7,IT!$M$6:$BM$6,IT!$M$15:$BM$15/_xlfn.XLOOKUP(DE$7,IT!$M$6:$BM$6,IT!$M$14:$BM$14)))))))</f>
        <v>TBC</v>
      </c>
      <c r="DF99" s="729" t="str" cm="1">
        <f t="array" ref="DF99">IF(DF$7&gt;$D$3,"",IF(AX99="OD","OD",IF(AX99="Missed","Missed",IF(AX99="TBC","TBC",IF(AX99="Undefined","Undefined",_xlfn.XLOOKUP(DF$7,IT!$M$6:$BM$6,IT!$M$15:$BM$15/_xlfn.XLOOKUP(DF$7,IT!$M$6:$BM$6,IT!$M$14:$BM$14)))))))</f>
        <v>TBC</v>
      </c>
      <c r="DG99" s="729" t="str" cm="1">
        <f t="array" ref="DG99">IF(DG$7&gt;$D$3,"",IF(AY99="OD","OD",IF(AY99="Missed","Missed",IF(AY99="TBC","TBC",IF(AY99="Undefined","Undefined",_xlfn.XLOOKUP(DG$7,IT!$M$6:$BM$6,IT!$M$15:$BM$15/_xlfn.XLOOKUP(DG$7,IT!$M$6:$BM$6,IT!$M$14:$BM$14)))))))</f>
        <v>TBC</v>
      </c>
      <c r="DH99" s="729" t="str" cm="1">
        <f t="array" ref="DH99">IF(DH$7&gt;$D$3,"",IF(AZ99="OD","OD",IF(AZ99="Missed","Missed",IF(AZ99="TBC","TBC",IF(AZ99="Undefined","Undefined",_xlfn.XLOOKUP(DH$7,IT!$M$6:$BM$6,IT!$M$15:$BM$15/_xlfn.XLOOKUP(DH$7,IT!$M$6:$BM$6,IT!$M$14:$BM$14)))))))</f>
        <v>TBC</v>
      </c>
      <c r="DI99" s="729" t="str" cm="1">
        <f t="array" ref="DI99">IF(DI$7&gt;$D$3,"",IF(BA99="OD","OD",IF(BA99="Missed","Missed",IF(BA99="TBC","TBC",IF(BA99="Undefined","Undefined",_xlfn.XLOOKUP(DI$7,IT!$M$6:$BM$6,IT!$M$15:$BM$15/_xlfn.XLOOKUP(DI$7,IT!$M$6:$BM$6,IT!$M$14:$BM$14)))))))</f>
        <v>TBC</v>
      </c>
      <c r="DJ99" s="729" t="str" cm="1">
        <f t="array" ref="DJ99">IF(DJ$7&gt;$D$3,"",IF(BB99="OD","OD",IF(BB99="Missed","Missed",IF(BB99="TBC","TBC",IF(BB99="Undefined","Undefined",_xlfn.XLOOKUP(DJ$7,IT!$M$6:$BM$6,IT!$M$15:$BM$15/_xlfn.XLOOKUP(DJ$7,IT!$M$6:$BM$6,IT!$M$14:$BM$14)))))))</f>
        <v>TBC</v>
      </c>
      <c r="DK99" s="729" t="str" cm="1">
        <f t="array" ref="DK99">IF(DK$7&gt;$D$3,"",IF(BC99="OD","OD",IF(BC99="Missed","Missed",IF(BC99="TBC","TBC",IF(BC99="Undefined","Undefined",_xlfn.XLOOKUP(DK$7,IT!$M$6:$BM$6,IT!$M$15:$BM$15/_xlfn.XLOOKUP(DK$7,IT!$M$6:$BM$6,IT!$M$14:$BM$14)))))))</f>
        <v>TBC</v>
      </c>
      <c r="DL99" s="729" t="str" cm="1">
        <f t="array" ref="DL99">IF(DL$7&gt;$D$3,"",IF(BD99="OD","OD",IF(BD99="Missed","Missed",IF(BD99="TBC","TBC",IF(BD99="Undefined","Undefined",_xlfn.XLOOKUP(DL$7,IT!$M$6:$BM$6,IT!$M$15:$BM$15/_xlfn.XLOOKUP(DL$7,IT!$M$6:$BM$6,IT!$M$14:$BM$14)))))))</f>
        <v>TBC</v>
      </c>
      <c r="DM99" s="729" t="str" cm="1">
        <f t="array" ref="DM99">IF(DM$7&gt;$D$3,"",IF(BE99="OD","OD",IF(BE99="Missed","Missed",IF(BE99="TBC","TBC",IF(BE99="Undefined","Undefined",_xlfn.XLOOKUP(DM$7,IT!$M$6:$BM$6,IT!$M$15:$BM$15/_xlfn.XLOOKUP(DM$7,IT!$M$6:$BM$6,IT!$M$14:$BM$14)))))))</f>
        <v>TBC</v>
      </c>
      <c r="DN99" s="729" t="str" cm="1">
        <f t="array" ref="DN99">IF(DN$7&gt;$D$3,"",IF(BF99="OD","OD",IF(BF99="Missed","Missed",IF(BF99="TBC","TBC",IF(BF99="Undefined","Undefined",_xlfn.XLOOKUP(DN$7,IT!$M$6:$BM$6,IT!$M$15:$BM$15/_xlfn.XLOOKUP(DN$7,IT!$M$6:$BM$6,IT!$M$14:$BM$14)))))))</f>
        <v>TBC</v>
      </c>
      <c r="DO99" s="729" t="str" cm="1">
        <f t="array" ref="DO99">IF(DO$7&gt;$D$3,"",IF(BG99="OD","OD",IF(BG99="Missed","Missed",IF(BG99="TBC","TBC",IF(BG99="Undefined","Undefined",_xlfn.XLOOKUP(DO$7,IT!$M$6:$BM$6,IT!$M$15:$BM$15/_xlfn.XLOOKUP(DO$7,IT!$M$6:$BM$6,IT!$M$14:$BM$14)))))))</f>
        <v>TBC</v>
      </c>
      <c r="DP99" s="729" t="str" cm="1">
        <f t="array" ref="DP99">IF(DP$7&gt;$D$3,"",IF(BH99="OD","OD",IF(BH99="Missed","Missed",IF(BH99="TBC","TBC",IF(BH99="Undefined","Undefined",_xlfn.XLOOKUP(DP$7,IT!$M$6:$BM$6,IT!$M$15:$BM$15/_xlfn.XLOOKUP(DP$7,IT!$M$6:$BM$6,IT!$M$14:$BM$14)))))))</f>
        <v>TBC</v>
      </c>
      <c r="DQ99" s="729" cm="1">
        <f t="array" ref="DQ99">IF(DQ$7&gt;$D$3,"",IF(BI99="OD","OD",IF(BI99="Missed","Missed",IF(BI99="TBC","TBC",IF(BI99="Undefined","Undefined",_xlfn.XLOOKUP(DQ$7,IT!$M$6:$BM$6,IT!$M$15:$BM$15/_xlfn.XLOOKUP(DQ$7,IT!$M$6:$BM$6,IT!$M$14:$BM$14)))))))</f>
        <v>1.0714285714285714</v>
      </c>
      <c r="DR99" s="729" cm="1">
        <f t="array" ref="DR99">IF(DR$7&gt;$D$3,"",IF(BJ99="OD","OD",IF(BJ99="Missed","Missed",IF(BJ99="TBC","TBC",IF(BJ99="Undefined","Undefined",_xlfn.XLOOKUP(DR$7,IT!$M$6:$BM$6,IT!$M$15:$BM$15/_xlfn.XLOOKUP(DR$7,IT!$M$6:$BM$6,IT!$M$14:$BM$14)))))))</f>
        <v>1.4285714285714286</v>
      </c>
      <c r="DS99" s="729" cm="1">
        <f t="array" ref="DS99">IF(DS$7&gt;$D$3,"",IF(BK99="OD","OD",IF(BK99="Missed","Missed",IF(BK99="TBC","TBC",IF(BK99="Undefined","Undefined",_xlfn.XLOOKUP(DS$7,IT!$M$6:$BM$6,IT!$M$15:$BM$15/_xlfn.XLOOKUP(DS$7,IT!$M$6:$BM$6,IT!$M$14:$BM$14)))))))</f>
        <v>1.3142857142857145</v>
      </c>
      <c r="DT99" s="729" cm="1">
        <f t="array" ref="DT99">IF(DT$7&gt;$D$3,"",IF(BL99="OD","OD",IF(BL99="Missed","Missed",IF(BL99="TBC","TBC",IF(BL99="Undefined","Undefined",_xlfn.XLOOKUP(DT$7,IT!$M$6:$BM$6,IT!$M$15:$BM$15/_xlfn.XLOOKUP(DT$7,IT!$M$6:$BM$6,IT!$M$14:$BM$14)))))))</f>
        <v>1.4285714285714286</v>
      </c>
      <c r="DU99" s="729" cm="1">
        <f t="array" ref="DU99">IF(DU$7&gt;$D$3,"",IF(BM99="OD","OD",IF(BM99="Missed","Missed",IF(BM99="TBC","TBC",IF(BM99="Undefined","Undefined",_xlfn.XLOOKUP(DU$7,IT!$M$6:$BM$6,IT!$M$15:$BM$15/_xlfn.XLOOKUP(DU$7,IT!$M$6:$BM$6,IT!$M$14:$BM$14)))))))</f>
        <v>1.4285714285714286</v>
      </c>
      <c r="DV99" s="729" cm="1">
        <f t="array" ref="DV99">IF(DV$7&gt;$D$3,"",IF(BN99="OD","OD",IF(BN99="Missed","Missed",IF(BN99="TBC","TBC",IF(BN99="Undefined","Undefined",_xlfn.XLOOKUP(DV$7,IT!$M$6:$BM$6,IT!$M$15:$BM$15/_xlfn.XLOOKUP(DV$7,IT!$M$6:$BM$6,IT!$M$14:$BM$14)))))))</f>
        <v>1.4285714285714286</v>
      </c>
      <c r="DW99" s="729" cm="1">
        <f t="array" ref="DW99">IF(DW$7&gt;$D$3,"",IF(BO99="OD","OD",IF(BO99="Missed","Missed",IF(BO99="TBC","TBC",IF(BO99="Undefined","Undefined",_xlfn.XLOOKUP(DW$7,IT!$M$6:$BM$6,IT!$M$15:$BM$15/_xlfn.XLOOKUP(DW$7,IT!$M$6:$BM$6,IT!$M$14:$BM$14)))))))</f>
        <v>1.4285714285714286</v>
      </c>
      <c r="DX99" s="729" cm="1">
        <f t="array" ref="DX99">IF(DX$7&gt;$D$3,"",IF(BP99="OD","OD",IF(BP99="Missed","Missed",IF(BP99="TBC","TBC",IF(BP99="Undefined","Undefined",_xlfn.XLOOKUP(DX$7,IT!$M$6:$BM$6,IT!$M$15:$BM$15/_xlfn.XLOOKUP(DX$7,IT!$M$6:$BM$6,IT!$M$14:$BM$14)))))))</f>
        <v>1.4285714285714286</v>
      </c>
      <c r="DY99" s="729" cm="1">
        <f t="array" ref="DY99">IF(DY$7&gt;$D$3,"",IF(BQ99="OD","OD",IF(BQ99="Missed","Missed",IF(BQ99="TBC","TBC",IF(BQ99="Undefined","Undefined",_xlfn.XLOOKUP(DY$7,IT!$M$6:$BM$6,IT!$M$15:$BM$15/_xlfn.XLOOKUP(DY$7,IT!$M$6:$BM$6,IT!$M$14:$BM$14)))))))</f>
        <v>1.4285714285714286</v>
      </c>
      <c r="DZ99" s="729" cm="1">
        <f t="array" ref="DZ99">IF(DZ$7&gt;$D$3,"",IF(BR99="OD","OD",IF(BR99="Missed","Missed",IF(BR99="TBC","TBC",IF(BR99="Undefined","Undefined",_xlfn.XLOOKUP(DZ$7,IT!$M$6:$BM$6,IT!$M$15:$BM$15/_xlfn.XLOOKUP(DZ$7,IT!$M$6:$BM$6,IT!$M$14:$BM$14)))))))</f>
        <v>1.4285714285714286</v>
      </c>
      <c r="EA99" s="729" cm="1">
        <f t="array" ref="EA99">IF(EA$7&gt;$D$3,"",IF(BS99="OD","OD",IF(BS99="Missed","Missed",IF(BS99="TBC","TBC",IF(BS99="Undefined","Undefined",_xlfn.XLOOKUP(EA$7,IT!$M$6:$BM$6,IT!$M$15:$BM$15/_xlfn.XLOOKUP(EA$7,IT!$M$6:$BM$6,IT!$M$14:$BM$14)))))))</f>
        <v>1.4285714285714286</v>
      </c>
      <c r="EB99" s="729" cm="1">
        <f t="array" ref="EB99">IF(EB$7&gt;$D$3,"",IF(BT99="OD","OD",IF(BT99="Missed","Missed",IF(BT99="TBC","TBC",IF(BT99="Undefined","Undefined",_xlfn.XLOOKUP(EB$7,IT!$M$6:$BM$6,IT!$M$15:$BM$15/_xlfn.XLOOKUP(EB$7,IT!$M$6:$BM$6,IT!$M$14:$BM$14)))))))</f>
        <v>1.4285714285714286</v>
      </c>
      <c r="EC99" s="729" cm="1">
        <f t="array" ref="EC99">IF(EC$7&gt;$D$3,"",IF(BU99="OD","OD",IF(BU99="Missed","Missed",IF(BU99="TBC","TBC",IF(BU99="Undefined","Undefined",_xlfn.XLOOKUP(EC$7,IT!$M$6:$BM$6,IT!$M$15:$BM$15/_xlfn.XLOOKUP(EC$7,IT!$M$6:$BM$6,IT!$M$14:$BM$14)))))))</f>
        <v>1.4285714285714286</v>
      </c>
      <c r="ED99" s="729" t="str" cm="1">
        <f t="array" ref="ED99">IF(ED$7&gt;$D$3,"",IF(BV99="OD","OD",IF(BV99="Missed","Missed",IF(BV99="TBC","TBC",IF(BV99="Undefined","Undefined",_xlfn.XLOOKUP(ED$7,IT!$M$6:$BM$6,IT!$M$15:$BM$15/_xlfn.XLOOKUP(ED$7,IT!$M$6:$BM$6,IT!$M$14:$BM$14)))))))</f>
        <v>OD</v>
      </c>
      <c r="EE99" s="729" t="str" cm="1">
        <f t="array" ref="EE99">IF(EE$7&gt;$D$3,"",IF(BW99="OD","OD",IF(BW99="Missed","Missed",IF(BW99="TBC","TBC",IF(BW99="Undefined","Undefined",_xlfn.XLOOKUP(EE$7,IT!$M$6:$BM$6,IT!$M$15:$BM$15/_xlfn.XLOOKUP(EE$7,IT!$M$6:$BM$6,IT!$M$14:$BM$14)))))))</f>
        <v>OD</v>
      </c>
      <c r="EF99" s="729" cm="1">
        <f t="array" ref="EF99">IF(EF$7&gt;$D$3,"",IF(BX99="OD","OD",IF(BX99="Missed","Missed",IF(BX99="TBC","TBC",IF(BX99="Undefined","Undefined",_xlfn.XLOOKUP(EF$7,IT!$M$6:$BM$6,IT!$M$15:$BM$15/_xlfn.XLOOKUP(EF$7,IT!$M$6:$BM$6,IT!$M$14:$BM$14)))))))</f>
        <v>1.4285714285714286</v>
      </c>
      <c r="EG99" s="729" cm="1">
        <f t="array" ref="EG99">IF(EG$7&gt;$D$3,"",IF(BY99="OD","OD",IF(BY99="Missed","Missed",IF(BY99="TBC","TBC",IF(BY99="Undefined","Undefined",_xlfn.XLOOKUP(EG$7,IT!$M$6:$BM$6,IT!$M$15:$BM$15/_xlfn.XLOOKUP(EG$7,IT!$M$6:$BM$6,IT!$M$14:$BM$14)))))))</f>
        <v>1.4285714285714286</v>
      </c>
      <c r="EH99" s="729" cm="1">
        <f t="array" ref="EH99">IF(EH$7&gt;$D$3,"",IF(BZ99="OD","OD",IF(BZ99="Missed","Missed",IF(BZ99="TBC","TBC",IF(BZ99="Undefined","Undefined",_xlfn.XLOOKUP(EH$7,IT!$M$6:$BM$6,IT!$M$15:$BM$15/_xlfn.XLOOKUP(EH$7,IT!$M$6:$BM$6,IT!$M$14:$BM$14)))))))</f>
        <v>1.4285714285714286</v>
      </c>
      <c r="EI99" s="729" cm="1">
        <f t="array" ref="EI99">IF(EI$7&gt;$D$3,"",IF(CA99="OD","OD",IF(CA99="Missed","Missed",IF(CA99="TBC","TBC",IF(CA99="Undefined","Undefined",_xlfn.XLOOKUP(EI$7,IT!$M$6:$BM$6,IT!$M$15:$BM$15/_xlfn.XLOOKUP(EI$7,IT!$M$6:$BM$6,IT!$M$14:$BM$14)))))))</f>
        <v>1.4285714285714286</v>
      </c>
      <c r="EJ99" s="729" t="str" cm="1">
        <f t="array" ref="EJ99">IF(EJ$7&gt;$D$3,"",IF(CB99="OD","OD",IF(CB99="Missed","Missed",IF(CB99="TBC","TBC",IF(CB99="Undefined","Undefined",_xlfn.XLOOKUP(EJ$7,IT!$M$6:$BM$6,IT!$M$15:$BM$15/_xlfn.XLOOKUP(EJ$7,IT!$M$6:$BM$6,IT!$M$14:$BM$14)))))))</f>
        <v>OD</v>
      </c>
      <c r="EK99" s="729" t="str" cm="1">
        <f t="array" ref="EK99">IF(EK$7&gt;$D$3,"",IF(CC99="OD","OD",IF(CC99="Missed","Missed",IF(CC99="TBC","TBC",IF(CC99="Undefined","Undefined",_xlfn.XLOOKUP(EK$7,IT!$M$6:$BM$6,IT!$M$15:$BM$15/_xlfn.XLOOKUP(EK$7,IT!$M$6:$BM$6,IT!$M$14:$BM$14)))))))</f>
        <v/>
      </c>
      <c r="EL99" s="729" t="str" cm="1">
        <f t="array" ref="EL99">IF(EL$7&gt;$D$3,"",IF(CD99="OD","OD",IF(CD99="Missed","Missed",IF(CD99="TBC","TBC",IF(CD99="Undefined","Undefined",_xlfn.XLOOKUP(EL$7,IT!$M$6:$BM$6,IT!$M$15:$BM$15/_xlfn.XLOOKUP(EL$7,IT!$M$6:$BM$6,IT!$M$14:$BM$14)))))))</f>
        <v/>
      </c>
      <c r="EM99" s="729" t="str" cm="1">
        <f t="array" ref="EM99">IF(EM$7&gt;$D$3,"",IF(CE99="OD","OD",IF(CE99="Missed","Missed",IF(CE99="TBC","TBC",IF(CE99="Undefined","Undefined",_xlfn.XLOOKUP(EM$7,IT!$M$6:$BM$6,IT!$M$15:$BM$15/_xlfn.XLOOKUP(EM$7,IT!$M$6:$BM$6,IT!$M$14:$BM$14)))))))</f>
        <v/>
      </c>
      <c r="EN99" s="729" t="str" cm="1">
        <f t="array" ref="EN99">IF(EN$7&gt;$D$3,"",IF(CF99="OD","OD",IF(CF99="Missed","Missed",IF(CF99="TBC","TBC",IF(CF99="Undefined","Undefined",_xlfn.XLOOKUP(EN$7,IT!$M$6:$BM$6,IT!$M$15:$BM$15/_xlfn.XLOOKUP(EN$7,IT!$M$6:$BM$6,IT!$M$14:$BM$14)))))))</f>
        <v/>
      </c>
      <c r="EO99" s="729" t="str" cm="1">
        <f t="array" ref="EO99">IF(EO$7&gt;$D$3,"",IF(CG99="OD","OD",IF(CG99="Missed","Missed",IF(CG99="TBC","TBC",IF(CG99="Undefined","Undefined",_xlfn.XLOOKUP(EO$7,IT!$M$6:$BM$6,IT!$M$15:$BM$15/_xlfn.XLOOKUP(EO$7,IT!$M$6:$BM$6,IT!$M$14:$BM$14)))))))</f>
        <v/>
      </c>
      <c r="EP99" s="729" t="str" cm="1">
        <f t="array" ref="EP99">IF(EP$7&gt;$D$3,"",IF(CH99="OD","OD",IF(CH99="Missed","Missed",IF(CH99="TBC","TBC",IF(CH99="Undefined","Undefined",_xlfn.XLOOKUP(EP$7,IT!$M$6:$BM$6,IT!$M$15:$BM$15/_xlfn.XLOOKUP(EP$7,IT!$M$6:$BM$6,IT!$M$14:$BM$14)))))))</f>
        <v/>
      </c>
      <c r="EQ99" s="729" t="str" cm="1">
        <f t="array" ref="EQ99">IF(EQ$7&gt;$D$3,"",IF(CI99="OD","OD",IF(CI99="Missed","Missed",IF(CI99="TBC","TBC",IF(CI99="Undefined","Undefined",_xlfn.XLOOKUP(EQ$7,IT!$M$6:$BM$6,IT!$M$15:$BM$15/_xlfn.XLOOKUP(EQ$7,IT!$M$6:$BM$6,IT!$M$14:$BM$14)))))))</f>
        <v/>
      </c>
      <c r="ER99" s="729" t="str" cm="1">
        <f t="array" ref="ER99">IF(ER$7&gt;$D$3,"",IF(CJ99="OD","OD",IF(CJ99="Missed","Missed",IF(CJ99="TBC","TBC",IF(CJ99="Undefined","Undefined",_xlfn.XLOOKUP(ER$7,IT!$M$6:$BM$6,IT!$M$15:$BM$15/_xlfn.XLOOKUP(ER$7,IT!$M$6:$BM$6,IT!$M$14:$BM$14)))))))</f>
        <v/>
      </c>
      <c r="ES99" s="729" t="str" cm="1">
        <f t="array" ref="ES99">IF(ES$7&gt;$D$3,"",IF(CK99="OD","OD",IF(CK99="Missed","Missed",IF(CK99="TBC","TBC",IF(CK99="Undefined","Undefined",_xlfn.XLOOKUP(ES$7,IT!$M$6:$BM$6,IT!$M$15:$BM$15/_xlfn.XLOOKUP(ES$7,IT!$M$6:$BM$6,IT!$M$14:$BM$14)))))))</f>
        <v/>
      </c>
      <c r="ET99" s="729" t="str" cm="1">
        <f t="array" ref="ET99">IF(ET$7&gt;$D$3,"",IF(CL99="OD","OD",IF(CL99="Missed","Missed",IF(CL99="TBC","TBC",IF(CL99="Undefined","Undefined",_xlfn.XLOOKUP(ET$7,IT!$M$6:$BM$6,IT!$M$15:$BM$15/_xlfn.XLOOKUP(ET$7,IT!$M$6:$BM$6,IT!$M$14:$BM$14)))))))</f>
        <v/>
      </c>
      <c r="EU99" s="729" t="str" cm="1">
        <f t="array" ref="EU99">IF(EU$7&gt;$D$3,"",IF(CM99="OD","OD",IF(CM99="Missed","Missed",IF(CM99="TBC","TBC",IF(CM99="Undefined","Undefined",_xlfn.XLOOKUP(EU$7,IT!$M$6:$BM$6,IT!$M$15:$BM$15/_xlfn.XLOOKUP(EU$7,IT!$M$6:$BM$6,IT!$M$14:$BM$14)))))))</f>
        <v/>
      </c>
      <c r="EW99" s="465" t="str">
        <f>+$A99</f>
        <v>IT-KPI Q1</v>
      </c>
      <c r="EX99" s="136" t="str">
        <f>+$C99</f>
        <v>KPI Q1</v>
      </c>
      <c r="EY99" s="144" t="str">
        <f>+$D99</f>
        <v>Quality</v>
      </c>
      <c r="EZ99" s="144" t="str">
        <f>+$E99</f>
        <v>Employee Satisfaction</v>
      </c>
      <c r="FA99" s="145" t="str">
        <f>+$F99</f>
        <v>Percentage</v>
      </c>
      <c r="FB99" s="145" t="s">
        <v>251</v>
      </c>
      <c r="FC99" s="214" t="str">
        <f>IF(FC$7&gt;$D$3,"",IF($FA96&lt;FC$7,"OD",_xlfn.XLOOKUP(FC$7,IT!$M$6:$BM$6,IT!$M$15:$BM$15)))</f>
        <v>Blank</v>
      </c>
      <c r="FD99" s="214" t="str">
        <f>IF(FD$7&gt;$D$3,"",IF($FA96&lt;FD$7,"OD",_xlfn.XLOOKUP(FD$7,IT!$M$6:$BM$6,IT!$M$15:$BM$15)))</f>
        <v>TBC</v>
      </c>
      <c r="FE99" s="214" t="str">
        <f>IF(FE$7&gt;$D$3,"",IF($FA96&lt;FE$7,"OD",_xlfn.XLOOKUP(FE$7,IT!$M$6:$BM$6,IT!$M$15:$BM$15)))</f>
        <v>TBC</v>
      </c>
      <c r="FF99" s="214" t="str">
        <f>IF(FF$7&gt;$D$3,"",IF($FA96&lt;FF$7,"OD",_xlfn.XLOOKUP(FF$7,IT!$M$6:$BM$6,IT!$M$15:$BM$15)))</f>
        <v>TBC</v>
      </c>
      <c r="FG99" s="214" t="str">
        <f>IF(FG$7&gt;$D$3,"",IF($FA96&lt;FG$7,"OD",_xlfn.XLOOKUP(FG$7,IT!$M$6:$BM$6,IT!$M$15:$BM$15)))</f>
        <v>TBC</v>
      </c>
      <c r="FH99" s="214" t="str">
        <f>IF(FH$7&gt;$D$3,"",IF($FA96&lt;FH$7,"OD",_xlfn.XLOOKUP(FH$7,IT!$M$6:$BM$6,IT!$M$15:$BM$15)))</f>
        <v>TBC</v>
      </c>
      <c r="FI99" s="214" t="str">
        <f>IF(FI$7&gt;$D$3,"",IF($FA96&lt;FI$7,"OD",_xlfn.XLOOKUP(FI$7,IT!$M$6:$BM$6,IT!$M$15:$BM$15)))</f>
        <v>TBC</v>
      </c>
      <c r="FJ99" s="214" t="str">
        <f>IF(FJ$7&gt;$D$3,"",IF($FA96&lt;FJ$7,"OD",_xlfn.XLOOKUP(FJ$7,IT!$M$6:$BM$6,IT!$M$15:$BM$15)))</f>
        <v>TBC</v>
      </c>
      <c r="FK99" s="214" t="str">
        <f>IF(FK$7&gt;$D$3,"",IF($FA96&lt;FK$7,"OD",_xlfn.XLOOKUP(FK$7,IT!$M$6:$BM$6,IT!$M$15:$BM$15)))</f>
        <v>TBC</v>
      </c>
      <c r="FL99" s="214" t="str">
        <f>IF(FL$7&gt;$D$3,"",IF($FA96&lt;FL$7,"OD",_xlfn.XLOOKUP(FL$7,IT!$M$6:$BM$6,IT!$M$15:$BM$15)))</f>
        <v>TBC</v>
      </c>
      <c r="FM99" s="214" t="str">
        <f>IF(FM$7&gt;$D$3,"",IF($FA96&lt;FM$7,"OD",_xlfn.XLOOKUP(FM$7,IT!$M$6:$BM$6,IT!$M$15:$BM$15)))</f>
        <v>TBC</v>
      </c>
      <c r="FN99" s="214" t="str">
        <f>IF(FN$7&gt;$D$3,"",IF($FA96&lt;FN$7,"OD",_xlfn.XLOOKUP(FN$7,IT!$M$6:$BM$6,IT!$M$15:$BM$15)))</f>
        <v>TBC</v>
      </c>
      <c r="FO99" s="214" t="str">
        <f>IF(FO$7&gt;$D$3,"",IF($FA96&lt;FO$7,"OD",_xlfn.XLOOKUP(FO$7,IT!$M$6:$BM$6,IT!$M$15:$BM$15)))</f>
        <v>TBC</v>
      </c>
      <c r="FP99" s="214" t="str">
        <f>IF(FP$7&gt;$D$3,"",IF($FA96&lt;FP$7,"OD",_xlfn.XLOOKUP(FP$7,IT!$M$6:$BM$6,IT!$M$15:$BM$15)))</f>
        <v>TBC</v>
      </c>
      <c r="FQ99" s="214" t="str">
        <f>IF(FQ$7&gt;$D$3,"",IF($FA96&lt;FQ$7,"OD",_xlfn.XLOOKUP(FQ$7,IT!$M$6:$BM$6,IT!$M$15:$BM$15)))</f>
        <v>TBC</v>
      </c>
      <c r="FR99" s="214" t="str">
        <f>IF(FR$7&gt;$D$3,"",IF($FA96&lt;FR$7,"OD",_xlfn.XLOOKUP(FR$7,IT!$M$6:$BM$6,IT!$M$15:$BM$15)))</f>
        <v>TBC</v>
      </c>
      <c r="FS99" s="214" t="str">
        <f>IF(FS$7&gt;$D$3,"",IF($FA96&lt;FS$7,"OD",_xlfn.XLOOKUP(FS$7,IT!$M$6:$BM$6,IT!$M$15:$BM$15)))</f>
        <v>TBC</v>
      </c>
      <c r="FT99" s="214" t="str">
        <f>IF(FT$7&gt;$D$3,"",IF($FA96&lt;FT$7,"OD",_xlfn.XLOOKUP(FT$7,IT!$M$6:$BM$6,IT!$M$15:$BM$15)))</f>
        <v>TBC</v>
      </c>
      <c r="FU99" s="214" t="str">
        <f>IF(FU$7&gt;$D$3,"",IF($FA96&lt;FU$7,"OD",_xlfn.XLOOKUP(FU$7,IT!$M$6:$BM$6,IT!$M$15:$BM$15)))</f>
        <v>TBC</v>
      </c>
      <c r="FV99" s="214" t="str">
        <f>IF(FV$7&gt;$D$3,"",IF($FA96&lt;FV$7,"OD",_xlfn.XLOOKUP(FV$7,IT!$M$6:$BM$6,IT!$M$15:$BM$15)))</f>
        <v>TBC</v>
      </c>
      <c r="FW99" s="214" t="str">
        <f>IF(FW$7&gt;$D$3,"",IF($FA96&lt;FW$7,"OD",_xlfn.XLOOKUP(FW$7,IT!$M$6:$BM$6,IT!$M$15:$BM$15)))</f>
        <v>TBC</v>
      </c>
      <c r="FX99" s="214" t="str">
        <f>IF(FX$7&gt;$D$3,"",IF($FA96&lt;FX$7,"OD",_xlfn.XLOOKUP(FX$7,IT!$M$6:$BM$6,IT!$M$15:$BM$15)))</f>
        <v>TBC</v>
      </c>
      <c r="FY99" s="214">
        <f>IF(FY$7&gt;$D$3,"",IF($FA96&lt;FY$7,"OD",_xlfn.XLOOKUP(FY$7,IT!$M$6:$BM$6,IT!$M$15:$BM$15)))</f>
        <v>0.75</v>
      </c>
      <c r="FZ99" s="214">
        <f>IF(FZ$7&gt;$D$3,"",IF($FA96&lt;FZ$7,"OD",_xlfn.XLOOKUP(FZ$7,IT!$M$6:$BM$6,IT!$M$15:$BM$15)))</f>
        <v>1</v>
      </c>
      <c r="GA99" s="214">
        <f>IF(GA$7&gt;$D$3,"",IF($FA96&lt;GA$7,"OD",_xlfn.XLOOKUP(GA$7,IT!$M$6:$BM$6,IT!$M$15:$BM$15)))</f>
        <v>0.92</v>
      </c>
      <c r="GB99" s="214">
        <f>IF(GB$7&gt;$D$3,"",IF($FA96&lt;GB$7,"OD",_xlfn.XLOOKUP(GB$7,IT!$M$6:$BM$6,IT!$M$15:$BM$15)))</f>
        <v>1</v>
      </c>
      <c r="GC99" s="214">
        <f>IF(GC$7&gt;$D$3,"",IF($FA96&lt;GC$7,"OD",_xlfn.XLOOKUP(GC$7,IT!$M$6:$BM$6,IT!$M$15:$BM$15)))</f>
        <v>1</v>
      </c>
      <c r="GD99" s="214">
        <f>IF(GD$7&gt;$D$3,"",IF($FA96&lt;GD$7,"OD",_xlfn.XLOOKUP(GD$7,IT!$M$6:$BM$6,IT!$M$15:$BM$15)))</f>
        <v>1</v>
      </c>
      <c r="GE99" s="214">
        <f>IF(GE$7&gt;$D$3,"",IF($FA96&lt;GE$7,"OD",_xlfn.XLOOKUP(GE$7,IT!$M$6:$BM$6,IT!$M$15:$BM$15)))</f>
        <v>1</v>
      </c>
      <c r="GF99" s="214">
        <f>IF(GF$7&gt;$D$3,"",IF($FA96&lt;GF$7,"OD",_xlfn.XLOOKUP(GF$7,IT!$M$6:$BM$6,IT!$M$15:$BM$15)))</f>
        <v>1</v>
      </c>
      <c r="GG99" s="214">
        <f>IF(GG$7&gt;$D$3,"",IF($FA96&lt;GG$7,"OD",_xlfn.XLOOKUP(GG$7,IT!$M$6:$BM$6,IT!$M$15:$BM$15)))</f>
        <v>1</v>
      </c>
      <c r="GH99" s="214">
        <f>IF(GH$7&gt;$D$3,"",IF($FA96&lt;GH$7,"OD",_xlfn.XLOOKUP(GH$7,IT!$M$6:$BM$6,IT!$M$15:$BM$15)))</f>
        <v>1</v>
      </c>
      <c r="GI99" s="214">
        <f>IF(GI$7&gt;$D$3,"",IF($FA96&lt;GI$7,"OD",_xlfn.XLOOKUP(GI$7,IT!$M$6:$BM$6,IT!$M$15:$BM$15)))</f>
        <v>1</v>
      </c>
      <c r="GJ99" s="214">
        <f>IF(GJ$7&gt;$D$3,"",IF($FA96&lt;GJ$7,"OD",_xlfn.XLOOKUP(GJ$7,IT!$M$6:$BM$6,IT!$M$15:$BM$15)))</f>
        <v>1</v>
      </c>
      <c r="GK99" s="214">
        <f>IF(GK$7&gt;$D$3,"",IF($FA96&lt;GK$7,"OD",_xlfn.XLOOKUP(GK$7,IT!$M$6:$BM$6,IT!$M$15:$BM$15)))</f>
        <v>1</v>
      </c>
      <c r="GL99" s="214">
        <f>IF(GL$7&gt;$D$3,"",IF($FA96&lt;GL$7,"OD",_xlfn.XLOOKUP(GL$7,IT!$M$6:$BM$6,IT!$M$15:$BM$15)))</f>
        <v>0</v>
      </c>
      <c r="GM99" s="214">
        <f>IF(GM$7&gt;$D$3,"",IF($FA96&lt;GM$7,"OD",_xlfn.XLOOKUP(GM$7,IT!$M$6:$BM$6,IT!$M$15:$BM$15)))</f>
        <v>0</v>
      </c>
      <c r="GN99" s="214">
        <f>IF(GN$7&gt;$D$3,"",IF($FA96&lt;GN$7,"OD",_xlfn.XLOOKUP(GN$7,IT!$M$6:$BM$6,IT!$M$15:$BM$15)))</f>
        <v>1</v>
      </c>
      <c r="GO99" s="214">
        <f>IF(GO$7&gt;$D$3,"",IF($FA96&lt;GO$7,"OD",_xlfn.XLOOKUP(GO$7,IT!$M$6:$BM$6,IT!$M$15:$BM$15)))</f>
        <v>1</v>
      </c>
      <c r="GP99" s="214">
        <f>IF(GP$7&gt;$D$3,"",IF($FA96&lt;GP$7,"OD",_xlfn.XLOOKUP(GP$7,IT!$M$6:$BM$6,IT!$M$15:$BM$15)))</f>
        <v>1</v>
      </c>
      <c r="GQ99" s="214">
        <f>IF(GQ$7&gt;$D$3,"",IF($FA96&lt;GQ$7,"OD",_xlfn.XLOOKUP(GQ$7,IT!$M$6:$BM$6,IT!$M$15:$BM$15)))</f>
        <v>1</v>
      </c>
      <c r="GR99" s="214" t="str">
        <f>IF(GR$7&gt;$D$3,"",IF($FA96&lt;GR$7,"OD",_xlfn.XLOOKUP(GR$7,IT!$M$6:$BM$6,IT!$M$15:$BM$15)))</f>
        <v>OD</v>
      </c>
      <c r="GS99" s="214" t="str">
        <f>IF(GS$7&gt;$D$3,"",IF($FA96&lt;GS$7,"OD",_xlfn.XLOOKUP(GS$7,IT!$M$6:$BM$6,IT!$M$15:$BM$15)))</f>
        <v/>
      </c>
      <c r="GT99" s="214" t="str">
        <f>IF(GT$7&gt;$D$3,"",IF($FA96&lt;GT$7,"OD",_xlfn.XLOOKUP(GT$7,IT!$M$6:$BM$6,IT!$M$15:$BM$15)))</f>
        <v/>
      </c>
      <c r="GU99" s="214" t="str">
        <f>IF(GU$7&gt;$D$3,"",IF($FA96&lt;GU$7,"OD",_xlfn.XLOOKUP(GU$7,IT!$M$6:$BM$6,IT!$M$15:$BM$15)))</f>
        <v/>
      </c>
      <c r="GV99" s="214" t="str">
        <f>IF(GV$7&gt;$D$3,"",IF($FA96&lt;GV$7,"OD",_xlfn.XLOOKUP(GV$7,IT!$M$6:$BM$6,IT!$M$15:$BM$15)))</f>
        <v/>
      </c>
      <c r="GW99" s="214" t="str">
        <f>IF(GW$7&gt;$D$3,"",IF($FA96&lt;GW$7,"OD",_xlfn.XLOOKUP(GW$7,IT!$M$6:$BM$6,IT!$M$15:$BM$15)))</f>
        <v/>
      </c>
      <c r="GX99" s="214" t="str">
        <f>IF(GX$7&gt;$D$3,"",IF($FA96&lt;GX$7,"OD",_xlfn.XLOOKUP(GX$7,IT!$M$6:$BM$6,IT!$M$15:$BM$15)))</f>
        <v/>
      </c>
      <c r="GY99" s="214" t="str">
        <f>IF(GY$7&gt;$D$3,"",IF($FA96&lt;GY$7,"OD",_xlfn.XLOOKUP(GY$7,IT!$M$6:$BM$6,IT!$M$15:$BM$15)))</f>
        <v/>
      </c>
      <c r="GZ99" s="214" t="str">
        <f>IF(GZ$7&gt;$D$3,"",IF($FA96&lt;GZ$7,"OD",_xlfn.XLOOKUP(GZ$7,IT!$M$6:$BM$6,IT!$M$15:$BM$15)))</f>
        <v/>
      </c>
      <c r="HA99" s="214" t="str">
        <f>IF(HA$7&gt;$D$3,"",IF($FA96&lt;HA$7,"OD",_xlfn.XLOOKUP(HA$7,IT!$M$6:$BM$6,IT!$M$15:$BM$15)))</f>
        <v/>
      </c>
      <c r="HB99" s="214" t="str">
        <f>IF(HB$7&gt;$D$3,"",IF($FA96&lt;HB$7,"OD",_xlfn.XLOOKUP(HB$7,IT!$M$6:$BM$6,IT!$M$15:$BM$15)))</f>
        <v/>
      </c>
      <c r="HC99" s="214" t="str">
        <f>IF(HC$7&gt;$D$3,"",IF($FA96&lt;HC$7,"OD",_xlfn.XLOOKUP(HC$7,IT!$M$6:$BM$6,IT!$M$15:$BM$15)))</f>
        <v/>
      </c>
      <c r="HE99" s="136" t="str">
        <f>+$C99</f>
        <v>KPI Q1</v>
      </c>
      <c r="HF99" s="144" t="str">
        <f>+$D99</f>
        <v>Quality</v>
      </c>
      <c r="HG99" s="144" t="str">
        <f>+$E99</f>
        <v>Employee Satisfaction</v>
      </c>
      <c r="HH99" s="145" t="str">
        <f>+$F99</f>
        <v>Percentage</v>
      </c>
      <c r="HI99" s="145" t="s">
        <v>44</v>
      </c>
      <c r="HJ99" s="214" t="str">
        <f>IF(HJ$7&gt;$D$3,"",IF($FA96&lt;HJ$7,"OD",_xlfn.XLOOKUP(HJ$7,IT!$M$6:$BM$6,IT!$M$14:$BM$14)))</f>
        <v>Blank</v>
      </c>
      <c r="HK99" s="214" t="str">
        <f>IF(HK$7&gt;$D$3,"",IF($FA96&lt;HK$7,"OD",_xlfn.XLOOKUP(HK$7,IT!$M$6:$BM$6,IT!$M$14:$BM$14)))</f>
        <v>TBC</v>
      </c>
      <c r="HL99" s="226" t="str">
        <f>IF(HL$7&gt;$D$3,"",IF($FA96&lt;HL$7,"OD",_xlfn.XLOOKUP(HL$7,IT!$M$6:$BM$6,IT!$M$14:$BM$14)))</f>
        <v>TBC</v>
      </c>
      <c r="HM99" s="226" t="str">
        <f>IF(HM$7&gt;$D$3,"",IF($FA96&lt;HM$7,"OD",_xlfn.XLOOKUP(HM$7,IT!$M$6:$BM$6,IT!$M$14:$BM$14)))</f>
        <v>TBC</v>
      </c>
      <c r="HN99" s="226" t="str">
        <f>IF(HN$7&gt;$D$3,"",IF($FA96&lt;HN$7,"OD",_xlfn.XLOOKUP(HN$7,IT!$M$6:$BM$6,IT!$M$14:$BM$14)))</f>
        <v>TBC</v>
      </c>
      <c r="HO99" s="226" t="str">
        <f>IF(HO$7&gt;$D$3,"",IF($FA96&lt;HO$7,"OD",_xlfn.XLOOKUP(HO$7,IT!$M$6:$BM$6,IT!$M$14:$BM$14)))</f>
        <v>TBC</v>
      </c>
      <c r="HP99" s="226" t="str">
        <f>IF(HP$7&gt;$D$3,"",IF($FA96&lt;HP$7,"OD",_xlfn.XLOOKUP(HP$7,IT!$M$6:$BM$6,IT!$M$14:$BM$14)))</f>
        <v>TBC</v>
      </c>
      <c r="HQ99" s="226" t="str">
        <f>IF(HQ$7&gt;$D$3,"",IF($FA96&lt;HQ$7,"OD",_xlfn.XLOOKUP(HQ$7,IT!$M$6:$BM$6,IT!$M$14:$BM$14)))</f>
        <v>TBC</v>
      </c>
      <c r="HR99" s="226" t="str">
        <f>IF(HR$7&gt;$D$3,"",IF($FA96&lt;HR$7,"OD",_xlfn.XLOOKUP(HR$7,IT!$M$6:$BM$6,IT!$M$14:$BM$14)))</f>
        <v>TBC</v>
      </c>
      <c r="HS99" s="226" t="str">
        <f>IF(HS$7&gt;$D$3,"",IF($FA96&lt;HS$7,"OD",_xlfn.XLOOKUP(HS$7,IT!$M$6:$BM$6,IT!$M$14:$BM$14)))</f>
        <v>TBC</v>
      </c>
      <c r="HT99" s="226" t="str">
        <f>IF(HT$7&gt;$D$3,"",IF($FA96&lt;HT$7,"OD",_xlfn.XLOOKUP(HT$7,IT!$M$6:$BM$6,IT!$M$14:$BM$14)))</f>
        <v>TBC</v>
      </c>
      <c r="HU99" s="226" t="str">
        <f>IF(HU$7&gt;$D$3,"",IF($FA96&lt;HU$7,"OD",_xlfn.XLOOKUP(HU$7,IT!$M$6:$BM$6,IT!$M$14:$BM$14)))</f>
        <v>TBC</v>
      </c>
      <c r="HV99" s="226" t="str">
        <f>IF(HV$7&gt;$D$3,"",IF($FA96&lt;HV$7,"OD",_xlfn.XLOOKUP(HV$7,IT!$M$6:$BM$6,IT!$M$14:$BM$14)))</f>
        <v>TBC</v>
      </c>
      <c r="HW99" s="226" t="str">
        <f>IF(HW$7&gt;$D$3,"",IF($FA96&lt;HW$7,"OD",_xlfn.XLOOKUP(HW$7,IT!$M$6:$BM$6,IT!$M$14:$BM$14)))</f>
        <v>TBC</v>
      </c>
      <c r="HX99" s="226" t="str">
        <f>IF(HX$7&gt;$D$3,"",IF($FA96&lt;HX$7,"OD",_xlfn.XLOOKUP(HX$7,IT!$M$6:$BM$6,IT!$M$14:$BM$14)))</f>
        <v>TBC</v>
      </c>
      <c r="HY99" s="226" t="str">
        <f>IF(HY$7&gt;$D$3,"",IF($FA96&lt;HY$7,"OD",_xlfn.XLOOKUP(HY$7,IT!$M$6:$BM$6,IT!$M$14:$BM$14)))</f>
        <v>TBC</v>
      </c>
      <c r="HZ99" s="226" t="str">
        <f>IF(HZ$7&gt;$D$3,"",IF($FA96&lt;HZ$7,"OD",_xlfn.XLOOKUP(HZ$7,IT!$M$6:$BM$6,IT!$M$14:$BM$14)))</f>
        <v>TBC</v>
      </c>
      <c r="IA99" s="226" t="str">
        <f>IF(IA$7&gt;$D$3,"",IF($FA96&lt;IA$7,"OD",_xlfn.XLOOKUP(IA$7,IT!$M$6:$BM$6,IT!$M$14:$BM$14)))</f>
        <v>TBC</v>
      </c>
      <c r="IB99" s="226" t="str">
        <f>IF(IB$7&gt;$D$3,"",IF($FA96&lt;IB$7,"OD",_xlfn.XLOOKUP(IB$7,IT!$M$6:$BM$6,IT!$M$14:$BM$14)))</f>
        <v>TBC</v>
      </c>
      <c r="IC99" s="226" t="str">
        <f>IF(IC$7&gt;$D$3,"",IF($FA96&lt;IC$7,"OD",_xlfn.XLOOKUP(IC$7,IT!$M$6:$BM$6,IT!$M$14:$BM$14)))</f>
        <v>TBC</v>
      </c>
      <c r="ID99" s="226" t="str">
        <f>IF(ID$7&gt;$D$3,"",IF($FA96&lt;ID$7,"OD",_xlfn.XLOOKUP(ID$7,IT!$M$6:$BM$6,IT!$M$14:$BM$14)))</f>
        <v>TBC</v>
      </c>
      <c r="IE99" s="226" t="str">
        <f>IF(IE$7&gt;$D$3,"",IF($FA96&lt;IE$7,"OD",_xlfn.XLOOKUP(IE$7,IT!$M$6:$BM$6,IT!$M$14:$BM$14)))</f>
        <v>TBC</v>
      </c>
      <c r="IF99" s="226">
        <f>IF(IF$7&gt;$D$3,"",IF($FA96&lt;IF$7,"OD",_xlfn.XLOOKUP(IF$7,IT!$M$6:$BM$6,IT!$M$14:$BM$14)))</f>
        <v>0.7</v>
      </c>
      <c r="IG99" s="226">
        <f>IF(IG$7&gt;$D$3,"",IF($FA96&lt;IG$7,"OD",_xlfn.XLOOKUP(IG$7,IT!$M$6:$BM$6,IT!$M$14:$BM$14)))</f>
        <v>0.7</v>
      </c>
      <c r="IH99" s="226">
        <f>IF(IH$7&gt;$D$3,"",IF($FA96&lt;IH$7,"OD",_xlfn.XLOOKUP(IH$7,IT!$M$6:$BM$6,IT!$M$14:$BM$14)))</f>
        <v>0.7</v>
      </c>
      <c r="II99" s="226">
        <f>IF(II$7&gt;$D$3,"",IF($FA96&lt;II$7,"OD",_xlfn.XLOOKUP(II$7,IT!$M$6:$BM$6,IT!$M$14:$BM$14)))</f>
        <v>0.7</v>
      </c>
      <c r="IJ99" s="226">
        <f>IF(IJ$7&gt;$D$3,"",IF($FA96&lt;IJ$7,"OD",_xlfn.XLOOKUP(IJ$7,IT!$M$6:$BM$6,IT!$M$14:$BM$14)))</f>
        <v>0.7</v>
      </c>
      <c r="IK99" s="226">
        <f>IF(IK$7&gt;$D$3,"",IF($FA96&lt;IK$7,"OD",_xlfn.XLOOKUP(IK$7,IT!$M$6:$BM$6,IT!$M$14:$BM$14)))</f>
        <v>0.7</v>
      </c>
      <c r="IL99" s="226">
        <f>IF(IL$7&gt;$D$3,"",IF($FA96&lt;IL$7,"OD",_xlfn.XLOOKUP(IL$7,IT!$M$6:$BM$6,IT!$M$14:$BM$14)))</f>
        <v>0.7</v>
      </c>
      <c r="IM99" s="226">
        <f>IF(IM$7&gt;$D$3,"",IF($FA96&lt;IM$7,"OD",_xlfn.XLOOKUP(IM$7,IT!$M$6:$BM$6,IT!$M$14:$BM$14)))</f>
        <v>0.7</v>
      </c>
      <c r="IN99" s="226">
        <f>IF(IN$7&gt;$D$3,"",IF($FA96&lt;IN$7,"OD",_xlfn.XLOOKUP(IN$7,IT!$M$6:$BM$6,IT!$M$14:$BM$14)))</f>
        <v>0.7</v>
      </c>
      <c r="IO99" s="226">
        <f>IF(IO$7&gt;$D$3,"",IF($FA96&lt;IO$7,"OD",_xlfn.XLOOKUP(IO$7,IT!$M$6:$BM$6,IT!$M$14:$BM$14)))</f>
        <v>0.7</v>
      </c>
      <c r="IP99" s="226">
        <f>IF(IP$7&gt;$D$3,"",IF($FA96&lt;IP$7,"OD",_xlfn.XLOOKUP(IP$7,IT!$M$6:$BM$6,IT!$M$14:$BM$14)))</f>
        <v>0.7</v>
      </c>
      <c r="IQ99" s="226">
        <f>IF(IQ$7&gt;$D$3,"",IF($FA96&lt;IQ$7,"OD",_xlfn.XLOOKUP(IQ$7,IT!$M$6:$BM$6,IT!$M$14:$BM$14)))</f>
        <v>0.7</v>
      </c>
      <c r="IR99" s="226">
        <f>IF(IR$7&gt;$D$3,"",IF($FA96&lt;IR$7,"OD",_xlfn.XLOOKUP(IR$7,IT!$M$6:$BM$6,IT!$M$14:$BM$14)))</f>
        <v>0.7</v>
      </c>
      <c r="IS99" s="226">
        <f>IF(IS$7&gt;$D$3,"",IF($FA96&lt;IS$7,"OD",_xlfn.XLOOKUP(IS$7,IT!$M$6:$BM$6,IT!$M$14:$BM$14)))</f>
        <v>0.7</v>
      </c>
      <c r="IT99" s="226">
        <f>IF(IT$7&gt;$D$3,"",IF($FA96&lt;IT$7,"OD",_xlfn.XLOOKUP(IT$7,IT!$M$6:$BM$6,IT!$M$14:$BM$14)))</f>
        <v>0.7</v>
      </c>
      <c r="IU99" s="226">
        <f>IF(IU$7&gt;$D$3,"",IF($FA96&lt;IU$7,"OD",_xlfn.XLOOKUP(IU$7,IT!$M$6:$BM$6,IT!$M$14:$BM$14)))</f>
        <v>0.7</v>
      </c>
      <c r="IV99" s="226">
        <f>IF(IV$7&gt;$D$3,"",IF($FA96&lt;IV$7,"OD",_xlfn.XLOOKUP(IV$7,IT!$M$6:$BM$6,IT!$M$14:$BM$14)))</f>
        <v>0.7</v>
      </c>
      <c r="IW99" s="226">
        <f>IF(IW$7&gt;$D$3,"",IF($FA96&lt;IW$7,"OD",_xlfn.XLOOKUP(IW$7,IT!$M$6:$BM$6,IT!$M$14:$BM$14)))</f>
        <v>0.7</v>
      </c>
      <c r="IX99" s="226">
        <f>IF(IX$7&gt;$D$3,"",IF($FA96&lt;IX$7,"OD",_xlfn.XLOOKUP(IX$7,IT!$M$6:$BM$6,IT!$M$14:$BM$14)))</f>
        <v>0.7</v>
      </c>
      <c r="IY99" s="226">
        <f>IF(IY$7&gt;$D$3,"",IF($FA96&lt;IY$7,"OD",_xlfn.XLOOKUP(IY$7,IT!$M$6:$BM$6,IT!$M$14:$BM$14)))</f>
        <v>0.7</v>
      </c>
      <c r="IZ99" s="226" t="str">
        <f>IF(IZ$7&gt;$D$3,"",IF($FA96&lt;IZ$7,"OD",_xlfn.XLOOKUP(IZ$7,IT!$M$6:$BM$6,IT!$M$14:$BM$14)))</f>
        <v/>
      </c>
      <c r="JA99" s="226" t="str">
        <f>IF(JA$7&gt;$D$3,"",IF($FA96&lt;JA$7,"OD",_xlfn.XLOOKUP(JA$7,IT!$M$6:$BM$6,IT!$M$14:$BM$14)))</f>
        <v/>
      </c>
      <c r="JB99" s="226" t="str">
        <f>IF(JB$7&gt;$D$3,"",IF($FA96&lt;JB$7,"OD",_xlfn.XLOOKUP(JB$7,IT!$M$6:$BM$6,IT!$M$14:$BM$14)))</f>
        <v/>
      </c>
      <c r="JC99" s="226" t="str">
        <f>IF(JC$7&gt;$D$3,"",IF($FA96&lt;JC$7,"OD",_xlfn.XLOOKUP(JC$7,IT!$M$6:$BM$6,IT!$M$14:$BM$14)))</f>
        <v/>
      </c>
      <c r="JD99" s="226" t="str">
        <f>IF(JD$7&gt;$D$3,"",IF($FA96&lt;JD$7,"OD",_xlfn.XLOOKUP(JD$7,IT!$M$6:$BM$6,IT!$M$14:$BM$14)))</f>
        <v/>
      </c>
      <c r="JE99" s="226" t="str">
        <f>IF(JE$7&gt;$D$3,"",IF($FA96&lt;JE$7,"OD",_xlfn.XLOOKUP(JE$7,IT!$M$6:$BM$6,IT!$M$14:$BM$14)))</f>
        <v/>
      </c>
      <c r="JF99" s="226" t="str">
        <f>IF(JF$7&gt;$D$3,"",IF($FA96&lt;JF$7,"OD",_xlfn.XLOOKUP(JF$7,IT!$M$6:$BM$6,IT!$M$14:$BM$14)))</f>
        <v/>
      </c>
      <c r="JG99" s="226" t="str">
        <f>IF(JG$7&gt;$D$3,"",IF($FA96&lt;JG$7,"OD",_xlfn.XLOOKUP(JG$7,IT!$M$6:$BM$6,IT!$M$14:$BM$14)))</f>
        <v/>
      </c>
      <c r="JH99" s="226" t="str">
        <f>IF(JH$7&gt;$D$3,"",IF($FA96&lt;JH$7,"OD",_xlfn.XLOOKUP(JH$7,IT!$M$6:$BM$6,IT!$M$14:$BM$14)))</f>
        <v/>
      </c>
      <c r="JI99" s="226" t="str">
        <f>IF(JI$7&gt;$D$3,"",IF($FA96&lt;JI$7,"OD",_xlfn.XLOOKUP(JI$7,IT!$M$6:$BM$6,IT!$M$14:$BM$14)))</f>
        <v/>
      </c>
      <c r="JJ99" s="226" t="str">
        <f>IF(JJ$7&gt;$D$3,"",IF($FA96&lt;JJ$7,"OD",_xlfn.XLOOKUP(JJ$7,IT!$M$6:$BM$6,IT!$M$14:$BM$14)))</f>
        <v/>
      </c>
      <c r="JM99" s="136" t="str">
        <f>+$C99</f>
        <v>KPI Q1</v>
      </c>
      <c r="JN99" s="144" t="str">
        <f>+$D99</f>
        <v>Quality</v>
      </c>
      <c r="JO99" s="144" t="str">
        <f>+$E99</f>
        <v>Employee Satisfaction</v>
      </c>
      <c r="JP99" s="145" t="str">
        <f>+$F99</f>
        <v>Percentage</v>
      </c>
      <c r="JQ99" s="145" t="s">
        <v>284</v>
      </c>
      <c r="JR99" s="226" t="str">
        <f>IFERROR(AVERAGE(FC99:$FC99),"")</f>
        <v/>
      </c>
      <c r="JS99" s="226" t="str">
        <f>IFERROR(AVERAGE($FC99:FD99),"")</f>
        <v/>
      </c>
      <c r="JT99" s="226" t="str">
        <f>IFERROR(AVERAGE($FC99:FE99),"")</f>
        <v/>
      </c>
      <c r="JU99" s="226" t="str">
        <f>IFERROR(AVERAGE($FC99:FF99),"")</f>
        <v/>
      </c>
      <c r="JV99" s="226" t="str">
        <f>IFERROR(AVERAGE($FC99:FG99),"")</f>
        <v/>
      </c>
      <c r="JW99" s="226" t="str">
        <f>IFERROR(AVERAGE($FC99:FH99),"")</f>
        <v/>
      </c>
      <c r="JX99" s="226" t="str">
        <f>IFERROR(AVERAGE($FC99:FI99),"")</f>
        <v/>
      </c>
      <c r="JY99" s="226" t="str">
        <f>IFERROR(AVERAGE($FC99:FJ99),"")</f>
        <v/>
      </c>
      <c r="JZ99" s="226" t="str">
        <f>IFERROR(AVERAGE($FC99:FK99),"")</f>
        <v/>
      </c>
      <c r="KA99" s="226" t="str">
        <f>IFERROR(AVERAGE($FC99:FL99),"")</f>
        <v/>
      </c>
      <c r="KB99" s="226" t="str">
        <f>IFERROR(AVERAGE($FC99:FM99),"")</f>
        <v/>
      </c>
      <c r="KC99" s="226" t="str">
        <f>IFERROR(AVERAGE($FC99:FN99),"")</f>
        <v/>
      </c>
      <c r="KD99" s="226" t="str">
        <f>IFERROR(AVERAGE($FC99:FO99),"")</f>
        <v/>
      </c>
      <c r="KE99" s="226" t="str">
        <f>IFERROR(AVERAGE($FC99:FP99),"")</f>
        <v/>
      </c>
      <c r="KF99" s="226" t="str">
        <f>IFERROR(AVERAGE($FC99:FQ99),"")</f>
        <v/>
      </c>
      <c r="KG99" s="226" t="str">
        <f>IFERROR(AVERAGE($FC99:FR99),"")</f>
        <v/>
      </c>
      <c r="KH99" s="226" t="str">
        <f>IFERROR(AVERAGE($FC99:FS99),"")</f>
        <v/>
      </c>
      <c r="KI99" s="226" t="str">
        <f>IFERROR(AVERAGE($FC99:FT99),"")</f>
        <v/>
      </c>
      <c r="KJ99" s="226" t="str">
        <f>IFERROR(AVERAGE($FC99:FU99),"")</f>
        <v/>
      </c>
      <c r="KK99" s="226" t="str">
        <f>IFERROR(AVERAGE($FC99:FV99),"")</f>
        <v/>
      </c>
      <c r="KL99" s="226" t="str">
        <f>IFERROR(AVERAGE($FC99:FW99),"")</f>
        <v/>
      </c>
      <c r="KM99" s="226" t="str">
        <f>IFERROR(AVERAGE($FC99:FX99),"")</f>
        <v/>
      </c>
      <c r="KN99" s="226">
        <f>IFERROR(AVERAGE($FC99:FY99),"")</f>
        <v>0.75</v>
      </c>
      <c r="KO99" s="226">
        <f>IFERROR(AVERAGE($FC99:FZ99),"")</f>
        <v>0.875</v>
      </c>
      <c r="KP99" s="226">
        <f>IFERROR(AVERAGE($FC99:GA99),"")</f>
        <v>0.89</v>
      </c>
      <c r="KQ99" s="226">
        <f>IFERROR(AVERAGE($FC99:GB99),"")</f>
        <v>0.91749999999999998</v>
      </c>
      <c r="KR99" s="226">
        <f>IFERROR(AVERAGE($FC99:GC99),"")</f>
        <v>0.93399999999999994</v>
      </c>
      <c r="KS99" s="226">
        <f>IFERROR(AVERAGE($FC99:GD99),"")</f>
        <v>0.94499999999999995</v>
      </c>
      <c r="KT99" s="226">
        <f>IFERROR(AVERAGE($FC99:GE99),"")</f>
        <v>0.95285714285714285</v>
      </c>
      <c r="KU99" s="226">
        <f>IFERROR(AVERAGE($FC99:GF99),"")</f>
        <v>0.95874999999999999</v>
      </c>
      <c r="KV99" s="226">
        <f>IFERROR(AVERAGE($FC99:GG99),"")</f>
        <v>0.96333333333333337</v>
      </c>
      <c r="KW99" s="226">
        <f>IFERROR(AVERAGE($FC99:GH99),"")</f>
        <v>0.96699999999999997</v>
      </c>
      <c r="KX99" s="226">
        <f>IFERROR(AVERAGE($FC99:GI99),"")</f>
        <v>0.97</v>
      </c>
      <c r="KY99" s="226">
        <f>IFERROR(AVERAGE($FC99:GJ99),"")</f>
        <v>0.97250000000000003</v>
      </c>
      <c r="KZ99" s="226">
        <f>IFERROR(AVERAGE($FC99:GK99),"")</f>
        <v>0.97461538461538466</v>
      </c>
      <c r="LA99" s="226">
        <f>IFERROR(AVERAGE($FC99:GL99),"")</f>
        <v>0.90500000000000003</v>
      </c>
      <c r="LB99" s="226">
        <f>IFERROR(AVERAGE($FC99:GM99),"")</f>
        <v>0.84466666666666668</v>
      </c>
      <c r="LC99" s="226">
        <f>IFERROR(AVERAGE($FC99:GN99),"")</f>
        <v>0.854375</v>
      </c>
      <c r="LD99" s="226">
        <f>IFERROR(AVERAGE($FC99:GO99),"")</f>
        <v>0.86294117647058821</v>
      </c>
      <c r="LE99" s="226">
        <f>IFERROR(AVERAGE($FC99:GP99),"")</f>
        <v>0.87055555555555553</v>
      </c>
      <c r="LF99" s="226">
        <f>IFERROR(AVERAGE($FC99:GQ99),"")</f>
        <v>0.87736842105263169</v>
      </c>
      <c r="LG99" s="226">
        <f>IFERROR(AVERAGE($FC99:GR99),"")</f>
        <v>0.87736842105263169</v>
      </c>
      <c r="LH99" s="226">
        <f>IFERROR(AVERAGE($FC99:GS99),"")</f>
        <v>0.87736842105263169</v>
      </c>
      <c r="LI99" s="226">
        <f>IFERROR(AVERAGE($FC99:GT99),"")</f>
        <v>0.87736842105263169</v>
      </c>
      <c r="LJ99" s="226">
        <f>IFERROR(AVERAGE($FC99:GU99),"")</f>
        <v>0.87736842105263169</v>
      </c>
      <c r="LK99" s="226">
        <f>IFERROR(AVERAGE($FC99:GV99),"")</f>
        <v>0.87736842105263169</v>
      </c>
      <c r="LL99" s="226">
        <f>IFERROR(AVERAGE($FC99:GW99),"")</f>
        <v>0.87736842105263169</v>
      </c>
      <c r="LM99" s="226">
        <f>IFERROR(AVERAGE($FC99:GX99),"")</f>
        <v>0.87736842105263169</v>
      </c>
      <c r="LN99" s="226">
        <f>IFERROR(AVERAGE($FC99:GY99),"")</f>
        <v>0.87736842105263169</v>
      </c>
      <c r="LO99" s="226">
        <f>IFERROR(AVERAGE($FC99:GZ99),"")</f>
        <v>0.87736842105263169</v>
      </c>
      <c r="LP99" s="226">
        <f>IFERROR(AVERAGE($FC99:HA99),"")</f>
        <v>0.87736842105263169</v>
      </c>
      <c r="LQ99" s="226">
        <f>IFERROR(AVERAGE($FC99:HB99),"")</f>
        <v>0.87736842105263169</v>
      </c>
      <c r="LR99" s="226">
        <f>IFERROR(AVERAGE($FC99:HC99),"")</f>
        <v>0.87736842105263169</v>
      </c>
      <c r="LT99" s="136" t="str">
        <f>+$C99</f>
        <v>KPI Q1</v>
      </c>
      <c r="LU99" s="144" t="str">
        <f>+$D99</f>
        <v>Quality</v>
      </c>
      <c r="LV99" s="144" t="str">
        <f>+$E99</f>
        <v>Employee Satisfaction</v>
      </c>
      <c r="LW99" s="145" t="str">
        <f>+$F99</f>
        <v>Percentage</v>
      </c>
      <c r="LX99" s="145" t="s">
        <v>285</v>
      </c>
      <c r="LY99" s="214" t="str">
        <f>IFERROR(AVERAGE($HJ99:HJ99),"")</f>
        <v/>
      </c>
      <c r="LZ99" s="214" t="str">
        <f>IFERROR(IF(LAD$7&gt;$D$3,"",AVERAGE($HJ99:HK99)),"")</f>
        <v/>
      </c>
      <c r="MA99" s="214" t="str">
        <f>IFERROR(IF(MA$7&gt;$D$3,"",AVERAGE($HJ99:HL99)),"")</f>
        <v/>
      </c>
      <c r="MB99" s="214" t="str">
        <f>IFERROR(IF(MB$7&gt;$D$3,"",AVERAGE($HJ99:HM99)),"")</f>
        <v/>
      </c>
      <c r="MC99" s="214" t="str">
        <f>IFERROR(IF(MC$7&gt;$D$3,"",AVERAGE($HJ99:HN99)),"")</f>
        <v/>
      </c>
      <c r="MD99" s="214" t="str">
        <f>IFERROR(IF(MD$7&gt;$D$3,"",AVERAGE($HJ99:HO99)),"")</f>
        <v/>
      </c>
      <c r="ME99" s="214" t="str">
        <f>IFERROR(IF(ME$7&gt;$D$3,"",AVERAGE($HJ99:HP99)),"")</f>
        <v/>
      </c>
      <c r="MF99" s="214" t="str">
        <f>IFERROR(IF(MF$7&gt;$D$3,"",AVERAGE($HJ99:HQ99)),"")</f>
        <v/>
      </c>
      <c r="MG99" s="214" t="str">
        <f>IFERROR(IF(MG$7&gt;$D$3,"",AVERAGE($HJ99:HR99)),"")</f>
        <v/>
      </c>
      <c r="MH99" s="214" t="str">
        <f>IFERROR(IF(MH$7&gt;$D$3,"",AVERAGE($HJ99:HS99)),"")</f>
        <v/>
      </c>
      <c r="MI99" s="214" t="str">
        <f>IFERROR(IF(MI$7&gt;$D$3,"",AVERAGE($HJ99:HT99)),"")</f>
        <v/>
      </c>
      <c r="MJ99" s="214" t="str">
        <f>IFERROR(IF(MJ$7&gt;$D$3,"",AVERAGE($HJ99:HU99)),"")</f>
        <v/>
      </c>
      <c r="MK99" s="214" t="str">
        <f>IFERROR(IF(MK$7&gt;$D$3,"",AVERAGE($HJ99:HV99)),"")</f>
        <v/>
      </c>
      <c r="ML99" s="214" t="str">
        <f>IFERROR(IF(ML$7&gt;$D$3,"",AVERAGE($HJ99:HW99)),"")</f>
        <v/>
      </c>
      <c r="MM99" s="214" t="str">
        <f>IFERROR(IF(MM$7&gt;$D$3,"",AVERAGE($HJ99:HX99)),"")</f>
        <v/>
      </c>
      <c r="MN99" s="214" t="str">
        <f>IFERROR(IF(MN$7&gt;$D$3,"",AVERAGE($HJ99:HY99)),"")</f>
        <v/>
      </c>
      <c r="MO99" s="214" t="str">
        <f>IFERROR(IF(MO$7&gt;$D$3,"",AVERAGE($HJ99:HZ99)),"")</f>
        <v/>
      </c>
      <c r="MP99" s="214" t="str">
        <f>IFERROR(IF(MP$7&gt;$D$3,"",AVERAGE($HJ99:IA99)),"")</f>
        <v/>
      </c>
      <c r="MQ99" s="214" t="str">
        <f>IFERROR(IF(MQ$7&gt;$D$3,"",AVERAGE($HJ99:IB99)),"")</f>
        <v/>
      </c>
      <c r="MR99" s="214" t="str">
        <f>IFERROR(IF(MR$7&gt;$D$3,"",AVERAGE($HJ99:IC99)),"")</f>
        <v/>
      </c>
      <c r="MS99" s="214" t="str">
        <f>IFERROR(IF(MS$7&gt;$D$3,"",AVERAGE($HJ99:ID99)),"")</f>
        <v/>
      </c>
      <c r="MT99" s="214" t="str">
        <f>IFERROR(IF(MT$7&gt;$D$3,"",AVERAGE($HJ99:IE99)),"")</f>
        <v/>
      </c>
      <c r="MU99" s="214">
        <f>IFERROR(IF(MU$7&gt;$D$3,"",AVERAGE($HJ99:IF99)),"")</f>
        <v>0.7</v>
      </c>
      <c r="MV99" s="214">
        <f>IFERROR(IF(MV$7&gt;$D$3,"",AVERAGE($HJ99:IG99)),"")</f>
        <v>0.7</v>
      </c>
      <c r="MW99" s="214">
        <f>IFERROR(IF(MW$7&gt;$D$3,"",AVERAGE($HJ99:IH99)),"")</f>
        <v>0.69999999999999984</v>
      </c>
      <c r="MX99" s="214">
        <f>IFERROR(IF(MX$7&gt;$D$3,"",AVERAGE($HJ99:II99)),"")</f>
        <v>0.7</v>
      </c>
      <c r="MY99" s="214">
        <f>IFERROR(IF(MY$7&gt;$D$3,"",AVERAGE($HJ99:IJ99)),"")</f>
        <v>0.7</v>
      </c>
      <c r="MZ99" s="214">
        <f>IFERROR(IF(MZ$7&gt;$D$3,"",AVERAGE($HJ99:IK99)),"")</f>
        <v>0.70000000000000007</v>
      </c>
      <c r="NA99" s="214">
        <f>IFERROR(IF(NA$7&gt;$D$3,"",AVERAGE($HJ99:IL99)),"")</f>
        <v>0.70000000000000007</v>
      </c>
      <c r="NB99" s="214">
        <f>IFERROR(IF(NB$7&gt;$D$3,"",AVERAGE($HJ99:IM99)),"")</f>
        <v>0.70000000000000007</v>
      </c>
      <c r="NC99" s="214">
        <f>IFERROR(IF(NC$7&gt;$D$3,"",AVERAGE($HJ99:IN99)),"")</f>
        <v>0.70000000000000007</v>
      </c>
      <c r="ND99" s="214">
        <f>IFERROR(IF(ND$7&gt;$D$3,"",AVERAGE($HJ99:IO99)),"")</f>
        <v>0.70000000000000007</v>
      </c>
      <c r="NE99" s="214">
        <f>IFERROR(IF(NE$7&gt;$D$3,"",AVERAGE($HJ99:IP99)),"")</f>
        <v>0.70000000000000007</v>
      </c>
      <c r="NF99" s="214">
        <f>IFERROR(IF(NF$7&gt;$D$3,"",AVERAGE($HJ99:IQ99)),"")</f>
        <v>0.70000000000000007</v>
      </c>
      <c r="NG99" s="214">
        <f>IFERROR(IF(NG$7&gt;$D$3,"",AVERAGE($HJ99:IR99)),"")</f>
        <v>0.7</v>
      </c>
      <c r="NH99" s="214">
        <f>IFERROR(IF(NH$7&gt;$D$3,"",AVERAGE($HJ99:IS99)),"")</f>
        <v>0.7</v>
      </c>
      <c r="NI99" s="214">
        <f>IFERROR(IF(NI$7&gt;$D$3,"",AVERAGE($HJ99:IT99)),"")</f>
        <v>0.69999999999999984</v>
      </c>
      <c r="NJ99" s="214">
        <f>IFERROR(IF(NJ$7&gt;$D$3,"",AVERAGE($HJ99:IU99)),"")</f>
        <v>0.69999999999999984</v>
      </c>
      <c r="NK99" s="214">
        <f>IFERROR(IF(NK$7&gt;$D$3,"",AVERAGE($HJ99:IV99)),"")</f>
        <v>0.69999999999999984</v>
      </c>
      <c r="NL99" s="214">
        <f>IFERROR(IF(NL$7&gt;$D$3,"",AVERAGE($HJ99:IW99)),"")</f>
        <v>0.69999999999999973</v>
      </c>
      <c r="NM99" s="214">
        <f>IFERROR(IF(NM$7&gt;$D$3,"",AVERAGE($HJ99:IX99)),"")</f>
        <v>0.69999999999999973</v>
      </c>
      <c r="NN99" s="214">
        <f>IFERROR(IF(NN$7&gt;$D$3,"",AVERAGE($HJ99:IY99)),"")</f>
        <v>0.69999999999999973</v>
      </c>
      <c r="NO99" s="214" t="str">
        <f>IFERROR(IF(NO$7&gt;$D$3,"",AVERAGE($HJ99:IZ99)),"")</f>
        <v/>
      </c>
      <c r="NP99" s="214" t="str">
        <f>IFERROR(IF(NP$7&gt;$D$3,"",AVERAGE($HJ99:JA99)),"")</f>
        <v/>
      </c>
      <c r="NQ99" s="214" t="str">
        <f>IFERROR(IF(NQ$7&gt;$D$3,"",AVERAGE($HJ99:JB99)),"")</f>
        <v/>
      </c>
      <c r="NR99" s="214" t="str">
        <f>IFERROR(IF(NR$7&gt;$D$3,"",AVERAGE($HJ99:JC99)),"")</f>
        <v/>
      </c>
      <c r="NS99" s="214" t="str">
        <f>IFERROR(IF(NS$7&gt;$D$3,"",AVERAGE($HJ99:JD99)),"")</f>
        <v/>
      </c>
      <c r="NT99" s="214" t="str">
        <f>IFERROR(IF(NT$7&gt;$D$3,"",AVERAGE($HJ99:JE99)),"")</f>
        <v/>
      </c>
      <c r="NU99" s="214" t="str">
        <f>IFERROR(IF(NU$7&gt;$D$3,"",AVERAGE($HJ99:JF99)),"")</f>
        <v/>
      </c>
      <c r="NV99" s="214" t="str">
        <f>IFERROR(IF(NV$7&gt;$D$3,"",AVERAGE($HJ99:JG99)),"")</f>
        <v/>
      </c>
      <c r="NW99" s="214" t="str">
        <f>IFERROR(IF(NW$7&gt;$D$3,"",AVERAGE($HJ99:JH99)),"")</f>
        <v/>
      </c>
      <c r="NX99" s="214" t="str">
        <f>IFERROR(IF(NX$7&gt;$D$3,"",AVERAGE($HJ99:JI99)),"")</f>
        <v/>
      </c>
      <c r="NY99" s="214" t="str">
        <f>IFERROR(IF(NY$7&gt;$D$3,"",AVERAGE($HJ99:JJ99)),"")</f>
        <v/>
      </c>
    </row>
    <row r="100" spans="1:389" ht="15" thickBot="1" x14ac:dyDescent="0.35">
      <c r="A100" t="str">
        <f>$B$96&amp;"-"&amp;C100</f>
        <v>IT-KPI C1</v>
      </c>
      <c r="B100" s="138"/>
      <c r="C100" s="138" t="str">
        <f>+'KPI Stats'!C99</f>
        <v>KPI C1</v>
      </c>
      <c r="D100" s="146" t="str">
        <f>+'KPI Stats'!D99</f>
        <v>Cost</v>
      </c>
      <c r="E100" s="146" t="str">
        <f>+'KPI Stats'!E99</f>
        <v>Unbudgeted Spend</v>
      </c>
      <c r="F100" s="520" t="str">
        <f>+'KPI Stats'!F99</f>
        <v>£</v>
      </c>
      <c r="G100" s="396" t="str">
        <f>+'KPI Stats'!G99</f>
        <v>Above Zero</v>
      </c>
      <c r="J100" s="160" t="str">
        <f>_xlfn.XLOOKUP(J$7,$AM$7:$CM$7,$AM100:$CM100,,FALSE)</f>
        <v>OD</v>
      </c>
      <c r="K100" s="266" t="str">
        <f>_xlfn.XLOOKUP(K$7,$FC$7:$HC$7,$FC100:$HC100,,FALSE)</f>
        <v>OD</v>
      </c>
      <c r="L100" s="279">
        <f>_xlfn.XLOOKUP(L$7,$HJ$7:$JJ$7,$HJ100:$JJ100,,FALSE)</f>
        <v>0</v>
      </c>
      <c r="M100" s="296" t="str">
        <f>_xlfn.XLOOKUP(M$7,$CU$7:$EU$7,$CU100:$EU100,,FALSE)</f>
        <v>OD</v>
      </c>
      <c r="P100" s="160" t="str">
        <f>_xlfn.XLOOKUP(P$7,$AM$7:$CM$7,$AM100:$CM100,,FALSE)</f>
        <v>OD</v>
      </c>
      <c r="Q100" s="266" t="str">
        <f t="shared" si="332"/>
        <v>OD</v>
      </c>
      <c r="R100" s="279">
        <f t="shared" si="332"/>
        <v>0</v>
      </c>
      <c r="S100" s="289" t="str">
        <f t="shared" si="333"/>
        <v>OD</v>
      </c>
      <c r="T100" s="267">
        <f t="shared" si="333"/>
        <v>0</v>
      </c>
      <c r="U100" s="296" t="str">
        <f>IF(F96&lt;$R$2,"Not Complete",IF(Q100=R100,"Same −",IF($G100="Over",IF(Q100&lt;R100,"Better ↑ ↑","Worse ↓ ↓"),IF($G100="Under",IF(Q100&gt;R100,"Better ↑ ↑","Worse ↓ ↓"),"err"))))</f>
        <v>err</v>
      </c>
      <c r="X100" s="160" t="str">
        <f t="shared" si="334"/>
        <v>R</v>
      </c>
      <c r="Y100" s="266">
        <f>_xlfn.XLOOKUP(Y$7,$JR$7:$LR$7,$JR100:$LR100,FALSE)</f>
        <v>1812.1291999999999</v>
      </c>
      <c r="Z100" s="279">
        <f>_xlfn.XLOOKUP(Z$7,$LY$7:$NY$7,$LY100:$NY100,FALSE)</f>
        <v>0</v>
      </c>
      <c r="AA100" s="289" t="str">
        <f>IFERROR(IF(G100="under",Y100/Z100,IF(G100="Over",Z100/Y100,"")),"")</f>
        <v/>
      </c>
      <c r="AB100" s="296" t="str">
        <f>IF(F96&lt;$R$2,"TBC",IF(Y100=Z100,"Same −",IF($G100="Over",IF(Z100&lt;Y100,"Better ↑ ","Worse ↓ "),IF($G100="Under",IF(Y100&gt;Z100,"Better ↑ ","Worse ↓ "),"err"))))</f>
        <v>err</v>
      </c>
      <c r="AC100" s="160" t="str">
        <f>IF(AND(G100="above adero",AD100&gt;0),"R",IF(AF100&gt;1,"G",IF(AF100&gt;0.95,"A","R")))</f>
        <v>G</v>
      </c>
      <c r="AD100" s="266">
        <f>_xlfn.XLOOKUP(AD$7,$JR$7:$LR$7,$JR100:$LR100,FALSE)</f>
        <v>1812.1291999999999</v>
      </c>
      <c r="AE100" s="279">
        <f>_xlfn.XLOOKUP(AE$7,$LY$7:$NY$7,$LY100:$NY100,FALSE)</f>
        <v>0</v>
      </c>
      <c r="AF100" s="273" t="str">
        <f>IFERROR(IF(G100="under",AD100/AE100,IF(G100="Over",AE100/AD100,"")),"")</f>
        <v/>
      </c>
      <c r="AH100" s="465" t="str">
        <f>+$A100</f>
        <v>IT-KPI C1</v>
      </c>
      <c r="AI100" s="138" t="str">
        <f t="shared" si="335"/>
        <v>KPI C1</v>
      </c>
      <c r="AJ100" s="146" t="str">
        <f t="shared" si="335"/>
        <v>Cost</v>
      </c>
      <c r="AK100" s="146" t="str">
        <f t="shared" si="319"/>
        <v>Unbudgeted Spend</v>
      </c>
      <c r="AL100" s="147" t="str">
        <f t="shared" si="319"/>
        <v>£</v>
      </c>
      <c r="AM100" s="160" t="str">
        <f>IF(AM$7&gt;$D$3,"",_xlfn.XLOOKUP(AM$7,IT!$M$6:$BM$6,IT!$M$19:$BM$19))</f>
        <v>Blank</v>
      </c>
      <c r="AN100" s="200" t="str">
        <f>IF(AN$7&gt;$D$3,"",_xlfn.XLOOKUP(AN$7,IT!$M$6:$BM$6,IT!$M$19:$BM$19))</f>
        <v>R</v>
      </c>
      <c r="AO100" s="160" t="str">
        <f>IF(AO$7&gt;$D$3,"",_xlfn.XLOOKUP(AO$7,IT!$M$6:$BM$6,IT!$M$19:$BM$19))</f>
        <v>G</v>
      </c>
      <c r="AP100" s="160" t="str">
        <f>IF(AP$7&gt;$D$3,"",_xlfn.XLOOKUP(AP$7,IT!$M$6:$BM$6,IT!$M$19:$BM$19))</f>
        <v>R</v>
      </c>
      <c r="AQ100" s="160" t="str">
        <f>IF(AQ$7&gt;$D$3,"",_xlfn.XLOOKUP(AQ$7,IT!$M$6:$BM$6,IT!$M$19:$BM$19))</f>
        <v>R</v>
      </c>
      <c r="AR100" s="160" t="str">
        <f>IF(AR$7&gt;$D$3,"",_xlfn.XLOOKUP(AR$7,IT!$M$6:$BM$6,IT!$M$19:$BM$19))</f>
        <v>TBC</v>
      </c>
      <c r="AS100" s="160" t="str">
        <f>IF(AS$7&gt;$D$3,"",_xlfn.XLOOKUP(AS$7,IT!$M$6:$BM$6,IT!$M$19:$BM$19))</f>
        <v>TBC</v>
      </c>
      <c r="AT100" s="160" t="str">
        <f>IF(AT$7&gt;$D$3,"",_xlfn.XLOOKUP(AT$7,IT!$M$6:$BM$6,IT!$M$19:$BM$19))</f>
        <v>TBC</v>
      </c>
      <c r="AU100" s="160" t="str">
        <f>IF(AU$7&gt;$D$3,"",_xlfn.XLOOKUP(AU$7,IT!$M$6:$BM$6,IT!$M$19:$BM$19))</f>
        <v>TBC</v>
      </c>
      <c r="AV100" s="160" t="str">
        <f>IF(AV$7&gt;$D$3,"",_xlfn.XLOOKUP(AV$7,IT!$M$6:$BM$6,IT!$M$19:$BM$19))</f>
        <v>TBC</v>
      </c>
      <c r="AW100" s="160" t="str">
        <f>IF(AW$7&gt;$D$3,"",_xlfn.XLOOKUP(AW$7,IT!$M$6:$BM$6,IT!$M$19:$BM$19))</f>
        <v>TBC</v>
      </c>
      <c r="AX100" s="160" t="str">
        <f>IF(AX$7&gt;$D$3,"",_xlfn.XLOOKUP(AX$7,IT!$M$6:$BM$6,IT!$M$19:$BM$19))</f>
        <v>TBC</v>
      </c>
      <c r="AY100" s="160" t="str">
        <f>IF(AY$7&gt;$D$3,"",_xlfn.XLOOKUP(AY$7,IT!$M$6:$BM$6,IT!$M$19:$BM$19))</f>
        <v>TBC</v>
      </c>
      <c r="AZ100" s="160" t="str">
        <f>IF(AZ$7&gt;$D$3,"",_xlfn.XLOOKUP(AZ$7,IT!$M$6:$BM$6,IT!$M$19:$BM$19))</f>
        <v>TBC</v>
      </c>
      <c r="BA100" s="160" t="str">
        <f>IF(BA$7&gt;$D$3,"",_xlfn.XLOOKUP(BA$7,IT!$M$6:$BM$6,IT!$M$19:$BM$19))</f>
        <v>TBC</v>
      </c>
      <c r="BB100" s="160" t="str">
        <f>IF(BB$7&gt;$D$3,"",_xlfn.XLOOKUP(BB$7,IT!$M$6:$BM$6,IT!$M$19:$BM$19))</f>
        <v>TBC</v>
      </c>
      <c r="BC100" s="160" t="str">
        <f>IF(BC$7&gt;$D$3,"",_xlfn.XLOOKUP(BC$7,IT!$M$6:$BM$6,IT!$M$19:$BM$19))</f>
        <v>TBC</v>
      </c>
      <c r="BD100" s="160" t="str">
        <f>IF(BD$7&gt;$D$3,"",_xlfn.XLOOKUP(BD$7,IT!$M$6:$BM$6,IT!$M$19:$BM$19))</f>
        <v>TBC</v>
      </c>
      <c r="BE100" s="160" t="str">
        <f>IF(BE$7&gt;$D$3,"",_xlfn.XLOOKUP(BE$7,IT!$M$6:$BM$6,IT!$M$19:$BM$19))</f>
        <v>TBC</v>
      </c>
      <c r="BF100" s="160" t="str">
        <f>IF(BF$7&gt;$D$3,"",_xlfn.XLOOKUP(BF$7,IT!$M$6:$BM$6,IT!$M$19:$BM$19))</f>
        <v>TBC</v>
      </c>
      <c r="BG100" s="160" t="str">
        <f>IF(BG$7&gt;$D$3,"",_xlfn.XLOOKUP(BG$7,IT!$M$6:$BM$6,IT!$M$19:$BM$19))</f>
        <v>R</v>
      </c>
      <c r="BH100" s="160" t="str">
        <f>IF(BH$7&gt;$D$3,"",_xlfn.XLOOKUP(BH$7,IT!$M$6:$BM$6,IT!$M$19:$BM$19))</f>
        <v>G</v>
      </c>
      <c r="BI100" s="160" t="str">
        <f>IF(BI$7&gt;$D$3,"",_xlfn.XLOOKUP(BI$7,IT!$M$6:$BM$6,IT!$M$19:$BM$19))</f>
        <v>R</v>
      </c>
      <c r="BJ100" s="160" t="str">
        <f>IF(BJ$7&gt;$D$3,"",_xlfn.XLOOKUP(BJ$7,IT!$M$6:$BM$6,IT!$M$19:$BM$19))</f>
        <v>R</v>
      </c>
      <c r="BK100" s="160" t="str">
        <f>IF(BK$7&gt;$D$3,"",_xlfn.XLOOKUP(BK$7,IT!$M$6:$BM$6,IT!$M$19:$BM$19))</f>
        <v>R</v>
      </c>
      <c r="BL100" s="160" t="str">
        <f>IF(BL$7&gt;$D$3,"",_xlfn.XLOOKUP(BL$7,IT!$M$6:$BM$6,IT!$M$19:$BM$19))</f>
        <v>R</v>
      </c>
      <c r="BM100" s="160" t="str">
        <f>IF(BM$7&gt;$D$3,"",_xlfn.XLOOKUP(BM$7,IT!$M$6:$BM$6,IT!$M$19:$BM$19))</f>
        <v>G</v>
      </c>
      <c r="BN100" s="160" t="str">
        <f>IF(BN$7&gt;$D$3,"",_xlfn.XLOOKUP(BN$7,IT!$M$6:$BM$6,IT!$M$19:$BM$19))</f>
        <v>R</v>
      </c>
      <c r="BO100" s="160" t="str">
        <f>IF(BO$7&gt;$D$3,"",_xlfn.XLOOKUP(BO$7,IT!$M$6:$BM$6,IT!$M$19:$BM$19))</f>
        <v>R</v>
      </c>
      <c r="BP100" s="160" t="str">
        <f>IF(BP$7&gt;$D$3,"",_xlfn.XLOOKUP(BP$7,IT!$M$6:$BM$6,IT!$M$19:$BM$19))</f>
        <v>G</v>
      </c>
      <c r="BQ100" s="160" t="str">
        <f>IF(BQ$7&gt;$D$3,"",_xlfn.XLOOKUP(BQ$7,IT!$M$6:$BM$6,IT!$M$19:$BM$19))</f>
        <v>G</v>
      </c>
      <c r="BR100" s="160" t="str">
        <f>IF(BR$7&gt;$D$3,"",_xlfn.XLOOKUP(BR$7,IT!$M$6:$BM$6,IT!$M$19:$BM$19))</f>
        <v>R</v>
      </c>
      <c r="BS100" s="160" t="str">
        <f>IF(BS$7&gt;$D$3,"",_xlfn.XLOOKUP(BS$7,IT!$M$6:$BM$6,IT!$M$19:$BM$19))</f>
        <v>G</v>
      </c>
      <c r="BT100" s="160" t="str">
        <f>IF(BT$7&gt;$D$3,"",_xlfn.XLOOKUP(BT$7,IT!$M$6:$BM$6,IT!$M$19:$BM$19))</f>
        <v>G</v>
      </c>
      <c r="BU100" s="160" t="str">
        <f>IF(BU$7&gt;$D$3,"",_xlfn.XLOOKUP(BU$7,IT!$M$6:$BM$6,IT!$M$19:$BM$19))</f>
        <v>G</v>
      </c>
      <c r="BV100" s="160" t="str">
        <f>IF(BV$7&gt;$D$3,"",_xlfn.XLOOKUP(BV$7,IT!$M$6:$BM$6,IT!$M$19:$BM$19))</f>
        <v>OD</v>
      </c>
      <c r="BW100" s="160" t="str">
        <f>IF(BW$7&gt;$D$3,"",_xlfn.XLOOKUP(BW$7,IT!$M$6:$BM$6,IT!$M$19:$BM$19))</f>
        <v>OD</v>
      </c>
      <c r="BX100" s="160" t="str">
        <f>IF(BX$7&gt;$D$3,"",_xlfn.XLOOKUP(BX$7,IT!$M$6:$BM$6,IT!$M$19:$BM$19))</f>
        <v>R</v>
      </c>
      <c r="BY100" s="160" t="str">
        <f>IF(BY$7&gt;$D$3,"",_xlfn.XLOOKUP(BY$7,IT!$M$6:$BM$6,IT!$M$19:$BM$19))</f>
        <v>R</v>
      </c>
      <c r="BZ100" s="160" t="str">
        <f>IF(BZ$7&gt;$D$3,"",_xlfn.XLOOKUP(BZ$7,IT!$M$6:$BM$6,IT!$M$19:$BM$19))</f>
        <v>R</v>
      </c>
      <c r="CA100" s="160" t="str">
        <f>IF(CA$7&gt;$D$3,"",_xlfn.XLOOKUP(CA$7,IT!$M$6:$BM$6,IT!$M$19:$BM$19))</f>
        <v>G</v>
      </c>
      <c r="CB100" s="160" t="str">
        <f>IF(CB$7&gt;$D$3,"",_xlfn.XLOOKUP(CB$7,IT!$M$6:$BM$6,IT!$M$19:$BM$19))</f>
        <v>OD</v>
      </c>
      <c r="CC100" s="160" t="str">
        <f>IF(CC$7&gt;$D$3,"",_xlfn.XLOOKUP(CC$7,IT!$M$6:$BM$6,IT!$M$19:$BM$19))</f>
        <v/>
      </c>
      <c r="CD100" s="160" t="str">
        <f>IF(CD$7&gt;$D$3,"",_xlfn.XLOOKUP(CD$7,IT!$M$6:$BM$6,IT!$M$19:$BM$19))</f>
        <v/>
      </c>
      <c r="CE100" s="160" t="str">
        <f>IF(CE$7&gt;$D$3,"",_xlfn.XLOOKUP(CE$7,IT!$M$6:$BM$6,IT!$M$19:$BM$19))</f>
        <v/>
      </c>
      <c r="CF100" s="160" t="str">
        <f>IF(CF$7&gt;$D$3,"",_xlfn.XLOOKUP(CF$7,IT!$M$6:$BM$6,IT!$M$19:$BM$19))</f>
        <v/>
      </c>
      <c r="CG100" s="160" t="str">
        <f>IF(CG$7&gt;$D$3,"",_xlfn.XLOOKUP(CG$7,IT!$M$6:$BM$6,IT!$M$19:$BM$19))</f>
        <v/>
      </c>
      <c r="CH100" s="160" t="str">
        <f>IF(CH$7&gt;$D$3,"",_xlfn.XLOOKUP(CH$7,IT!$M$6:$BM$6,IT!$M$19:$BM$19))</f>
        <v/>
      </c>
      <c r="CI100" s="160" t="str">
        <f>IF(CI$7&gt;$D$3,"",_xlfn.XLOOKUP(CI$7,IT!$M$6:$BM$6,IT!$M$19:$BM$19))</f>
        <v/>
      </c>
      <c r="CJ100" s="160" t="str">
        <f>IF(CJ$7&gt;$D$3,"",_xlfn.XLOOKUP(CJ$7,IT!$M$6:$BM$6,IT!$M$19:$BM$19))</f>
        <v/>
      </c>
      <c r="CK100" s="160" t="str">
        <f>IF(CK$7&gt;$D$3,"",_xlfn.XLOOKUP(CK$7,IT!$M$6:$BM$6,IT!$M$19:$BM$19))</f>
        <v/>
      </c>
      <c r="CL100" s="160" t="str">
        <f>IF(CL$7&gt;$D$3,"",_xlfn.XLOOKUP(CL$7,IT!$M$6:$BM$6,IT!$M$19:$BM$19))</f>
        <v/>
      </c>
      <c r="CM100" s="160" t="str">
        <f>IF(CM$7&gt;$D$3,"",_xlfn.XLOOKUP(CM$7,IT!$M$6:$BM$6,IT!$M$19:$BM$19))</f>
        <v/>
      </c>
      <c r="CO100" s="465" t="str">
        <f>+$A100</f>
        <v>IT-KPI C1</v>
      </c>
      <c r="CP100" s="138" t="str">
        <f t="shared" si="336"/>
        <v>KPI C1</v>
      </c>
      <c r="CQ100" s="146" t="str">
        <f t="shared" si="336"/>
        <v>Cost</v>
      </c>
      <c r="CR100" s="515" t="str">
        <f t="shared" si="322"/>
        <v>Unbudgeted Spend</v>
      </c>
      <c r="CS100" s="147" t="str">
        <f t="shared" si="322"/>
        <v>£</v>
      </c>
      <c r="CT100" s="208" t="s">
        <v>246</v>
      </c>
      <c r="CU100" s="627" t="str">
        <f>IF(CU$7&gt;$D$3,"",_xlfn.XLOOKUP(CU$7,IT!$M$6:$BM$6,IT!$M$19:$BM$19))</f>
        <v>Blank</v>
      </c>
      <c r="CV100" s="487">
        <f>IF(CV$7&gt;$D$3,"",IF(AN100="OD","OD",IF(AN100="Missed","Missed",IF(AN100="TBC","TBC",IF(AN100="Undefined","Undefined",_xlfn.XLOOKUP(CV$7,IT!$M$6:$BM$6,IT!$M$18:$BM$18))))))</f>
        <v>603.17999999999995</v>
      </c>
      <c r="CW100" s="320">
        <f>IF(CW$7&gt;$D$3,"",IF(AO100="OD","OD",IF(AO100="Missed","Missed",IF(AO100="TBC","TBC",IF(AO100="Undefined","Undefined",_xlfn.XLOOKUP(CW$7,IT!$M$6:$BM$6,IT!$M$18:$BM$18))))))</f>
        <v>0</v>
      </c>
      <c r="CX100" s="320">
        <f>IF(CX$7&gt;$D$3,"",IF(AP100="OD","OD",IF(AP100="Missed","Missed",IF(AP100="TBC","TBC",IF(AP100="Undefined","Undefined",_xlfn.XLOOKUP(CX$7,IT!$M$6:$BM$6,IT!$M$18:$BM$18))))))</f>
        <v>3307.74</v>
      </c>
      <c r="CY100" s="320">
        <f>IF(CY$7&gt;$D$3,"",IF(AQ100="OD","OD",IF(AQ100="Missed","Missed",IF(AQ100="TBC","TBC",IF(AQ100="Undefined","Undefined",_xlfn.XLOOKUP(CY$7,IT!$M$6:$BM$6,IT!$M$18:$BM$18))))))</f>
        <v>850</v>
      </c>
      <c r="CZ100" s="320" t="str">
        <f>IF(CZ$7&gt;$D$3,"",IF(AR100="OD","OD",IF(AR100="Missed","Missed",IF(AR100="TBC","TBC",IF(AR100="Undefined","Undefined",_xlfn.XLOOKUP(CZ$7,IT!$M$6:$BM$6,IT!$M$18:$BM$18))))))</f>
        <v>TBC</v>
      </c>
      <c r="DA100" s="320" t="str">
        <f>IF(DA$7&gt;$D$3,"",IF(AS100="OD","OD",IF(AS100="Missed","Missed",IF(AS100="TBC","TBC",IF(AS100="Undefined","Undefined",_xlfn.XLOOKUP(DA$7,IT!$M$6:$BM$6,IT!$M$18:$BM$18))))))</f>
        <v>TBC</v>
      </c>
      <c r="DB100" s="320" t="str">
        <f>IF(DB$7&gt;$D$3,"",IF(AT100="OD","OD",IF(AT100="Missed","Missed",IF(AT100="TBC","TBC",IF(AT100="Undefined","Undefined",_xlfn.XLOOKUP(DB$7,IT!$M$6:$BM$6,IT!$M$18:$BM$18))))))</f>
        <v>TBC</v>
      </c>
      <c r="DC100" s="320" t="str">
        <f>IF(DC$7&gt;$D$3,"",IF(AU100="OD","OD",IF(AU100="Missed","Missed",IF(AU100="TBC","TBC",IF(AU100="Undefined","Undefined",_xlfn.XLOOKUP(DC$7,IT!$M$6:$BM$6,IT!$M$18:$BM$18))))))</f>
        <v>TBC</v>
      </c>
      <c r="DD100" s="320" t="str">
        <f>IF(DD$7&gt;$D$3,"",IF(AV100="OD","OD",IF(AV100="Missed","Missed",IF(AV100="TBC","TBC",IF(AV100="Undefined","Undefined",_xlfn.XLOOKUP(DD$7,IT!$M$6:$BM$6,IT!$M$18:$BM$18))))))</f>
        <v>TBC</v>
      </c>
      <c r="DE100" s="320" t="str">
        <f>IF(DE$7&gt;$D$3,"",IF(AW100="OD","OD",IF(AW100="Missed","Missed",IF(AW100="TBC","TBC",IF(AW100="Undefined","Undefined",_xlfn.XLOOKUP(DE$7,IT!$M$6:$BM$6,IT!$M$18:$BM$18))))))</f>
        <v>TBC</v>
      </c>
      <c r="DF100" s="320" t="str">
        <f>IF(DF$7&gt;$D$3,"",IF(AX100="OD","OD",IF(AX100="Missed","Missed",IF(AX100="TBC","TBC",IF(AX100="Undefined","Undefined",_xlfn.XLOOKUP(DF$7,IT!$M$6:$BM$6,IT!$M$18:$BM$18))))))</f>
        <v>TBC</v>
      </c>
      <c r="DG100" s="320" t="str">
        <f>IF(DG$7&gt;$D$3,"",IF(AY100="OD","OD",IF(AY100="Missed","Missed",IF(AY100="TBC","TBC",IF(AY100="Undefined","Undefined",_xlfn.XLOOKUP(DG$7,IT!$M$6:$BM$6,IT!$M$18:$BM$18))))))</f>
        <v>TBC</v>
      </c>
      <c r="DH100" s="320" t="str">
        <f>IF(DH$7&gt;$D$3,"",IF(AZ100="OD","OD",IF(AZ100="Missed","Missed",IF(AZ100="TBC","TBC",IF(AZ100="Undefined","Undefined",_xlfn.XLOOKUP(DH$7,IT!$M$6:$BM$6,IT!$M$18:$BM$18))))))</f>
        <v>TBC</v>
      </c>
      <c r="DI100" s="320" t="str">
        <f>IF(DI$7&gt;$D$3,"",IF(BA100="OD","OD",IF(BA100="Missed","Missed",IF(BA100="TBC","TBC",IF(BA100="Undefined","Undefined",_xlfn.XLOOKUP(DI$7,IT!$M$6:$BM$6,IT!$M$18:$BM$18))))))</f>
        <v>TBC</v>
      </c>
      <c r="DJ100" s="320" t="str">
        <f>IF(DJ$7&gt;$D$3,"",IF(BB100="OD","OD",IF(BB100="Missed","Missed",IF(BB100="TBC","TBC",IF(BB100="Undefined","Undefined",_xlfn.XLOOKUP(DJ$7,IT!$M$6:$BM$6,IT!$M$18:$BM$18))))))</f>
        <v>TBC</v>
      </c>
      <c r="DK100" s="320" t="str">
        <f>IF(DK$7&gt;$D$3,"",IF(BC100="OD","OD",IF(BC100="Missed","Missed",IF(BC100="TBC","TBC",IF(BC100="Undefined","Undefined",_xlfn.XLOOKUP(DK$7,IT!$M$6:$BM$6,IT!$M$18:$BM$18))))))</f>
        <v>TBC</v>
      </c>
      <c r="DL100" s="320" t="str">
        <f>IF(DL$7&gt;$D$3,"",IF(BD100="OD","OD",IF(BD100="Missed","Missed",IF(BD100="TBC","TBC",IF(BD100="Undefined","Undefined",_xlfn.XLOOKUP(DL$7,IT!$M$6:$BM$6,IT!$M$18:$BM$18))))))</f>
        <v>TBC</v>
      </c>
      <c r="DM100" s="320" t="str">
        <f>IF(DM$7&gt;$D$3,"",IF(BE100="OD","OD",IF(BE100="Missed","Missed",IF(BE100="TBC","TBC",IF(BE100="Undefined","Undefined",_xlfn.XLOOKUP(DM$7,IT!$M$6:$BM$6,IT!$M$18:$BM$18))))))</f>
        <v>TBC</v>
      </c>
      <c r="DN100" s="320" t="str">
        <f>IF(DN$7&gt;$D$3,"",IF(BF100="OD","OD",IF(BF100="Missed","Missed",IF(BF100="TBC","TBC",IF(BF100="Undefined","Undefined",_xlfn.XLOOKUP(DN$7,IT!$M$6:$BM$6,IT!$M$18:$BM$18))))))</f>
        <v>TBC</v>
      </c>
      <c r="DO100" s="320">
        <f>IF(DO$7&gt;$D$3,"",IF(BG100="OD","OD",IF(BG100="Missed","Missed",IF(BG100="TBC","TBC",IF(BG100="Undefined","Undefined",_xlfn.XLOOKUP(DO$7,IT!$M$6:$BM$6,IT!$M$18:$BM$18))))))</f>
        <v>3204.7299999999996</v>
      </c>
      <c r="DP100" s="320">
        <f>IF(DP$7&gt;$D$3,"",IF(BH100="OD","OD",IF(BH100="Missed","Missed",IF(BH100="TBC","TBC",IF(BH100="Undefined","Undefined",_xlfn.XLOOKUP(DP$7,IT!$M$6:$BM$6,IT!$M$18:$BM$18))))))</f>
        <v>0</v>
      </c>
      <c r="DQ100" s="320">
        <f>IF(DQ$7&gt;$D$3,"",IF(BI100="OD","OD",IF(BI100="Missed","Missed",IF(BI100="TBC","TBC",IF(BI100="Undefined","Undefined",_xlfn.XLOOKUP(DQ$7,IT!$M$6:$BM$6,IT!$M$18:$BM$18))))))</f>
        <v>214.73</v>
      </c>
      <c r="DR100" s="320">
        <f>IF(DR$7&gt;$D$3,"",IF(BJ100="OD","OD",IF(BJ100="Missed","Missed",IF(BJ100="TBC","TBC",IF(BJ100="Undefined","Undefined",_xlfn.XLOOKUP(DR$7,IT!$M$6:$BM$6,IT!$M$18:$BM$18))))))</f>
        <v>310.95999999999998</v>
      </c>
      <c r="DS100" s="320">
        <f>IF(DS$7&gt;$D$3,"",IF(BK100="OD","OD",IF(BK100="Missed","Missed",IF(BK100="TBC","TBC",IF(BK100="Undefined","Undefined",_xlfn.XLOOKUP(DS$7,IT!$M$6:$BM$6,IT!$M$18:$BM$18))))))</f>
        <v>16213</v>
      </c>
      <c r="DT100" s="320">
        <f>IF(DT$7&gt;$D$3,"",IF(BL100="OD","OD",IF(BL100="Missed","Missed",IF(BL100="TBC","TBC",IF(BL100="Undefined","Undefined",_xlfn.XLOOKUP(DT$7,IT!$M$6:$BM$6,IT!$M$18:$BM$18))))))</f>
        <v>2077</v>
      </c>
      <c r="DU100" s="320">
        <f>IF(DU$7&gt;$D$3,"",IF(BM100="OD","OD",IF(BM100="Missed","Missed",IF(BM100="TBC","TBC",IF(BM100="Undefined","Undefined",_xlfn.XLOOKUP(DU$7,IT!$M$6:$BM$6,IT!$M$18:$BM$18))))))</f>
        <v>0</v>
      </c>
      <c r="DV100" s="320">
        <f>IF(DV$7&gt;$D$3,"",IF(BN100="OD","OD",IF(BN100="Missed","Missed",IF(BN100="TBC","TBC",IF(BN100="Undefined","Undefined",_xlfn.XLOOKUP(DV$7,IT!$M$6:$BM$6,IT!$M$18:$BM$18))))))</f>
        <v>11754</v>
      </c>
      <c r="DW100" s="320">
        <f>IF(DW$7&gt;$D$3,"",IF(BO100="OD","OD",IF(BO100="Missed","Missed",IF(BO100="TBC","TBC",IF(BO100="Undefined","Undefined",_xlfn.XLOOKUP(DW$7,IT!$M$6:$BM$6,IT!$M$18:$BM$18))))))</f>
        <v>330.92</v>
      </c>
      <c r="DX100" s="320">
        <f>IF(DX$7&gt;$D$3,"",IF(BP100="OD","OD",IF(BP100="Missed","Missed",IF(BP100="TBC","TBC",IF(BP100="Undefined","Undefined",_xlfn.XLOOKUP(DX$7,IT!$M$6:$BM$6,IT!$M$18:$BM$18))))))</f>
        <v>0</v>
      </c>
      <c r="DY100" s="320">
        <f>IF(DY$7&gt;$D$3,"",IF(BQ100="OD","OD",IF(BQ100="Missed","Missed",IF(BQ100="TBC","TBC",IF(BQ100="Undefined","Undefined",_xlfn.XLOOKUP(DY$7,IT!$M$6:$BM$6,IT!$M$18:$BM$18))))))</f>
        <v>0</v>
      </c>
      <c r="DZ100" s="320">
        <f>IF(DZ$7&gt;$D$3,"",IF(BR100="OD","OD",IF(BR100="Missed","Missed",IF(BR100="TBC","TBC",IF(BR100="Undefined","Undefined",_xlfn.XLOOKUP(DZ$7,IT!$M$6:$BM$6,IT!$M$18:$BM$18))))))</f>
        <v>841.97</v>
      </c>
      <c r="EA100" s="320">
        <f>IF(EA$7&gt;$D$3,"",IF(BS100="OD","OD",IF(BS100="Missed","Missed",IF(BS100="TBC","TBC",IF(BS100="Undefined","Undefined",_xlfn.XLOOKUP(EA$7,IT!$M$6:$BM$6,IT!$M$18:$BM$18))))))</f>
        <v>0</v>
      </c>
      <c r="EB100" s="320">
        <f>IF(EB$7&gt;$D$3,"",IF(BT100="OD","OD",IF(BT100="Missed","Missed",IF(BT100="TBC","TBC",IF(BT100="Undefined","Undefined",_xlfn.XLOOKUP(EB$7,IT!$M$6:$BM$6,IT!$M$18:$BM$18))))))</f>
        <v>0</v>
      </c>
      <c r="EC100" s="320">
        <f>IF(EC$7&gt;$D$3,"",IF(BU100="OD","OD",IF(BU100="Missed","Missed",IF(BU100="TBC","TBC",IF(BU100="Undefined","Undefined",_xlfn.XLOOKUP(EC$7,IT!$M$6:$BM$6,IT!$M$18:$BM$18))))))</f>
        <v>0</v>
      </c>
      <c r="ED100" s="320" t="str">
        <f>IF(ED$7&gt;$D$3,"",IF(BV100="OD","OD",IF(BV100="Missed","Missed",IF(BV100="TBC","TBC",IF(BV100="Undefined","Undefined",_xlfn.XLOOKUP(ED$7,IT!$M$6:$BM$6,IT!$M$18:$BM$18))))))</f>
        <v>OD</v>
      </c>
      <c r="EE100" s="320" t="str">
        <f>IF(EE$7&gt;$D$3,"",IF(BW100="OD","OD",IF(BW100="Missed","Missed",IF(BW100="TBC","TBC",IF(BW100="Undefined","Undefined",_xlfn.XLOOKUP(EE$7,IT!$M$6:$BM$6,IT!$M$18:$BM$18))))))</f>
        <v>OD</v>
      </c>
      <c r="EF100" s="320">
        <f>IF(EF$7&gt;$D$3,"",IF(BX100="OD","OD",IF(BX100="Missed","Missed",IF(BX100="TBC","TBC",IF(BX100="Undefined","Undefined",_xlfn.XLOOKUP(EF$7,IT!$M$6:$BM$6,IT!$M$18:$BM$18))))))</f>
        <v>3192</v>
      </c>
      <c r="EG100" s="320">
        <f>IF(EG$7&gt;$D$3,"",IF(BY100="OD","OD",IF(BY100="Missed","Missed",IF(BY100="TBC","TBC",IF(BY100="Undefined","Undefined",_xlfn.XLOOKUP(EG$7,IT!$M$6:$BM$6,IT!$M$18:$BM$18))))))</f>
        <v>149</v>
      </c>
      <c r="EH100" s="320">
        <f>IF(EH$7&gt;$D$3,"",IF(BZ100="OD","OD",IF(BZ100="Missed","Missed",IF(BZ100="TBC","TBC",IF(BZ100="Undefined","Undefined",_xlfn.XLOOKUP(EH$7,IT!$M$6:$BM$6,IT!$M$18:$BM$18))))))</f>
        <v>2254</v>
      </c>
      <c r="EI100" s="320">
        <f>IF(EI$7&gt;$D$3,"",IF(CA100="OD","OD",IF(CA100="Missed","Missed",IF(CA100="TBC","TBC",IF(CA100="Undefined","Undefined",_xlfn.XLOOKUP(EI$7,IT!$M$6:$BM$6,IT!$M$18:$BM$18))))))</f>
        <v>0</v>
      </c>
      <c r="EJ100" s="320" t="str">
        <f>IF(EJ$7&gt;$D$3,"",IF(CB100="OD","OD",IF(CB100="Missed","Missed",IF(CB100="TBC","TBC",IF(CB100="Undefined","Undefined",_xlfn.XLOOKUP(EJ$7,IT!$M$6:$BM$6,IT!$M$18:$BM$18))))))</f>
        <v>OD</v>
      </c>
      <c r="EK100" s="320" t="str">
        <f>IF(EK$7&gt;$D$3,"",IF(CC100="OD","OD",IF(CC100="Missed","Missed",IF(CC100="TBC","TBC",IF(CC100="Undefined","Undefined",_xlfn.XLOOKUP(EK$7,IT!$M$6:$BM$6,IT!$M$18:$BM$18))))))</f>
        <v/>
      </c>
      <c r="EL100" s="320" t="str">
        <f>IF(EL$7&gt;$D$3,"",IF(CD100="OD","OD",IF(CD100="Missed","Missed",IF(CD100="TBC","TBC",IF(CD100="Undefined","Undefined",_xlfn.XLOOKUP(EL$7,IT!$M$6:$BM$6,IT!$M$18:$BM$18))))))</f>
        <v/>
      </c>
      <c r="EM100" s="320" t="str">
        <f>IF(EM$7&gt;$D$3,"",IF(CE100="OD","OD",IF(CE100="Missed","Missed",IF(CE100="TBC","TBC",IF(CE100="Undefined","Undefined",_xlfn.XLOOKUP(EM$7,IT!$M$6:$BM$6,IT!$M$18:$BM$18))))))</f>
        <v/>
      </c>
      <c r="EN100" s="320" t="str">
        <f>IF(EN$7&gt;$D$3,"",IF(CF100="OD","OD",IF(CF100="Missed","Missed",IF(CF100="TBC","TBC",IF(CF100="Undefined","Undefined",_xlfn.XLOOKUP(EN$7,IT!$M$6:$BM$6,IT!$M$18:$BM$18))))))</f>
        <v/>
      </c>
      <c r="EO100" s="320" t="str">
        <f>IF(EO$7&gt;$D$3,"",IF(CG100="OD","OD",IF(CG100="Missed","Missed",IF(CG100="TBC","TBC",IF(CG100="Undefined","Undefined",_xlfn.XLOOKUP(EO$7,IT!$M$6:$BM$6,IT!$M$18:$BM$18))))))</f>
        <v/>
      </c>
      <c r="EP100" s="320" t="str">
        <f>IF(EP$7&gt;$D$3,"",IF(CH100="OD","OD",IF(CH100="Missed","Missed",IF(CH100="TBC","TBC",IF(CH100="Undefined","Undefined",_xlfn.XLOOKUP(EP$7,IT!$M$6:$BM$6,IT!$M$18:$BM$18))))))</f>
        <v/>
      </c>
      <c r="EQ100" s="320" t="str">
        <f>IF(EQ$7&gt;$D$3,"",IF(CI100="OD","OD",IF(CI100="Missed","Missed",IF(CI100="TBC","TBC",IF(CI100="Undefined","Undefined",_xlfn.XLOOKUP(EQ$7,IT!$M$6:$BM$6,IT!$M$18:$BM$18))))))</f>
        <v/>
      </c>
      <c r="ER100" s="320" t="str">
        <f>IF(ER$7&gt;$D$3,"",IF(CJ100="OD","OD",IF(CJ100="Missed","Missed",IF(CJ100="TBC","TBC",IF(CJ100="Undefined","Undefined",_xlfn.XLOOKUP(ER$7,IT!$M$6:$BM$6,IT!$M$18:$BM$18))))))</f>
        <v/>
      </c>
      <c r="ES100" s="320" t="str">
        <f>IF(ES$7&gt;$D$3,"",IF(CK100="OD","OD",IF(CK100="Missed","Missed",IF(CK100="TBC","TBC",IF(CK100="Undefined","Undefined",_xlfn.XLOOKUP(ES$7,IT!$M$6:$BM$6,IT!$M$18:$BM$18))))))</f>
        <v/>
      </c>
      <c r="ET100" s="320" t="str">
        <f>IF(ET$7&gt;$D$3,"",IF(CL100="OD","OD",IF(CL100="Missed","Missed",IF(CL100="TBC","TBC",IF(CL100="Undefined","Undefined",_xlfn.XLOOKUP(ET$7,IT!$M$6:$BM$6,IT!$M$18:$BM$18))))))</f>
        <v/>
      </c>
      <c r="EU100" s="320" t="str">
        <f>IF(EU$7&gt;$D$3,"",IF(CM100="OD","OD",IF(CM100="Missed","Missed",IF(CM100="TBC","TBC",IF(CM100="Undefined","Undefined",_xlfn.XLOOKUP(EU$7,IT!$M$6:$BM$6,IT!$M$18:$BM$18))))))</f>
        <v/>
      </c>
      <c r="EW100" s="465" t="str">
        <f>+$A100</f>
        <v>IT-KPI C1</v>
      </c>
      <c r="EX100" s="138" t="str">
        <f>+$C100</f>
        <v>KPI C1</v>
      </c>
      <c r="EY100" s="146" t="str">
        <f>+$D100</f>
        <v>Cost</v>
      </c>
      <c r="EZ100" s="146" t="str">
        <f>+$E100</f>
        <v>Unbudgeted Spend</v>
      </c>
      <c r="FA100" s="147" t="str">
        <f>+$F100</f>
        <v>£</v>
      </c>
      <c r="FB100" s="147" t="s">
        <v>251</v>
      </c>
      <c r="FC100" s="213" t="str">
        <f>IF(FC$7&gt;$D$3,"",IF($FA96&lt;FC$7,"OD",_xlfn.XLOOKUP(FC$7,IT!$M$6:$BM$6,IT!$M$18:$BM$18)))</f>
        <v>Blank</v>
      </c>
      <c r="FD100" s="213">
        <f>IF(FD$7&gt;$D$3,"",IF($FA96&lt;FD$7,"OD",_xlfn.XLOOKUP(FD$7,IT!$M$6:$BM$6,IT!$M$18:$BM$18)))</f>
        <v>603.17999999999995</v>
      </c>
      <c r="FE100" s="213">
        <f>IF(FE$7&gt;$D$3,"",IF($FA96&lt;FE$7,"OD",_xlfn.XLOOKUP(FE$7,IT!$M$6:$BM$6,IT!$M$18:$BM$18)))</f>
        <v>0</v>
      </c>
      <c r="FF100" s="213">
        <f>IF(FF$7&gt;$D$3,"",IF($FA96&lt;FF$7,"OD",_xlfn.XLOOKUP(FF$7,IT!$M$6:$BM$6,IT!$M$18:$BM$18)))</f>
        <v>3307.74</v>
      </c>
      <c r="FG100" s="213">
        <f>IF(FG$7&gt;$D$3,"",IF($FA96&lt;FG$7,"OD",_xlfn.XLOOKUP(FG$7,IT!$M$6:$BM$6,IT!$M$18:$BM$18)))</f>
        <v>850</v>
      </c>
      <c r="FH100" s="213" t="str">
        <f>IF(FH$7&gt;$D$3,"",IF($FA96&lt;FH$7,"OD",_xlfn.XLOOKUP(FH$7,IT!$M$6:$BM$6,IT!$M$18:$BM$18)))</f>
        <v>TBC</v>
      </c>
      <c r="FI100" s="213" t="str">
        <f>IF(FI$7&gt;$D$3,"",IF($FA96&lt;FI$7,"OD",_xlfn.XLOOKUP(FI$7,IT!$M$6:$BM$6,IT!$M$18:$BM$18)))</f>
        <v>TBC</v>
      </c>
      <c r="FJ100" s="213" t="str">
        <f>IF(FJ$7&gt;$D$3,"",IF($FA96&lt;FJ$7,"OD",_xlfn.XLOOKUP(FJ$7,IT!$M$6:$BM$6,IT!$M$18:$BM$18)))</f>
        <v>TBC</v>
      </c>
      <c r="FK100" s="213" t="str">
        <f>IF(FK$7&gt;$D$3,"",IF($FA96&lt;FK$7,"OD",_xlfn.XLOOKUP(FK$7,IT!$M$6:$BM$6,IT!$M$18:$BM$18)))</f>
        <v>TBC</v>
      </c>
      <c r="FL100" s="213" t="str">
        <f>IF(FL$7&gt;$D$3,"",IF($FA96&lt;FL$7,"OD",_xlfn.XLOOKUP(FL$7,IT!$M$6:$BM$6,IT!$M$18:$BM$18)))</f>
        <v>TBC</v>
      </c>
      <c r="FM100" s="213" t="str">
        <f>IF(FM$7&gt;$D$3,"",IF($FA96&lt;FM$7,"OD",_xlfn.XLOOKUP(FM$7,IT!$M$6:$BM$6,IT!$M$18:$BM$18)))</f>
        <v>TBC</v>
      </c>
      <c r="FN100" s="213" t="str">
        <f>IF(FN$7&gt;$D$3,"",IF($FA96&lt;FN$7,"OD",_xlfn.XLOOKUP(FN$7,IT!$M$6:$BM$6,IT!$M$18:$BM$18)))</f>
        <v>TBC</v>
      </c>
      <c r="FO100" s="213" t="str">
        <f>IF(FO$7&gt;$D$3,"",IF($FA96&lt;FO$7,"OD",_xlfn.XLOOKUP(FO$7,IT!$M$6:$BM$6,IT!$M$18:$BM$18)))</f>
        <v>TBC</v>
      </c>
      <c r="FP100" s="213" t="str">
        <f>IF(FP$7&gt;$D$3,"",IF($FA96&lt;FP$7,"OD",_xlfn.XLOOKUP(FP$7,IT!$M$6:$BM$6,IT!$M$18:$BM$18)))</f>
        <v>TBC</v>
      </c>
      <c r="FQ100" s="213" t="str">
        <f>IF(FQ$7&gt;$D$3,"",IF($FA96&lt;FQ$7,"OD",_xlfn.XLOOKUP(FQ$7,IT!$M$6:$BM$6,IT!$M$18:$BM$18)))</f>
        <v>TBC</v>
      </c>
      <c r="FR100" s="213" t="str">
        <f>IF(FR$7&gt;$D$3,"",IF($FA96&lt;FR$7,"OD",_xlfn.XLOOKUP(FR$7,IT!$M$6:$BM$6,IT!$M$18:$BM$18)))</f>
        <v>TBC</v>
      </c>
      <c r="FS100" s="213" t="str">
        <f>IF(FS$7&gt;$D$3,"",IF($FA96&lt;FS$7,"OD",_xlfn.XLOOKUP(FS$7,IT!$M$6:$BM$6,IT!$M$18:$BM$18)))</f>
        <v>TBC</v>
      </c>
      <c r="FT100" s="213" t="str">
        <f>IF(FT$7&gt;$D$3,"",IF($FA96&lt;FT$7,"OD",_xlfn.XLOOKUP(FT$7,IT!$M$6:$BM$6,IT!$M$18:$BM$18)))</f>
        <v>TBC</v>
      </c>
      <c r="FU100" s="213" t="str">
        <f>IF(FU$7&gt;$D$3,"",IF($FA96&lt;FU$7,"OD",_xlfn.XLOOKUP(FU$7,IT!$M$6:$BM$6,IT!$M$18:$BM$18)))</f>
        <v>TBC</v>
      </c>
      <c r="FV100" s="213" t="str">
        <f>IF(FV$7&gt;$D$3,"",IF($FA96&lt;FV$7,"OD",_xlfn.XLOOKUP(FV$7,IT!$M$6:$BM$6,IT!$M$18:$BM$18)))</f>
        <v>TBC</v>
      </c>
      <c r="FW100" s="213">
        <f>IF(FW$7&gt;$D$3,"",IF($FA96&lt;FW$7,"OD",_xlfn.XLOOKUP(FW$7,IT!$M$6:$BM$6,IT!$M$18:$BM$18)))</f>
        <v>3204.7299999999996</v>
      </c>
      <c r="FX100" s="213">
        <f>IF(FX$7&gt;$D$3,"",IF($FA96&lt;FX$7,"OD",_xlfn.XLOOKUP(FX$7,IT!$M$6:$BM$6,IT!$M$18:$BM$18)))</f>
        <v>0</v>
      </c>
      <c r="FY100" s="213">
        <f>IF(FY$7&gt;$D$3,"",IF($FA96&lt;FY$7,"OD",_xlfn.XLOOKUP(FY$7,IT!$M$6:$BM$6,IT!$M$18:$BM$18)))</f>
        <v>214.73</v>
      </c>
      <c r="FZ100" s="213">
        <f>IF(FZ$7&gt;$D$3,"",IF($FA96&lt;FZ$7,"OD",_xlfn.XLOOKUP(FZ$7,IT!$M$6:$BM$6,IT!$M$18:$BM$18)))</f>
        <v>310.95999999999998</v>
      </c>
      <c r="GA100" s="213">
        <f>IF(GA$7&gt;$D$3,"",IF($FA96&lt;GA$7,"OD",_xlfn.XLOOKUP(GA$7,IT!$M$6:$BM$6,IT!$M$18:$BM$18)))</f>
        <v>16213</v>
      </c>
      <c r="GB100" s="213">
        <f>IF(GB$7&gt;$D$3,"",IF($FA96&lt;GB$7,"OD",_xlfn.XLOOKUP(GB$7,IT!$M$6:$BM$6,IT!$M$18:$BM$18)))</f>
        <v>2077</v>
      </c>
      <c r="GC100" s="213">
        <f>IF(GC$7&gt;$D$3,"",IF($FA96&lt;GC$7,"OD",_xlfn.XLOOKUP(GC$7,IT!$M$6:$BM$6,IT!$M$18:$BM$18)))</f>
        <v>0</v>
      </c>
      <c r="GD100" s="213">
        <f>IF(GD$7&gt;$D$3,"",IF($FA96&lt;GD$7,"OD",_xlfn.XLOOKUP(GD$7,IT!$M$6:$BM$6,IT!$M$18:$BM$18)))</f>
        <v>11754</v>
      </c>
      <c r="GE100" s="213">
        <f>IF(GE$7&gt;$D$3,"",IF($FA96&lt;GE$7,"OD",_xlfn.XLOOKUP(GE$7,IT!$M$6:$BM$6,IT!$M$18:$BM$18)))</f>
        <v>330.92</v>
      </c>
      <c r="GF100" s="213">
        <f>IF(GF$7&gt;$D$3,"",IF($FA96&lt;GF$7,"OD",_xlfn.XLOOKUP(GF$7,IT!$M$6:$BM$6,IT!$M$18:$BM$18)))</f>
        <v>0</v>
      </c>
      <c r="GG100" s="213">
        <f>IF(GG$7&gt;$D$3,"",IF($FA96&lt;GG$7,"OD",_xlfn.XLOOKUP(GG$7,IT!$M$6:$BM$6,IT!$M$18:$BM$18)))</f>
        <v>0</v>
      </c>
      <c r="GH100" s="213">
        <f>IF(GH$7&gt;$D$3,"",IF($FA96&lt;GH$7,"OD",_xlfn.XLOOKUP(GH$7,IT!$M$6:$BM$6,IT!$M$18:$BM$18)))</f>
        <v>841.97</v>
      </c>
      <c r="GI100" s="213">
        <f>IF(GI$7&gt;$D$3,"",IF($FA96&lt;GI$7,"OD",_xlfn.XLOOKUP(GI$7,IT!$M$6:$BM$6,IT!$M$18:$BM$18)))</f>
        <v>0</v>
      </c>
      <c r="GJ100" s="213">
        <f>IF(GJ$7&gt;$D$3,"",IF($FA96&lt;GJ$7,"OD",_xlfn.XLOOKUP(GJ$7,IT!$M$6:$BM$6,IT!$M$18:$BM$18)))</f>
        <v>0</v>
      </c>
      <c r="GK100" s="213">
        <f>IF(GK$7&gt;$D$3,"",IF($FA96&lt;GK$7,"OD",_xlfn.XLOOKUP(GK$7,IT!$M$6:$BM$6,IT!$M$18:$BM$18)))</f>
        <v>0</v>
      </c>
      <c r="GL100" s="213">
        <f>IF(GL$7&gt;$D$3,"",IF($FA96&lt;GL$7,"OD",_xlfn.XLOOKUP(GL$7,IT!$M$6:$BM$6,IT!$M$18:$BM$18)))</f>
        <v>0</v>
      </c>
      <c r="GM100" s="213">
        <f>IF(GM$7&gt;$D$3,"",IF($FA96&lt;GM$7,"OD",_xlfn.XLOOKUP(GM$7,IT!$M$6:$BM$6,IT!$M$18:$BM$18)))</f>
        <v>0</v>
      </c>
      <c r="GN100" s="213">
        <f>IF(GN$7&gt;$D$3,"",IF($FA96&lt;GN$7,"OD",_xlfn.XLOOKUP(GN$7,IT!$M$6:$BM$6,IT!$M$18:$BM$18)))</f>
        <v>3192</v>
      </c>
      <c r="GO100" s="213">
        <f>IF(GO$7&gt;$D$3,"",IF($FA96&lt;GO$7,"OD",_xlfn.XLOOKUP(GO$7,IT!$M$6:$BM$6,IT!$M$18:$BM$18)))</f>
        <v>149</v>
      </c>
      <c r="GP100" s="213">
        <f>IF(GP$7&gt;$D$3,"",IF($FA96&lt;GP$7,"OD",_xlfn.XLOOKUP(GP$7,IT!$M$6:$BM$6,IT!$M$18:$BM$18)))</f>
        <v>2254</v>
      </c>
      <c r="GQ100" s="213">
        <f>IF(GQ$7&gt;$D$3,"",IF($FA96&lt;GQ$7,"OD",_xlfn.XLOOKUP(GQ$7,IT!$M$6:$BM$6,IT!$M$18:$BM$18)))</f>
        <v>0</v>
      </c>
      <c r="GR100" s="213" t="str">
        <f>IF(GR$7&gt;$D$3,"",IF($FA96&lt;GR$7,"OD",_xlfn.XLOOKUP(GR$7,IT!$M$6:$BM$6,IT!$M$18:$BM$18)))</f>
        <v>OD</v>
      </c>
      <c r="GS100" s="213" t="str">
        <f>IF(GS$7&gt;$D$3,"",IF($FA96&lt;GS$7,"OD",_xlfn.XLOOKUP(GS$7,IT!$M$6:$BM$6,IT!$M$18:$BM$18)))</f>
        <v/>
      </c>
      <c r="GT100" s="213" t="str">
        <f>IF(GT$7&gt;$D$3,"",IF($FA96&lt;GT$7,"OD",_xlfn.XLOOKUP(GT$7,IT!$M$6:$BM$6,IT!$M$18:$BM$18)))</f>
        <v/>
      </c>
      <c r="GU100" s="213" t="str">
        <f>IF(GU$7&gt;$D$3,"",IF($FA96&lt;GU$7,"OD",_xlfn.XLOOKUP(GU$7,IT!$M$6:$BM$6,IT!$M$18:$BM$18)))</f>
        <v/>
      </c>
      <c r="GV100" s="213" t="str">
        <f>IF(GV$7&gt;$D$3,"",IF($FA96&lt;GV$7,"OD",_xlfn.XLOOKUP(GV$7,IT!$M$6:$BM$6,IT!$M$18:$BM$18)))</f>
        <v/>
      </c>
      <c r="GW100" s="213" t="str">
        <f>IF(GW$7&gt;$D$3,"",IF($FA96&lt;GW$7,"OD",_xlfn.XLOOKUP(GW$7,IT!$M$6:$BM$6,IT!$M$18:$BM$18)))</f>
        <v/>
      </c>
      <c r="GX100" s="213" t="str">
        <f>IF(GX$7&gt;$D$3,"",IF($FA96&lt;GX$7,"OD",_xlfn.XLOOKUP(GX$7,IT!$M$6:$BM$6,IT!$M$18:$BM$18)))</f>
        <v/>
      </c>
      <c r="GY100" s="213" t="str">
        <f>IF(GY$7&gt;$D$3,"",IF($FA96&lt;GY$7,"OD",_xlfn.XLOOKUP(GY$7,IT!$M$6:$BM$6,IT!$M$18:$BM$18)))</f>
        <v/>
      </c>
      <c r="GZ100" s="213" t="str">
        <f>IF(GZ$7&gt;$D$3,"",IF($FA96&lt;GZ$7,"OD",_xlfn.XLOOKUP(GZ$7,IT!$M$6:$BM$6,IT!$M$18:$BM$18)))</f>
        <v/>
      </c>
      <c r="HA100" s="213" t="str">
        <f>IF(HA$7&gt;$D$3,"",IF($FA96&lt;HA$7,"OD",_xlfn.XLOOKUP(HA$7,IT!$M$6:$BM$6,IT!$M$18:$BM$18)))</f>
        <v/>
      </c>
      <c r="HB100" s="213" t="str">
        <f>IF(HB$7&gt;$D$3,"",IF($FA96&lt;HB$7,"OD",_xlfn.XLOOKUP(HB$7,IT!$M$6:$BM$6,IT!$M$18:$BM$18)))</f>
        <v/>
      </c>
      <c r="HC100" s="213" t="str">
        <f>IF(HC$7&gt;$D$3,"",IF($FA96&lt;HC$7,"OD",_xlfn.XLOOKUP(HC$7,IT!$M$6:$BM$6,IT!$M$18:$BM$18)))</f>
        <v/>
      </c>
      <c r="HE100" s="138" t="str">
        <f>+$C100</f>
        <v>KPI C1</v>
      </c>
      <c r="HF100" s="146" t="str">
        <f>+$D100</f>
        <v>Cost</v>
      </c>
      <c r="HG100" s="146" t="str">
        <f>+$E100</f>
        <v>Unbudgeted Spend</v>
      </c>
      <c r="HH100" s="147" t="str">
        <f>+$F100</f>
        <v>£</v>
      </c>
      <c r="HI100" s="147" t="s">
        <v>44</v>
      </c>
      <c r="HJ100" s="213">
        <f>IF(HJ$7&gt;$D$3,"",IF($FA96&lt;HJ$7,"OD",_xlfn.XLOOKUP(HJ$7,IT!$M$6:$BM$6,IT!$M$17:$BM$17)))</f>
        <v>0</v>
      </c>
      <c r="HK100" s="213">
        <f>IF(HK$7&gt;$D$3,"",IF($FA96&lt;HK$7,"OD",_xlfn.XLOOKUP(HK$7,IT!$M$6:$BM$6,IT!$M$17:$BM$17)))</f>
        <v>0</v>
      </c>
      <c r="HL100" s="227">
        <f>IF(HL$7&gt;$D$3,"",IF($FA96&lt;HL$7,"OD",_xlfn.XLOOKUP(HL$7,IT!$M$6:$BM$6,IT!$M$17:$BM$17)))</f>
        <v>0</v>
      </c>
      <c r="HM100" s="227">
        <f>IF(HM$7&gt;$D$3,"",IF($FA96&lt;HM$7,"OD",_xlfn.XLOOKUP(HM$7,IT!$M$6:$BM$6,IT!$M$17:$BM$17)))</f>
        <v>0</v>
      </c>
      <c r="HN100" s="227">
        <f>IF(HN$7&gt;$D$3,"",IF($FA96&lt;HN$7,"OD",_xlfn.XLOOKUP(HN$7,IT!$M$6:$BM$6,IT!$M$17:$BM$17)))</f>
        <v>0</v>
      </c>
      <c r="HO100" s="227">
        <f>IF(HO$7&gt;$D$3,"",IF($FA96&lt;HO$7,"OD",_xlfn.XLOOKUP(HO$7,IT!$M$6:$BM$6,IT!$M$17:$BM$17)))</f>
        <v>0</v>
      </c>
      <c r="HP100" s="227">
        <f>IF(HP$7&gt;$D$3,"",IF($FA96&lt;HP$7,"OD",_xlfn.XLOOKUP(HP$7,IT!$M$6:$BM$6,IT!$M$17:$BM$17)))</f>
        <v>0</v>
      </c>
      <c r="HQ100" s="227">
        <f>IF(HQ$7&gt;$D$3,"",IF($FA96&lt;HQ$7,"OD",_xlfn.XLOOKUP(HQ$7,IT!$M$6:$BM$6,IT!$M$17:$BM$17)))</f>
        <v>0</v>
      </c>
      <c r="HR100" s="227">
        <f>IF(HR$7&gt;$D$3,"",IF($FA96&lt;HR$7,"OD",_xlfn.XLOOKUP(HR$7,IT!$M$6:$BM$6,IT!$M$17:$BM$17)))</f>
        <v>0</v>
      </c>
      <c r="HS100" s="227">
        <f>IF(HS$7&gt;$D$3,"",IF($FA96&lt;HS$7,"OD",_xlfn.XLOOKUP(HS$7,IT!$M$6:$BM$6,IT!$M$17:$BM$17)))</f>
        <v>0</v>
      </c>
      <c r="HT100" s="227">
        <f>IF(HT$7&gt;$D$3,"",IF($FA96&lt;HT$7,"OD",_xlfn.XLOOKUP(HT$7,IT!$M$6:$BM$6,IT!$M$17:$BM$17)))</f>
        <v>0</v>
      </c>
      <c r="HU100" s="227">
        <f>IF(HU$7&gt;$D$3,"",IF($FA96&lt;HU$7,"OD",_xlfn.XLOOKUP(HU$7,IT!$M$6:$BM$6,IT!$M$17:$BM$17)))</f>
        <v>0</v>
      </c>
      <c r="HV100" s="227">
        <f>IF(HV$7&gt;$D$3,"",IF($FA96&lt;HV$7,"OD",_xlfn.XLOOKUP(HV$7,IT!$M$6:$BM$6,IT!$M$17:$BM$17)))</f>
        <v>0</v>
      </c>
      <c r="HW100" s="227">
        <f>IF(HW$7&gt;$D$3,"",IF($FA96&lt;HW$7,"OD",_xlfn.XLOOKUP(HW$7,IT!$M$6:$BM$6,IT!$M$17:$BM$17)))</f>
        <v>0</v>
      </c>
      <c r="HX100" s="227">
        <f>IF(HX$7&gt;$D$3,"",IF($FA96&lt;HX$7,"OD",_xlfn.XLOOKUP(HX$7,IT!$M$6:$BM$6,IT!$M$17:$BM$17)))</f>
        <v>0</v>
      </c>
      <c r="HY100" s="227">
        <f>IF(HY$7&gt;$D$3,"",IF($FA96&lt;HY$7,"OD",_xlfn.XLOOKUP(HY$7,IT!$M$6:$BM$6,IT!$M$17:$BM$17)))</f>
        <v>0</v>
      </c>
      <c r="HZ100" s="227">
        <f>IF(HZ$7&gt;$D$3,"",IF($FA96&lt;HZ$7,"OD",_xlfn.XLOOKUP(HZ$7,IT!$M$6:$BM$6,IT!$M$17:$BM$17)))</f>
        <v>0</v>
      </c>
      <c r="IA100" s="227">
        <f>IF(IA$7&gt;$D$3,"",IF($FA96&lt;IA$7,"OD",_xlfn.XLOOKUP(IA$7,IT!$M$6:$BM$6,IT!$M$17:$BM$17)))</f>
        <v>0</v>
      </c>
      <c r="IB100" s="227">
        <f>IF(IB$7&gt;$D$3,"",IF($FA96&lt;IB$7,"OD",_xlfn.XLOOKUP(IB$7,IT!$M$6:$BM$6,IT!$M$17:$BM$17)))</f>
        <v>0</v>
      </c>
      <c r="IC100" s="227">
        <f>IF(IC$7&gt;$D$3,"",IF($FA96&lt;IC$7,"OD",_xlfn.XLOOKUP(IC$7,IT!$M$6:$BM$6,IT!$M$17:$BM$17)))</f>
        <v>0</v>
      </c>
      <c r="ID100" s="227">
        <f>IF(ID$7&gt;$D$3,"",IF($FA96&lt;ID$7,"OD",_xlfn.XLOOKUP(ID$7,IT!$M$6:$BM$6,IT!$M$17:$BM$17)))</f>
        <v>0</v>
      </c>
      <c r="IE100" s="227">
        <f>IF(IE$7&gt;$D$3,"",IF($FA96&lt;IE$7,"OD",_xlfn.XLOOKUP(IE$7,IT!$M$6:$BM$6,IT!$M$17:$BM$17)))</f>
        <v>0</v>
      </c>
      <c r="IF100" s="227">
        <f>IF(IF$7&gt;$D$3,"",IF($FA96&lt;IF$7,"OD",_xlfn.XLOOKUP(IF$7,IT!$M$6:$BM$6,IT!$M$17:$BM$17)))</f>
        <v>0</v>
      </c>
      <c r="IG100" s="227">
        <f>IF(IG$7&gt;$D$3,"",IF($FA96&lt;IG$7,"OD",_xlfn.XLOOKUP(IG$7,IT!$M$6:$BM$6,IT!$M$17:$BM$17)))</f>
        <v>0</v>
      </c>
      <c r="IH100" s="227">
        <f>IF(IH$7&gt;$D$3,"",IF($FA96&lt;IH$7,"OD",_xlfn.XLOOKUP(IH$7,IT!$M$6:$BM$6,IT!$M$17:$BM$17)))</f>
        <v>0</v>
      </c>
      <c r="II100" s="227">
        <f>IF(II$7&gt;$D$3,"",IF($FA96&lt;II$7,"OD",_xlfn.XLOOKUP(II$7,IT!$M$6:$BM$6,IT!$M$17:$BM$17)))</f>
        <v>0</v>
      </c>
      <c r="IJ100" s="227">
        <f>IF(IJ$7&gt;$D$3,"",IF($FA96&lt;IJ$7,"OD",_xlfn.XLOOKUP(IJ$7,IT!$M$6:$BM$6,IT!$M$17:$BM$17)))</f>
        <v>0</v>
      </c>
      <c r="IK100" s="227">
        <f>IF(IK$7&gt;$D$3,"",IF($FA96&lt;IK$7,"OD",_xlfn.XLOOKUP(IK$7,IT!$M$6:$BM$6,IT!$M$17:$BM$17)))</f>
        <v>0</v>
      </c>
      <c r="IL100" s="227">
        <f>IF(IL$7&gt;$D$3,"",IF($FA96&lt;IL$7,"OD",_xlfn.XLOOKUP(IL$7,IT!$M$6:$BM$6,IT!$M$17:$BM$17)))</f>
        <v>0</v>
      </c>
      <c r="IM100" s="227">
        <f>IF(IM$7&gt;$D$3,"",IF($FA96&lt;IM$7,"OD",_xlfn.XLOOKUP(IM$7,IT!$M$6:$BM$6,IT!$M$17:$BM$17)))</f>
        <v>0</v>
      </c>
      <c r="IN100" s="227">
        <f>IF(IN$7&gt;$D$3,"",IF($FA96&lt;IN$7,"OD",_xlfn.XLOOKUP(IN$7,IT!$M$6:$BM$6,IT!$M$17:$BM$17)))</f>
        <v>0</v>
      </c>
      <c r="IO100" s="227">
        <f>IF(IO$7&gt;$D$3,"",IF($FA96&lt;IO$7,"OD",_xlfn.XLOOKUP(IO$7,IT!$M$6:$BM$6,IT!$M$17:$BM$17)))</f>
        <v>0</v>
      </c>
      <c r="IP100" s="227">
        <f>IF(IP$7&gt;$D$3,"",IF($FA96&lt;IP$7,"OD",_xlfn.XLOOKUP(IP$7,IT!$M$6:$BM$6,IT!$M$17:$BM$17)))</f>
        <v>0</v>
      </c>
      <c r="IQ100" s="227">
        <f>IF(IQ$7&gt;$D$3,"",IF($FA96&lt;IQ$7,"OD",_xlfn.XLOOKUP(IQ$7,IT!$M$6:$BM$6,IT!$M$17:$BM$17)))</f>
        <v>0</v>
      </c>
      <c r="IR100" s="227">
        <f>IF(IR$7&gt;$D$3,"",IF($FA96&lt;IR$7,"OD",_xlfn.XLOOKUP(IR$7,IT!$M$6:$BM$6,IT!$M$17:$BM$17)))</f>
        <v>0</v>
      </c>
      <c r="IS100" s="227">
        <f>IF(IS$7&gt;$D$3,"",IF($FA96&lt;IS$7,"OD",_xlfn.XLOOKUP(IS$7,IT!$M$6:$BM$6,IT!$M$17:$BM$17)))</f>
        <v>0</v>
      </c>
      <c r="IT100" s="227">
        <f>IF(IT$7&gt;$D$3,"",IF($FA96&lt;IT$7,"OD",_xlfn.XLOOKUP(IT$7,IT!$M$6:$BM$6,IT!$M$17:$BM$17)))</f>
        <v>0</v>
      </c>
      <c r="IU100" s="227">
        <f>IF(IU$7&gt;$D$3,"",IF($FA96&lt;IU$7,"OD",_xlfn.XLOOKUP(IU$7,IT!$M$6:$BM$6,IT!$M$17:$BM$17)))</f>
        <v>0</v>
      </c>
      <c r="IV100" s="227">
        <f>IF(IV$7&gt;$D$3,"",IF($FA96&lt;IV$7,"OD",_xlfn.XLOOKUP(IV$7,IT!$M$6:$BM$6,IT!$M$17:$BM$17)))</f>
        <v>0</v>
      </c>
      <c r="IW100" s="227">
        <f>IF(IW$7&gt;$D$3,"",IF($FA96&lt;IW$7,"OD",_xlfn.XLOOKUP(IW$7,IT!$M$6:$BM$6,IT!$M$17:$BM$17)))</f>
        <v>0</v>
      </c>
      <c r="IX100" s="227">
        <f>IF(IX$7&gt;$D$3,"",IF($FA96&lt;IX$7,"OD",_xlfn.XLOOKUP(IX$7,IT!$M$6:$BM$6,IT!$M$17:$BM$17)))</f>
        <v>0</v>
      </c>
      <c r="IY100" s="227">
        <f>IF(IY$7&gt;$D$3,"",IF($FA96&lt;IY$7,"OD",_xlfn.XLOOKUP(IY$7,IT!$M$6:$BM$6,IT!$M$17:$BM$17)))</f>
        <v>0</v>
      </c>
      <c r="IZ100" s="227" t="str">
        <f>IF(IZ$7&gt;$D$3,"",IF($FA96&lt;IZ$7,"OD",_xlfn.XLOOKUP(IZ$7,IT!$M$6:$BM$6,IT!$M$17:$BM$17)))</f>
        <v/>
      </c>
      <c r="JA100" s="227" t="str">
        <f>IF(JA$7&gt;$D$3,"",IF($FA96&lt;JA$7,"OD",_xlfn.XLOOKUP(JA$7,IT!$M$6:$BM$6,IT!$M$17:$BM$17)))</f>
        <v/>
      </c>
      <c r="JB100" s="227" t="str">
        <f>IF(JB$7&gt;$D$3,"",IF($FA96&lt;JB$7,"OD",_xlfn.XLOOKUP(JB$7,IT!$M$6:$BM$6,IT!$M$17:$BM$17)))</f>
        <v/>
      </c>
      <c r="JC100" s="227" t="str">
        <f>IF(JC$7&gt;$D$3,"",IF($FA96&lt;JC$7,"OD",_xlfn.XLOOKUP(JC$7,IT!$M$6:$BM$6,IT!$M$17:$BM$17)))</f>
        <v/>
      </c>
      <c r="JD100" s="227" t="str">
        <f>IF(JD$7&gt;$D$3,"",IF($FA96&lt;JD$7,"OD",_xlfn.XLOOKUP(JD$7,IT!$M$6:$BM$6,IT!$M$17:$BM$17)))</f>
        <v/>
      </c>
      <c r="JE100" s="227" t="str">
        <f>IF(JE$7&gt;$D$3,"",IF($FA96&lt;JE$7,"OD",_xlfn.XLOOKUP(JE$7,IT!$M$6:$BM$6,IT!$M$17:$BM$17)))</f>
        <v/>
      </c>
      <c r="JF100" s="227" t="str">
        <f>IF(JF$7&gt;$D$3,"",IF($FA96&lt;JF$7,"OD",_xlfn.XLOOKUP(JF$7,IT!$M$6:$BM$6,IT!$M$17:$BM$17)))</f>
        <v/>
      </c>
      <c r="JG100" s="227" t="str">
        <f>IF(JG$7&gt;$D$3,"",IF($FA96&lt;JG$7,"OD",_xlfn.XLOOKUP(JG$7,IT!$M$6:$BM$6,IT!$M$17:$BM$17)))</f>
        <v/>
      </c>
      <c r="JH100" s="227" t="str">
        <f>IF(JH$7&gt;$D$3,"",IF($FA96&lt;JH$7,"OD",_xlfn.XLOOKUP(JH$7,IT!$M$6:$BM$6,IT!$M$17:$BM$17)))</f>
        <v/>
      </c>
      <c r="JI100" s="227" t="str">
        <f>IF(JI$7&gt;$D$3,"",IF($FA96&lt;JI$7,"OD",_xlfn.XLOOKUP(JI$7,IT!$M$6:$BM$6,IT!$M$17:$BM$17)))</f>
        <v/>
      </c>
      <c r="JJ100" s="227" t="str">
        <f>IF(JJ$7&gt;$D$3,"",IF($FA96&lt;JJ$7,"OD",_xlfn.XLOOKUP(JJ$7,IT!$M$6:$BM$6,IT!$M$17:$BM$17)))</f>
        <v/>
      </c>
      <c r="JM100" s="138" t="str">
        <f>+$C100</f>
        <v>KPI C1</v>
      </c>
      <c r="JN100" s="146" t="str">
        <f>+$D100</f>
        <v>Cost</v>
      </c>
      <c r="JO100" s="146" t="str">
        <f>+$E100</f>
        <v>Unbudgeted Spend</v>
      </c>
      <c r="JP100" s="147" t="str">
        <f>+$F100</f>
        <v>£</v>
      </c>
      <c r="JQ100" s="147" t="s">
        <v>284</v>
      </c>
      <c r="JR100" s="227" t="str">
        <f>IFERROR(AVERAGE(FC100:$FC100),"")</f>
        <v/>
      </c>
      <c r="JS100" s="227">
        <f>IFERROR(AVERAGE($FC100:FD100),"")</f>
        <v>603.17999999999995</v>
      </c>
      <c r="JT100" s="227">
        <f>IFERROR(AVERAGE($FC100:FE100),"")</f>
        <v>301.58999999999997</v>
      </c>
      <c r="JU100" s="227">
        <f>IFERROR(AVERAGE($FC100:FF100),"")</f>
        <v>1303.6399999999999</v>
      </c>
      <c r="JV100" s="227">
        <f>IFERROR(AVERAGE($FC100:FG100),"")</f>
        <v>1190.23</v>
      </c>
      <c r="JW100" s="227">
        <f>IFERROR(AVERAGE($FC100:FH100),"")</f>
        <v>1190.23</v>
      </c>
      <c r="JX100" s="227">
        <f>IFERROR(AVERAGE($FC100:FI100),"")</f>
        <v>1190.23</v>
      </c>
      <c r="JY100" s="227">
        <f>IFERROR(AVERAGE($FC100:FJ100),"")</f>
        <v>1190.23</v>
      </c>
      <c r="JZ100" s="227">
        <f>IFERROR(AVERAGE($FC100:FK100),"")</f>
        <v>1190.23</v>
      </c>
      <c r="KA100" s="227">
        <f>IFERROR(AVERAGE($FC100:FL100),"")</f>
        <v>1190.23</v>
      </c>
      <c r="KB100" s="227">
        <f>IFERROR(AVERAGE($FC100:FM100),"")</f>
        <v>1190.23</v>
      </c>
      <c r="KC100" s="227">
        <f>IFERROR(AVERAGE($FC100:FN100),"")</f>
        <v>1190.23</v>
      </c>
      <c r="KD100" s="227">
        <f>IFERROR(AVERAGE($FC100:FO100),"")</f>
        <v>1190.23</v>
      </c>
      <c r="KE100" s="227">
        <f>IFERROR(AVERAGE($FC100:FP100),"")</f>
        <v>1190.23</v>
      </c>
      <c r="KF100" s="227">
        <f>IFERROR(AVERAGE($FC100:FQ100),"")</f>
        <v>1190.23</v>
      </c>
      <c r="KG100" s="227">
        <f>IFERROR(AVERAGE($FC100:FR100),"")</f>
        <v>1190.23</v>
      </c>
      <c r="KH100" s="227">
        <f>IFERROR(AVERAGE($FC100:FS100),"")</f>
        <v>1190.23</v>
      </c>
      <c r="KI100" s="227">
        <f>IFERROR(AVERAGE($FC100:FT100),"")</f>
        <v>1190.23</v>
      </c>
      <c r="KJ100" s="227">
        <f>IFERROR(AVERAGE($FC100:FU100),"")</f>
        <v>1190.23</v>
      </c>
      <c r="KK100" s="227">
        <f>IFERROR(AVERAGE($FC100:FV100),"")</f>
        <v>1190.23</v>
      </c>
      <c r="KL100" s="227">
        <f>IFERROR(AVERAGE($FC100:FW100),"")</f>
        <v>1593.1299999999999</v>
      </c>
      <c r="KM100" s="227">
        <f>IFERROR(AVERAGE($FC100:FX100),"")</f>
        <v>1327.6083333333333</v>
      </c>
      <c r="KN100" s="227">
        <f>IFERROR(AVERAGE($FC100:FY100),"")</f>
        <v>1168.6257142857141</v>
      </c>
      <c r="KO100" s="227">
        <f>IFERROR(AVERAGE($FC100:FZ100),"")</f>
        <v>1061.4174999999998</v>
      </c>
      <c r="KP100" s="227">
        <f>IFERROR(AVERAGE($FC100:GA100),"")</f>
        <v>2744.9266666666663</v>
      </c>
      <c r="KQ100" s="227">
        <f>IFERROR(AVERAGE($FC100:GB100),"")</f>
        <v>2678.1339999999996</v>
      </c>
      <c r="KR100" s="227">
        <f>IFERROR(AVERAGE($FC100:GC100),"")</f>
        <v>2434.6672727272726</v>
      </c>
      <c r="KS100" s="227">
        <f>IFERROR(AVERAGE($FC100:GD100),"")</f>
        <v>3211.2783333333332</v>
      </c>
      <c r="KT100" s="227">
        <f>IFERROR(AVERAGE($FC100:GE100),"")</f>
        <v>2989.7123076923071</v>
      </c>
      <c r="KU100" s="227">
        <f>IFERROR(AVERAGE($FC100:GF100),"")</f>
        <v>2776.1614285714281</v>
      </c>
      <c r="KV100" s="227">
        <f>IFERROR(AVERAGE($FC100:GG100),"")</f>
        <v>2591.0839999999998</v>
      </c>
      <c r="KW100" s="227">
        <f>IFERROR(AVERAGE($FC100:GH100),"")</f>
        <v>2481.7643749999997</v>
      </c>
      <c r="KX100" s="227">
        <f>IFERROR(AVERAGE($FC100:GI100),"")</f>
        <v>2335.7782352941176</v>
      </c>
      <c r="KY100" s="227">
        <f>IFERROR(AVERAGE($FC100:GJ100),"")</f>
        <v>2206.0127777777775</v>
      </c>
      <c r="KZ100" s="227">
        <f>IFERROR(AVERAGE($FC100:GK100),"")</f>
        <v>2089.906842105263</v>
      </c>
      <c r="LA100" s="227">
        <f>IFERROR(AVERAGE($FC100:GL100),"")</f>
        <v>1985.4114999999997</v>
      </c>
      <c r="LB100" s="227">
        <f>IFERROR(AVERAGE($FC100:GM100),"")</f>
        <v>1890.8680952380951</v>
      </c>
      <c r="LC100" s="227">
        <f>IFERROR(AVERAGE($FC100:GN100),"")</f>
        <v>1950.0104545454544</v>
      </c>
      <c r="LD100" s="227">
        <f>IFERROR(AVERAGE($FC100:GO100),"")</f>
        <v>1871.7056521739128</v>
      </c>
      <c r="LE100" s="227">
        <f>IFERROR(AVERAGE($FC100:GP100),"")</f>
        <v>1887.6345833333332</v>
      </c>
      <c r="LF100" s="227">
        <f>IFERROR(AVERAGE($FC100:GQ100),"")</f>
        <v>1812.1291999999999</v>
      </c>
      <c r="LG100" s="227">
        <f>IFERROR(AVERAGE($FC100:GR100),"")</f>
        <v>1812.1291999999999</v>
      </c>
      <c r="LH100" s="227">
        <f>IFERROR(AVERAGE($FC100:GS100),"")</f>
        <v>1812.1291999999999</v>
      </c>
      <c r="LI100" s="227">
        <f>IFERROR(AVERAGE($FC100:GT100),"")</f>
        <v>1812.1291999999999</v>
      </c>
      <c r="LJ100" s="227">
        <f>IFERROR(AVERAGE($FC100:GU100),"")</f>
        <v>1812.1291999999999</v>
      </c>
      <c r="LK100" s="227">
        <f>IFERROR(AVERAGE($FC100:GV100),"")</f>
        <v>1812.1291999999999</v>
      </c>
      <c r="LL100" s="227">
        <f>IFERROR(AVERAGE($FC100:GW100),"")</f>
        <v>1812.1291999999999</v>
      </c>
      <c r="LM100" s="227">
        <f>IFERROR(AVERAGE($FC100:GX100),"")</f>
        <v>1812.1291999999999</v>
      </c>
      <c r="LN100" s="227">
        <f>IFERROR(AVERAGE($FC100:GY100),"")</f>
        <v>1812.1291999999999</v>
      </c>
      <c r="LO100" s="227">
        <f>IFERROR(AVERAGE($FC100:GZ100),"")</f>
        <v>1812.1291999999999</v>
      </c>
      <c r="LP100" s="227">
        <f>IFERROR(AVERAGE($FC100:HA100),"")</f>
        <v>1812.1291999999999</v>
      </c>
      <c r="LQ100" s="227">
        <f>IFERROR(AVERAGE($FC100:HB100),"")</f>
        <v>1812.1291999999999</v>
      </c>
      <c r="LR100" s="227">
        <f>IFERROR(AVERAGE($FC100:HC100),"")</f>
        <v>1812.1291999999999</v>
      </c>
      <c r="LT100" s="138" t="str">
        <f>+$C100</f>
        <v>KPI C1</v>
      </c>
      <c r="LU100" s="146" t="str">
        <f>+$D100</f>
        <v>Cost</v>
      </c>
      <c r="LV100" s="146" t="str">
        <f>+$E100</f>
        <v>Unbudgeted Spend</v>
      </c>
      <c r="LW100" s="147" t="str">
        <f>+$F100</f>
        <v>£</v>
      </c>
      <c r="LX100" s="147" t="s">
        <v>285</v>
      </c>
      <c r="LY100" s="213">
        <f>IFERROR(AVERAGE($HJ100:HJ100),"")</f>
        <v>0</v>
      </c>
      <c r="LZ100" s="213">
        <f>IFERROR(IF(LAD$7&gt;$D$3,"",AVERAGE($HJ100:HK100)),"")</f>
        <v>0</v>
      </c>
      <c r="MA100" s="213">
        <f>IFERROR(IF(MA$7&gt;$D$3,"",AVERAGE($HJ100:HL100)),"")</f>
        <v>0</v>
      </c>
      <c r="MB100" s="213">
        <f>IFERROR(IF(MB$7&gt;$D$3,"",AVERAGE($HJ100:HM100)),"")</f>
        <v>0</v>
      </c>
      <c r="MC100" s="213">
        <f>IFERROR(IF(MC$7&gt;$D$3,"",AVERAGE($HJ100:HN100)),"")</f>
        <v>0</v>
      </c>
      <c r="MD100" s="213">
        <f>IFERROR(IF(MD$7&gt;$D$3,"",AVERAGE($HJ100:HO100)),"")</f>
        <v>0</v>
      </c>
      <c r="ME100" s="213">
        <f>IFERROR(IF(ME$7&gt;$D$3,"",AVERAGE($HJ100:HP100)),"")</f>
        <v>0</v>
      </c>
      <c r="MF100" s="213">
        <f>IFERROR(IF(MF$7&gt;$D$3,"",AVERAGE($HJ100:HQ100)),"")</f>
        <v>0</v>
      </c>
      <c r="MG100" s="213">
        <f>IFERROR(IF(MG$7&gt;$D$3,"",AVERAGE($HJ100:HR100)),"")</f>
        <v>0</v>
      </c>
      <c r="MH100" s="213">
        <f>IFERROR(IF(MH$7&gt;$D$3,"",AVERAGE($HJ100:HS100)),"")</f>
        <v>0</v>
      </c>
      <c r="MI100" s="213">
        <f>IFERROR(IF(MI$7&gt;$D$3,"",AVERAGE($HJ100:HT100)),"")</f>
        <v>0</v>
      </c>
      <c r="MJ100" s="213">
        <f>IFERROR(IF(MJ$7&gt;$D$3,"",AVERAGE($HJ100:HU100)),"")</f>
        <v>0</v>
      </c>
      <c r="MK100" s="213">
        <f>IFERROR(IF(MK$7&gt;$D$3,"",AVERAGE($HJ100:HV100)),"")</f>
        <v>0</v>
      </c>
      <c r="ML100" s="213">
        <f>IFERROR(IF(ML$7&gt;$D$3,"",AVERAGE($HJ100:HW100)),"")</f>
        <v>0</v>
      </c>
      <c r="MM100" s="213">
        <f>IFERROR(IF(MM$7&gt;$D$3,"",AVERAGE($HJ100:HX100)),"")</f>
        <v>0</v>
      </c>
      <c r="MN100" s="213">
        <f>IFERROR(IF(MN$7&gt;$D$3,"",AVERAGE($HJ100:HY100)),"")</f>
        <v>0</v>
      </c>
      <c r="MO100" s="213">
        <f>IFERROR(IF(MO$7&gt;$D$3,"",AVERAGE($HJ100:HZ100)),"")</f>
        <v>0</v>
      </c>
      <c r="MP100" s="213">
        <f>IFERROR(IF(MP$7&gt;$D$3,"",AVERAGE($HJ100:IA100)),"")</f>
        <v>0</v>
      </c>
      <c r="MQ100" s="213">
        <f>IFERROR(IF(MQ$7&gt;$D$3,"",AVERAGE($HJ100:IB100)),"")</f>
        <v>0</v>
      </c>
      <c r="MR100" s="213">
        <f>IFERROR(IF(MR$7&gt;$D$3,"",AVERAGE($HJ100:IC100)),"")</f>
        <v>0</v>
      </c>
      <c r="MS100" s="213">
        <f>IFERROR(IF(MS$7&gt;$D$3,"",AVERAGE($HJ100:ID100)),"")</f>
        <v>0</v>
      </c>
      <c r="MT100" s="213">
        <f>IFERROR(IF(MT$7&gt;$D$3,"",AVERAGE($HJ100:IE100)),"")</f>
        <v>0</v>
      </c>
      <c r="MU100" s="213">
        <f>IFERROR(IF(MU$7&gt;$D$3,"",AVERAGE($HJ100:IF100)),"")</f>
        <v>0</v>
      </c>
      <c r="MV100" s="213">
        <f>IFERROR(IF(MV$7&gt;$D$3,"",AVERAGE($HJ100:IG100)),"")</f>
        <v>0</v>
      </c>
      <c r="MW100" s="213">
        <f>IFERROR(IF(MW$7&gt;$D$3,"",AVERAGE($HJ100:IH100)),"")</f>
        <v>0</v>
      </c>
      <c r="MX100" s="213">
        <f>IFERROR(IF(MX$7&gt;$D$3,"",AVERAGE($HJ100:II100)),"")</f>
        <v>0</v>
      </c>
      <c r="MY100" s="213">
        <f>IFERROR(IF(MY$7&gt;$D$3,"",AVERAGE($HJ100:IJ100)),"")</f>
        <v>0</v>
      </c>
      <c r="MZ100" s="213">
        <f>IFERROR(IF(MZ$7&gt;$D$3,"",AVERAGE($HJ100:IK100)),"")</f>
        <v>0</v>
      </c>
      <c r="NA100" s="213">
        <f>IFERROR(IF(NA$7&gt;$D$3,"",AVERAGE($HJ100:IL100)),"")</f>
        <v>0</v>
      </c>
      <c r="NB100" s="213">
        <f>IFERROR(IF(NB$7&gt;$D$3,"",AVERAGE($HJ100:IM100)),"")</f>
        <v>0</v>
      </c>
      <c r="NC100" s="213">
        <f>IFERROR(IF(NC$7&gt;$D$3,"",AVERAGE($HJ100:IN100)),"")</f>
        <v>0</v>
      </c>
      <c r="ND100" s="213">
        <f>IFERROR(IF(ND$7&gt;$D$3,"",AVERAGE($HJ100:IO100)),"")</f>
        <v>0</v>
      </c>
      <c r="NE100" s="213">
        <f>IFERROR(IF(NE$7&gt;$D$3,"",AVERAGE($HJ100:IP100)),"")</f>
        <v>0</v>
      </c>
      <c r="NF100" s="213">
        <f>IFERROR(IF(NF$7&gt;$D$3,"",AVERAGE($HJ100:IQ100)),"")</f>
        <v>0</v>
      </c>
      <c r="NG100" s="213">
        <f>IFERROR(IF(NG$7&gt;$D$3,"",AVERAGE($HJ100:IR100)),"")</f>
        <v>0</v>
      </c>
      <c r="NH100" s="213">
        <f>IFERROR(IF(NH$7&gt;$D$3,"",AVERAGE($HJ100:IS100)),"")</f>
        <v>0</v>
      </c>
      <c r="NI100" s="213">
        <f>IFERROR(IF(NI$7&gt;$D$3,"",AVERAGE($HJ100:IT100)),"")</f>
        <v>0</v>
      </c>
      <c r="NJ100" s="213">
        <f>IFERROR(IF(NJ$7&gt;$D$3,"",AVERAGE($HJ100:IU100)),"")</f>
        <v>0</v>
      </c>
      <c r="NK100" s="213">
        <f>IFERROR(IF(NK$7&gt;$D$3,"",AVERAGE($HJ100:IV100)),"")</f>
        <v>0</v>
      </c>
      <c r="NL100" s="213">
        <f>IFERROR(IF(NL$7&gt;$D$3,"",AVERAGE($HJ100:IW100)),"")</f>
        <v>0</v>
      </c>
      <c r="NM100" s="213">
        <f>IFERROR(IF(NM$7&gt;$D$3,"",AVERAGE($HJ100:IX100)),"")</f>
        <v>0</v>
      </c>
      <c r="NN100" s="213">
        <f>IFERROR(IF(NN$7&gt;$D$3,"",AVERAGE($HJ100:IY100)),"")</f>
        <v>0</v>
      </c>
      <c r="NO100" s="213" t="str">
        <f>IFERROR(IF(NO$7&gt;$D$3,"",AVERAGE($HJ100:IZ100)),"")</f>
        <v/>
      </c>
      <c r="NP100" s="213" t="str">
        <f>IFERROR(IF(NP$7&gt;$D$3,"",AVERAGE($HJ100:JA100)),"")</f>
        <v/>
      </c>
      <c r="NQ100" s="213" t="str">
        <f>IFERROR(IF(NQ$7&gt;$D$3,"",AVERAGE($HJ100:JB100)),"")</f>
        <v/>
      </c>
      <c r="NR100" s="213" t="str">
        <f>IFERROR(IF(NR$7&gt;$D$3,"",AVERAGE($HJ100:JC100)),"")</f>
        <v/>
      </c>
      <c r="NS100" s="213" t="str">
        <f>IFERROR(IF(NS$7&gt;$D$3,"",AVERAGE($HJ100:JD100)),"")</f>
        <v/>
      </c>
      <c r="NT100" s="213" t="str">
        <f>IFERROR(IF(NT$7&gt;$D$3,"",AVERAGE($HJ100:JE100)),"")</f>
        <v/>
      </c>
      <c r="NU100" s="213" t="str">
        <f>IFERROR(IF(NU$7&gt;$D$3,"",AVERAGE($HJ100:JF100)),"")</f>
        <v/>
      </c>
      <c r="NV100" s="213" t="str">
        <f>IFERROR(IF(NV$7&gt;$D$3,"",AVERAGE($HJ100:JG100)),"")</f>
        <v/>
      </c>
      <c r="NW100" s="213" t="str">
        <f>IFERROR(IF(NW$7&gt;$D$3,"",AVERAGE($HJ100:JH100)),"")</f>
        <v/>
      </c>
      <c r="NX100" s="213" t="str">
        <f>IFERROR(IF(NX$7&gt;$D$3,"",AVERAGE($HJ100:JI100)),"")</f>
        <v/>
      </c>
      <c r="NY100" s="213" t="str">
        <f>IFERROR(IF(NY$7&gt;$D$3,"",AVERAGE($HJ100:JJ100)),"")</f>
        <v/>
      </c>
    </row>
    <row r="101" spans="1:389" ht="15" thickBot="1" x14ac:dyDescent="0.35">
      <c r="AH101" s="465"/>
      <c r="AN101" s="201"/>
      <c r="CO101" s="465"/>
      <c r="CV101" s="316"/>
      <c r="CW101" s="316"/>
      <c r="CX101" s="316"/>
      <c r="CY101" s="316"/>
      <c r="CZ101" s="316"/>
      <c r="DA101" s="316"/>
      <c r="DB101" s="316"/>
      <c r="DC101" s="316"/>
      <c r="DD101" s="316"/>
      <c r="DE101" s="316"/>
      <c r="DF101" s="316"/>
      <c r="DG101" s="316"/>
      <c r="DH101" s="316"/>
      <c r="DI101" s="316"/>
      <c r="DJ101" s="316"/>
      <c r="DK101" s="316"/>
      <c r="DL101" s="316"/>
      <c r="DM101" s="316"/>
      <c r="DN101" s="316"/>
      <c r="DO101" s="316"/>
      <c r="DP101" s="316"/>
      <c r="DQ101" s="316"/>
      <c r="DR101" s="316"/>
      <c r="DS101" s="316"/>
      <c r="DT101" s="316"/>
      <c r="DU101" s="316"/>
      <c r="DV101" s="316"/>
      <c r="DW101" s="316"/>
      <c r="DX101" s="316"/>
      <c r="DY101" s="316"/>
      <c r="DZ101" s="316"/>
      <c r="EA101" s="316"/>
      <c r="EB101" s="316"/>
      <c r="EC101" s="316"/>
      <c r="ED101" s="316"/>
      <c r="EE101" s="316"/>
      <c r="EF101" s="316"/>
      <c r="EG101" s="316"/>
      <c r="EH101" s="316"/>
      <c r="EI101" s="316"/>
      <c r="EJ101" s="316"/>
      <c r="EK101" s="316"/>
      <c r="EL101" s="316"/>
      <c r="EM101" s="316"/>
      <c r="EN101" s="316"/>
      <c r="EO101" s="316"/>
      <c r="EP101" s="316"/>
      <c r="EQ101" s="316"/>
      <c r="ER101" s="316"/>
      <c r="ES101" s="316"/>
      <c r="ET101" s="316"/>
      <c r="EU101" s="316"/>
      <c r="EW101" s="465"/>
      <c r="FC101" s="201"/>
      <c r="FD101" s="201"/>
      <c r="FE101" s="201"/>
      <c r="FF101" s="201"/>
      <c r="FG101" s="201"/>
      <c r="FH101" s="201"/>
      <c r="FI101" s="201"/>
      <c r="FJ101" s="201"/>
      <c r="FK101" s="201"/>
      <c r="FL101" s="201"/>
      <c r="FM101" s="201"/>
      <c r="FN101" s="201"/>
      <c r="FO101" s="201"/>
      <c r="FP101" s="201"/>
      <c r="FQ101" s="201"/>
      <c r="FR101" s="201"/>
      <c r="FS101" s="201"/>
      <c r="FT101" s="201"/>
      <c r="FU101" s="201"/>
      <c r="FV101" s="201"/>
      <c r="FW101" s="201"/>
      <c r="FX101" s="201"/>
      <c r="FY101" s="201"/>
      <c r="FZ101" s="201"/>
      <c r="GA101" s="201"/>
      <c r="GB101" s="201"/>
      <c r="GC101" s="201"/>
      <c r="GD101" s="201"/>
      <c r="GE101" s="201"/>
      <c r="GF101" s="201"/>
      <c r="GG101" s="201"/>
      <c r="GH101" s="201"/>
      <c r="GI101" s="201"/>
      <c r="GJ101" s="201"/>
      <c r="GK101" s="201"/>
      <c r="GL101" s="201"/>
      <c r="GM101" s="201"/>
      <c r="GN101" s="201"/>
      <c r="GO101" s="201"/>
      <c r="GP101" s="201"/>
      <c r="GQ101" s="201"/>
      <c r="GR101" s="201"/>
      <c r="GS101" s="201"/>
      <c r="GT101" s="201"/>
      <c r="GU101" s="201"/>
      <c r="GV101" s="201"/>
      <c r="GW101" s="201"/>
      <c r="GX101" s="201"/>
      <c r="GY101" s="201"/>
      <c r="GZ101" s="201"/>
      <c r="HA101" s="201"/>
      <c r="HB101" s="201"/>
      <c r="HC101" s="201"/>
      <c r="HJ101" s="201"/>
      <c r="HK101" s="201"/>
      <c r="HL101" s="249"/>
      <c r="HM101" s="249"/>
      <c r="HN101" s="249"/>
      <c r="HO101" s="249"/>
      <c r="HP101" s="249"/>
      <c r="HQ101" s="249"/>
      <c r="HR101" s="249"/>
      <c r="HS101" s="249"/>
      <c r="HT101" s="249"/>
      <c r="HU101" s="249"/>
      <c r="HV101" s="249"/>
      <c r="HW101" s="249"/>
      <c r="HX101" s="249"/>
      <c r="HY101" s="249"/>
      <c r="HZ101" s="249"/>
      <c r="IA101" s="249"/>
      <c r="IB101" s="249"/>
      <c r="IC101" s="249"/>
      <c r="ID101" s="249"/>
      <c r="IE101" s="249"/>
      <c r="IF101" s="249"/>
      <c r="IG101" s="249"/>
      <c r="IH101" s="249"/>
      <c r="II101" s="249"/>
      <c r="IJ101" s="249"/>
      <c r="IK101" s="249"/>
      <c r="IL101" s="249"/>
      <c r="IM101" s="249"/>
      <c r="IN101" s="249"/>
      <c r="IO101" s="249"/>
      <c r="IP101" s="249"/>
      <c r="IQ101" s="249"/>
      <c r="IR101" s="249"/>
      <c r="IS101" s="249"/>
      <c r="IT101" s="249"/>
      <c r="IU101" s="249"/>
      <c r="IV101" s="249"/>
      <c r="IW101" s="249"/>
      <c r="IX101" s="249"/>
      <c r="IY101" s="249"/>
      <c r="IZ101" s="249"/>
      <c r="JA101" s="249"/>
      <c r="JB101" s="249"/>
      <c r="JC101" s="249"/>
      <c r="JD101" s="249"/>
      <c r="JE101" s="249"/>
      <c r="JF101" s="249"/>
      <c r="JG101" s="249"/>
      <c r="JH101" s="249"/>
      <c r="JI101" s="249"/>
      <c r="JJ101" s="249"/>
      <c r="JR101" s="249"/>
      <c r="JS101" s="249"/>
      <c r="JT101" s="249"/>
      <c r="JU101" s="249"/>
      <c r="JV101" s="249"/>
      <c r="JW101" s="249"/>
      <c r="JX101" s="249"/>
      <c r="JY101" s="249"/>
      <c r="JZ101" s="249"/>
      <c r="KA101" s="249"/>
      <c r="KB101" s="249"/>
      <c r="KC101" s="249"/>
      <c r="KD101" s="249"/>
      <c r="KE101" s="249"/>
      <c r="KF101" s="249"/>
      <c r="KG101" s="249"/>
      <c r="KH101" s="249"/>
      <c r="KI101" s="249"/>
      <c r="KJ101" s="249"/>
      <c r="KK101" s="249"/>
      <c r="KL101" s="249"/>
      <c r="KM101" s="249"/>
      <c r="KN101" s="249"/>
      <c r="KO101" s="249"/>
      <c r="KP101" s="249"/>
      <c r="KQ101" s="249"/>
      <c r="KR101" s="249"/>
      <c r="KS101" s="249"/>
      <c r="KT101" s="249"/>
      <c r="KU101" s="249"/>
      <c r="KV101" s="249"/>
      <c r="KW101" s="249"/>
      <c r="KX101" s="249"/>
      <c r="KY101" s="249"/>
      <c r="KZ101" s="249"/>
      <c r="LA101" s="249"/>
      <c r="LB101" s="249"/>
      <c r="LC101" s="249"/>
      <c r="LD101" s="249"/>
      <c r="LE101" s="249"/>
      <c r="LF101" s="249"/>
      <c r="LG101" s="249"/>
      <c r="LH101" s="249"/>
      <c r="LI101" s="249"/>
      <c r="LJ101" s="249"/>
      <c r="LK101" s="249"/>
      <c r="LL101" s="249"/>
      <c r="LM101" s="249"/>
      <c r="LN101" s="249"/>
      <c r="LO101" s="249"/>
      <c r="LP101" s="249"/>
      <c r="LQ101" s="249"/>
      <c r="LR101" s="249"/>
      <c r="LY101" s="201"/>
      <c r="LZ101" s="201"/>
      <c r="MA101" s="201"/>
      <c r="MB101" s="201"/>
      <c r="MC101" s="201"/>
      <c r="MD101" s="201"/>
      <c r="ME101" s="201"/>
      <c r="MF101" s="201"/>
      <c r="MG101" s="201"/>
      <c r="MH101" s="201"/>
      <c r="MI101" s="201"/>
      <c r="MJ101" s="201"/>
      <c r="MK101" s="201"/>
      <c r="ML101" s="201"/>
      <c r="MM101" s="201"/>
      <c r="MN101" s="201"/>
      <c r="MO101" s="201"/>
      <c r="MP101" s="201"/>
      <c r="MQ101" s="201"/>
      <c r="MR101" s="201"/>
      <c r="MS101" s="201"/>
      <c r="MT101" s="201"/>
      <c r="MU101" s="201"/>
      <c r="MV101" s="201"/>
      <c r="MW101" s="201"/>
      <c r="MX101" s="201"/>
      <c r="MY101" s="201"/>
      <c r="MZ101" s="201"/>
      <c r="NA101" s="201"/>
      <c r="NB101" s="201"/>
      <c r="NC101" s="201"/>
      <c r="ND101" s="201"/>
      <c r="NE101" s="201"/>
      <c r="NF101" s="201"/>
      <c r="NG101" s="201"/>
      <c r="NH101" s="201"/>
      <c r="NI101" s="201"/>
      <c r="NJ101" s="201"/>
      <c r="NK101" s="201"/>
      <c r="NL101" s="201"/>
      <c r="NM101" s="201"/>
      <c r="NN101" s="201"/>
      <c r="NO101" s="201"/>
      <c r="NP101" s="201"/>
      <c r="NQ101" s="201"/>
      <c r="NR101" s="201"/>
      <c r="NS101" s="201"/>
      <c r="NT101" s="201"/>
      <c r="NU101" s="201"/>
      <c r="NV101" s="201"/>
      <c r="NW101" s="201"/>
      <c r="NX101" s="201"/>
      <c r="NY101" s="201"/>
    </row>
    <row r="102" spans="1:389" ht="29.4" customHeight="1" thickBot="1" x14ac:dyDescent="0.35">
      <c r="B102" s="185" t="str">
        <f>+'KPI Stats'!B101</f>
        <v>Marketing</v>
      </c>
      <c r="C102" s="133" t="str">
        <f>+'KPI Stats'!C101</f>
        <v>Katherine Sanganee</v>
      </c>
      <c r="D102" s="134"/>
      <c r="E102" s="141" t="str">
        <f>+'KPI Stats'!E101</f>
        <v>Completed to Week</v>
      </c>
      <c r="F102" s="141">
        <f>+'KPI Stats'!F101</f>
        <v>42</v>
      </c>
      <c r="G102" s="181" t="str">
        <f>+'KPI Stats'!G101</f>
        <v>Weekly KPI</v>
      </c>
      <c r="J102" s="181" t="str">
        <f>+$B102</f>
        <v>Marketing</v>
      </c>
      <c r="K102" s="181"/>
      <c r="L102" s="182"/>
      <c r="M102" s="183"/>
      <c r="P102" s="181" t="str">
        <f>+$B102</f>
        <v>Marketing</v>
      </c>
      <c r="Q102" s="181"/>
      <c r="R102" s="181"/>
      <c r="S102" s="183"/>
      <c r="T102" s="183"/>
      <c r="U102" s="183"/>
      <c r="X102" s="181" t="str">
        <f>+$B102</f>
        <v>Marketing</v>
      </c>
      <c r="Y102" s="181"/>
      <c r="Z102" s="181"/>
      <c r="AA102" s="183"/>
      <c r="AB102" s="183"/>
      <c r="AC102" s="181" t="str">
        <f>+$B102</f>
        <v>Marketing</v>
      </c>
      <c r="AD102" s="181"/>
      <c r="AE102" s="181"/>
      <c r="AF102" s="183"/>
      <c r="AH102" s="465"/>
      <c r="AI102" s="191" t="str">
        <f>+B103</f>
        <v>Marketing</v>
      </c>
      <c r="AJ102" s="192"/>
      <c r="AK102" s="141" t="str">
        <f t="shared" ref="AK102:AL106" si="337">+E102</f>
        <v>Completed to Week</v>
      </c>
      <c r="AL102" s="141">
        <f t="shared" si="337"/>
        <v>42</v>
      </c>
      <c r="AM102" s="181" t="str">
        <f t="shared" ref="AM102:BR102" si="338">+$B102</f>
        <v>Marketing</v>
      </c>
      <c r="AN102" s="197" t="str">
        <f t="shared" si="338"/>
        <v>Marketing</v>
      </c>
      <c r="AO102" s="181" t="str">
        <f t="shared" si="338"/>
        <v>Marketing</v>
      </c>
      <c r="AP102" s="181" t="str">
        <f t="shared" si="338"/>
        <v>Marketing</v>
      </c>
      <c r="AQ102" s="181" t="str">
        <f t="shared" si="338"/>
        <v>Marketing</v>
      </c>
      <c r="AR102" s="181" t="str">
        <f t="shared" si="338"/>
        <v>Marketing</v>
      </c>
      <c r="AS102" s="181" t="str">
        <f t="shared" si="338"/>
        <v>Marketing</v>
      </c>
      <c r="AT102" s="181" t="str">
        <f t="shared" si="338"/>
        <v>Marketing</v>
      </c>
      <c r="AU102" s="181" t="str">
        <f t="shared" si="338"/>
        <v>Marketing</v>
      </c>
      <c r="AV102" s="181" t="str">
        <f t="shared" si="338"/>
        <v>Marketing</v>
      </c>
      <c r="AW102" s="181" t="str">
        <f t="shared" si="338"/>
        <v>Marketing</v>
      </c>
      <c r="AX102" s="181" t="str">
        <f t="shared" si="338"/>
        <v>Marketing</v>
      </c>
      <c r="AY102" s="181" t="str">
        <f t="shared" si="338"/>
        <v>Marketing</v>
      </c>
      <c r="AZ102" s="181" t="str">
        <f t="shared" si="338"/>
        <v>Marketing</v>
      </c>
      <c r="BA102" s="181" t="str">
        <f t="shared" si="338"/>
        <v>Marketing</v>
      </c>
      <c r="BB102" s="181" t="str">
        <f t="shared" si="338"/>
        <v>Marketing</v>
      </c>
      <c r="BC102" s="181" t="str">
        <f t="shared" si="338"/>
        <v>Marketing</v>
      </c>
      <c r="BD102" s="181" t="str">
        <f t="shared" si="338"/>
        <v>Marketing</v>
      </c>
      <c r="BE102" s="181" t="str">
        <f t="shared" si="338"/>
        <v>Marketing</v>
      </c>
      <c r="BF102" s="181" t="str">
        <f t="shared" si="338"/>
        <v>Marketing</v>
      </c>
      <c r="BG102" s="181" t="str">
        <f t="shared" si="338"/>
        <v>Marketing</v>
      </c>
      <c r="BH102" s="181" t="str">
        <f t="shared" si="338"/>
        <v>Marketing</v>
      </c>
      <c r="BI102" s="181" t="str">
        <f t="shared" si="338"/>
        <v>Marketing</v>
      </c>
      <c r="BJ102" s="181" t="str">
        <f t="shared" si="338"/>
        <v>Marketing</v>
      </c>
      <c r="BK102" s="181" t="str">
        <f t="shared" si="338"/>
        <v>Marketing</v>
      </c>
      <c r="BL102" s="181" t="str">
        <f t="shared" si="338"/>
        <v>Marketing</v>
      </c>
      <c r="BM102" s="181" t="str">
        <f t="shared" si="338"/>
        <v>Marketing</v>
      </c>
      <c r="BN102" s="181" t="str">
        <f t="shared" si="338"/>
        <v>Marketing</v>
      </c>
      <c r="BO102" s="181" t="str">
        <f t="shared" si="338"/>
        <v>Marketing</v>
      </c>
      <c r="BP102" s="181" t="str">
        <f t="shared" si="338"/>
        <v>Marketing</v>
      </c>
      <c r="BQ102" s="181" t="str">
        <f t="shared" si="338"/>
        <v>Marketing</v>
      </c>
      <c r="BR102" s="181" t="str">
        <f t="shared" si="338"/>
        <v>Marketing</v>
      </c>
      <c r="BS102" s="181" t="str">
        <f t="shared" ref="BS102:CM102" si="339">+$B102</f>
        <v>Marketing</v>
      </c>
      <c r="BT102" s="181" t="str">
        <f t="shared" si="339"/>
        <v>Marketing</v>
      </c>
      <c r="BU102" s="181" t="str">
        <f t="shared" si="339"/>
        <v>Marketing</v>
      </c>
      <c r="BV102" s="181" t="str">
        <f t="shared" si="339"/>
        <v>Marketing</v>
      </c>
      <c r="BW102" s="181" t="str">
        <f t="shared" si="339"/>
        <v>Marketing</v>
      </c>
      <c r="BX102" s="181" t="str">
        <f t="shared" si="339"/>
        <v>Marketing</v>
      </c>
      <c r="BY102" s="181" t="str">
        <f t="shared" si="339"/>
        <v>Marketing</v>
      </c>
      <c r="BZ102" s="181" t="str">
        <f t="shared" si="339"/>
        <v>Marketing</v>
      </c>
      <c r="CA102" s="181" t="str">
        <f t="shared" si="339"/>
        <v>Marketing</v>
      </c>
      <c r="CB102" s="181" t="str">
        <f t="shared" si="339"/>
        <v>Marketing</v>
      </c>
      <c r="CC102" s="181" t="str">
        <f t="shared" si="339"/>
        <v>Marketing</v>
      </c>
      <c r="CD102" s="181" t="str">
        <f t="shared" si="339"/>
        <v>Marketing</v>
      </c>
      <c r="CE102" s="181" t="str">
        <f t="shared" si="339"/>
        <v>Marketing</v>
      </c>
      <c r="CF102" s="181" t="str">
        <f t="shared" si="339"/>
        <v>Marketing</v>
      </c>
      <c r="CG102" s="181" t="str">
        <f t="shared" si="339"/>
        <v>Marketing</v>
      </c>
      <c r="CH102" s="181" t="str">
        <f t="shared" si="339"/>
        <v>Marketing</v>
      </c>
      <c r="CI102" s="181" t="str">
        <f t="shared" si="339"/>
        <v>Marketing</v>
      </c>
      <c r="CJ102" s="181" t="str">
        <f t="shared" si="339"/>
        <v>Marketing</v>
      </c>
      <c r="CK102" s="181" t="str">
        <f t="shared" si="339"/>
        <v>Marketing</v>
      </c>
      <c r="CL102" s="181" t="str">
        <f t="shared" si="339"/>
        <v>Marketing</v>
      </c>
      <c r="CM102" s="181" t="str">
        <f t="shared" si="339"/>
        <v>Marketing</v>
      </c>
      <c r="CO102" s="465"/>
      <c r="CP102" s="191" t="str">
        <f>+B103</f>
        <v>Marketing</v>
      </c>
      <c r="CQ102" s="192"/>
      <c r="CR102" s="141" t="str">
        <f t="shared" ref="CR102:CS106" si="340">+E102</f>
        <v>Completed to Week</v>
      </c>
      <c r="CS102" s="141">
        <f t="shared" si="340"/>
        <v>42</v>
      </c>
      <c r="CT102" s="141" t="str">
        <f>+G102</f>
        <v>Weekly KPI</v>
      </c>
      <c r="CU102" s="181" t="str">
        <f t="shared" ref="CU102:EU102" si="341">+$B102</f>
        <v>Marketing</v>
      </c>
      <c r="CV102" s="317" t="str">
        <f t="shared" si="341"/>
        <v>Marketing</v>
      </c>
      <c r="CW102" s="317" t="str">
        <f t="shared" si="341"/>
        <v>Marketing</v>
      </c>
      <c r="CX102" s="317" t="str">
        <f t="shared" si="341"/>
        <v>Marketing</v>
      </c>
      <c r="CY102" s="317" t="str">
        <f t="shared" si="341"/>
        <v>Marketing</v>
      </c>
      <c r="CZ102" s="317" t="str">
        <f t="shared" si="341"/>
        <v>Marketing</v>
      </c>
      <c r="DA102" s="317" t="str">
        <f t="shared" si="341"/>
        <v>Marketing</v>
      </c>
      <c r="DB102" s="317" t="str">
        <f t="shared" si="341"/>
        <v>Marketing</v>
      </c>
      <c r="DC102" s="317" t="str">
        <f t="shared" si="341"/>
        <v>Marketing</v>
      </c>
      <c r="DD102" s="317" t="str">
        <f t="shared" si="341"/>
        <v>Marketing</v>
      </c>
      <c r="DE102" s="317" t="str">
        <f t="shared" si="341"/>
        <v>Marketing</v>
      </c>
      <c r="DF102" s="317" t="str">
        <f t="shared" si="341"/>
        <v>Marketing</v>
      </c>
      <c r="DG102" s="317" t="str">
        <f t="shared" si="341"/>
        <v>Marketing</v>
      </c>
      <c r="DH102" s="317" t="str">
        <f t="shared" si="341"/>
        <v>Marketing</v>
      </c>
      <c r="DI102" s="317" t="str">
        <f t="shared" si="341"/>
        <v>Marketing</v>
      </c>
      <c r="DJ102" s="317" t="str">
        <f t="shared" si="341"/>
        <v>Marketing</v>
      </c>
      <c r="DK102" s="317" t="str">
        <f t="shared" si="341"/>
        <v>Marketing</v>
      </c>
      <c r="DL102" s="317" t="str">
        <f t="shared" si="341"/>
        <v>Marketing</v>
      </c>
      <c r="DM102" s="317" t="str">
        <f t="shared" si="341"/>
        <v>Marketing</v>
      </c>
      <c r="DN102" s="317" t="str">
        <f t="shared" si="341"/>
        <v>Marketing</v>
      </c>
      <c r="DO102" s="317" t="str">
        <f t="shared" si="341"/>
        <v>Marketing</v>
      </c>
      <c r="DP102" s="317" t="str">
        <f t="shared" si="341"/>
        <v>Marketing</v>
      </c>
      <c r="DQ102" s="317" t="str">
        <f t="shared" si="341"/>
        <v>Marketing</v>
      </c>
      <c r="DR102" s="317" t="str">
        <f t="shared" si="341"/>
        <v>Marketing</v>
      </c>
      <c r="DS102" s="317" t="str">
        <f t="shared" si="341"/>
        <v>Marketing</v>
      </c>
      <c r="DT102" s="317" t="str">
        <f t="shared" si="341"/>
        <v>Marketing</v>
      </c>
      <c r="DU102" s="317" t="str">
        <f t="shared" si="341"/>
        <v>Marketing</v>
      </c>
      <c r="DV102" s="317" t="str">
        <f t="shared" si="341"/>
        <v>Marketing</v>
      </c>
      <c r="DW102" s="317" t="str">
        <f t="shared" si="341"/>
        <v>Marketing</v>
      </c>
      <c r="DX102" s="317" t="str">
        <f t="shared" si="341"/>
        <v>Marketing</v>
      </c>
      <c r="DY102" s="317" t="str">
        <f t="shared" si="341"/>
        <v>Marketing</v>
      </c>
      <c r="DZ102" s="317" t="str">
        <f t="shared" si="341"/>
        <v>Marketing</v>
      </c>
      <c r="EA102" s="317" t="str">
        <f t="shared" si="341"/>
        <v>Marketing</v>
      </c>
      <c r="EB102" s="317" t="str">
        <f t="shared" si="341"/>
        <v>Marketing</v>
      </c>
      <c r="EC102" s="317" t="str">
        <f t="shared" si="341"/>
        <v>Marketing</v>
      </c>
      <c r="ED102" s="317" t="str">
        <f t="shared" si="341"/>
        <v>Marketing</v>
      </c>
      <c r="EE102" s="317" t="str">
        <f t="shared" si="341"/>
        <v>Marketing</v>
      </c>
      <c r="EF102" s="317" t="str">
        <f t="shared" si="341"/>
        <v>Marketing</v>
      </c>
      <c r="EG102" s="317" t="str">
        <f t="shared" si="341"/>
        <v>Marketing</v>
      </c>
      <c r="EH102" s="317" t="str">
        <f t="shared" si="341"/>
        <v>Marketing</v>
      </c>
      <c r="EI102" s="317" t="str">
        <f t="shared" si="341"/>
        <v>Marketing</v>
      </c>
      <c r="EJ102" s="317" t="str">
        <f t="shared" si="341"/>
        <v>Marketing</v>
      </c>
      <c r="EK102" s="317" t="str">
        <f t="shared" si="341"/>
        <v>Marketing</v>
      </c>
      <c r="EL102" s="317" t="str">
        <f t="shared" si="341"/>
        <v>Marketing</v>
      </c>
      <c r="EM102" s="317" t="str">
        <f t="shared" si="341"/>
        <v>Marketing</v>
      </c>
      <c r="EN102" s="317" t="str">
        <f t="shared" si="341"/>
        <v>Marketing</v>
      </c>
      <c r="EO102" s="317" t="str">
        <f t="shared" si="341"/>
        <v>Marketing</v>
      </c>
      <c r="EP102" s="317" t="str">
        <f t="shared" si="341"/>
        <v>Marketing</v>
      </c>
      <c r="EQ102" s="317" t="str">
        <f t="shared" si="341"/>
        <v>Marketing</v>
      </c>
      <c r="ER102" s="317" t="str">
        <f t="shared" si="341"/>
        <v>Marketing</v>
      </c>
      <c r="ES102" s="317" t="str">
        <f t="shared" si="341"/>
        <v>Marketing</v>
      </c>
      <c r="ET102" s="317" t="str">
        <f t="shared" si="341"/>
        <v>Marketing</v>
      </c>
      <c r="EU102" s="317" t="str">
        <f t="shared" si="341"/>
        <v>Marketing</v>
      </c>
      <c r="EW102" s="465"/>
      <c r="EX102" s="191" t="str">
        <f>+$B102</f>
        <v>Marketing</v>
      </c>
      <c r="EY102" s="192"/>
      <c r="EZ102" s="141" t="str">
        <f>+$E102</f>
        <v>Completed to Week</v>
      </c>
      <c r="FA102" s="141">
        <f>+$F102</f>
        <v>42</v>
      </c>
      <c r="FB102" s="141"/>
      <c r="FC102" s="197" t="str">
        <f t="shared" ref="FC102:GH102" si="342">+$B102</f>
        <v>Marketing</v>
      </c>
      <c r="FD102" s="197" t="str">
        <f t="shared" si="342"/>
        <v>Marketing</v>
      </c>
      <c r="FE102" s="197" t="str">
        <f t="shared" si="342"/>
        <v>Marketing</v>
      </c>
      <c r="FF102" s="197" t="str">
        <f t="shared" si="342"/>
        <v>Marketing</v>
      </c>
      <c r="FG102" s="197" t="str">
        <f t="shared" si="342"/>
        <v>Marketing</v>
      </c>
      <c r="FH102" s="197" t="str">
        <f t="shared" si="342"/>
        <v>Marketing</v>
      </c>
      <c r="FI102" s="197" t="str">
        <f t="shared" si="342"/>
        <v>Marketing</v>
      </c>
      <c r="FJ102" s="197" t="str">
        <f t="shared" si="342"/>
        <v>Marketing</v>
      </c>
      <c r="FK102" s="197" t="str">
        <f t="shared" si="342"/>
        <v>Marketing</v>
      </c>
      <c r="FL102" s="197" t="str">
        <f t="shared" si="342"/>
        <v>Marketing</v>
      </c>
      <c r="FM102" s="197" t="str">
        <f t="shared" si="342"/>
        <v>Marketing</v>
      </c>
      <c r="FN102" s="197" t="str">
        <f t="shared" si="342"/>
        <v>Marketing</v>
      </c>
      <c r="FO102" s="197" t="str">
        <f t="shared" si="342"/>
        <v>Marketing</v>
      </c>
      <c r="FP102" s="197" t="str">
        <f t="shared" si="342"/>
        <v>Marketing</v>
      </c>
      <c r="FQ102" s="197" t="str">
        <f t="shared" si="342"/>
        <v>Marketing</v>
      </c>
      <c r="FR102" s="197" t="str">
        <f t="shared" si="342"/>
        <v>Marketing</v>
      </c>
      <c r="FS102" s="197" t="str">
        <f t="shared" si="342"/>
        <v>Marketing</v>
      </c>
      <c r="FT102" s="197" t="str">
        <f t="shared" si="342"/>
        <v>Marketing</v>
      </c>
      <c r="FU102" s="197" t="str">
        <f t="shared" si="342"/>
        <v>Marketing</v>
      </c>
      <c r="FV102" s="197" t="str">
        <f t="shared" si="342"/>
        <v>Marketing</v>
      </c>
      <c r="FW102" s="197" t="str">
        <f t="shared" si="342"/>
        <v>Marketing</v>
      </c>
      <c r="FX102" s="197" t="str">
        <f t="shared" si="342"/>
        <v>Marketing</v>
      </c>
      <c r="FY102" s="197" t="str">
        <f t="shared" si="342"/>
        <v>Marketing</v>
      </c>
      <c r="FZ102" s="197" t="str">
        <f t="shared" si="342"/>
        <v>Marketing</v>
      </c>
      <c r="GA102" s="197" t="str">
        <f t="shared" si="342"/>
        <v>Marketing</v>
      </c>
      <c r="GB102" s="197" t="str">
        <f t="shared" si="342"/>
        <v>Marketing</v>
      </c>
      <c r="GC102" s="197" t="str">
        <f t="shared" si="342"/>
        <v>Marketing</v>
      </c>
      <c r="GD102" s="197" t="str">
        <f t="shared" si="342"/>
        <v>Marketing</v>
      </c>
      <c r="GE102" s="197" t="str">
        <f t="shared" si="342"/>
        <v>Marketing</v>
      </c>
      <c r="GF102" s="197" t="str">
        <f t="shared" si="342"/>
        <v>Marketing</v>
      </c>
      <c r="GG102" s="197" t="str">
        <f t="shared" si="342"/>
        <v>Marketing</v>
      </c>
      <c r="GH102" s="197" t="str">
        <f t="shared" si="342"/>
        <v>Marketing</v>
      </c>
      <c r="GI102" s="197" t="str">
        <f t="shared" ref="GI102:HC102" si="343">+$B102</f>
        <v>Marketing</v>
      </c>
      <c r="GJ102" s="197" t="str">
        <f t="shared" si="343"/>
        <v>Marketing</v>
      </c>
      <c r="GK102" s="197" t="str">
        <f t="shared" si="343"/>
        <v>Marketing</v>
      </c>
      <c r="GL102" s="197" t="str">
        <f t="shared" si="343"/>
        <v>Marketing</v>
      </c>
      <c r="GM102" s="197" t="str">
        <f t="shared" si="343"/>
        <v>Marketing</v>
      </c>
      <c r="GN102" s="197" t="str">
        <f t="shared" si="343"/>
        <v>Marketing</v>
      </c>
      <c r="GO102" s="197" t="str">
        <f t="shared" si="343"/>
        <v>Marketing</v>
      </c>
      <c r="GP102" s="197" t="str">
        <f t="shared" si="343"/>
        <v>Marketing</v>
      </c>
      <c r="GQ102" s="197" t="str">
        <f t="shared" si="343"/>
        <v>Marketing</v>
      </c>
      <c r="GR102" s="197" t="str">
        <f t="shared" si="343"/>
        <v>Marketing</v>
      </c>
      <c r="GS102" s="197" t="str">
        <f t="shared" si="343"/>
        <v>Marketing</v>
      </c>
      <c r="GT102" s="197" t="str">
        <f t="shared" si="343"/>
        <v>Marketing</v>
      </c>
      <c r="GU102" s="197" t="str">
        <f t="shared" si="343"/>
        <v>Marketing</v>
      </c>
      <c r="GV102" s="197" t="str">
        <f t="shared" si="343"/>
        <v>Marketing</v>
      </c>
      <c r="GW102" s="197" t="str">
        <f t="shared" si="343"/>
        <v>Marketing</v>
      </c>
      <c r="GX102" s="197" t="str">
        <f t="shared" si="343"/>
        <v>Marketing</v>
      </c>
      <c r="GY102" s="197" t="str">
        <f t="shared" si="343"/>
        <v>Marketing</v>
      </c>
      <c r="GZ102" s="197" t="str">
        <f t="shared" si="343"/>
        <v>Marketing</v>
      </c>
      <c r="HA102" s="197" t="str">
        <f t="shared" si="343"/>
        <v>Marketing</v>
      </c>
      <c r="HB102" s="197" t="str">
        <f t="shared" si="343"/>
        <v>Marketing</v>
      </c>
      <c r="HC102" s="197" t="str">
        <f t="shared" si="343"/>
        <v>Marketing</v>
      </c>
      <c r="HE102" s="191" t="str">
        <f>+$B102</f>
        <v>Marketing</v>
      </c>
      <c r="HF102" s="192"/>
      <c r="HG102" s="141" t="str">
        <f>+$E102</f>
        <v>Completed to Week</v>
      </c>
      <c r="HH102" s="141">
        <f>+$F102</f>
        <v>42</v>
      </c>
      <c r="HI102" s="141"/>
      <c r="HJ102" s="197" t="str">
        <f t="shared" ref="HJ102:IO102" si="344">+$B102</f>
        <v>Marketing</v>
      </c>
      <c r="HK102" s="197" t="str">
        <f t="shared" si="344"/>
        <v>Marketing</v>
      </c>
      <c r="HL102" s="250" t="str">
        <f t="shared" si="344"/>
        <v>Marketing</v>
      </c>
      <c r="HM102" s="250" t="str">
        <f t="shared" si="344"/>
        <v>Marketing</v>
      </c>
      <c r="HN102" s="250" t="str">
        <f t="shared" si="344"/>
        <v>Marketing</v>
      </c>
      <c r="HO102" s="250" t="str">
        <f t="shared" si="344"/>
        <v>Marketing</v>
      </c>
      <c r="HP102" s="250" t="str">
        <f t="shared" si="344"/>
        <v>Marketing</v>
      </c>
      <c r="HQ102" s="250" t="str">
        <f t="shared" si="344"/>
        <v>Marketing</v>
      </c>
      <c r="HR102" s="250" t="str">
        <f t="shared" si="344"/>
        <v>Marketing</v>
      </c>
      <c r="HS102" s="250" t="str">
        <f t="shared" si="344"/>
        <v>Marketing</v>
      </c>
      <c r="HT102" s="250" t="str">
        <f t="shared" si="344"/>
        <v>Marketing</v>
      </c>
      <c r="HU102" s="250" t="str">
        <f t="shared" si="344"/>
        <v>Marketing</v>
      </c>
      <c r="HV102" s="250" t="str">
        <f t="shared" si="344"/>
        <v>Marketing</v>
      </c>
      <c r="HW102" s="250" t="str">
        <f t="shared" si="344"/>
        <v>Marketing</v>
      </c>
      <c r="HX102" s="250" t="str">
        <f t="shared" si="344"/>
        <v>Marketing</v>
      </c>
      <c r="HY102" s="250" t="str">
        <f t="shared" si="344"/>
        <v>Marketing</v>
      </c>
      <c r="HZ102" s="250" t="str">
        <f t="shared" si="344"/>
        <v>Marketing</v>
      </c>
      <c r="IA102" s="250" t="str">
        <f t="shared" si="344"/>
        <v>Marketing</v>
      </c>
      <c r="IB102" s="250" t="str">
        <f t="shared" si="344"/>
        <v>Marketing</v>
      </c>
      <c r="IC102" s="250" t="str">
        <f t="shared" si="344"/>
        <v>Marketing</v>
      </c>
      <c r="ID102" s="250" t="str">
        <f t="shared" si="344"/>
        <v>Marketing</v>
      </c>
      <c r="IE102" s="250" t="str">
        <f t="shared" si="344"/>
        <v>Marketing</v>
      </c>
      <c r="IF102" s="250" t="str">
        <f t="shared" si="344"/>
        <v>Marketing</v>
      </c>
      <c r="IG102" s="250" t="str">
        <f t="shared" si="344"/>
        <v>Marketing</v>
      </c>
      <c r="IH102" s="250" t="str">
        <f t="shared" si="344"/>
        <v>Marketing</v>
      </c>
      <c r="II102" s="250" t="str">
        <f t="shared" si="344"/>
        <v>Marketing</v>
      </c>
      <c r="IJ102" s="250" t="str">
        <f t="shared" si="344"/>
        <v>Marketing</v>
      </c>
      <c r="IK102" s="250" t="str">
        <f t="shared" si="344"/>
        <v>Marketing</v>
      </c>
      <c r="IL102" s="250" t="str">
        <f t="shared" si="344"/>
        <v>Marketing</v>
      </c>
      <c r="IM102" s="250" t="str">
        <f t="shared" si="344"/>
        <v>Marketing</v>
      </c>
      <c r="IN102" s="250" t="str">
        <f t="shared" si="344"/>
        <v>Marketing</v>
      </c>
      <c r="IO102" s="250" t="str">
        <f t="shared" si="344"/>
        <v>Marketing</v>
      </c>
      <c r="IP102" s="250" t="str">
        <f t="shared" ref="IP102:JJ102" si="345">+$B102</f>
        <v>Marketing</v>
      </c>
      <c r="IQ102" s="250" t="str">
        <f t="shared" si="345"/>
        <v>Marketing</v>
      </c>
      <c r="IR102" s="250" t="str">
        <f t="shared" si="345"/>
        <v>Marketing</v>
      </c>
      <c r="IS102" s="250" t="str">
        <f t="shared" si="345"/>
        <v>Marketing</v>
      </c>
      <c r="IT102" s="250" t="str">
        <f t="shared" si="345"/>
        <v>Marketing</v>
      </c>
      <c r="IU102" s="250" t="str">
        <f t="shared" si="345"/>
        <v>Marketing</v>
      </c>
      <c r="IV102" s="250" t="str">
        <f t="shared" si="345"/>
        <v>Marketing</v>
      </c>
      <c r="IW102" s="250" t="str">
        <f t="shared" si="345"/>
        <v>Marketing</v>
      </c>
      <c r="IX102" s="250" t="str">
        <f t="shared" si="345"/>
        <v>Marketing</v>
      </c>
      <c r="IY102" s="250" t="str">
        <f t="shared" si="345"/>
        <v>Marketing</v>
      </c>
      <c r="IZ102" s="250" t="str">
        <f t="shared" si="345"/>
        <v>Marketing</v>
      </c>
      <c r="JA102" s="250" t="str">
        <f t="shared" si="345"/>
        <v>Marketing</v>
      </c>
      <c r="JB102" s="250" t="str">
        <f t="shared" si="345"/>
        <v>Marketing</v>
      </c>
      <c r="JC102" s="250" t="str">
        <f t="shared" si="345"/>
        <v>Marketing</v>
      </c>
      <c r="JD102" s="250" t="str">
        <f t="shared" si="345"/>
        <v>Marketing</v>
      </c>
      <c r="JE102" s="250" t="str">
        <f t="shared" si="345"/>
        <v>Marketing</v>
      </c>
      <c r="JF102" s="250" t="str">
        <f t="shared" si="345"/>
        <v>Marketing</v>
      </c>
      <c r="JG102" s="250" t="str">
        <f t="shared" si="345"/>
        <v>Marketing</v>
      </c>
      <c r="JH102" s="250" t="str">
        <f t="shared" si="345"/>
        <v>Marketing</v>
      </c>
      <c r="JI102" s="250" t="str">
        <f t="shared" si="345"/>
        <v>Marketing</v>
      </c>
      <c r="JJ102" s="250" t="str">
        <f t="shared" si="345"/>
        <v>Marketing</v>
      </c>
      <c r="JM102" s="191" t="str">
        <f>+$B102</f>
        <v>Marketing</v>
      </c>
      <c r="JN102" s="192"/>
      <c r="JO102" s="141" t="str">
        <f>+$E102</f>
        <v>Completed to Week</v>
      </c>
      <c r="JP102" s="141">
        <f>+$F102</f>
        <v>42</v>
      </c>
      <c r="JQ102" s="141"/>
      <c r="JR102" s="250" t="str">
        <f t="shared" ref="JR102:KW102" si="346">+$B102</f>
        <v>Marketing</v>
      </c>
      <c r="JS102" s="250" t="str">
        <f t="shared" si="346"/>
        <v>Marketing</v>
      </c>
      <c r="JT102" s="250" t="str">
        <f t="shared" si="346"/>
        <v>Marketing</v>
      </c>
      <c r="JU102" s="250" t="str">
        <f t="shared" si="346"/>
        <v>Marketing</v>
      </c>
      <c r="JV102" s="250" t="str">
        <f t="shared" si="346"/>
        <v>Marketing</v>
      </c>
      <c r="JW102" s="250" t="str">
        <f t="shared" si="346"/>
        <v>Marketing</v>
      </c>
      <c r="JX102" s="250" t="str">
        <f t="shared" si="346"/>
        <v>Marketing</v>
      </c>
      <c r="JY102" s="250" t="str">
        <f t="shared" si="346"/>
        <v>Marketing</v>
      </c>
      <c r="JZ102" s="250" t="str">
        <f t="shared" si="346"/>
        <v>Marketing</v>
      </c>
      <c r="KA102" s="250" t="str">
        <f t="shared" si="346"/>
        <v>Marketing</v>
      </c>
      <c r="KB102" s="250" t="str">
        <f t="shared" si="346"/>
        <v>Marketing</v>
      </c>
      <c r="KC102" s="250" t="str">
        <f t="shared" si="346"/>
        <v>Marketing</v>
      </c>
      <c r="KD102" s="250" t="str">
        <f t="shared" si="346"/>
        <v>Marketing</v>
      </c>
      <c r="KE102" s="250" t="str">
        <f t="shared" si="346"/>
        <v>Marketing</v>
      </c>
      <c r="KF102" s="250" t="str">
        <f t="shared" si="346"/>
        <v>Marketing</v>
      </c>
      <c r="KG102" s="250" t="str">
        <f t="shared" si="346"/>
        <v>Marketing</v>
      </c>
      <c r="KH102" s="250" t="str">
        <f t="shared" si="346"/>
        <v>Marketing</v>
      </c>
      <c r="KI102" s="250" t="str">
        <f t="shared" si="346"/>
        <v>Marketing</v>
      </c>
      <c r="KJ102" s="250" t="str">
        <f t="shared" si="346"/>
        <v>Marketing</v>
      </c>
      <c r="KK102" s="250" t="str">
        <f t="shared" si="346"/>
        <v>Marketing</v>
      </c>
      <c r="KL102" s="250" t="str">
        <f t="shared" si="346"/>
        <v>Marketing</v>
      </c>
      <c r="KM102" s="250" t="str">
        <f t="shared" si="346"/>
        <v>Marketing</v>
      </c>
      <c r="KN102" s="250" t="str">
        <f t="shared" si="346"/>
        <v>Marketing</v>
      </c>
      <c r="KO102" s="250" t="str">
        <f t="shared" si="346"/>
        <v>Marketing</v>
      </c>
      <c r="KP102" s="250" t="str">
        <f t="shared" si="346"/>
        <v>Marketing</v>
      </c>
      <c r="KQ102" s="250" t="str">
        <f t="shared" si="346"/>
        <v>Marketing</v>
      </c>
      <c r="KR102" s="250" t="str">
        <f t="shared" si="346"/>
        <v>Marketing</v>
      </c>
      <c r="KS102" s="250" t="str">
        <f t="shared" si="346"/>
        <v>Marketing</v>
      </c>
      <c r="KT102" s="250" t="str">
        <f t="shared" si="346"/>
        <v>Marketing</v>
      </c>
      <c r="KU102" s="250" t="str">
        <f t="shared" si="346"/>
        <v>Marketing</v>
      </c>
      <c r="KV102" s="250" t="str">
        <f t="shared" si="346"/>
        <v>Marketing</v>
      </c>
      <c r="KW102" s="250" t="str">
        <f t="shared" si="346"/>
        <v>Marketing</v>
      </c>
      <c r="KX102" s="250" t="str">
        <f t="shared" ref="KX102:LR102" si="347">+$B102</f>
        <v>Marketing</v>
      </c>
      <c r="KY102" s="250" t="str">
        <f t="shared" si="347"/>
        <v>Marketing</v>
      </c>
      <c r="KZ102" s="250" t="str">
        <f t="shared" si="347"/>
        <v>Marketing</v>
      </c>
      <c r="LA102" s="250" t="str">
        <f t="shared" si="347"/>
        <v>Marketing</v>
      </c>
      <c r="LB102" s="250" t="str">
        <f t="shared" si="347"/>
        <v>Marketing</v>
      </c>
      <c r="LC102" s="250" t="str">
        <f t="shared" si="347"/>
        <v>Marketing</v>
      </c>
      <c r="LD102" s="250" t="str">
        <f t="shared" si="347"/>
        <v>Marketing</v>
      </c>
      <c r="LE102" s="250" t="str">
        <f t="shared" si="347"/>
        <v>Marketing</v>
      </c>
      <c r="LF102" s="250" t="str">
        <f t="shared" si="347"/>
        <v>Marketing</v>
      </c>
      <c r="LG102" s="250" t="str">
        <f t="shared" si="347"/>
        <v>Marketing</v>
      </c>
      <c r="LH102" s="250" t="str">
        <f t="shared" si="347"/>
        <v>Marketing</v>
      </c>
      <c r="LI102" s="250" t="str">
        <f t="shared" si="347"/>
        <v>Marketing</v>
      </c>
      <c r="LJ102" s="250" t="str">
        <f t="shared" si="347"/>
        <v>Marketing</v>
      </c>
      <c r="LK102" s="250" t="str">
        <f t="shared" si="347"/>
        <v>Marketing</v>
      </c>
      <c r="LL102" s="250" t="str">
        <f t="shared" si="347"/>
        <v>Marketing</v>
      </c>
      <c r="LM102" s="250" t="str">
        <f t="shared" si="347"/>
        <v>Marketing</v>
      </c>
      <c r="LN102" s="250" t="str">
        <f t="shared" si="347"/>
        <v>Marketing</v>
      </c>
      <c r="LO102" s="250" t="str">
        <f t="shared" si="347"/>
        <v>Marketing</v>
      </c>
      <c r="LP102" s="250" t="str">
        <f t="shared" si="347"/>
        <v>Marketing</v>
      </c>
      <c r="LQ102" s="250" t="str">
        <f t="shared" si="347"/>
        <v>Marketing</v>
      </c>
      <c r="LR102" s="250" t="str">
        <f t="shared" si="347"/>
        <v>Marketing</v>
      </c>
      <c r="LT102" s="191" t="str">
        <f>+$B102</f>
        <v>Marketing</v>
      </c>
      <c r="LU102" s="192"/>
      <c r="LV102" s="141" t="str">
        <f>+$E102</f>
        <v>Completed to Week</v>
      </c>
      <c r="LW102" s="141">
        <f>+$F102</f>
        <v>42</v>
      </c>
      <c r="LX102" s="141"/>
      <c r="LY102" s="197" t="str">
        <f t="shared" ref="LY102:ND102" si="348">+$B102</f>
        <v>Marketing</v>
      </c>
      <c r="LZ102" s="197" t="str">
        <f t="shared" si="348"/>
        <v>Marketing</v>
      </c>
      <c r="MA102" s="197" t="str">
        <f t="shared" si="348"/>
        <v>Marketing</v>
      </c>
      <c r="MB102" s="197" t="str">
        <f t="shared" si="348"/>
        <v>Marketing</v>
      </c>
      <c r="MC102" s="197" t="str">
        <f t="shared" si="348"/>
        <v>Marketing</v>
      </c>
      <c r="MD102" s="197" t="str">
        <f t="shared" si="348"/>
        <v>Marketing</v>
      </c>
      <c r="ME102" s="197" t="str">
        <f t="shared" si="348"/>
        <v>Marketing</v>
      </c>
      <c r="MF102" s="197" t="str">
        <f t="shared" si="348"/>
        <v>Marketing</v>
      </c>
      <c r="MG102" s="197" t="str">
        <f t="shared" si="348"/>
        <v>Marketing</v>
      </c>
      <c r="MH102" s="197" t="str">
        <f t="shared" si="348"/>
        <v>Marketing</v>
      </c>
      <c r="MI102" s="197" t="str">
        <f t="shared" si="348"/>
        <v>Marketing</v>
      </c>
      <c r="MJ102" s="197" t="str">
        <f t="shared" si="348"/>
        <v>Marketing</v>
      </c>
      <c r="MK102" s="197" t="str">
        <f t="shared" si="348"/>
        <v>Marketing</v>
      </c>
      <c r="ML102" s="197" t="str">
        <f t="shared" si="348"/>
        <v>Marketing</v>
      </c>
      <c r="MM102" s="197" t="str">
        <f t="shared" si="348"/>
        <v>Marketing</v>
      </c>
      <c r="MN102" s="197" t="str">
        <f t="shared" si="348"/>
        <v>Marketing</v>
      </c>
      <c r="MO102" s="197" t="str">
        <f t="shared" si="348"/>
        <v>Marketing</v>
      </c>
      <c r="MP102" s="197" t="str">
        <f t="shared" si="348"/>
        <v>Marketing</v>
      </c>
      <c r="MQ102" s="197" t="str">
        <f t="shared" si="348"/>
        <v>Marketing</v>
      </c>
      <c r="MR102" s="197" t="str">
        <f t="shared" si="348"/>
        <v>Marketing</v>
      </c>
      <c r="MS102" s="197" t="str">
        <f t="shared" si="348"/>
        <v>Marketing</v>
      </c>
      <c r="MT102" s="197" t="str">
        <f t="shared" si="348"/>
        <v>Marketing</v>
      </c>
      <c r="MU102" s="197" t="str">
        <f t="shared" si="348"/>
        <v>Marketing</v>
      </c>
      <c r="MV102" s="197" t="str">
        <f t="shared" si="348"/>
        <v>Marketing</v>
      </c>
      <c r="MW102" s="197" t="str">
        <f t="shared" si="348"/>
        <v>Marketing</v>
      </c>
      <c r="MX102" s="197" t="str">
        <f t="shared" si="348"/>
        <v>Marketing</v>
      </c>
      <c r="MY102" s="197" t="str">
        <f t="shared" si="348"/>
        <v>Marketing</v>
      </c>
      <c r="MZ102" s="197" t="str">
        <f t="shared" si="348"/>
        <v>Marketing</v>
      </c>
      <c r="NA102" s="197" t="str">
        <f t="shared" si="348"/>
        <v>Marketing</v>
      </c>
      <c r="NB102" s="197" t="str">
        <f t="shared" si="348"/>
        <v>Marketing</v>
      </c>
      <c r="NC102" s="197" t="str">
        <f t="shared" si="348"/>
        <v>Marketing</v>
      </c>
      <c r="ND102" s="197" t="str">
        <f t="shared" si="348"/>
        <v>Marketing</v>
      </c>
      <c r="NE102" s="197" t="str">
        <f t="shared" ref="NE102:NY102" si="349">+$B102</f>
        <v>Marketing</v>
      </c>
      <c r="NF102" s="197" t="str">
        <f t="shared" si="349"/>
        <v>Marketing</v>
      </c>
      <c r="NG102" s="197" t="str">
        <f t="shared" si="349"/>
        <v>Marketing</v>
      </c>
      <c r="NH102" s="197" t="str">
        <f t="shared" si="349"/>
        <v>Marketing</v>
      </c>
      <c r="NI102" s="197" t="str">
        <f t="shared" si="349"/>
        <v>Marketing</v>
      </c>
      <c r="NJ102" s="197" t="str">
        <f t="shared" si="349"/>
        <v>Marketing</v>
      </c>
      <c r="NK102" s="197" t="str">
        <f t="shared" si="349"/>
        <v>Marketing</v>
      </c>
      <c r="NL102" s="197" t="str">
        <f t="shared" si="349"/>
        <v>Marketing</v>
      </c>
      <c r="NM102" s="197" t="str">
        <f t="shared" si="349"/>
        <v>Marketing</v>
      </c>
      <c r="NN102" s="197" t="str">
        <f t="shared" si="349"/>
        <v>Marketing</v>
      </c>
      <c r="NO102" s="197" t="str">
        <f t="shared" si="349"/>
        <v>Marketing</v>
      </c>
      <c r="NP102" s="197" t="str">
        <f t="shared" si="349"/>
        <v>Marketing</v>
      </c>
      <c r="NQ102" s="197" t="str">
        <f t="shared" si="349"/>
        <v>Marketing</v>
      </c>
      <c r="NR102" s="197" t="str">
        <f t="shared" si="349"/>
        <v>Marketing</v>
      </c>
      <c r="NS102" s="197" t="str">
        <f t="shared" si="349"/>
        <v>Marketing</v>
      </c>
      <c r="NT102" s="197" t="str">
        <f t="shared" si="349"/>
        <v>Marketing</v>
      </c>
      <c r="NU102" s="197" t="str">
        <f t="shared" si="349"/>
        <v>Marketing</v>
      </c>
      <c r="NV102" s="197" t="str">
        <f t="shared" si="349"/>
        <v>Marketing</v>
      </c>
      <c r="NW102" s="197" t="str">
        <f t="shared" si="349"/>
        <v>Marketing</v>
      </c>
      <c r="NX102" s="197" t="str">
        <f t="shared" si="349"/>
        <v>Marketing</v>
      </c>
      <c r="NY102" s="197" t="str">
        <f t="shared" si="349"/>
        <v>Marketing</v>
      </c>
    </row>
    <row r="103" spans="1:389" x14ac:dyDescent="0.3">
      <c r="A103" t="str">
        <f>$B$102&amp;"-"&amp;C103</f>
        <v>Marketing-KPI P1</v>
      </c>
      <c r="B103" s="917" t="str">
        <f>+'KPI Stats'!B102</f>
        <v>Marketing</v>
      </c>
      <c r="C103" s="133" t="str">
        <f>+'KPI Stats'!C102</f>
        <v>KPI P1</v>
      </c>
      <c r="D103" s="142" t="str">
        <f>+'KPI Stats'!D102</f>
        <v>Productivity</v>
      </c>
      <c r="E103" s="142" t="str">
        <f>+'KPI Stats'!E102</f>
        <v>Tasks complete per week</v>
      </c>
      <c r="F103" s="143" t="str">
        <f>+'KPI Stats'!F102</f>
        <v>Count</v>
      </c>
      <c r="G103" s="168" t="str">
        <f>+'KPI Stats'!G102</f>
        <v>Under</v>
      </c>
      <c r="J103" s="159" t="str">
        <f>_xlfn.XLOOKUP(J$7,$AM$7:$CM$7,$AM103:$CM103,,FALSE)</f>
        <v>G</v>
      </c>
      <c r="K103" s="262">
        <f>_xlfn.XLOOKUP(K$7,$FC$7:$HC$7,$FC103:$HC103,,FALSE)</f>
        <v>8</v>
      </c>
      <c r="L103" s="277">
        <f>_xlfn.XLOOKUP(L$7,$HJ$7:$JJ$7,$HJ103:$JJ103,,FALSE)</f>
        <v>5</v>
      </c>
      <c r="M103" s="271">
        <f>_xlfn.XLOOKUP(M$7,$CU$7:$EU$7,$CU103:$EU103,,FALSE)</f>
        <v>1.6</v>
      </c>
      <c r="P103" s="159" t="str">
        <f>_xlfn.XLOOKUP(P$7,$AM$7:$CM$7,$AM103:$CM103,,FALSE)</f>
        <v>G</v>
      </c>
      <c r="Q103" s="262">
        <f t="shared" ref="Q103:R106" si="350">_xlfn.XLOOKUP(Q$7,$FC$7:$HC$7,$FC103:$HC103,FALSE)</f>
        <v>8</v>
      </c>
      <c r="R103" s="277">
        <f t="shared" si="350"/>
        <v>9</v>
      </c>
      <c r="S103" s="287">
        <f>_xlfn.XLOOKUP(S$7,$CU$7:$EU$7,$CU103:$EU103,,FALSE)</f>
        <v>1.6</v>
      </c>
      <c r="T103" s="263">
        <f>_xlfn.XLOOKUP(T$7,$CU$7:$EU$7,$CU103:$EU103,,FALSE)</f>
        <v>2.25</v>
      </c>
      <c r="U103" s="294" t="str">
        <f>IF(F102&lt;$R$2,"Not Complete",IF(Q103=R103,"Same −",IF($G103="Over",IF(Q103&lt;R103,"Better ↑","Worse ↓"),IF($G103="Under",IF(Q103&gt;R103,"Better ↑","Worse ↓"),"err"))))</f>
        <v>Worse ↓</v>
      </c>
      <c r="X103" s="159" t="str">
        <f t="shared" ref="X103:X106" si="351">IF(Y103="","",IF(Y103="Blank","",IF(AND(G103="above zero",Y103&gt;0),"R",IF(AA103&gt;1,"G",IF(AA103&gt;0.95,"A","R")))))</f>
        <v>G</v>
      </c>
      <c r="Y103" s="262">
        <f>_xlfn.XLOOKUP(Y$7,$JR$7:$LR$7,$JR103:$LR103,FALSE)</f>
        <v>8.2439024390243905</v>
      </c>
      <c r="Z103" s="277">
        <f>_xlfn.XLOOKUP(Z$7,$LY$7:$NY$7,$LY103:$NY103,FALSE)</f>
        <v>3.4878048780487805</v>
      </c>
      <c r="AA103" s="287">
        <f>IFERROR(IF(G103="under",Y103/Z103,IF(G103="Over",Z103/Y103,"")),"")</f>
        <v>2.3636363636363638</v>
      </c>
      <c r="AB103" s="294" t="str">
        <f>IF(F102&lt;$R$2,"TBC",IF(Y103=Z103,"Same −",IF($G103="Over",IF(Z103&lt;Y103,"Better ↑ ","Worse ↓ "),IF($G103="Under",IF(Y103&gt;Z103,"Better ↑ ","Worse ↓ "),"err"))))</f>
        <v xml:space="preserve">Better ↑ </v>
      </c>
      <c r="AC103" s="159" t="str">
        <f>IF(AND(G103="above adero",AD103&gt;0),"R",IF(AF103&gt;1,"G",IF(AF103&gt;0.95,"A","R")))</f>
        <v>G</v>
      </c>
      <c r="AD103" s="262">
        <f>_xlfn.XLOOKUP(AD$7,$JR$7:$LR$7,$JR103:$LR103,FALSE)</f>
        <v>8.25</v>
      </c>
      <c r="AE103" s="277">
        <f>_xlfn.XLOOKUP(AE$7,$LY$7:$NY$7,$LY103:$NY103,FALSE)</f>
        <v>3.45</v>
      </c>
      <c r="AF103" s="271">
        <f>IFERROR(IF(G103="under",AD103/AE103,IF(G103="Over",AE103/AD103,"")),"")</f>
        <v>2.3913043478260869</v>
      </c>
      <c r="AH103" s="465" t="str">
        <f>+$A103</f>
        <v>Marketing-KPI P1</v>
      </c>
      <c r="AI103" s="133" t="str">
        <f t="shared" ref="AI103:AJ106" si="352">+C103</f>
        <v>KPI P1</v>
      </c>
      <c r="AJ103" s="142" t="str">
        <f t="shared" si="352"/>
        <v>Productivity</v>
      </c>
      <c r="AK103" s="142" t="str">
        <f t="shared" si="337"/>
        <v>Tasks complete per week</v>
      </c>
      <c r="AL103" s="143" t="str">
        <f t="shared" si="337"/>
        <v>Count</v>
      </c>
      <c r="AM103" s="159" t="str">
        <f>IF(AM$7&gt;$D$3,"",_xlfn.XLOOKUP(AM$7,Marketing!$M$6:$BM$6,Marketing!$M$10:$BM$10))</f>
        <v>Blank</v>
      </c>
      <c r="AN103" s="198" t="str">
        <f>IF(AN$7&gt;$D$3,"",_xlfn.XLOOKUP(AN$7,Marketing!$M$6:$BM$6,Marketing!$M$10:$BM$10))</f>
        <v>G</v>
      </c>
      <c r="AO103" s="159" t="str">
        <f>IF(AO$7&gt;$D$3,"",_xlfn.XLOOKUP(AO$7,Marketing!$M$6:$BM$6,Marketing!$M$10:$BM$10))</f>
        <v>G</v>
      </c>
      <c r="AP103" s="159" t="str">
        <f>IF(AP$7&gt;$D$3,"",_xlfn.XLOOKUP(AP$7,Marketing!$M$6:$BM$6,Marketing!$M$10:$BM$10))</f>
        <v>G</v>
      </c>
      <c r="AQ103" s="159" t="str">
        <f>IF(AQ$7&gt;$D$3,"",_xlfn.XLOOKUP(AQ$7,Marketing!$M$6:$BM$6,Marketing!$M$10:$BM$10))</f>
        <v>G</v>
      </c>
      <c r="AR103" s="159" t="str">
        <f>IF(AR$7&gt;$D$3,"",_xlfn.XLOOKUP(AR$7,Marketing!$M$6:$BM$6,Marketing!$M$10:$BM$10))</f>
        <v>G</v>
      </c>
      <c r="AS103" s="159" t="str">
        <f>IF(AS$7&gt;$D$3,"",_xlfn.XLOOKUP(AS$7,Marketing!$M$6:$BM$6,Marketing!$M$10:$BM$10))</f>
        <v>G</v>
      </c>
      <c r="AT103" s="159" t="str">
        <f>IF(AT$7&gt;$D$3,"",_xlfn.XLOOKUP(AT$7,Marketing!$M$6:$BM$6,Marketing!$M$10:$BM$10))</f>
        <v>G</v>
      </c>
      <c r="AU103" s="159" t="str">
        <f>IF(AU$7&gt;$D$3,"",_xlfn.XLOOKUP(AU$7,Marketing!$M$6:$BM$6,Marketing!$M$10:$BM$10))</f>
        <v>G</v>
      </c>
      <c r="AV103" s="159" t="str">
        <f>IF(AV$7&gt;$D$3,"",_xlfn.XLOOKUP(AV$7,Marketing!$M$6:$BM$6,Marketing!$M$10:$BM$10))</f>
        <v>G</v>
      </c>
      <c r="AW103" s="159" t="str">
        <f>IF(AW$7&gt;$D$3,"",_xlfn.XLOOKUP(AW$7,Marketing!$M$6:$BM$6,Marketing!$M$10:$BM$10))</f>
        <v>G</v>
      </c>
      <c r="AX103" s="159" t="str">
        <f>IF(AX$7&gt;$D$3,"",_xlfn.XLOOKUP(AX$7,Marketing!$M$6:$BM$6,Marketing!$M$10:$BM$10))</f>
        <v>G</v>
      </c>
      <c r="AY103" s="159" t="str">
        <f>IF(AY$7&gt;$D$3,"",_xlfn.XLOOKUP(AY$7,Marketing!$M$6:$BM$6,Marketing!$M$10:$BM$10))</f>
        <v>G</v>
      </c>
      <c r="AZ103" s="159" t="str">
        <f>IF(AZ$7&gt;$D$3,"",_xlfn.XLOOKUP(AZ$7,Marketing!$M$6:$BM$6,Marketing!$M$10:$BM$10))</f>
        <v>G</v>
      </c>
      <c r="BA103" s="159" t="str">
        <f>IF(BA$7&gt;$D$3,"",_xlfn.XLOOKUP(BA$7,Marketing!$M$6:$BM$6,Marketing!$M$10:$BM$10))</f>
        <v>G</v>
      </c>
      <c r="BB103" s="159" t="str">
        <f>IF(BB$7&gt;$D$3,"",_xlfn.XLOOKUP(BB$7,Marketing!$M$6:$BM$6,Marketing!$M$10:$BM$10))</f>
        <v>G</v>
      </c>
      <c r="BC103" s="159" t="str">
        <f>IF(BC$7&gt;$D$3,"",_xlfn.XLOOKUP(BC$7,Marketing!$M$6:$BM$6,Marketing!$M$10:$BM$10))</f>
        <v>G</v>
      </c>
      <c r="BD103" s="159" t="str">
        <f>IF(BD$7&gt;$D$3,"",_xlfn.XLOOKUP(BD$7,Marketing!$M$6:$BM$6,Marketing!$M$10:$BM$10))</f>
        <v>G</v>
      </c>
      <c r="BE103" s="159" t="str">
        <f>IF(BE$7&gt;$D$3,"",_xlfn.XLOOKUP(BE$7,Marketing!$M$6:$BM$6,Marketing!$M$10:$BM$10))</f>
        <v>G</v>
      </c>
      <c r="BF103" s="159" t="str">
        <f>IF(BF$7&gt;$D$3,"",_xlfn.XLOOKUP(BF$7,Marketing!$M$6:$BM$6,Marketing!$M$10:$BM$10))</f>
        <v>G</v>
      </c>
      <c r="BG103" s="159" t="str">
        <f>IF(BG$7&gt;$D$3,"",_xlfn.XLOOKUP(BG$7,Marketing!$M$6:$BM$6,Marketing!$M$10:$BM$10))</f>
        <v>G</v>
      </c>
      <c r="BH103" s="159" t="str">
        <f>IF(BH$7&gt;$D$3,"",_xlfn.XLOOKUP(BH$7,Marketing!$M$6:$BM$6,Marketing!$M$10:$BM$10))</f>
        <v>G</v>
      </c>
      <c r="BI103" s="159" t="str">
        <f>IF(BI$7&gt;$D$3,"",_xlfn.XLOOKUP(BI$7,Marketing!$M$6:$BM$6,Marketing!$M$10:$BM$10))</f>
        <v>G</v>
      </c>
      <c r="BJ103" s="159" t="str">
        <f>IF(BJ$7&gt;$D$3,"",_xlfn.XLOOKUP(BJ$7,Marketing!$M$6:$BM$6,Marketing!$M$10:$BM$10))</f>
        <v>G</v>
      </c>
      <c r="BK103" s="159" t="str">
        <f>IF(BK$7&gt;$D$3,"",_xlfn.XLOOKUP(BK$7,Marketing!$M$6:$BM$6,Marketing!$M$10:$BM$10))</f>
        <v>G</v>
      </c>
      <c r="BL103" s="159" t="str">
        <f>IF(BL$7&gt;$D$3,"",_xlfn.XLOOKUP(BL$7,Marketing!$M$6:$BM$6,Marketing!$M$10:$BM$10))</f>
        <v>G</v>
      </c>
      <c r="BM103" s="159" t="str">
        <f>IF(BM$7&gt;$D$3,"",_xlfn.XLOOKUP(BM$7,Marketing!$M$6:$BM$6,Marketing!$M$10:$BM$10))</f>
        <v>G</v>
      </c>
      <c r="BN103" s="159" t="str">
        <f>IF(BN$7&gt;$D$3,"",_xlfn.XLOOKUP(BN$7,Marketing!$M$6:$BM$6,Marketing!$M$10:$BM$10))</f>
        <v>G</v>
      </c>
      <c r="BO103" s="159" t="str">
        <f>IF(BO$7&gt;$D$3,"",_xlfn.XLOOKUP(BO$7,Marketing!$M$6:$BM$6,Marketing!$M$10:$BM$10))</f>
        <v>G</v>
      </c>
      <c r="BP103" s="159" t="str">
        <f>IF(BP$7&gt;$D$3,"",_xlfn.XLOOKUP(BP$7,Marketing!$M$6:$BM$6,Marketing!$M$10:$BM$10))</f>
        <v>G</v>
      </c>
      <c r="BQ103" s="159" t="str">
        <f>IF(BQ$7&gt;$D$3,"",_xlfn.XLOOKUP(BQ$7,Marketing!$M$6:$BM$6,Marketing!$M$10:$BM$10))</f>
        <v>G</v>
      </c>
      <c r="BR103" s="159" t="str">
        <f>IF(BR$7&gt;$D$3,"",_xlfn.XLOOKUP(BR$7,Marketing!$M$6:$BM$6,Marketing!$M$10:$BM$10))</f>
        <v>G</v>
      </c>
      <c r="BS103" s="159" t="str">
        <f>IF(BS$7&gt;$D$3,"",_xlfn.XLOOKUP(BS$7,Marketing!$M$6:$BM$6,Marketing!$M$10:$BM$10))</f>
        <v>G</v>
      </c>
      <c r="BT103" s="159" t="str">
        <f>IF(BT$7&gt;$D$3,"",_xlfn.XLOOKUP(BT$7,Marketing!$M$6:$BM$6,Marketing!$M$10:$BM$10))</f>
        <v>G</v>
      </c>
      <c r="BU103" s="159" t="str">
        <f>IF(BU$7&gt;$D$3,"",_xlfn.XLOOKUP(BU$7,Marketing!$M$6:$BM$6,Marketing!$M$10:$BM$10))</f>
        <v>G</v>
      </c>
      <c r="BV103" s="159" t="str">
        <f>IF(BV$7&gt;$D$3,"",_xlfn.XLOOKUP(BV$7,Marketing!$M$6:$BM$6,Marketing!$M$10:$BM$10))</f>
        <v>G</v>
      </c>
      <c r="BW103" s="159" t="str">
        <f>IF(BW$7&gt;$D$3,"",_xlfn.XLOOKUP(BW$7,Marketing!$M$6:$BM$6,Marketing!$M$10:$BM$10))</f>
        <v>G</v>
      </c>
      <c r="BX103" s="159" t="str">
        <f>IF(BX$7&gt;$D$3,"",_xlfn.XLOOKUP(BX$7,Marketing!$M$6:$BM$6,Marketing!$M$10:$BM$10))</f>
        <v>G</v>
      </c>
      <c r="BY103" s="159" t="str">
        <f>IF(BY$7&gt;$D$3,"",_xlfn.XLOOKUP(BY$7,Marketing!$M$6:$BM$6,Marketing!$M$10:$BM$10))</f>
        <v>G</v>
      </c>
      <c r="BZ103" s="159" t="str">
        <f>IF(BZ$7&gt;$D$3,"",_xlfn.XLOOKUP(BZ$7,Marketing!$M$6:$BM$6,Marketing!$M$10:$BM$10))</f>
        <v>G</v>
      </c>
      <c r="CA103" s="159" t="str">
        <f>IF(CA$7&gt;$D$3,"",_xlfn.XLOOKUP(CA$7,Marketing!$M$6:$BM$6,Marketing!$M$10:$BM$10))</f>
        <v>G</v>
      </c>
      <c r="CB103" s="159" t="str">
        <f>IF(CB$7&gt;$D$3,"",_xlfn.XLOOKUP(CB$7,Marketing!$M$6:$BM$6,Marketing!$M$10:$BM$10))</f>
        <v>G</v>
      </c>
      <c r="CC103" s="159" t="str">
        <f>IF(CC$7&gt;$D$3,"",_xlfn.XLOOKUP(CC$7,Marketing!$M$6:$BM$6,Marketing!$M$10:$BM$10))</f>
        <v/>
      </c>
      <c r="CD103" s="159" t="str">
        <f>IF(CD$7&gt;$D$3,"",_xlfn.XLOOKUP(CD$7,Marketing!$M$6:$BM$6,Marketing!$M$10:$BM$10))</f>
        <v/>
      </c>
      <c r="CE103" s="159" t="str">
        <f>IF(CE$7&gt;$D$3,"",_xlfn.XLOOKUP(CE$7,Marketing!$M$6:$BM$6,Marketing!$M$10:$BM$10))</f>
        <v/>
      </c>
      <c r="CF103" s="159" t="str">
        <f>IF(CF$7&gt;$D$3,"",_xlfn.XLOOKUP(CF$7,Marketing!$M$6:$BM$6,Marketing!$M$10:$BM$10))</f>
        <v/>
      </c>
      <c r="CG103" s="159" t="str">
        <f>IF(CG$7&gt;$D$3,"",_xlfn.XLOOKUP(CG$7,Marketing!$M$6:$BM$6,Marketing!$M$10:$BM$10))</f>
        <v/>
      </c>
      <c r="CH103" s="159" t="str">
        <f>IF(CH$7&gt;$D$3,"",_xlfn.XLOOKUP(CH$7,Marketing!$M$6:$BM$6,Marketing!$M$10:$BM$10))</f>
        <v/>
      </c>
      <c r="CI103" s="159" t="str">
        <f>IF(CI$7&gt;$D$3,"",_xlfn.XLOOKUP(CI$7,Marketing!$M$6:$BM$6,Marketing!$M$10:$BM$10))</f>
        <v/>
      </c>
      <c r="CJ103" s="159" t="str">
        <f>IF(CJ$7&gt;$D$3,"",_xlfn.XLOOKUP(CJ$7,Marketing!$M$6:$BM$6,Marketing!$M$10:$BM$10))</f>
        <v/>
      </c>
      <c r="CK103" s="159" t="str">
        <f>IF(CK$7&gt;$D$3,"",_xlfn.XLOOKUP(CK$7,Marketing!$M$6:$BM$6,Marketing!$M$10:$BM$10))</f>
        <v/>
      </c>
      <c r="CL103" s="159" t="str">
        <f>IF(CL$7&gt;$D$3,"",_xlfn.XLOOKUP(CL$7,Marketing!$M$6:$BM$6,Marketing!$M$10:$BM$10))</f>
        <v/>
      </c>
      <c r="CM103" s="159" t="str">
        <f>IF(CM$7&gt;$D$3,"",_xlfn.XLOOKUP(CM$7,Marketing!$M$6:$BM$6,Marketing!$M$10:$BM$10))</f>
        <v/>
      </c>
      <c r="CO103" s="465" t="str">
        <f>+$A103</f>
        <v>Marketing-KPI P1</v>
      </c>
      <c r="CP103" s="133" t="str">
        <f t="shared" ref="CP103:CQ106" si="353">+C103</f>
        <v>KPI P1</v>
      </c>
      <c r="CQ103" s="142" t="str">
        <f t="shared" si="353"/>
        <v>Productivity</v>
      </c>
      <c r="CR103" s="142" t="str">
        <f t="shared" si="340"/>
        <v>Tasks complete per week</v>
      </c>
      <c r="CS103" s="143" t="str">
        <f t="shared" si="340"/>
        <v>Count</v>
      </c>
      <c r="CT103" s="206" t="s">
        <v>246</v>
      </c>
      <c r="CU103" s="628" t="str">
        <f>IF(CU$7&gt;$D$3,"",_xlfn.XLOOKUP(CU$7,IT!$M$6:$BM$6,IT!$M$16:$BM$16))</f>
        <v>Blank</v>
      </c>
      <c r="CV103" s="327">
        <f>IFERROR(IF(CV$7&gt;$D$3,"",IF(AN103="OD","OD",IF(AN103="Missed","Missed",IF(AN103="TBC","TBC",IF(AN103="Undefined","Undefined",_xlfn.XLOOKUP(CV$7,Marketing!$M$6:$BM$6,Marketing!$M$9:$BM$9)/_xlfn.XLOOKUP(CV$7,Marketing!$M$6:$BM$6,Marketing!$M$8:$BM$8)))))),"")</f>
        <v>2</v>
      </c>
      <c r="CW103" s="328">
        <f>IFERROR(IF(CW$7&gt;$D$3,"",IF(AO103="OD","OD",IF(AO103="Missed","Missed",IF(AO103="TBC","TBC",IF(AO103="Undefined","Undefined",_xlfn.XLOOKUP(CW$7,Marketing!$M$6:$BM$6,Marketing!$M$9:$BM$9)/_xlfn.XLOOKUP(CW$7,Marketing!$M$6:$BM$6,Marketing!$M$8:$BM$8)))))),"")</f>
        <v>3.3333333333333335</v>
      </c>
      <c r="CX103" s="328">
        <f>IFERROR(IF(CX$7&gt;$D$3,"",IF(AP103="OD","OD",IF(AP103="Missed","Missed",IF(AP103="TBC","TBC",IF(AP103="Undefined","Undefined",_xlfn.XLOOKUP(CX$7,Marketing!$M$6:$BM$6,Marketing!$M$9:$BM$9)/_xlfn.XLOOKUP(CX$7,Marketing!$M$6:$BM$6,Marketing!$M$8:$BM$8)))))),"")</f>
        <v>2.5</v>
      </c>
      <c r="CY103" s="328">
        <f>IFERROR(IF(CY$7&gt;$D$3,"",IF(AQ103="OD","OD",IF(AQ103="Missed","Missed",IF(AQ103="TBC","TBC",IF(AQ103="Undefined","Undefined",_xlfn.XLOOKUP(CY$7,Marketing!$M$6:$BM$6,Marketing!$M$9:$BM$9)/_xlfn.XLOOKUP(CY$7,Marketing!$M$6:$BM$6,Marketing!$M$8:$BM$8)))))),"")</f>
        <v>2.5</v>
      </c>
      <c r="CZ103" s="328">
        <f>IFERROR(IF(CZ$7&gt;$D$3,"",IF(AR103="OD","OD",IF(AR103="Missed","Missed",IF(AR103="TBC","TBC",IF(AR103="Undefined","Undefined",_xlfn.XLOOKUP(CZ$7,Marketing!$M$6:$BM$6,Marketing!$M$9:$BM$9)/_xlfn.XLOOKUP(CZ$7,Marketing!$M$6:$BM$6,Marketing!$M$8:$BM$8)))))),"")</f>
        <v>1.3333333333333333</v>
      </c>
      <c r="DA103" s="328">
        <f>IFERROR(IF(DA$7&gt;$D$3,"",IF(AS103="OD","OD",IF(AS103="Missed","Missed",IF(AS103="TBC","TBC",IF(AS103="Undefined","Undefined",_xlfn.XLOOKUP(DA$7,Marketing!$M$6:$BM$6,Marketing!$M$9:$BM$9)/_xlfn.XLOOKUP(DA$7,Marketing!$M$6:$BM$6,Marketing!$M$8:$BM$8)))))),"")</f>
        <v>1.6666666666666667</v>
      </c>
      <c r="DB103" s="328">
        <f>IFERROR(IF(DB$7&gt;$D$3,"",IF(AT103="OD","OD",IF(AT103="Missed","Missed",IF(AT103="TBC","TBC",IF(AT103="Undefined","Undefined",_xlfn.XLOOKUP(DB$7,Marketing!$M$6:$BM$6,Marketing!$M$9:$BM$9)/_xlfn.XLOOKUP(DB$7,Marketing!$M$6:$BM$6,Marketing!$M$8:$BM$8)))))),"")</f>
        <v>2.5</v>
      </c>
      <c r="DC103" s="328">
        <f>IFERROR(IF(DC$7&gt;$D$3,"",IF(AU103="OD","OD",IF(AU103="Missed","Missed",IF(AU103="TBC","TBC",IF(AU103="Undefined","Undefined",_xlfn.XLOOKUP(DC$7,Marketing!$M$6:$BM$6,Marketing!$M$9:$BM$9)/_xlfn.XLOOKUP(DC$7,Marketing!$M$6:$BM$6,Marketing!$M$8:$BM$8)))))),"")</f>
        <v>2</v>
      </c>
      <c r="DD103" s="328">
        <f>IFERROR(IF(DD$7&gt;$D$3,"",IF(AV103="OD","OD",IF(AV103="Missed","Missed",IF(AV103="TBC","TBC",IF(AV103="Undefined","Undefined",_xlfn.XLOOKUP(DD$7,Marketing!$M$6:$BM$6,Marketing!$M$9:$BM$9)/_xlfn.XLOOKUP(DD$7,Marketing!$M$6:$BM$6,Marketing!$M$8:$BM$8)))))),"")</f>
        <v>2</v>
      </c>
      <c r="DE103" s="328">
        <f>IFERROR(IF(DE$7&gt;$D$3,"",IF(AW103="OD","OD",IF(AW103="Missed","Missed",IF(AW103="TBC","TBC",IF(AW103="Undefined","Undefined",_xlfn.XLOOKUP(DE$7,Marketing!$M$6:$BM$6,Marketing!$M$9:$BM$9)/_xlfn.XLOOKUP(DE$7,Marketing!$M$6:$BM$6,Marketing!$M$8:$BM$8)))))),"")</f>
        <v>1.3333333333333333</v>
      </c>
      <c r="DF103" s="328">
        <f>IFERROR(IF(DF$7&gt;$D$3,"",IF(AX103="OD","OD",IF(AX103="Missed","Missed",IF(AX103="TBC","TBC",IF(AX103="Undefined","Undefined",_xlfn.XLOOKUP(DF$7,Marketing!$M$6:$BM$6,Marketing!$M$9:$BM$9)/_xlfn.XLOOKUP(DF$7,Marketing!$M$6:$BM$6,Marketing!$M$8:$BM$8)))))),"")</f>
        <v>4</v>
      </c>
      <c r="DG103" s="328">
        <f>IFERROR(IF(DG$7&gt;$D$3,"",IF(AY103="OD","OD",IF(AY103="Missed","Missed",IF(AY103="TBC","TBC",IF(AY103="Undefined","Undefined",_xlfn.XLOOKUP(DG$7,Marketing!$M$6:$BM$6,Marketing!$M$9:$BM$9)/_xlfn.XLOOKUP(DG$7,Marketing!$M$6:$BM$6,Marketing!$M$8:$BM$8)))))),"")</f>
        <v>4.5</v>
      </c>
      <c r="DH103" s="328">
        <f>IFERROR(IF(DH$7&gt;$D$3,"",IF(AZ103="OD","OD",IF(AZ103="Missed","Missed",IF(AZ103="TBC","TBC",IF(AZ103="Undefined","Undefined",_xlfn.XLOOKUP(DH$7,Marketing!$M$6:$BM$6,Marketing!$M$9:$BM$9)/_xlfn.XLOOKUP(DH$7,Marketing!$M$6:$BM$6,Marketing!$M$8:$BM$8)))))),"")</f>
        <v>1.6666666666666667</v>
      </c>
      <c r="DI103" s="328">
        <f>IFERROR(IF(DI$7&gt;$D$3,"",IF(BA103="OD","OD",IF(BA103="Missed","Missed",IF(BA103="TBC","TBC",IF(BA103="Undefined","Undefined",_xlfn.XLOOKUP(DI$7,Marketing!$M$6:$BM$6,Marketing!$M$9:$BM$9)/_xlfn.XLOOKUP(DI$7,Marketing!$M$6:$BM$6,Marketing!$M$8:$BM$8)))))),"")</f>
        <v>2.3333333333333335</v>
      </c>
      <c r="DJ103" s="328">
        <f>IFERROR(IF(DJ$7&gt;$D$3,"",IF(BB103="OD","OD",IF(BB103="Missed","Missed",IF(BB103="TBC","TBC",IF(BB103="Undefined","Undefined",_xlfn.XLOOKUP(DJ$7,Marketing!$M$6:$BM$6,Marketing!$M$9:$BM$9)/_xlfn.XLOOKUP(DJ$7,Marketing!$M$6:$BM$6,Marketing!$M$8:$BM$8)))))),"")</f>
        <v>3.5</v>
      </c>
      <c r="DK103" s="328">
        <f>IFERROR(IF(DK$7&gt;$D$3,"",IF(BC103="OD","OD",IF(BC103="Missed","Missed",IF(BC103="TBC","TBC",IF(BC103="Undefined","Undefined",_xlfn.XLOOKUP(DK$7,Marketing!$M$6:$BM$6,Marketing!$M$9:$BM$9)/_xlfn.XLOOKUP(DK$7,Marketing!$M$6:$BM$6,Marketing!$M$8:$BM$8)))))),"")</f>
        <v>5</v>
      </c>
      <c r="DL103" s="328">
        <f>IFERROR(IF(DL$7&gt;$D$3,"",IF(BD103="OD","OD",IF(BD103="Missed","Missed",IF(BD103="TBC","TBC",IF(BD103="Undefined","Undefined",_xlfn.XLOOKUP(DL$7,Marketing!$M$6:$BM$6,Marketing!$M$9:$BM$9)/_xlfn.XLOOKUP(DL$7,Marketing!$M$6:$BM$6,Marketing!$M$8:$BM$8)))))),"")</f>
        <v>2.6666666666666665</v>
      </c>
      <c r="DM103" s="328">
        <f>IFERROR(IF(DM$7&gt;$D$3,"",IF(BE103="OD","OD",IF(BE103="Missed","Missed",IF(BE103="TBC","TBC",IF(BE103="Undefined","Undefined",_xlfn.XLOOKUP(DM$7,Marketing!$M$6:$BM$6,Marketing!$M$9:$BM$9)/_xlfn.XLOOKUP(DM$7,Marketing!$M$6:$BM$6,Marketing!$M$8:$BM$8)))))),"")</f>
        <v>2.6666666666666665</v>
      </c>
      <c r="DN103" s="328">
        <f>IFERROR(IF(DN$7&gt;$D$3,"",IF(BF103="OD","OD",IF(BF103="Missed","Missed",IF(BF103="TBC","TBC",IF(BF103="Undefined","Undefined",_xlfn.XLOOKUP(DN$7,Marketing!$M$6:$BM$6,Marketing!$M$9:$BM$9)/_xlfn.XLOOKUP(DN$7,Marketing!$M$6:$BM$6,Marketing!$M$8:$BM$8)))))),"")</f>
        <v>6.5</v>
      </c>
      <c r="DO103" s="328">
        <f>IFERROR(IF(DO$7&gt;$D$3,"",IF(BG103="OD","OD",IF(BG103="Missed","Missed",IF(BG103="TBC","TBC",IF(BG103="Undefined","Undefined",_xlfn.XLOOKUP(DO$7,Marketing!$M$6:$BM$6,Marketing!$M$9:$BM$9)/_xlfn.XLOOKUP(DO$7,Marketing!$M$6:$BM$6,Marketing!$M$8:$BM$8)))))),"")</f>
        <v>5</v>
      </c>
      <c r="DP103" s="328">
        <f>IFERROR(IF(DP$7&gt;$D$3,"",IF(BH103="OD","OD",IF(BH103="Missed","Missed",IF(BH103="TBC","TBC",IF(BH103="Undefined","Undefined",_xlfn.XLOOKUP(DP$7,Marketing!$M$6:$BM$6,Marketing!$M$9:$BM$9)/_xlfn.XLOOKUP(DP$7,Marketing!$M$6:$BM$6,Marketing!$M$8:$BM$8)))))),"")</f>
        <v>3</v>
      </c>
      <c r="DQ103" s="328">
        <f>IFERROR(IF(DQ$7&gt;$D$3,"",IF(BI103="OD","OD",IF(BI103="Missed","Missed",IF(BI103="TBC","TBC",IF(BI103="Undefined","Undefined",_xlfn.XLOOKUP(DQ$7,Marketing!$M$6:$BM$6,Marketing!$M$9:$BM$9)/_xlfn.XLOOKUP(DQ$7,Marketing!$M$6:$BM$6,Marketing!$M$8:$BM$8)))))),"")</f>
        <v>2.2000000000000002</v>
      </c>
      <c r="DR103" s="328">
        <f>IFERROR(IF(DR$7&gt;$D$3,"",IF(BJ103="OD","OD",IF(BJ103="Missed","Missed",IF(BJ103="TBC","TBC",IF(BJ103="Undefined","Undefined",_xlfn.XLOOKUP(DR$7,Marketing!$M$6:$BM$6,Marketing!$M$9:$BM$9)/_xlfn.XLOOKUP(DR$7,Marketing!$M$6:$BM$6,Marketing!$M$8:$BM$8)))))),"")</f>
        <v>2.5</v>
      </c>
      <c r="DS103" s="328">
        <f>IFERROR(IF(DS$7&gt;$D$3,"",IF(BK103="OD","OD",IF(BK103="Missed","Missed",IF(BK103="TBC","TBC",IF(BK103="Undefined","Undefined",_xlfn.XLOOKUP(DS$7,Marketing!$M$6:$BM$6,Marketing!$M$9:$BM$9)/_xlfn.XLOOKUP(DS$7,Marketing!$M$6:$BM$6,Marketing!$M$8:$BM$8)))))),"")</f>
        <v>3.25</v>
      </c>
      <c r="DT103" s="328">
        <f>IFERROR(IF(DT$7&gt;$D$3,"",IF(BL103="OD","OD",IF(BL103="Missed","Missed",IF(BL103="TBC","TBC",IF(BL103="Undefined","Undefined",_xlfn.XLOOKUP(DT$7,Marketing!$M$6:$BM$6,Marketing!$M$9:$BM$9)/_xlfn.XLOOKUP(DT$7,Marketing!$M$6:$BM$6,Marketing!$M$8:$BM$8)))))),"")</f>
        <v>1.4</v>
      </c>
      <c r="DU103" s="328">
        <f>IFERROR(IF(DU$7&gt;$D$3,"",IF(BM103="OD","OD",IF(BM103="Missed","Missed",IF(BM103="TBC","TBC",IF(BM103="Undefined","Undefined",_xlfn.XLOOKUP(DU$7,Marketing!$M$6:$BM$6,Marketing!$M$9:$BM$9)/_xlfn.XLOOKUP(DU$7,Marketing!$M$6:$BM$6,Marketing!$M$8:$BM$8)))))),"")</f>
        <v>1.6</v>
      </c>
      <c r="DV103" s="328">
        <f>IFERROR(IF(DV$7&gt;$D$3,"",IF(BN103="OD","OD",IF(BN103="Missed","Missed",IF(BN103="TBC","TBC",IF(BN103="Undefined","Undefined",_xlfn.XLOOKUP(DV$7,Marketing!$M$6:$BM$6,Marketing!$M$9:$BM$9)/_xlfn.XLOOKUP(DV$7,Marketing!$M$6:$BM$6,Marketing!$M$8:$BM$8)))))),"")</f>
        <v>3.75</v>
      </c>
      <c r="DW103" s="328">
        <f>IFERROR(IF(DW$7&gt;$D$3,"",IF(BO103="OD","OD",IF(BO103="Missed","Missed",IF(BO103="TBC","TBC",IF(BO103="Undefined","Undefined",_xlfn.XLOOKUP(DW$7,Marketing!$M$6:$BM$6,Marketing!$M$9:$BM$9)/_xlfn.XLOOKUP(DW$7,Marketing!$M$6:$BM$6,Marketing!$M$8:$BM$8)))))),"")</f>
        <v>2</v>
      </c>
      <c r="DX103" s="328">
        <f>IFERROR(IF(DX$7&gt;$D$3,"",IF(BP103="OD","OD",IF(BP103="Missed","Missed",IF(BP103="TBC","TBC",IF(BP103="Undefined","Undefined",_xlfn.XLOOKUP(DX$7,Marketing!$M$6:$BM$6,Marketing!$M$9:$BM$9)/_xlfn.XLOOKUP(DX$7,Marketing!$M$6:$BM$6,Marketing!$M$8:$BM$8)))))),"")</f>
        <v>1.6</v>
      </c>
      <c r="DY103" s="328">
        <f>IFERROR(IF(DY$7&gt;$D$3,"",IF(BQ103="OD","OD",IF(BQ103="Missed","Missed",IF(BQ103="TBC","TBC",IF(BQ103="Undefined","Undefined",_xlfn.XLOOKUP(DY$7,Marketing!$M$6:$BM$6,Marketing!$M$9:$BM$9)/_xlfn.XLOOKUP(DY$7,Marketing!$M$6:$BM$6,Marketing!$M$8:$BM$8)))))),"")</f>
        <v>2</v>
      </c>
      <c r="DZ103" s="328">
        <f>IFERROR(IF(DZ$7&gt;$D$3,"",IF(BR103="OD","OD",IF(BR103="Missed","Missed",IF(BR103="TBC","TBC",IF(BR103="Undefined","Undefined",_xlfn.XLOOKUP(DZ$7,Marketing!$M$6:$BM$6,Marketing!$M$9:$BM$9)/_xlfn.XLOOKUP(DZ$7,Marketing!$M$6:$BM$6,Marketing!$M$8:$BM$8)))))),"")</f>
        <v>2.75</v>
      </c>
      <c r="EA103" s="328">
        <f>IFERROR(IF(EA$7&gt;$D$3,"",IF(BS103="OD","OD",IF(BS103="Missed","Missed",IF(BS103="TBC","TBC",IF(BS103="Undefined","Undefined",_xlfn.XLOOKUP(EA$7,Marketing!$M$6:$BM$6,Marketing!$M$9:$BM$9)/_xlfn.XLOOKUP(EA$7,Marketing!$M$6:$BM$6,Marketing!$M$8:$BM$8)))))),"")</f>
        <v>2.75</v>
      </c>
      <c r="EB103" s="328">
        <f>IFERROR(IF(EB$7&gt;$D$3,"",IF(BT103="OD","OD",IF(BT103="Missed","Missed",IF(BT103="TBC","TBC",IF(BT103="Undefined","Undefined",_xlfn.XLOOKUP(EB$7,Marketing!$M$6:$BM$6,Marketing!$M$9:$BM$9)/_xlfn.XLOOKUP(EB$7,Marketing!$M$6:$BM$6,Marketing!$M$8:$BM$8)))))),"")</f>
        <v>1.5</v>
      </c>
      <c r="EC103" s="328">
        <f>IFERROR(IF(EC$7&gt;$D$3,"",IF(BU103="OD","OD",IF(BU103="Missed","Missed",IF(BU103="TBC","TBC",IF(BU103="Undefined","Undefined",_xlfn.XLOOKUP(EC$7,Marketing!$M$6:$BM$6,Marketing!$M$9:$BM$9)/_xlfn.XLOOKUP(EC$7,Marketing!$M$6:$BM$6,Marketing!$M$8:$BM$8)))))),"")</f>
        <v>1.4</v>
      </c>
      <c r="ED103" s="328">
        <f>IFERROR(IF(ED$7&gt;$D$3,"",IF(BV103="OD","OD",IF(BV103="Missed","Missed",IF(BV103="TBC","TBC",IF(BV103="Undefined","Undefined",_xlfn.XLOOKUP(ED$7,Marketing!$M$6:$BM$6,Marketing!$M$9:$BM$9)/_xlfn.XLOOKUP(ED$7,Marketing!$M$6:$BM$6,Marketing!$M$8:$BM$8)))))),"")</f>
        <v>2.75</v>
      </c>
      <c r="EE103" s="328">
        <f>IFERROR(IF(EE$7&gt;$D$3,"",IF(BW103="OD","OD",IF(BW103="Missed","Missed",IF(BW103="TBC","TBC",IF(BW103="Undefined","Undefined",_xlfn.XLOOKUP(EE$7,Marketing!$M$6:$BM$6,Marketing!$M$9:$BM$9)/_xlfn.XLOOKUP(EE$7,Marketing!$M$6:$BM$6,Marketing!$M$8:$BM$8)))))),"")</f>
        <v>2.25</v>
      </c>
      <c r="EF103" s="328">
        <f>IFERROR(IF(EF$7&gt;$D$3,"",IF(BX103="OD","OD",IF(BX103="Missed","Missed",IF(BX103="TBC","TBC",IF(BX103="Undefined","Undefined",_xlfn.XLOOKUP(EF$7,Marketing!$M$6:$BM$6,Marketing!$M$9:$BM$9)/_xlfn.XLOOKUP(EF$7,Marketing!$M$6:$BM$6,Marketing!$M$8:$BM$8)))))),"")</f>
        <v>2.2000000000000002</v>
      </c>
      <c r="EG103" s="328">
        <f>IFERROR(IF(EG$7&gt;$D$3,"",IF(BY103="OD","OD",IF(BY103="Missed","Missed",IF(BY103="TBC","TBC",IF(BY103="Undefined","Undefined",_xlfn.XLOOKUP(EG$7,Marketing!$M$6:$BM$6,Marketing!$M$9:$BM$9)/_xlfn.XLOOKUP(EG$7,Marketing!$M$6:$BM$6,Marketing!$M$8:$BM$8)))))),"")</f>
        <v>1.2</v>
      </c>
      <c r="EH103" s="328">
        <f>IFERROR(IF(EH$7&gt;$D$3,"",IF(BZ103="OD","OD",IF(BZ103="Missed","Missed",IF(BZ103="TBC","TBC",IF(BZ103="Undefined","Undefined",_xlfn.XLOOKUP(EH$7,Marketing!$M$6:$BM$6,Marketing!$M$9:$BM$9)/_xlfn.XLOOKUP(EH$7,Marketing!$M$6:$BM$6,Marketing!$M$8:$BM$8)))))),"")</f>
        <v>2.25</v>
      </c>
      <c r="EI103" s="328">
        <f>IFERROR(IF(EI$7&gt;$D$3,"",IF(CA103="OD","OD",IF(CA103="Missed","Missed",IF(CA103="TBC","TBC",IF(CA103="Undefined","Undefined",_xlfn.XLOOKUP(EI$7,Marketing!$M$6:$BM$6,Marketing!$M$9:$BM$9)/_xlfn.XLOOKUP(EI$7,Marketing!$M$6:$BM$6,Marketing!$M$8:$BM$8)))))),"")</f>
        <v>2.25</v>
      </c>
      <c r="EJ103" s="328">
        <f>IFERROR(IF(EJ$7&gt;$D$3,"",IF(CB103="OD","OD",IF(CB103="Missed","Missed",IF(CB103="TBC","TBC",IF(CB103="Undefined","Undefined",_xlfn.XLOOKUP(EJ$7,Marketing!$M$6:$BM$6,Marketing!$M$9:$BM$9)/_xlfn.XLOOKUP(EJ$7,Marketing!$M$6:$BM$6,Marketing!$M$8:$BM$8)))))),"")</f>
        <v>1.6</v>
      </c>
      <c r="EK103" s="328" t="str">
        <f>IFERROR(IF(EK$7&gt;$D$3,"",IF(CC103="OD","OD",IF(CC103="Missed","Missed",IF(CC103="TBC","TBC",IF(CC103="Undefined","Undefined",_xlfn.XLOOKUP(EK$7,Marketing!$M$6:$BM$6,Marketing!$M$9:$BM$9)/_xlfn.XLOOKUP(EK$7,Marketing!$M$6:$BM$6,Marketing!$M$8:$BM$8)))))),"")</f>
        <v/>
      </c>
      <c r="EL103" s="328" t="str">
        <f>IFERROR(IF(EL$7&gt;$D$3,"",IF(CD103="OD","OD",IF(CD103="Missed","Missed",IF(CD103="TBC","TBC",IF(CD103="Undefined","Undefined",_xlfn.XLOOKUP(EL$7,Marketing!$M$6:$BM$6,Marketing!$M$9:$BM$9)/_xlfn.XLOOKUP(EL$7,Marketing!$M$6:$BM$6,Marketing!$M$8:$BM$8)))))),"")</f>
        <v/>
      </c>
      <c r="EM103" s="328" t="str">
        <f>IFERROR(IF(EM$7&gt;$D$3,"",IF(CE103="OD","OD",IF(CE103="Missed","Missed",IF(CE103="TBC","TBC",IF(CE103="Undefined","Undefined",_xlfn.XLOOKUP(EM$7,Marketing!$M$6:$BM$6,Marketing!$M$9:$BM$9)/_xlfn.XLOOKUP(EM$7,Marketing!$M$6:$BM$6,Marketing!$M$8:$BM$8)))))),"")</f>
        <v/>
      </c>
      <c r="EN103" s="328" t="str">
        <f>IFERROR(IF(EN$7&gt;$D$3,"",IF(CF103="OD","OD",IF(CF103="Missed","Missed",IF(CF103="TBC","TBC",IF(CF103="Undefined","Undefined",_xlfn.XLOOKUP(EN$7,Marketing!$M$6:$BM$6,Marketing!$M$9:$BM$9)/_xlfn.XLOOKUP(EN$7,Marketing!$M$6:$BM$6,Marketing!$M$8:$BM$8)))))),"")</f>
        <v/>
      </c>
      <c r="EO103" s="328" t="str">
        <f>IFERROR(IF(EO$7&gt;$D$3,"",IF(CG103="OD","OD",IF(CG103="Missed","Missed",IF(CG103="TBC","TBC",IF(CG103="Undefined","Undefined",_xlfn.XLOOKUP(EO$7,Marketing!$M$6:$BM$6,Marketing!$M$9:$BM$9)/_xlfn.XLOOKUP(EO$7,Marketing!$M$6:$BM$6,Marketing!$M$8:$BM$8)))))),"")</f>
        <v/>
      </c>
      <c r="EP103" s="328" t="str">
        <f>IFERROR(IF(EP$7&gt;$D$3,"",IF(CH103="OD","OD",IF(CH103="Missed","Missed",IF(CH103="TBC","TBC",IF(CH103="Undefined","Undefined",_xlfn.XLOOKUP(EP$7,Marketing!$M$6:$BM$6,Marketing!$M$9:$BM$9)/_xlfn.XLOOKUP(EP$7,Marketing!$M$6:$BM$6,Marketing!$M$8:$BM$8)))))),"")</f>
        <v/>
      </c>
      <c r="EQ103" s="328" t="str">
        <f>IFERROR(IF(EQ$7&gt;$D$3,"",IF(CI103="OD","OD",IF(CI103="Missed","Missed",IF(CI103="TBC","TBC",IF(CI103="Undefined","Undefined",_xlfn.XLOOKUP(EQ$7,Marketing!$M$6:$BM$6,Marketing!$M$9:$BM$9)/_xlfn.XLOOKUP(EQ$7,Marketing!$M$6:$BM$6,Marketing!$M$8:$BM$8)))))),"")</f>
        <v/>
      </c>
      <c r="ER103" s="328" t="str">
        <f>IFERROR(IF(ER$7&gt;$D$3,"",IF(CJ103="OD","OD",IF(CJ103="Missed","Missed",IF(CJ103="TBC","TBC",IF(CJ103="Undefined","Undefined",_xlfn.XLOOKUP(ER$7,Marketing!$M$6:$BM$6,Marketing!$M$9:$BM$9)/_xlfn.XLOOKUP(ER$7,Marketing!$M$6:$BM$6,Marketing!$M$8:$BM$8)))))),"")</f>
        <v/>
      </c>
      <c r="ES103" s="328" t="str">
        <f>IFERROR(IF(ES$7&gt;$D$3,"",IF(CK103="OD","OD",IF(CK103="Missed","Missed",IF(CK103="TBC","TBC",IF(CK103="Undefined","Undefined",_xlfn.XLOOKUP(ES$7,Marketing!$M$6:$BM$6,Marketing!$M$9:$BM$9)/_xlfn.XLOOKUP(ES$7,Marketing!$M$6:$BM$6,Marketing!$M$8:$BM$8)))))),"")</f>
        <v/>
      </c>
      <c r="ET103" s="328" t="str">
        <f>IFERROR(IF(ET$7&gt;$D$3,"",IF(CL103="OD","OD",IF(CL103="Missed","Missed",IF(CL103="TBC","TBC",IF(CL103="Undefined","Undefined",_xlfn.XLOOKUP(ET$7,Marketing!$M$6:$BM$6,Marketing!$M$9:$BM$9)/_xlfn.XLOOKUP(ET$7,Marketing!$M$6:$BM$6,Marketing!$M$8:$BM$8)))))),"")</f>
        <v/>
      </c>
      <c r="EU103" s="328" t="str">
        <f>IFERROR(IF(EU$7&gt;$D$3,"",IF(CM103="OD","OD",IF(CM103="Missed","Missed",IF(CM103="TBC","TBC",IF(CM103="Undefined","Undefined",_xlfn.XLOOKUP(EU$7,Marketing!$M$6:$BM$6,Marketing!$M$9:$BM$9)/_xlfn.XLOOKUP(EU$7,Marketing!$M$6:$BM$6,Marketing!$M$8:$BM$8)))))),"")</f>
        <v/>
      </c>
      <c r="EW103" s="465" t="str">
        <f>+$A103</f>
        <v>Marketing-KPI P1</v>
      </c>
      <c r="EX103" s="133" t="str">
        <f>+$C103</f>
        <v>KPI P1</v>
      </c>
      <c r="EY103" s="142" t="str">
        <f>+$D103</f>
        <v>Productivity</v>
      </c>
      <c r="EZ103" s="142" t="str">
        <f>+$E103</f>
        <v>Tasks complete per week</v>
      </c>
      <c r="FA103" s="143" t="str">
        <f>+$F103</f>
        <v>Count</v>
      </c>
      <c r="FB103" s="143" t="s">
        <v>251</v>
      </c>
      <c r="FC103" s="225" t="str">
        <f>IF(FC$7&gt;$D$3,"",IF($FA102&lt;FC$7,"OD",_xlfn.XLOOKUP(FC$7,Marketing!$M$6:$BM$6,Marketing!$M$9:$BM$9)))</f>
        <v>Blank</v>
      </c>
      <c r="FD103" s="225">
        <f>IF(FD$7&gt;$D$3,"",IF($FA102&lt;FD$7,"OD",_xlfn.XLOOKUP(FD$7,Marketing!$M$6:$BM$6,Marketing!$M$9:$BM$9)))</f>
        <v>6</v>
      </c>
      <c r="FE103" s="225">
        <f>IF(FE$7&gt;$D$3,"",IF($FA102&lt;FE$7,"OD",_xlfn.XLOOKUP(FE$7,Marketing!$M$6:$BM$6,Marketing!$M$9:$BM$9)))</f>
        <v>10</v>
      </c>
      <c r="FF103" s="225">
        <f>IF(FF$7&gt;$D$3,"",IF($FA102&lt;FF$7,"OD",_xlfn.XLOOKUP(FF$7,Marketing!$M$6:$BM$6,Marketing!$M$9:$BM$9)))</f>
        <v>5</v>
      </c>
      <c r="FG103" s="225">
        <f>IF(FG$7&gt;$D$3,"",IF($FA102&lt;FG$7,"OD",_xlfn.XLOOKUP(FG$7,Marketing!$M$6:$BM$6,Marketing!$M$9:$BM$9)))</f>
        <v>5</v>
      </c>
      <c r="FH103" s="225">
        <f>IF(FH$7&gt;$D$3,"",IF($FA102&lt;FH$7,"OD",_xlfn.XLOOKUP(FH$7,Marketing!$M$6:$BM$6,Marketing!$M$9:$BM$9)))</f>
        <v>4</v>
      </c>
      <c r="FI103" s="225">
        <f>IF(FI$7&gt;$D$3,"",IF($FA102&lt;FI$7,"OD",_xlfn.XLOOKUP(FI$7,Marketing!$M$6:$BM$6,Marketing!$M$9:$BM$9)))</f>
        <v>5</v>
      </c>
      <c r="FJ103" s="225">
        <f>IF(FJ$7&gt;$D$3,"",IF($FA102&lt;FJ$7,"OD",_xlfn.XLOOKUP(FJ$7,Marketing!$M$6:$BM$6,Marketing!$M$9:$BM$9)))</f>
        <v>5</v>
      </c>
      <c r="FK103" s="225">
        <f>IF(FK$7&gt;$D$3,"",IF($FA102&lt;FK$7,"OD",_xlfn.XLOOKUP(FK$7,Marketing!$M$6:$BM$6,Marketing!$M$9:$BM$9)))</f>
        <v>6</v>
      </c>
      <c r="FL103" s="225">
        <f>IF(FL$7&gt;$D$3,"",IF($FA102&lt;FL$7,"OD",_xlfn.XLOOKUP(FL$7,Marketing!$M$6:$BM$6,Marketing!$M$9:$BM$9)))</f>
        <v>6</v>
      </c>
      <c r="FM103" s="225">
        <f>IF(FM$7&gt;$D$3,"",IF($FA102&lt;FM$7,"OD",_xlfn.XLOOKUP(FM$7,Marketing!$M$6:$BM$6,Marketing!$M$9:$BM$9)))</f>
        <v>4</v>
      </c>
      <c r="FN103" s="225">
        <f>IF(FN$7&gt;$D$3,"",IF($FA102&lt;FN$7,"OD",_xlfn.XLOOKUP(FN$7,Marketing!$M$6:$BM$6,Marketing!$M$9:$BM$9)))</f>
        <v>8</v>
      </c>
      <c r="FO103" s="225">
        <f>IF(FO$7&gt;$D$3,"",IF($FA102&lt;FO$7,"OD",_xlfn.XLOOKUP(FO$7,Marketing!$M$6:$BM$6,Marketing!$M$9:$BM$9)))</f>
        <v>9</v>
      </c>
      <c r="FP103" s="225">
        <f>IF(FP$7&gt;$D$3,"",IF($FA102&lt;FP$7,"OD",_xlfn.XLOOKUP(FP$7,Marketing!$M$6:$BM$6,Marketing!$M$9:$BM$9)))</f>
        <v>5</v>
      </c>
      <c r="FQ103" s="225">
        <f>IF(FQ$7&gt;$D$3,"",IF($FA102&lt;FQ$7,"OD",_xlfn.XLOOKUP(FQ$7,Marketing!$M$6:$BM$6,Marketing!$M$9:$BM$9)))</f>
        <v>7</v>
      </c>
      <c r="FR103" s="225">
        <f>IF(FR$7&gt;$D$3,"",IF($FA102&lt;FR$7,"OD",_xlfn.XLOOKUP(FR$7,Marketing!$M$6:$BM$6,Marketing!$M$9:$BM$9)))</f>
        <v>7</v>
      </c>
      <c r="FS103" s="225">
        <f>IF(FS$7&gt;$D$3,"",IF($FA102&lt;FS$7,"OD",_xlfn.XLOOKUP(FS$7,Marketing!$M$6:$BM$6,Marketing!$M$9:$BM$9)))</f>
        <v>10</v>
      </c>
      <c r="FT103" s="225">
        <f>IF(FT$7&gt;$D$3,"",IF($FA102&lt;FT$7,"OD",_xlfn.XLOOKUP(FT$7,Marketing!$M$6:$BM$6,Marketing!$M$9:$BM$9)))</f>
        <v>8</v>
      </c>
      <c r="FU103" s="225">
        <f>IF(FU$7&gt;$D$3,"",IF($FA102&lt;FU$7,"OD",_xlfn.XLOOKUP(FU$7,Marketing!$M$6:$BM$6,Marketing!$M$9:$BM$9)))</f>
        <v>8</v>
      </c>
      <c r="FV103" s="225">
        <f>IF(FV$7&gt;$D$3,"",IF($FA102&lt;FV$7,"OD",_xlfn.XLOOKUP(FV$7,Marketing!$M$6:$BM$6,Marketing!$M$9:$BM$9)))</f>
        <v>13</v>
      </c>
      <c r="FW103" s="225">
        <f>IF(FW$7&gt;$D$3,"",IF($FA102&lt;FW$7,"OD",_xlfn.XLOOKUP(FW$7,Marketing!$M$6:$BM$6,Marketing!$M$9:$BM$9)))</f>
        <v>10</v>
      </c>
      <c r="FX103" s="225">
        <f>IF(FX$7&gt;$D$3,"",IF($FA102&lt;FX$7,"OD",_xlfn.XLOOKUP(FX$7,Marketing!$M$6:$BM$6,Marketing!$M$9:$BM$9)))</f>
        <v>9</v>
      </c>
      <c r="FY103" s="225">
        <f>IF(FY$7&gt;$D$3,"",IF($FA102&lt;FY$7,"OD",_xlfn.XLOOKUP(FY$7,Marketing!$M$6:$BM$6,Marketing!$M$9:$BM$9)))</f>
        <v>11</v>
      </c>
      <c r="FZ103" s="225">
        <f>IF(FZ$7&gt;$D$3,"",IF($FA102&lt;FZ$7,"OD",_xlfn.XLOOKUP(FZ$7,Marketing!$M$6:$BM$6,Marketing!$M$9:$BM$9)))</f>
        <v>10</v>
      </c>
      <c r="GA103" s="225">
        <f>IF(GA$7&gt;$D$3,"",IF($FA102&lt;GA$7,"OD",_xlfn.XLOOKUP(GA$7,Marketing!$M$6:$BM$6,Marketing!$M$9:$BM$9)))</f>
        <v>13</v>
      </c>
      <c r="GB103" s="225">
        <f>IF(GB$7&gt;$D$3,"",IF($FA102&lt;GB$7,"OD",_xlfn.XLOOKUP(GB$7,Marketing!$M$6:$BM$6,Marketing!$M$9:$BM$9)))</f>
        <v>7</v>
      </c>
      <c r="GC103" s="225">
        <f>IF(GC$7&gt;$D$3,"",IF($FA102&lt;GC$7,"OD",_xlfn.XLOOKUP(GC$7,Marketing!$M$6:$BM$6,Marketing!$M$9:$BM$9)))</f>
        <v>8</v>
      </c>
      <c r="GD103" s="225">
        <f>IF(GD$7&gt;$D$3,"",IF($FA102&lt;GD$7,"OD",_xlfn.XLOOKUP(GD$7,Marketing!$M$6:$BM$6,Marketing!$M$9:$BM$9)))</f>
        <v>15</v>
      </c>
      <c r="GE103" s="225">
        <f>IF(GE$7&gt;$D$3,"",IF($FA102&lt;GE$7,"OD",_xlfn.XLOOKUP(GE$7,Marketing!$M$6:$BM$6,Marketing!$M$9:$BM$9)))</f>
        <v>8</v>
      </c>
      <c r="GF103" s="225">
        <f>IF(GF$7&gt;$D$3,"",IF($FA102&lt;GF$7,"OD",_xlfn.XLOOKUP(GF$7,Marketing!$M$6:$BM$6,Marketing!$M$9:$BM$9)))</f>
        <v>8</v>
      </c>
      <c r="GG103" s="225">
        <f>IF(GG$7&gt;$D$3,"",IF($FA102&lt;GG$7,"OD",_xlfn.XLOOKUP(GG$7,Marketing!$M$6:$BM$6,Marketing!$M$9:$BM$9)))</f>
        <v>10</v>
      </c>
      <c r="GH103" s="225">
        <f>IF(GH$7&gt;$D$3,"",IF($FA102&lt;GH$7,"OD",_xlfn.XLOOKUP(GH$7,Marketing!$M$6:$BM$6,Marketing!$M$9:$BM$9)))</f>
        <v>11</v>
      </c>
      <c r="GI103" s="225">
        <f>IF(GI$7&gt;$D$3,"",IF($FA102&lt;GI$7,"OD",_xlfn.XLOOKUP(GI$7,Marketing!$M$6:$BM$6,Marketing!$M$9:$BM$9)))</f>
        <v>11</v>
      </c>
      <c r="GJ103" s="225">
        <f>IF(GJ$7&gt;$D$3,"",IF($FA102&lt;GJ$7,"OD",_xlfn.XLOOKUP(GJ$7,Marketing!$M$6:$BM$6,Marketing!$M$9:$BM$9)))</f>
        <v>6</v>
      </c>
      <c r="GK103" s="225">
        <f>IF(GK$7&gt;$D$3,"",IF($FA102&lt;GK$7,"OD",_xlfn.XLOOKUP(GK$7,Marketing!$M$6:$BM$6,Marketing!$M$9:$BM$9)))</f>
        <v>7</v>
      </c>
      <c r="GL103" s="225">
        <f>IF(GL$7&gt;$D$3,"",IF($FA102&lt;GL$7,"OD",_xlfn.XLOOKUP(GL$7,Marketing!$M$6:$BM$6,Marketing!$M$9:$BM$9)))</f>
        <v>11</v>
      </c>
      <c r="GM103" s="225">
        <f>IF(GM$7&gt;$D$3,"",IF($FA102&lt;GM$7,"OD",_xlfn.XLOOKUP(GM$7,Marketing!$M$6:$BM$6,Marketing!$M$9:$BM$9)))</f>
        <v>9</v>
      </c>
      <c r="GN103" s="225">
        <f>IF(GN$7&gt;$D$3,"",IF($FA102&lt;GN$7,"OD",_xlfn.XLOOKUP(GN$7,Marketing!$M$6:$BM$6,Marketing!$M$9:$BM$9)))</f>
        <v>11</v>
      </c>
      <c r="GO103" s="225">
        <f>IF(GO$7&gt;$D$3,"",IF($FA102&lt;GO$7,"OD",_xlfn.XLOOKUP(GO$7,Marketing!$M$6:$BM$6,Marketing!$M$9:$BM$9)))</f>
        <v>6</v>
      </c>
      <c r="GP103" s="225">
        <f>IF(GP$7&gt;$D$3,"",IF($FA102&lt;GP$7,"OD",_xlfn.XLOOKUP(GP$7,Marketing!$M$6:$BM$6,Marketing!$M$9:$BM$9)))</f>
        <v>9</v>
      </c>
      <c r="GQ103" s="225">
        <f>IF(GQ$7&gt;$D$3,"",IF($FA102&lt;GQ$7,"OD",_xlfn.XLOOKUP(GQ$7,Marketing!$M$6:$BM$6,Marketing!$M$9:$BM$9)))</f>
        <v>9</v>
      </c>
      <c r="GR103" s="225">
        <f>IF(GR$7&gt;$D$3,"",IF($FA102&lt;GR$7,"OD",_xlfn.XLOOKUP(GR$7,Marketing!$M$6:$BM$6,Marketing!$M$9:$BM$9)))</f>
        <v>8</v>
      </c>
      <c r="GS103" s="225" t="str">
        <f>IF(GS$7&gt;$D$3,"",IF($FA102&lt;GS$7,"OD",_xlfn.XLOOKUP(GS$7,Marketing!$M$6:$BM$6,Marketing!$M$9:$BM$9)))</f>
        <v/>
      </c>
      <c r="GT103" s="225" t="str">
        <f>IF(GT$7&gt;$D$3,"",IF($FA102&lt;GT$7,"OD",_xlfn.XLOOKUP(GT$7,Marketing!$M$6:$BM$6,Marketing!$M$9:$BM$9)))</f>
        <v/>
      </c>
      <c r="GU103" s="225" t="str">
        <f>IF(GU$7&gt;$D$3,"",IF($FA102&lt;GU$7,"OD",_xlfn.XLOOKUP(GU$7,Marketing!$M$6:$BM$6,Marketing!$M$9:$BM$9)))</f>
        <v/>
      </c>
      <c r="GV103" s="225" t="str">
        <f>IF(GV$7&gt;$D$3,"",IF($FA102&lt;GV$7,"OD",_xlfn.XLOOKUP(GV$7,Marketing!$M$6:$BM$6,Marketing!$M$9:$BM$9)))</f>
        <v/>
      </c>
      <c r="GW103" s="225" t="str">
        <f>IF(GW$7&gt;$D$3,"",IF($FA102&lt;GW$7,"OD",_xlfn.XLOOKUP(GW$7,Marketing!$M$6:$BM$6,Marketing!$M$9:$BM$9)))</f>
        <v/>
      </c>
      <c r="GX103" s="225" t="str">
        <f>IF(GX$7&gt;$D$3,"",IF($FA102&lt;GX$7,"OD",_xlfn.XLOOKUP(GX$7,Marketing!$M$6:$BM$6,Marketing!$M$9:$BM$9)))</f>
        <v/>
      </c>
      <c r="GY103" s="225" t="str">
        <f>IF(GY$7&gt;$D$3,"",IF($FA102&lt;GY$7,"OD",_xlfn.XLOOKUP(GY$7,Marketing!$M$6:$BM$6,Marketing!$M$9:$BM$9)))</f>
        <v/>
      </c>
      <c r="GZ103" s="225" t="str">
        <f>IF(GZ$7&gt;$D$3,"",IF($FA102&lt;GZ$7,"OD",_xlfn.XLOOKUP(GZ$7,Marketing!$M$6:$BM$6,Marketing!$M$9:$BM$9)))</f>
        <v/>
      </c>
      <c r="HA103" s="225" t="str">
        <f>IF(HA$7&gt;$D$3,"",IF($FA102&lt;HA$7,"OD",_xlfn.XLOOKUP(HA$7,Marketing!$M$6:$BM$6,Marketing!$M$9:$BM$9)))</f>
        <v/>
      </c>
      <c r="HB103" s="225" t="str">
        <f>IF(HB$7&gt;$D$3,"",IF($FA102&lt;HB$7,"OD",_xlfn.XLOOKUP(HB$7,Marketing!$M$6:$BM$6,Marketing!$M$9:$BM$9)))</f>
        <v/>
      </c>
      <c r="HC103" s="225" t="str">
        <f>IF(HC$7&gt;$D$3,"",IF($FA102&lt;HC$7,"OD",_xlfn.XLOOKUP(HC$7,Marketing!$M$6:$BM$6,Marketing!$M$9:$BM$9)))</f>
        <v/>
      </c>
      <c r="HE103" s="133" t="str">
        <f>+$C103</f>
        <v>KPI P1</v>
      </c>
      <c r="HF103" s="142" t="str">
        <f>+$D103</f>
        <v>Productivity</v>
      </c>
      <c r="HG103" s="142" t="str">
        <f>+$E103</f>
        <v>Tasks complete per week</v>
      </c>
      <c r="HH103" s="143" t="str">
        <f>+$F103</f>
        <v>Count</v>
      </c>
      <c r="HI103" s="143" t="s">
        <v>44</v>
      </c>
      <c r="HJ103" s="225" t="str">
        <f>IF(HJ$7&gt;$D$3,"",IF($FA102&lt;HJ$7,"OD",_xlfn.XLOOKUP(HJ$7,Marketing!$M$6:$BM$6,Marketing!$M$8:$BM$8)))</f>
        <v>Blank</v>
      </c>
      <c r="HK103" s="225">
        <f>IF(HK$7&gt;$D$3,"",IF($FA102&lt;HK$7,"OD",_xlfn.XLOOKUP(HK$7,Marketing!$M$6:$BM$6,Marketing!$M$8:$BM$8)))</f>
        <v>3</v>
      </c>
      <c r="HL103" s="225">
        <f>IF(HL$7&gt;$D$3,"",IF($FA102&lt;HL$7,"OD",_xlfn.XLOOKUP(HL$7,Marketing!$M$6:$BM$6,Marketing!$M$8:$BM$8)))</f>
        <v>3</v>
      </c>
      <c r="HM103" s="225">
        <f>IF(HM$7&gt;$D$3,"",IF($FA102&lt;HM$7,"OD",_xlfn.XLOOKUP(HM$7,Marketing!$M$6:$BM$6,Marketing!$M$8:$BM$8)))</f>
        <v>2</v>
      </c>
      <c r="HN103" s="225">
        <f>IF(HN$7&gt;$D$3,"",IF($FA102&lt;HN$7,"OD",_xlfn.XLOOKUP(HN$7,Marketing!$M$6:$BM$6,Marketing!$M$8:$BM$8)))</f>
        <v>2</v>
      </c>
      <c r="HO103" s="225">
        <f>IF(HO$7&gt;$D$3,"",IF($FA102&lt;HO$7,"OD",_xlfn.XLOOKUP(HO$7,Marketing!$M$6:$BM$6,Marketing!$M$8:$BM$8)))</f>
        <v>3</v>
      </c>
      <c r="HP103" s="225">
        <f>IF(HP$7&gt;$D$3,"",IF($FA102&lt;HP$7,"OD",_xlfn.XLOOKUP(HP$7,Marketing!$M$6:$BM$6,Marketing!$M$8:$BM$8)))</f>
        <v>3</v>
      </c>
      <c r="HQ103" s="225">
        <f>IF(HQ$7&gt;$D$3,"",IF($FA102&lt;HQ$7,"OD",_xlfn.XLOOKUP(HQ$7,Marketing!$M$6:$BM$6,Marketing!$M$8:$BM$8)))</f>
        <v>2</v>
      </c>
      <c r="HR103" s="225">
        <f>IF(HR$7&gt;$D$3,"",IF($FA102&lt;HR$7,"OD",_xlfn.XLOOKUP(HR$7,Marketing!$M$6:$BM$6,Marketing!$M$8:$BM$8)))</f>
        <v>3</v>
      </c>
      <c r="HS103" s="225">
        <f>IF(HS$7&gt;$D$3,"",IF($FA102&lt;HS$7,"OD",_xlfn.XLOOKUP(HS$7,Marketing!$M$6:$BM$6,Marketing!$M$8:$BM$8)))</f>
        <v>3</v>
      </c>
      <c r="HT103" s="225">
        <f>IF(HT$7&gt;$D$3,"",IF($FA102&lt;HT$7,"OD",_xlfn.XLOOKUP(HT$7,Marketing!$M$6:$BM$6,Marketing!$M$8:$BM$8)))</f>
        <v>3</v>
      </c>
      <c r="HU103" s="225">
        <f>IF(HU$7&gt;$D$3,"",IF($FA102&lt;HU$7,"OD",_xlfn.XLOOKUP(HU$7,Marketing!$M$6:$BM$6,Marketing!$M$8:$BM$8)))</f>
        <v>2</v>
      </c>
      <c r="HV103" s="225">
        <f>IF(HV$7&gt;$D$3,"",IF($FA102&lt;HV$7,"OD",_xlfn.XLOOKUP(HV$7,Marketing!$M$6:$BM$6,Marketing!$M$8:$BM$8)))</f>
        <v>2</v>
      </c>
      <c r="HW103" s="225">
        <f>IF(HW$7&gt;$D$3,"",IF($FA102&lt;HW$7,"OD",_xlfn.XLOOKUP(HW$7,Marketing!$M$6:$BM$6,Marketing!$M$8:$BM$8)))</f>
        <v>3</v>
      </c>
      <c r="HX103" s="225">
        <f>IF(HX$7&gt;$D$3,"",IF($FA102&lt;HX$7,"OD",_xlfn.XLOOKUP(HX$7,Marketing!$M$6:$BM$6,Marketing!$M$8:$BM$8)))</f>
        <v>3</v>
      </c>
      <c r="HY103" s="225">
        <f>IF(HY$7&gt;$D$3,"",IF($FA102&lt;HY$7,"OD",_xlfn.XLOOKUP(HY$7,Marketing!$M$6:$BM$6,Marketing!$M$8:$BM$8)))</f>
        <v>2</v>
      </c>
      <c r="HZ103" s="225">
        <f>IF(HZ$7&gt;$D$3,"",IF($FA102&lt;HZ$7,"OD",_xlfn.XLOOKUP(HZ$7,Marketing!$M$6:$BM$6,Marketing!$M$8:$BM$8)))</f>
        <v>2</v>
      </c>
      <c r="IA103" s="225">
        <f>IF(IA$7&gt;$D$3,"",IF($FA102&lt;IA$7,"OD",_xlfn.XLOOKUP(IA$7,Marketing!$M$6:$BM$6,Marketing!$M$8:$BM$8)))</f>
        <v>3</v>
      </c>
      <c r="IB103" s="225">
        <f>IF(IB$7&gt;$D$3,"",IF($FA102&lt;IB$7,"OD",_xlfn.XLOOKUP(IB$7,Marketing!$M$6:$BM$6,Marketing!$M$8:$BM$8)))</f>
        <v>3</v>
      </c>
      <c r="IC103" s="225">
        <f>IF(IC$7&gt;$D$3,"",IF($FA102&lt;IC$7,"OD",_xlfn.XLOOKUP(IC$7,Marketing!$M$6:$BM$6,Marketing!$M$8:$BM$8)))</f>
        <v>2</v>
      </c>
      <c r="ID103" s="225">
        <f>IF(ID$7&gt;$D$3,"",IF($FA102&lt;ID$7,"OD",_xlfn.XLOOKUP(ID$7,Marketing!$M$6:$BM$6,Marketing!$M$8:$BM$8)))</f>
        <v>2</v>
      </c>
      <c r="IE103" s="225">
        <f>IF(IE$7&gt;$D$3,"",IF($FA102&lt;IE$7,"OD",_xlfn.XLOOKUP(IE$7,Marketing!$M$6:$BM$6,Marketing!$M$8:$BM$8)))</f>
        <v>3</v>
      </c>
      <c r="IF103" s="225">
        <f>IF(IF$7&gt;$D$3,"",IF($FA102&lt;IF$7,"OD",_xlfn.XLOOKUP(IF$7,Marketing!$M$6:$BM$6,Marketing!$M$8:$BM$8)))</f>
        <v>5</v>
      </c>
      <c r="IG103" s="225">
        <f>IF(IG$7&gt;$D$3,"",IF($FA102&lt;IG$7,"OD",_xlfn.XLOOKUP(IG$7,Marketing!$M$6:$BM$6,Marketing!$M$8:$BM$8)))</f>
        <v>4</v>
      </c>
      <c r="IH103" s="225">
        <f>IF(IH$7&gt;$D$3,"",IF($FA102&lt;IH$7,"OD",_xlfn.XLOOKUP(IH$7,Marketing!$M$6:$BM$6,Marketing!$M$8:$BM$8)))</f>
        <v>4</v>
      </c>
      <c r="II103" s="225">
        <f>IF(II$7&gt;$D$3,"",IF($FA102&lt;II$7,"OD",_xlfn.XLOOKUP(II$7,Marketing!$M$6:$BM$6,Marketing!$M$8:$BM$8)))</f>
        <v>5</v>
      </c>
      <c r="IJ103" s="225">
        <f>IF(IJ$7&gt;$D$3,"",IF($FA102&lt;IJ$7,"OD",_xlfn.XLOOKUP(IJ$7,Marketing!$M$6:$BM$6,Marketing!$M$8:$BM$8)))</f>
        <v>5</v>
      </c>
      <c r="IK103" s="225">
        <f>IF(IK$7&gt;$D$3,"",IF($FA102&lt;IK$7,"OD",_xlfn.XLOOKUP(IK$7,Marketing!$M$6:$BM$6,Marketing!$M$8:$BM$8)))</f>
        <v>4</v>
      </c>
      <c r="IL103" s="225">
        <f>IF(IL$7&gt;$D$3,"",IF($FA102&lt;IL$7,"OD",_xlfn.XLOOKUP(IL$7,Marketing!$M$6:$BM$6,Marketing!$M$8:$BM$8)))</f>
        <v>4</v>
      </c>
      <c r="IM103" s="225">
        <f>IF(IM$7&gt;$D$3,"",IF($FA102&lt;IM$7,"OD",_xlfn.XLOOKUP(IM$7,Marketing!$M$6:$BM$6,Marketing!$M$8:$BM$8)))</f>
        <v>5</v>
      </c>
      <c r="IN103" s="225">
        <f>IF(IN$7&gt;$D$3,"",IF($FA102&lt;IN$7,"OD",_xlfn.XLOOKUP(IN$7,Marketing!$M$6:$BM$6,Marketing!$M$8:$BM$8)))</f>
        <v>5</v>
      </c>
      <c r="IO103" s="225">
        <f>IF(IO$7&gt;$D$3,"",IF($FA102&lt;IO$7,"OD",_xlfn.XLOOKUP(IO$7,Marketing!$M$6:$BM$6,Marketing!$M$8:$BM$8)))</f>
        <v>4</v>
      </c>
      <c r="IP103" s="225">
        <f>IF(IP$7&gt;$D$3,"",IF($FA102&lt;IP$7,"OD",_xlfn.XLOOKUP(IP$7,Marketing!$M$6:$BM$6,Marketing!$M$8:$BM$8)))</f>
        <v>4</v>
      </c>
      <c r="IQ103" s="225">
        <f>IF(IQ$7&gt;$D$3,"",IF($FA102&lt;IQ$7,"OD",_xlfn.XLOOKUP(IQ$7,Marketing!$M$6:$BM$6,Marketing!$M$8:$BM$8)))</f>
        <v>4</v>
      </c>
      <c r="IR103" s="225">
        <f>IF(IR$7&gt;$D$3,"",IF($FA102&lt;IR$7,"OD",_xlfn.XLOOKUP(IR$7,Marketing!$M$6:$BM$6,Marketing!$M$8:$BM$8)))</f>
        <v>5</v>
      </c>
      <c r="IS103" s="225">
        <f>IF(IS$7&gt;$D$3,"",IF($FA102&lt;IS$7,"OD",_xlfn.XLOOKUP(IS$7,Marketing!$M$6:$BM$6,Marketing!$M$8:$BM$8)))</f>
        <v>4</v>
      </c>
      <c r="IT103" s="225">
        <f>IF(IT$7&gt;$D$3,"",IF($FA102&lt;IT$7,"OD",_xlfn.XLOOKUP(IT$7,Marketing!$M$6:$BM$6,Marketing!$M$8:$BM$8)))</f>
        <v>4</v>
      </c>
      <c r="IU103" s="225">
        <f>IF(IU$7&gt;$D$3,"",IF($FA102&lt;IU$7,"OD",_xlfn.XLOOKUP(IU$7,Marketing!$M$6:$BM$6,Marketing!$M$8:$BM$8)))</f>
        <v>5</v>
      </c>
      <c r="IV103" s="225">
        <f>IF(IV$7&gt;$D$3,"",IF($FA102&lt;IV$7,"OD",_xlfn.XLOOKUP(IV$7,Marketing!$M$6:$BM$6,Marketing!$M$8:$BM$8)))</f>
        <v>5</v>
      </c>
      <c r="IW103" s="225">
        <f>IF(IW$7&gt;$D$3,"",IF($FA102&lt;IW$7,"OD",_xlfn.XLOOKUP(IW$7,Marketing!$M$6:$BM$6,Marketing!$M$8:$BM$8)))</f>
        <v>4</v>
      </c>
      <c r="IX103" s="225">
        <f>IF(IX$7&gt;$D$3,"",IF($FA102&lt;IX$7,"OD",_xlfn.XLOOKUP(IX$7,Marketing!$M$6:$BM$6,Marketing!$M$8:$BM$8)))</f>
        <v>4</v>
      </c>
      <c r="IY103" s="225">
        <f>IF(IY$7&gt;$D$3,"",IF($FA102&lt;IY$7,"OD",_xlfn.XLOOKUP(IY$7,Marketing!$M$6:$BM$6,Marketing!$M$8:$BM$8)))</f>
        <v>5</v>
      </c>
      <c r="IZ103" s="225" t="str">
        <f>IF(IZ$7&gt;$D$3,"",IF($FA102&lt;IZ$7,"OD",_xlfn.XLOOKUP(IZ$7,Marketing!$M$6:$BM$6,Marketing!$M$8:$BM$8)))</f>
        <v/>
      </c>
      <c r="JA103" s="225" t="str">
        <f>IF(JA$7&gt;$D$3,"",IF($FA102&lt;JA$7,"OD",_xlfn.XLOOKUP(JA$7,Marketing!$M$6:$BM$6,Marketing!$M$8:$BM$8)))</f>
        <v/>
      </c>
      <c r="JB103" s="225" t="str">
        <f>IF(JB$7&gt;$D$3,"",IF($FA102&lt;JB$7,"OD",_xlfn.XLOOKUP(JB$7,Marketing!$M$6:$BM$6,Marketing!$M$8:$BM$8)))</f>
        <v/>
      </c>
      <c r="JC103" s="225" t="str">
        <f>IF(JC$7&gt;$D$3,"",IF($FA102&lt;JC$7,"OD",_xlfn.XLOOKUP(JC$7,Marketing!$M$6:$BM$6,Marketing!$M$8:$BM$8)))</f>
        <v/>
      </c>
      <c r="JD103" s="225" t="str">
        <f>IF(JD$7&gt;$D$3,"",IF($FA102&lt;JD$7,"OD",_xlfn.XLOOKUP(JD$7,Marketing!$M$6:$BM$6,Marketing!$M$8:$BM$8)))</f>
        <v/>
      </c>
      <c r="JE103" s="225" t="str">
        <f>IF(JE$7&gt;$D$3,"",IF($FA102&lt;JE$7,"OD",_xlfn.XLOOKUP(JE$7,Marketing!$M$6:$BM$6,Marketing!$M$8:$BM$8)))</f>
        <v/>
      </c>
      <c r="JF103" s="225" t="str">
        <f>IF(JF$7&gt;$D$3,"",IF($FA102&lt;JF$7,"OD",_xlfn.XLOOKUP(JF$7,Marketing!$M$6:$BM$6,Marketing!$M$8:$BM$8)))</f>
        <v/>
      </c>
      <c r="JG103" s="225" t="str">
        <f>IF(JG$7&gt;$D$3,"",IF($FA102&lt;JG$7,"OD",_xlfn.XLOOKUP(JG$7,Marketing!$M$6:$BM$6,Marketing!$M$8:$BM$8)))</f>
        <v/>
      </c>
      <c r="JH103" s="225" t="str">
        <f>IF(JH$7&gt;$D$3,"",IF($FA102&lt;JH$7,"OD",_xlfn.XLOOKUP(JH$7,Marketing!$M$6:$BM$6,Marketing!$M$8:$BM$8)))</f>
        <v/>
      </c>
      <c r="JI103" s="225" t="str">
        <f>IF(JI$7&gt;$D$3,"",IF($FA102&lt;JI$7,"OD",_xlfn.XLOOKUP(JI$7,Marketing!$M$6:$BM$6,Marketing!$M$8:$BM$8)))</f>
        <v/>
      </c>
      <c r="JJ103" s="225" t="str">
        <f>IF(JJ$7&gt;$D$3,"",IF($FA102&lt;JJ$7,"OD",_xlfn.XLOOKUP(JJ$7,Marketing!$M$6:$BM$6,Marketing!$M$8:$BM$8)))</f>
        <v/>
      </c>
      <c r="JM103" s="133" t="str">
        <f>+$C103</f>
        <v>KPI P1</v>
      </c>
      <c r="JN103" s="142" t="str">
        <f>+$D103</f>
        <v>Productivity</v>
      </c>
      <c r="JO103" s="142" t="str">
        <f>+$E103</f>
        <v>Tasks complete per week</v>
      </c>
      <c r="JP103" s="143" t="str">
        <f>+$F103</f>
        <v>Count</v>
      </c>
      <c r="JQ103" s="143" t="s">
        <v>284</v>
      </c>
      <c r="JR103" s="225" t="str">
        <f>IFERROR(AVERAGE(FC103:$FC103),"")</f>
        <v/>
      </c>
      <c r="JS103" s="225">
        <f>IFERROR(AVERAGE($FC103:FD103),"")</f>
        <v>6</v>
      </c>
      <c r="JT103" s="225">
        <f>IFERROR(AVERAGE($FC103:FE103),"")</f>
        <v>8</v>
      </c>
      <c r="JU103" s="225">
        <f>IFERROR(AVERAGE($FC103:FF103),"")</f>
        <v>7</v>
      </c>
      <c r="JV103" s="225">
        <f>IFERROR(AVERAGE($FC103:FG103),"")</f>
        <v>6.5</v>
      </c>
      <c r="JW103" s="225">
        <f>IFERROR(AVERAGE($FC103:FH103),"")</f>
        <v>6</v>
      </c>
      <c r="JX103" s="225">
        <f>IFERROR(AVERAGE($FC103:FI103),"")</f>
        <v>5.833333333333333</v>
      </c>
      <c r="JY103" s="225">
        <f>IFERROR(AVERAGE($FC103:FJ103),"")</f>
        <v>5.7142857142857144</v>
      </c>
      <c r="JZ103" s="225">
        <f>IFERROR(AVERAGE($FC103:FK103),"")</f>
        <v>5.75</v>
      </c>
      <c r="KA103" s="225">
        <f>IFERROR(AVERAGE($FC103:FL103),"")</f>
        <v>5.7777777777777777</v>
      </c>
      <c r="KB103" s="225">
        <f>IFERROR(AVERAGE($FC103:FM103),"")</f>
        <v>5.6</v>
      </c>
      <c r="KC103" s="225">
        <f>IFERROR(AVERAGE($FC103:FN103),"")</f>
        <v>5.8181818181818183</v>
      </c>
      <c r="KD103" s="225">
        <f>IFERROR(AVERAGE($FC103:FO103),"")</f>
        <v>6.083333333333333</v>
      </c>
      <c r="KE103" s="225">
        <f>IFERROR(AVERAGE($FC103:FP103),"")</f>
        <v>6</v>
      </c>
      <c r="KF103" s="225">
        <f>IFERROR(AVERAGE($FC103:FQ103),"")</f>
        <v>6.0714285714285712</v>
      </c>
      <c r="KG103" s="225">
        <f>IFERROR(AVERAGE($FC103:FR103),"")</f>
        <v>6.1333333333333337</v>
      </c>
      <c r="KH103" s="225">
        <f>IFERROR(AVERAGE($FC103:FS103),"")</f>
        <v>6.375</v>
      </c>
      <c r="KI103" s="225">
        <f>IFERROR(AVERAGE($FC103:FT103),"")</f>
        <v>6.4705882352941178</v>
      </c>
      <c r="KJ103" s="225">
        <f>IFERROR(AVERAGE($FC103:FU103),"")</f>
        <v>6.5555555555555554</v>
      </c>
      <c r="KK103" s="225">
        <f>IFERROR(AVERAGE($FC103:FV103),"")</f>
        <v>6.8947368421052628</v>
      </c>
      <c r="KL103" s="225">
        <f>IFERROR(AVERAGE($FC103:FW103),"")</f>
        <v>7.05</v>
      </c>
      <c r="KM103" s="225">
        <f>IFERROR(AVERAGE($FC103:FX103),"")</f>
        <v>7.1428571428571432</v>
      </c>
      <c r="KN103" s="225">
        <f>IFERROR(AVERAGE($FC103:FY103),"")</f>
        <v>7.3181818181818183</v>
      </c>
      <c r="KO103" s="225">
        <f>IFERROR(AVERAGE($FC103:FZ103),"")</f>
        <v>7.4347826086956523</v>
      </c>
      <c r="KP103" s="225">
        <f>IFERROR(AVERAGE($FC103:GA103),"")</f>
        <v>7.666666666666667</v>
      </c>
      <c r="KQ103" s="225">
        <f>IFERROR(AVERAGE($FC103:GB103),"")</f>
        <v>7.64</v>
      </c>
      <c r="KR103" s="225">
        <f>IFERROR(AVERAGE($FC103:GC103),"")</f>
        <v>7.6538461538461542</v>
      </c>
      <c r="KS103" s="225">
        <f>IFERROR(AVERAGE($FC103:GD103),"")</f>
        <v>7.9259259259259256</v>
      </c>
      <c r="KT103" s="225">
        <f>IFERROR(AVERAGE($FC103:GE103),"")</f>
        <v>7.9285714285714288</v>
      </c>
      <c r="KU103" s="225">
        <f>IFERROR(AVERAGE($FC103:GF103),"")</f>
        <v>7.931034482758621</v>
      </c>
      <c r="KV103" s="225">
        <f>IFERROR(AVERAGE($FC103:GG103),"")</f>
        <v>8</v>
      </c>
      <c r="KW103" s="225">
        <f>IFERROR(AVERAGE($FC103:GH103),"")</f>
        <v>8.0967741935483879</v>
      </c>
      <c r="KX103" s="225">
        <f>IFERROR(AVERAGE($FC103:GI103),"")</f>
        <v>8.1875</v>
      </c>
      <c r="KY103" s="225">
        <f>IFERROR(AVERAGE($FC103:GJ103),"")</f>
        <v>8.1212121212121211</v>
      </c>
      <c r="KZ103" s="225">
        <f>IFERROR(AVERAGE($FC103:GK103),"")</f>
        <v>8.0882352941176467</v>
      </c>
      <c r="LA103" s="225">
        <f>IFERROR(AVERAGE($FC103:GL103),"")</f>
        <v>8.1714285714285708</v>
      </c>
      <c r="LB103" s="225">
        <f>IFERROR(AVERAGE($FC103:GM103),"")</f>
        <v>8.1944444444444446</v>
      </c>
      <c r="LC103" s="225">
        <f>IFERROR(AVERAGE($FC103:GN103),"")</f>
        <v>8.2702702702702702</v>
      </c>
      <c r="LD103" s="225">
        <f>IFERROR(AVERAGE($FC103:GO103),"")</f>
        <v>8.2105263157894743</v>
      </c>
      <c r="LE103" s="225">
        <f>IFERROR(AVERAGE($FC103:GP103),"")</f>
        <v>8.2307692307692299</v>
      </c>
      <c r="LF103" s="225">
        <f>IFERROR(AVERAGE($FC103:GQ103),"")</f>
        <v>8.25</v>
      </c>
      <c r="LG103" s="225">
        <f>IFERROR(AVERAGE($FC103:GR103),"")</f>
        <v>8.2439024390243905</v>
      </c>
      <c r="LH103" s="225">
        <f>IFERROR(AVERAGE($FC103:GS103),"")</f>
        <v>8.2439024390243905</v>
      </c>
      <c r="LI103" s="225">
        <f>IFERROR(AVERAGE($FC103:GT103),"")</f>
        <v>8.2439024390243905</v>
      </c>
      <c r="LJ103" s="225">
        <f>IFERROR(AVERAGE($FC103:GU103),"")</f>
        <v>8.2439024390243905</v>
      </c>
      <c r="LK103" s="225">
        <f>IFERROR(AVERAGE($FC103:GV103),"")</f>
        <v>8.2439024390243905</v>
      </c>
      <c r="LL103" s="225">
        <f>IFERROR(AVERAGE($FC103:GW103),"")</f>
        <v>8.2439024390243905</v>
      </c>
      <c r="LM103" s="225">
        <f>IFERROR(AVERAGE($FC103:GX103),"")</f>
        <v>8.2439024390243905</v>
      </c>
      <c r="LN103" s="225">
        <f>IFERROR(AVERAGE($FC103:GY103),"")</f>
        <v>8.2439024390243905</v>
      </c>
      <c r="LO103" s="225">
        <f>IFERROR(AVERAGE($FC103:GZ103),"")</f>
        <v>8.2439024390243905</v>
      </c>
      <c r="LP103" s="225">
        <f>IFERROR(AVERAGE($FC103:HA103),"")</f>
        <v>8.2439024390243905</v>
      </c>
      <c r="LQ103" s="225">
        <f>IFERROR(AVERAGE($FC103:HB103),"")</f>
        <v>8.2439024390243905</v>
      </c>
      <c r="LR103" s="225">
        <f>IFERROR(AVERAGE($FC103:HC103),"")</f>
        <v>8.2439024390243905</v>
      </c>
      <c r="LT103" s="133" t="str">
        <f>+$C103</f>
        <v>KPI P1</v>
      </c>
      <c r="LU103" s="142" t="str">
        <f>+$D103</f>
        <v>Productivity</v>
      </c>
      <c r="LV103" s="142" t="str">
        <f>+$E103</f>
        <v>Tasks complete per week</v>
      </c>
      <c r="LW103" s="143" t="str">
        <f>+$F103</f>
        <v>Count</v>
      </c>
      <c r="LX103" s="143" t="s">
        <v>285</v>
      </c>
      <c r="LY103" s="225" t="str">
        <f>IFERROR(AVERAGE($HJ103:HJ103),"")</f>
        <v/>
      </c>
      <c r="LZ103" s="225">
        <f>IFERROR(IF(LAD$7&gt;$D$3,"",AVERAGE($HJ103:HK103)),"")</f>
        <v>3</v>
      </c>
      <c r="MA103" s="225">
        <f>IFERROR(IF(MA$7&gt;$D$3,"",AVERAGE($HJ103:HL103)),"")</f>
        <v>3</v>
      </c>
      <c r="MB103" s="225">
        <f>IFERROR(IF(MB$7&gt;$D$3,"",AVERAGE($HJ103:HM103)),"")</f>
        <v>2.6666666666666665</v>
      </c>
      <c r="MC103" s="225">
        <f>IFERROR(IF(MC$7&gt;$D$3,"",AVERAGE($HJ103:HN103)),"")</f>
        <v>2.5</v>
      </c>
      <c r="MD103" s="225">
        <f>IFERROR(IF(MD$7&gt;$D$3,"",AVERAGE($HJ103:HO103)),"")</f>
        <v>2.6</v>
      </c>
      <c r="ME103" s="225">
        <f>IFERROR(IF(ME$7&gt;$D$3,"",AVERAGE($HJ103:HP103)),"")</f>
        <v>2.6666666666666665</v>
      </c>
      <c r="MF103" s="225">
        <f>IFERROR(IF(MF$7&gt;$D$3,"",AVERAGE($HJ103:HQ103)),"")</f>
        <v>2.5714285714285716</v>
      </c>
      <c r="MG103" s="225">
        <f>IFERROR(IF(MG$7&gt;$D$3,"",AVERAGE($HJ103:HR103)),"")</f>
        <v>2.625</v>
      </c>
      <c r="MH103" s="225">
        <f>IFERROR(IF(MH$7&gt;$D$3,"",AVERAGE($HJ103:HS103)),"")</f>
        <v>2.6666666666666665</v>
      </c>
      <c r="MI103" s="225">
        <f>IFERROR(IF(MI$7&gt;$D$3,"",AVERAGE($HJ103:HT103)),"")</f>
        <v>2.7</v>
      </c>
      <c r="MJ103" s="225">
        <f>IFERROR(IF(MJ$7&gt;$D$3,"",AVERAGE($HJ103:HU103)),"")</f>
        <v>2.6363636363636362</v>
      </c>
      <c r="MK103" s="225">
        <f>IFERROR(IF(MK$7&gt;$D$3,"",AVERAGE($HJ103:HV103)),"")</f>
        <v>2.5833333333333335</v>
      </c>
      <c r="ML103" s="225">
        <f>IFERROR(IF(ML$7&gt;$D$3,"",AVERAGE($HJ103:HW103)),"")</f>
        <v>2.6153846153846154</v>
      </c>
      <c r="MM103" s="225">
        <f>IFERROR(IF(MM$7&gt;$D$3,"",AVERAGE($HJ103:HX103)),"")</f>
        <v>2.6428571428571428</v>
      </c>
      <c r="MN103" s="225">
        <f>IFERROR(IF(MN$7&gt;$D$3,"",AVERAGE($HJ103:HY103)),"")</f>
        <v>2.6</v>
      </c>
      <c r="MO103" s="225">
        <f>IFERROR(IF(MO$7&gt;$D$3,"",AVERAGE($HJ103:HZ103)),"")</f>
        <v>2.5625</v>
      </c>
      <c r="MP103" s="225">
        <f>IFERROR(IF(MP$7&gt;$D$3,"",AVERAGE($HJ103:IA103)),"")</f>
        <v>2.5882352941176472</v>
      </c>
      <c r="MQ103" s="225">
        <f>IFERROR(IF(MQ$7&gt;$D$3,"",AVERAGE($HJ103:IB103)),"")</f>
        <v>2.6111111111111112</v>
      </c>
      <c r="MR103" s="225">
        <f>IFERROR(IF(MR$7&gt;$D$3,"",AVERAGE($HJ103:IC103)),"")</f>
        <v>2.5789473684210527</v>
      </c>
      <c r="MS103" s="225">
        <f>IFERROR(IF(MS$7&gt;$D$3,"",AVERAGE($HJ103:ID103)),"")</f>
        <v>2.5499999999999998</v>
      </c>
      <c r="MT103" s="225">
        <f>IFERROR(IF(MT$7&gt;$D$3,"",AVERAGE($HJ103:IE103)),"")</f>
        <v>2.5714285714285716</v>
      </c>
      <c r="MU103" s="225">
        <f>IFERROR(IF(MU$7&gt;$D$3,"",AVERAGE($HJ103:IF103)),"")</f>
        <v>2.6818181818181817</v>
      </c>
      <c r="MV103" s="225">
        <f>IFERROR(IF(MV$7&gt;$D$3,"",AVERAGE($HJ103:IG103)),"")</f>
        <v>2.7391304347826089</v>
      </c>
      <c r="MW103" s="225">
        <f>IFERROR(IF(MW$7&gt;$D$3,"",AVERAGE($HJ103:IH103)),"")</f>
        <v>2.7916666666666665</v>
      </c>
      <c r="MX103" s="225">
        <f>IFERROR(IF(MX$7&gt;$D$3,"",AVERAGE($HJ103:II103)),"")</f>
        <v>2.88</v>
      </c>
      <c r="MY103" s="225">
        <f>IFERROR(IF(MY$7&gt;$D$3,"",AVERAGE($HJ103:IJ103)),"")</f>
        <v>2.9615384615384617</v>
      </c>
      <c r="MZ103" s="225">
        <f>IFERROR(IF(MZ$7&gt;$D$3,"",AVERAGE($HJ103:IK103)),"")</f>
        <v>3</v>
      </c>
      <c r="NA103" s="225">
        <f>IFERROR(IF(NA$7&gt;$D$3,"",AVERAGE($HJ103:IL103)),"")</f>
        <v>3.0357142857142856</v>
      </c>
      <c r="NB103" s="225">
        <f>IFERROR(IF(NB$7&gt;$D$3,"",AVERAGE($HJ103:IM103)),"")</f>
        <v>3.103448275862069</v>
      </c>
      <c r="NC103" s="225">
        <f>IFERROR(IF(NC$7&gt;$D$3,"",AVERAGE($HJ103:IN103)),"")</f>
        <v>3.1666666666666665</v>
      </c>
      <c r="ND103" s="225">
        <f>IFERROR(IF(ND$7&gt;$D$3,"",AVERAGE($HJ103:IO103)),"")</f>
        <v>3.193548387096774</v>
      </c>
      <c r="NE103" s="225">
        <f>IFERROR(IF(NE$7&gt;$D$3,"",AVERAGE($HJ103:IP103)),"")</f>
        <v>3.21875</v>
      </c>
      <c r="NF103" s="225">
        <f>IFERROR(IF(NF$7&gt;$D$3,"",AVERAGE($HJ103:IQ103)),"")</f>
        <v>3.2424242424242422</v>
      </c>
      <c r="NG103" s="225">
        <f>IFERROR(IF(NG$7&gt;$D$3,"",AVERAGE($HJ103:IR103)),"")</f>
        <v>3.2941176470588234</v>
      </c>
      <c r="NH103" s="225">
        <f>IFERROR(IF(NH$7&gt;$D$3,"",AVERAGE($HJ103:IS103)),"")</f>
        <v>3.3142857142857145</v>
      </c>
      <c r="NI103" s="225">
        <f>IFERROR(IF(NI$7&gt;$D$3,"",AVERAGE($HJ103:IT103)),"")</f>
        <v>3.3333333333333335</v>
      </c>
      <c r="NJ103" s="225">
        <f>IFERROR(IF(NJ$7&gt;$D$3,"",AVERAGE($HJ103:IU103)),"")</f>
        <v>3.3783783783783785</v>
      </c>
      <c r="NK103" s="225">
        <f>IFERROR(IF(NK$7&gt;$D$3,"",AVERAGE($HJ103:IV103)),"")</f>
        <v>3.4210526315789473</v>
      </c>
      <c r="NL103" s="225">
        <f>IFERROR(IF(NL$7&gt;$D$3,"",AVERAGE($HJ103:IW103)),"")</f>
        <v>3.4358974358974357</v>
      </c>
      <c r="NM103" s="225">
        <f>IFERROR(IF(NM$7&gt;$D$3,"",AVERAGE($HJ103:IX103)),"")</f>
        <v>3.45</v>
      </c>
      <c r="NN103" s="225">
        <f>IFERROR(IF(NN$7&gt;$D$3,"",AVERAGE($HJ103:IY103)),"")</f>
        <v>3.4878048780487805</v>
      </c>
      <c r="NO103" s="225" t="str">
        <f>IFERROR(IF(NO$7&gt;$D$3,"",AVERAGE($HJ103:IZ103)),"")</f>
        <v/>
      </c>
      <c r="NP103" s="225" t="str">
        <f>IFERROR(IF(NP$7&gt;$D$3,"",AVERAGE($HJ103:JA103)),"")</f>
        <v/>
      </c>
      <c r="NQ103" s="225" t="str">
        <f>IFERROR(IF(NQ$7&gt;$D$3,"",AVERAGE($HJ103:JB103)),"")</f>
        <v/>
      </c>
      <c r="NR103" s="225" t="str">
        <f>IFERROR(IF(NR$7&gt;$D$3,"",AVERAGE($HJ103:JC103)),"")</f>
        <v/>
      </c>
      <c r="NS103" s="225" t="str">
        <f>IFERROR(IF(NS$7&gt;$D$3,"",AVERAGE($HJ103:JD103)),"")</f>
        <v/>
      </c>
      <c r="NT103" s="225" t="str">
        <f>IFERROR(IF(NT$7&gt;$D$3,"",AVERAGE($HJ103:JE103)),"")</f>
        <v/>
      </c>
      <c r="NU103" s="225" t="str">
        <f>IFERROR(IF(NU$7&gt;$D$3,"",AVERAGE($HJ103:JF103)),"")</f>
        <v/>
      </c>
      <c r="NV103" s="225" t="str">
        <f>IFERROR(IF(NV$7&gt;$D$3,"",AVERAGE($HJ103:JG103)),"")</f>
        <v/>
      </c>
      <c r="NW103" s="225" t="str">
        <f>IFERROR(IF(NW$7&gt;$D$3,"",AVERAGE($HJ103:JH103)),"")</f>
        <v/>
      </c>
      <c r="NX103" s="225" t="str">
        <f>IFERROR(IF(NX$7&gt;$D$3,"",AVERAGE($HJ103:JI103)),"")</f>
        <v/>
      </c>
      <c r="NY103" s="225" t="str">
        <f>IFERROR(IF(NY$7&gt;$D$3,"",AVERAGE($HJ103:JJ103)),"")</f>
        <v/>
      </c>
    </row>
    <row r="104" spans="1:389" x14ac:dyDescent="0.3">
      <c r="A104" t="str">
        <f>$B$102&amp;"-"&amp;C104</f>
        <v>Marketing-KPI D1</v>
      </c>
      <c r="B104" s="918" t="str">
        <f>+'KPI Stats'!B103</f>
        <v>Katherine Sanganee</v>
      </c>
      <c r="C104" s="136" t="str">
        <f>+'KPI Stats'!C103</f>
        <v>KPI D1</v>
      </c>
      <c r="D104" s="144" t="str">
        <f>+'KPI Stats'!D103</f>
        <v>Delivery</v>
      </c>
      <c r="E104" s="144" t="str">
        <f>+'KPI Stats'!E103</f>
        <v>Tasks completed on Time</v>
      </c>
      <c r="F104" s="145" t="str">
        <f>+'KPI Stats'!F103</f>
        <v>Percentage</v>
      </c>
      <c r="G104" s="169" t="str">
        <f>+'KPI Stats'!G103</f>
        <v>Under</v>
      </c>
      <c r="J104" s="69" t="str">
        <f>_xlfn.XLOOKUP(J$7,$AM$7:$CM$7,$AM104:$CM104,,FALSE)</f>
        <v>G</v>
      </c>
      <c r="K104" s="264">
        <f>_xlfn.XLOOKUP(K$7,$FC$7:$HC$7,$FC104:$HC104,,FALSE)</f>
        <v>100</v>
      </c>
      <c r="L104" s="278">
        <f>_xlfn.XLOOKUP(L$7,$HJ$7:$JJ$7,$HJ104:$JJ104,,FALSE)</f>
        <v>100</v>
      </c>
      <c r="M104" s="272">
        <f>_xlfn.XLOOKUP(M$7,$CU$7:$EU$7,$CU104:$EU104,,FALSE)</f>
        <v>1</v>
      </c>
      <c r="P104" s="69" t="str">
        <f>_xlfn.XLOOKUP(P$7,$AM$7:$CM$7,$AM104:$CM104,,FALSE)</f>
        <v>G</v>
      </c>
      <c r="Q104" s="264">
        <f t="shared" si="350"/>
        <v>100</v>
      </c>
      <c r="R104" s="278">
        <f t="shared" si="350"/>
        <v>100</v>
      </c>
      <c r="S104" s="288">
        <f>_xlfn.XLOOKUP(S$7,$CU$7:$EU$7,$CU104:$EU104,,FALSE)</f>
        <v>1</v>
      </c>
      <c r="T104" s="265">
        <f>_xlfn.XLOOKUP(T$7,$CU$7:$EU$7,$CU104:$EU104,,FALSE)</f>
        <v>1</v>
      </c>
      <c r="U104" s="295" t="str">
        <f>IF(F102&lt;$R$2,"Not Complete",IF(Q104=R104,"Same −",IF($G104="Over",IF(Q104&lt;R104,"Better ↑","Worse ↓"),IF($G104="Under",IF(Q104&gt;R104,"Better ↑","Worse ↓"),"err"))))</f>
        <v>Same −</v>
      </c>
      <c r="X104" s="69" t="str">
        <f t="shared" si="351"/>
        <v>R</v>
      </c>
      <c r="Y104" s="264">
        <f>_xlfn.XLOOKUP(Y$7,$JR$7:$LR$7,$JR104:$LR104,FALSE)</f>
        <v>80.951219512195124</v>
      </c>
      <c r="Z104" s="278">
        <f>_xlfn.XLOOKUP(Z$7,$LY$7:$NY$7,$LY104:$NY104,FALSE)</f>
        <v>100</v>
      </c>
      <c r="AA104" s="288">
        <f>IFERROR(IF(G104="under",Y104/Z104,IF(G104="Over",Z104/Y104,"")),"")</f>
        <v>0.80951219512195127</v>
      </c>
      <c r="AB104" s="295" t="str">
        <f>IF(F102&lt;$R$2,"TBC",IF(Y104=Z104,"Same −",IF($G104="Over",IF(Z104&lt;Y104,"Better ↑ ","Worse ↓ "),IF($G104="Under",IF(Y104&gt;Z104,"Better ↑ ","Worse ↓ "),"err"))))</f>
        <v xml:space="preserve">Worse ↓ </v>
      </c>
      <c r="AC104" s="69" t="str">
        <f>IF(AND(G104="above adero",AD104&gt;0),"R",IF(AF104&gt;1,"G",IF(AF104&gt;0.95,"A","R")))</f>
        <v>R</v>
      </c>
      <c r="AD104" s="264">
        <f>_xlfn.XLOOKUP(AD$7,$JR$7:$LR$7,$JR104:$LR104,FALSE)</f>
        <v>80.474999999999994</v>
      </c>
      <c r="AE104" s="278">
        <f>_xlfn.XLOOKUP(AE$7,$LY$7:$NY$7,$LY104:$NY104,FALSE)</f>
        <v>100</v>
      </c>
      <c r="AF104" s="272">
        <f>IFERROR(IF(G104="under",AD104/AE104,IF(G104="Over",AE104/AD104,"")),"")</f>
        <v>0.80474999999999997</v>
      </c>
      <c r="AH104" s="465" t="str">
        <f>+$A104</f>
        <v>Marketing-KPI D1</v>
      </c>
      <c r="AI104" s="136" t="str">
        <f t="shared" si="352"/>
        <v>KPI D1</v>
      </c>
      <c r="AJ104" s="144" t="str">
        <f t="shared" si="352"/>
        <v>Delivery</v>
      </c>
      <c r="AK104" s="144" t="str">
        <f t="shared" si="337"/>
        <v>Tasks completed on Time</v>
      </c>
      <c r="AL104" s="145" t="str">
        <f t="shared" si="337"/>
        <v>Percentage</v>
      </c>
      <c r="AM104" s="69" t="str">
        <f>IF(AM$7&gt;$D$3,"",_xlfn.XLOOKUP(AM$7,Marketing!$M$6:$BM$6,Marketing!$M$13:$BM$13))</f>
        <v>Blank</v>
      </c>
      <c r="AN104" s="199" t="str">
        <f>IF(AN$7&gt;$D$3,"",_xlfn.XLOOKUP(AN$7,Marketing!$M$6:$BM$6,Marketing!$M$13:$BM$13))</f>
        <v>G</v>
      </c>
      <c r="AO104" s="69" t="str">
        <f>IF(AO$7&gt;$D$3,"",_xlfn.XLOOKUP(AO$7,Marketing!$M$6:$BM$6,Marketing!$M$13:$BM$13))</f>
        <v>R</v>
      </c>
      <c r="AP104" s="69" t="str">
        <f>IF(AP$7&gt;$D$3,"",_xlfn.XLOOKUP(AP$7,Marketing!$M$6:$BM$6,Marketing!$M$13:$BM$13))</f>
        <v>G</v>
      </c>
      <c r="AQ104" s="69" t="str">
        <f>IF(AQ$7&gt;$D$3,"",_xlfn.XLOOKUP(AQ$7,Marketing!$M$6:$BM$6,Marketing!$M$13:$BM$13))</f>
        <v>R</v>
      </c>
      <c r="AR104" s="69" t="str">
        <f>IF(AR$7&gt;$D$3,"",_xlfn.XLOOKUP(AR$7,Marketing!$M$6:$BM$6,Marketing!$M$13:$BM$13))</f>
        <v>R</v>
      </c>
      <c r="AS104" s="69" t="str">
        <f>IF(AS$7&gt;$D$3,"",_xlfn.XLOOKUP(AS$7,Marketing!$M$6:$BM$6,Marketing!$M$13:$BM$13))</f>
        <v>R</v>
      </c>
      <c r="AT104" s="69" t="str">
        <f>IF(AT$7&gt;$D$3,"",_xlfn.XLOOKUP(AT$7,Marketing!$M$6:$BM$6,Marketing!$M$13:$BM$13))</f>
        <v>R</v>
      </c>
      <c r="AU104" s="69" t="str">
        <f>IF(AU$7&gt;$D$3,"",_xlfn.XLOOKUP(AU$7,Marketing!$M$6:$BM$6,Marketing!$M$13:$BM$13))</f>
        <v>G</v>
      </c>
      <c r="AV104" s="69" t="str">
        <f>IF(AV$7&gt;$D$3,"",_xlfn.XLOOKUP(AV$7,Marketing!$M$6:$BM$6,Marketing!$M$13:$BM$13))</f>
        <v>G</v>
      </c>
      <c r="AW104" s="69" t="str">
        <f>IF(AW$7&gt;$D$3,"",_xlfn.XLOOKUP(AW$7,Marketing!$M$6:$BM$6,Marketing!$M$13:$BM$13))</f>
        <v>G</v>
      </c>
      <c r="AX104" s="69" t="str">
        <f>IF(AX$7&gt;$D$3,"",_xlfn.XLOOKUP(AX$7,Marketing!$M$6:$BM$6,Marketing!$M$13:$BM$13))</f>
        <v>G</v>
      </c>
      <c r="AY104" s="69" t="str">
        <f>IF(AY$7&gt;$D$3,"",_xlfn.XLOOKUP(AY$7,Marketing!$M$6:$BM$6,Marketing!$M$13:$BM$13))</f>
        <v>G</v>
      </c>
      <c r="AZ104" s="69" t="str">
        <f>IF(AZ$7&gt;$D$3,"",_xlfn.XLOOKUP(AZ$7,Marketing!$M$6:$BM$6,Marketing!$M$13:$BM$13))</f>
        <v>R</v>
      </c>
      <c r="BA104" s="69" t="str">
        <f>IF(BA$7&gt;$D$3,"",_xlfn.XLOOKUP(BA$7,Marketing!$M$6:$BM$6,Marketing!$M$13:$BM$13))</f>
        <v>G</v>
      </c>
      <c r="BB104" s="69" t="str">
        <f>IF(BB$7&gt;$D$3,"",_xlfn.XLOOKUP(BB$7,Marketing!$M$6:$BM$6,Marketing!$M$13:$BM$13))</f>
        <v>G</v>
      </c>
      <c r="BC104" s="69" t="str">
        <f>IF(BC$7&gt;$D$3,"",_xlfn.XLOOKUP(BC$7,Marketing!$M$6:$BM$6,Marketing!$M$13:$BM$13))</f>
        <v>G</v>
      </c>
      <c r="BD104" s="69" t="str">
        <f>IF(BD$7&gt;$D$3,"",_xlfn.XLOOKUP(BD$7,Marketing!$M$6:$BM$6,Marketing!$M$13:$BM$13))</f>
        <v>G</v>
      </c>
      <c r="BE104" s="69" t="str">
        <f>IF(BE$7&gt;$D$3,"",_xlfn.XLOOKUP(BE$7,Marketing!$M$6:$BM$6,Marketing!$M$13:$BM$13))</f>
        <v>G</v>
      </c>
      <c r="BF104" s="69" t="str">
        <f>IF(BF$7&gt;$D$3,"",_xlfn.XLOOKUP(BF$7,Marketing!$M$6:$BM$6,Marketing!$M$13:$BM$13))</f>
        <v>G</v>
      </c>
      <c r="BG104" s="69" t="str">
        <f>IF(BG$7&gt;$D$3,"",_xlfn.XLOOKUP(BG$7,Marketing!$M$6:$BM$6,Marketing!$M$13:$BM$13))</f>
        <v>G</v>
      </c>
      <c r="BH104" s="69" t="str">
        <f>IF(BH$7&gt;$D$3,"",_xlfn.XLOOKUP(BH$7,Marketing!$M$6:$BM$6,Marketing!$M$13:$BM$13))</f>
        <v>G</v>
      </c>
      <c r="BI104" s="69" t="str">
        <f>IF(BI$7&gt;$D$3,"",_xlfn.XLOOKUP(BI$7,Marketing!$M$6:$BM$6,Marketing!$M$13:$BM$13))</f>
        <v>G</v>
      </c>
      <c r="BJ104" s="69" t="str">
        <f>IF(BJ$7&gt;$D$3,"",_xlfn.XLOOKUP(BJ$7,Marketing!$M$6:$BM$6,Marketing!$M$13:$BM$13))</f>
        <v>R</v>
      </c>
      <c r="BK104" s="69" t="str">
        <f>IF(BK$7&gt;$D$3,"",_xlfn.XLOOKUP(BK$7,Marketing!$M$6:$BM$6,Marketing!$M$13:$BM$13))</f>
        <v>G</v>
      </c>
      <c r="BL104" s="69" t="str">
        <f>IF(BL$7&gt;$D$3,"",_xlfn.XLOOKUP(BL$7,Marketing!$M$6:$BM$6,Marketing!$M$13:$BM$13))</f>
        <v>R</v>
      </c>
      <c r="BM104" s="69" t="str">
        <f>IF(BM$7&gt;$D$3,"",_xlfn.XLOOKUP(BM$7,Marketing!$M$6:$BM$6,Marketing!$M$13:$BM$13))</f>
        <v>R</v>
      </c>
      <c r="BN104" s="69" t="str">
        <f>IF(BN$7&gt;$D$3,"",_xlfn.XLOOKUP(BN$7,Marketing!$M$6:$BM$6,Marketing!$M$13:$BM$13))</f>
        <v>G</v>
      </c>
      <c r="BO104" s="69" t="str">
        <f>IF(BO$7&gt;$D$3,"",_xlfn.XLOOKUP(BO$7,Marketing!$M$6:$BM$6,Marketing!$M$13:$BM$13))</f>
        <v>G</v>
      </c>
      <c r="BP104" s="69" t="str">
        <f>IF(BP$7&gt;$D$3,"",_xlfn.XLOOKUP(BP$7,Marketing!$M$6:$BM$6,Marketing!$M$13:$BM$13))</f>
        <v>G</v>
      </c>
      <c r="BQ104" s="69" t="str">
        <f>IF(BQ$7&gt;$D$3,"",_xlfn.XLOOKUP(BQ$7,Marketing!$M$6:$BM$6,Marketing!$M$13:$BM$13))</f>
        <v>R</v>
      </c>
      <c r="BR104" s="69" t="str">
        <f>IF(BR$7&gt;$D$3,"",_xlfn.XLOOKUP(BR$7,Marketing!$M$6:$BM$6,Marketing!$M$13:$BM$13))</f>
        <v>R</v>
      </c>
      <c r="BS104" s="69" t="str">
        <f>IF(BS$7&gt;$D$3,"",_xlfn.XLOOKUP(BS$7,Marketing!$M$6:$BM$6,Marketing!$M$13:$BM$13))</f>
        <v>R</v>
      </c>
      <c r="BT104" s="69" t="str">
        <f>IF(BT$7&gt;$D$3,"",_xlfn.XLOOKUP(BT$7,Marketing!$M$6:$BM$6,Marketing!$M$13:$BM$13))</f>
        <v>R</v>
      </c>
      <c r="BU104" s="69" t="str">
        <f>IF(BU$7&gt;$D$3,"",_xlfn.XLOOKUP(BU$7,Marketing!$M$6:$BM$6,Marketing!$M$13:$BM$13))</f>
        <v>R</v>
      </c>
      <c r="BV104" s="69" t="str">
        <f>IF(BV$7&gt;$D$3,"",_xlfn.XLOOKUP(BV$7,Marketing!$M$6:$BM$6,Marketing!$M$13:$BM$13))</f>
        <v>G</v>
      </c>
      <c r="BW104" s="69" t="str">
        <f>IF(BW$7&gt;$D$3,"",_xlfn.XLOOKUP(BW$7,Marketing!$M$6:$BM$6,Marketing!$M$13:$BM$13))</f>
        <v>G</v>
      </c>
      <c r="BX104" s="69" t="str">
        <f>IF(BX$7&gt;$D$3,"",_xlfn.XLOOKUP(BX$7,Marketing!$M$6:$BM$6,Marketing!$M$13:$BM$13))</f>
        <v>G</v>
      </c>
      <c r="BY104" s="69" t="str">
        <f>IF(BY$7&gt;$D$3,"",_xlfn.XLOOKUP(BY$7,Marketing!$M$6:$BM$6,Marketing!$M$13:$BM$13))</f>
        <v>R</v>
      </c>
      <c r="BZ104" s="69" t="str">
        <f>IF(BZ$7&gt;$D$3,"",_xlfn.XLOOKUP(BZ$7,Marketing!$M$6:$BM$6,Marketing!$M$13:$BM$13))</f>
        <v>G</v>
      </c>
      <c r="CA104" s="69" t="str">
        <f>IF(CA$7&gt;$D$3,"",_xlfn.XLOOKUP(CA$7,Marketing!$M$6:$BM$6,Marketing!$M$13:$BM$13))</f>
        <v>G</v>
      </c>
      <c r="CB104" s="69" t="str">
        <f>IF(CB$7&gt;$D$3,"",_xlfn.XLOOKUP(CB$7,Marketing!$M$6:$BM$6,Marketing!$M$13:$BM$13))</f>
        <v>G</v>
      </c>
      <c r="CC104" s="69" t="str">
        <f>IF(CC$7&gt;$D$3,"",_xlfn.XLOOKUP(CC$7,Marketing!$M$6:$BM$6,Marketing!$M$13:$BM$13))</f>
        <v/>
      </c>
      <c r="CD104" s="69" t="str">
        <f>IF(CD$7&gt;$D$3,"",_xlfn.XLOOKUP(CD$7,Marketing!$M$6:$BM$6,Marketing!$M$13:$BM$13))</f>
        <v/>
      </c>
      <c r="CE104" s="69" t="str">
        <f>IF(CE$7&gt;$D$3,"",_xlfn.XLOOKUP(CE$7,Marketing!$M$6:$BM$6,Marketing!$M$13:$BM$13))</f>
        <v/>
      </c>
      <c r="CF104" s="69" t="str">
        <f>IF(CF$7&gt;$D$3,"",_xlfn.XLOOKUP(CF$7,Marketing!$M$6:$BM$6,Marketing!$M$13:$BM$13))</f>
        <v/>
      </c>
      <c r="CG104" s="69" t="str">
        <f>IF(CG$7&gt;$D$3,"",_xlfn.XLOOKUP(CG$7,Marketing!$M$6:$BM$6,Marketing!$M$13:$BM$13))</f>
        <v/>
      </c>
      <c r="CH104" s="69" t="str">
        <f>IF(CH$7&gt;$D$3,"",_xlfn.XLOOKUP(CH$7,Marketing!$M$6:$BM$6,Marketing!$M$13:$BM$13))</f>
        <v/>
      </c>
      <c r="CI104" s="69" t="str">
        <f>IF(CI$7&gt;$D$3,"",_xlfn.XLOOKUP(CI$7,Marketing!$M$6:$BM$6,Marketing!$M$13:$BM$13))</f>
        <v/>
      </c>
      <c r="CJ104" s="69" t="str">
        <f>IF(CJ$7&gt;$D$3,"",_xlfn.XLOOKUP(CJ$7,Marketing!$M$6:$BM$6,Marketing!$M$13:$BM$13))</f>
        <v/>
      </c>
      <c r="CK104" s="69" t="str">
        <f>IF(CK$7&gt;$D$3,"",_xlfn.XLOOKUP(CK$7,Marketing!$M$6:$BM$6,Marketing!$M$13:$BM$13))</f>
        <v/>
      </c>
      <c r="CL104" s="69" t="str">
        <f>IF(CL$7&gt;$D$3,"",_xlfn.XLOOKUP(CL$7,Marketing!$M$6:$BM$6,Marketing!$M$13:$BM$13))</f>
        <v/>
      </c>
      <c r="CM104" s="69" t="str">
        <f>IF(CM$7&gt;$D$3,"",_xlfn.XLOOKUP(CM$7,Marketing!$M$6:$BM$6,Marketing!$M$13:$BM$13))</f>
        <v/>
      </c>
      <c r="CO104" s="465" t="str">
        <f>+$A104</f>
        <v>Marketing-KPI D1</v>
      </c>
      <c r="CP104" s="136" t="str">
        <f t="shared" si="353"/>
        <v>KPI D1</v>
      </c>
      <c r="CQ104" s="144" t="str">
        <f t="shared" si="353"/>
        <v>Delivery</v>
      </c>
      <c r="CR104" s="144" t="str">
        <f t="shared" si="340"/>
        <v>Tasks completed on Time</v>
      </c>
      <c r="CS104" s="145" t="str">
        <f t="shared" si="340"/>
        <v>Percentage</v>
      </c>
      <c r="CT104" s="207" t="s">
        <v>246</v>
      </c>
      <c r="CU104" s="629" t="str">
        <f>IF(CU$7&gt;$D$3,"",_xlfn.XLOOKUP(CU$7,IT!$M$6:$BM$6,IT!$M$16:$BM$16))</f>
        <v>Blank</v>
      </c>
      <c r="CV104" s="323">
        <f>IFERROR(IF(CV$7&gt;$D$3,"",IF(AN104="OD","OD",IF(AN104="Missed","Missed",IF(AN104="TBC","TBC",IF(AN104="Undefined","Undefined",_xlfn.XLOOKUP(CV$7,Marketing!$M$6:$BM$6,Marketing!$M$12:$BM$12)/_xlfn.XLOOKUP(CV$7,Marketing!$M$6:$BM$6,Marketing!$M$11:$BM$11)))))),"")</f>
        <v>1</v>
      </c>
      <c r="CW104" s="315">
        <f>IFERROR(IF(CW$7&gt;$D$3,"",IF(AO104="OD","OD",IF(AO104="Missed","Missed",IF(AO104="TBC","TBC",IF(AO104="Undefined","Undefined",_xlfn.XLOOKUP(CW$7,Marketing!$M$6:$BM$6,Marketing!$M$12:$BM$12)/_xlfn.XLOOKUP(CW$7,Marketing!$M$6:$BM$6,Marketing!$M$11:$BM$11)))))),"")</f>
        <v>0.33</v>
      </c>
      <c r="CX104" s="315">
        <f>IFERROR(IF(CX$7&gt;$D$3,"",IF(AP104="OD","OD",IF(AP104="Missed","Missed",IF(AP104="TBC","TBC",IF(AP104="Undefined","Undefined",_xlfn.XLOOKUP(CX$7,Marketing!$M$6:$BM$6,Marketing!$M$12:$BM$12)/_xlfn.XLOOKUP(CX$7,Marketing!$M$6:$BM$6,Marketing!$M$11:$BM$11)))))),"")</f>
        <v>1</v>
      </c>
      <c r="CY104" s="315">
        <f>IFERROR(IF(CY$7&gt;$D$3,"",IF(AQ104="OD","OD",IF(AQ104="Missed","Missed",IF(AQ104="TBC","TBC",IF(AQ104="Undefined","Undefined",_xlfn.XLOOKUP(CY$7,Marketing!$M$6:$BM$6,Marketing!$M$12:$BM$12)/_xlfn.XLOOKUP(CY$7,Marketing!$M$6:$BM$6,Marketing!$M$11:$BM$11)))))),"")</f>
        <v>0.33</v>
      </c>
      <c r="CZ104" s="315">
        <f>IFERROR(IF(CZ$7&gt;$D$3,"",IF(AR104="OD","OD",IF(AR104="Missed","Missed",IF(AR104="TBC","TBC",IF(AR104="Undefined","Undefined",_xlfn.XLOOKUP(CZ$7,Marketing!$M$6:$BM$6,Marketing!$M$12:$BM$12)/_xlfn.XLOOKUP(CZ$7,Marketing!$M$6:$BM$6,Marketing!$M$11:$BM$11)))))),"")</f>
        <v>0.66</v>
      </c>
      <c r="DA104" s="315">
        <f>IFERROR(IF(DA$7&gt;$D$3,"",IF(AS104="OD","OD",IF(AS104="Missed","Missed",IF(AS104="TBC","TBC",IF(AS104="Undefined","Undefined",_xlfn.XLOOKUP(DA$7,Marketing!$M$6:$BM$6,Marketing!$M$12:$BM$12)/_xlfn.XLOOKUP(DA$7,Marketing!$M$6:$BM$6,Marketing!$M$11:$BM$11)))))),"")</f>
        <v>0.66</v>
      </c>
      <c r="DB104" s="315">
        <f>IFERROR(IF(DB$7&gt;$D$3,"",IF(AT104="OD","OD",IF(AT104="Missed","Missed",IF(AT104="TBC","TBC",IF(AT104="Undefined","Undefined",_xlfn.XLOOKUP(DB$7,Marketing!$M$6:$BM$6,Marketing!$M$12:$BM$12)/_xlfn.XLOOKUP(DB$7,Marketing!$M$6:$BM$6,Marketing!$M$11:$BM$11)))))),"")</f>
        <v>0.5</v>
      </c>
      <c r="DC104" s="315">
        <f>IFERROR(IF(DC$7&gt;$D$3,"",IF(AU104="OD","OD",IF(AU104="Missed","Missed",IF(AU104="TBC","TBC",IF(AU104="Undefined","Undefined",_xlfn.XLOOKUP(DC$7,Marketing!$M$6:$BM$6,Marketing!$M$12:$BM$12)/_xlfn.XLOOKUP(DC$7,Marketing!$M$6:$BM$6,Marketing!$M$11:$BM$11)))))),"")</f>
        <v>1</v>
      </c>
      <c r="DD104" s="315">
        <f>IFERROR(IF(DD$7&gt;$D$3,"",IF(AV104="OD","OD",IF(AV104="Missed","Missed",IF(AV104="TBC","TBC",IF(AV104="Undefined","Undefined",_xlfn.XLOOKUP(DD$7,Marketing!$M$6:$BM$6,Marketing!$M$12:$BM$12)/_xlfn.XLOOKUP(DD$7,Marketing!$M$6:$BM$6,Marketing!$M$11:$BM$11)))))),"")</f>
        <v>1</v>
      </c>
      <c r="DE104" s="315">
        <f>IFERROR(IF(DE$7&gt;$D$3,"",IF(AW104="OD","OD",IF(AW104="Missed","Missed",IF(AW104="TBC","TBC",IF(AW104="Undefined","Undefined",_xlfn.XLOOKUP(DE$7,Marketing!$M$6:$BM$6,Marketing!$M$12:$BM$12)/_xlfn.XLOOKUP(DE$7,Marketing!$M$6:$BM$6,Marketing!$M$11:$BM$11)))))),"")</f>
        <v>1</v>
      </c>
      <c r="DF104" s="315">
        <f>IFERROR(IF(DF$7&gt;$D$3,"",IF(AX104="OD","OD",IF(AX104="Missed","Missed",IF(AX104="TBC","TBC",IF(AX104="Undefined","Undefined",_xlfn.XLOOKUP(DF$7,Marketing!$M$6:$BM$6,Marketing!$M$12:$BM$12)/_xlfn.XLOOKUP(DF$7,Marketing!$M$6:$BM$6,Marketing!$M$11:$BM$11)))))),"")</f>
        <v>1</v>
      </c>
      <c r="DG104" s="315">
        <f>IFERROR(IF(DG$7&gt;$D$3,"",IF(AY104="OD","OD",IF(AY104="Missed","Missed",IF(AY104="TBC","TBC",IF(AY104="Undefined","Undefined",_xlfn.XLOOKUP(DG$7,Marketing!$M$6:$BM$6,Marketing!$M$12:$BM$12)/_xlfn.XLOOKUP(DG$7,Marketing!$M$6:$BM$6,Marketing!$M$11:$BM$11)))))),"")</f>
        <v>1</v>
      </c>
      <c r="DH104" s="315">
        <f>IFERROR(IF(DH$7&gt;$D$3,"",IF(AZ104="OD","OD",IF(AZ104="Missed","Missed",IF(AZ104="TBC","TBC",IF(AZ104="Undefined","Undefined",_xlfn.XLOOKUP(DH$7,Marketing!$M$6:$BM$6,Marketing!$M$12:$BM$12)/_xlfn.XLOOKUP(DH$7,Marketing!$M$6:$BM$6,Marketing!$M$11:$BM$11)))))),"")</f>
        <v>0.66</v>
      </c>
      <c r="DI104" s="315">
        <f>IFERROR(IF(DI$7&gt;$D$3,"",IF(BA104="OD","OD",IF(BA104="Missed","Missed",IF(BA104="TBC","TBC",IF(BA104="Undefined","Undefined",_xlfn.XLOOKUP(DI$7,Marketing!$M$6:$BM$6,Marketing!$M$12:$BM$12)/_xlfn.XLOOKUP(DI$7,Marketing!$M$6:$BM$6,Marketing!$M$11:$BM$11)))))),"")</f>
        <v>1</v>
      </c>
      <c r="DJ104" s="315">
        <f>IFERROR(IF(DJ$7&gt;$D$3,"",IF(BB104="OD","OD",IF(BB104="Missed","Missed",IF(BB104="TBC","TBC",IF(BB104="Undefined","Undefined",_xlfn.XLOOKUP(DJ$7,Marketing!$M$6:$BM$6,Marketing!$M$12:$BM$12)/_xlfn.XLOOKUP(DJ$7,Marketing!$M$6:$BM$6,Marketing!$M$11:$BM$11)))))),"")</f>
        <v>1</v>
      </c>
      <c r="DK104" s="315">
        <f>IFERROR(IF(DK$7&gt;$D$3,"",IF(BC104="OD","OD",IF(BC104="Missed","Missed",IF(BC104="TBC","TBC",IF(BC104="Undefined","Undefined",_xlfn.XLOOKUP(DK$7,Marketing!$M$6:$BM$6,Marketing!$M$12:$BM$12)/_xlfn.XLOOKUP(DK$7,Marketing!$M$6:$BM$6,Marketing!$M$11:$BM$11)))))),"")</f>
        <v>1</v>
      </c>
      <c r="DL104" s="315">
        <f>IFERROR(IF(DL$7&gt;$D$3,"",IF(BD104="OD","OD",IF(BD104="Missed","Missed",IF(BD104="TBC","TBC",IF(BD104="Undefined","Undefined",_xlfn.XLOOKUP(DL$7,Marketing!$M$6:$BM$6,Marketing!$M$12:$BM$12)/_xlfn.XLOOKUP(DL$7,Marketing!$M$6:$BM$6,Marketing!$M$11:$BM$11)))))),"")</f>
        <v>1</v>
      </c>
      <c r="DM104" s="315">
        <f>IFERROR(IF(DM$7&gt;$D$3,"",IF(BE104="OD","OD",IF(BE104="Missed","Missed",IF(BE104="TBC","TBC",IF(BE104="Undefined","Undefined",_xlfn.XLOOKUP(DM$7,Marketing!$M$6:$BM$6,Marketing!$M$12:$BM$12)/_xlfn.XLOOKUP(DM$7,Marketing!$M$6:$BM$6,Marketing!$M$11:$BM$11)))))),"")</f>
        <v>1</v>
      </c>
      <c r="DN104" s="315">
        <f>IFERROR(IF(DN$7&gt;$D$3,"",IF(BF104="OD","OD",IF(BF104="Missed","Missed",IF(BF104="TBC","TBC",IF(BF104="Undefined","Undefined",_xlfn.XLOOKUP(DN$7,Marketing!$M$6:$BM$6,Marketing!$M$12:$BM$12)/_xlfn.XLOOKUP(DN$7,Marketing!$M$6:$BM$6,Marketing!$M$11:$BM$11)))))),"")</f>
        <v>1</v>
      </c>
      <c r="DO104" s="315">
        <f>IFERROR(IF(DO$7&gt;$D$3,"",IF(BG104="OD","OD",IF(BG104="Missed","Missed",IF(BG104="TBC","TBC",IF(BG104="Undefined","Undefined",_xlfn.XLOOKUP(DO$7,Marketing!$M$6:$BM$6,Marketing!$M$12:$BM$12)/_xlfn.XLOOKUP(DO$7,Marketing!$M$6:$BM$6,Marketing!$M$11:$BM$11)))))),"")</f>
        <v>1</v>
      </c>
      <c r="DP104" s="315">
        <f>IFERROR(IF(DP$7&gt;$D$3,"",IF(BH104="OD","OD",IF(BH104="Missed","Missed",IF(BH104="TBC","TBC",IF(BH104="Undefined","Undefined",_xlfn.XLOOKUP(DP$7,Marketing!$M$6:$BM$6,Marketing!$M$12:$BM$12)/_xlfn.XLOOKUP(DP$7,Marketing!$M$6:$BM$6,Marketing!$M$11:$BM$11)))))),"")</f>
        <v>1</v>
      </c>
      <c r="DQ104" s="315">
        <f>IFERROR(IF(DQ$7&gt;$D$3,"",IF(BI104="OD","OD",IF(BI104="Missed","Missed",IF(BI104="TBC","TBC",IF(BI104="Undefined","Undefined",_xlfn.XLOOKUP(DQ$7,Marketing!$M$6:$BM$6,Marketing!$M$12:$BM$12)/_xlfn.XLOOKUP(DQ$7,Marketing!$M$6:$BM$6,Marketing!$M$11:$BM$11)))))),"")</f>
        <v>1</v>
      </c>
      <c r="DR104" s="315">
        <f>IFERROR(IF(DR$7&gt;$D$3,"",IF(BJ104="OD","OD",IF(BJ104="Missed","Missed",IF(BJ104="TBC","TBC",IF(BJ104="Undefined","Undefined",_xlfn.XLOOKUP(DR$7,Marketing!$M$6:$BM$6,Marketing!$M$12:$BM$12)/_xlfn.XLOOKUP(DR$7,Marketing!$M$6:$BM$6,Marketing!$M$11:$BM$11)))))),"")</f>
        <v>0.75</v>
      </c>
      <c r="DS104" s="315">
        <f>IFERROR(IF(DS$7&gt;$D$3,"",IF(BK104="OD","OD",IF(BK104="Missed","Missed",IF(BK104="TBC","TBC",IF(BK104="Undefined","Undefined",_xlfn.XLOOKUP(DS$7,Marketing!$M$6:$BM$6,Marketing!$M$12:$BM$12)/_xlfn.XLOOKUP(DS$7,Marketing!$M$6:$BM$6,Marketing!$M$11:$BM$11)))))),"")</f>
        <v>1</v>
      </c>
      <c r="DT104" s="315">
        <f>IFERROR(IF(DT$7&gt;$D$3,"",IF(BL104="OD","OD",IF(BL104="Missed","Missed",IF(BL104="TBC","TBC",IF(BL104="Undefined","Undefined",_xlfn.XLOOKUP(DT$7,Marketing!$M$6:$BM$6,Marketing!$M$12:$BM$12)/_xlfn.XLOOKUP(DT$7,Marketing!$M$6:$BM$6,Marketing!$M$11:$BM$11)))))),"")</f>
        <v>0.4</v>
      </c>
      <c r="DU104" s="315">
        <f>IFERROR(IF(DU$7&gt;$D$3,"",IF(BM104="OD","OD",IF(BM104="Missed","Missed",IF(BM104="TBC","TBC",IF(BM104="Undefined","Undefined",_xlfn.XLOOKUP(DU$7,Marketing!$M$6:$BM$6,Marketing!$M$12:$BM$12)/_xlfn.XLOOKUP(DU$7,Marketing!$M$6:$BM$6,Marketing!$M$11:$BM$11)))))),"")</f>
        <v>0.6</v>
      </c>
      <c r="DV104" s="315">
        <f>IFERROR(IF(DV$7&gt;$D$3,"",IF(BN104="OD","OD",IF(BN104="Missed","Missed",IF(BN104="TBC","TBC",IF(BN104="Undefined","Undefined",_xlfn.XLOOKUP(DV$7,Marketing!$M$6:$BM$6,Marketing!$M$12:$BM$12)/_xlfn.XLOOKUP(DV$7,Marketing!$M$6:$BM$6,Marketing!$M$11:$BM$11)))))),"")</f>
        <v>1</v>
      </c>
      <c r="DW104" s="315">
        <f>IFERROR(IF(DW$7&gt;$D$3,"",IF(BO104="OD","OD",IF(BO104="Missed","Missed",IF(BO104="TBC","TBC",IF(BO104="Undefined","Undefined",_xlfn.XLOOKUP(DW$7,Marketing!$M$6:$BM$6,Marketing!$M$12:$BM$12)/_xlfn.XLOOKUP(DW$7,Marketing!$M$6:$BM$6,Marketing!$M$11:$BM$11)))))),"")</f>
        <v>1</v>
      </c>
      <c r="DX104" s="315">
        <f>IFERROR(IF(DX$7&gt;$D$3,"",IF(BP104="OD","OD",IF(BP104="Missed","Missed",IF(BP104="TBC","TBC",IF(BP104="Undefined","Undefined",_xlfn.XLOOKUP(DX$7,Marketing!$M$6:$BM$6,Marketing!$M$12:$BM$12)/_xlfn.XLOOKUP(DX$7,Marketing!$M$6:$BM$6,Marketing!$M$11:$BM$11)))))),"")</f>
        <v>1</v>
      </c>
      <c r="DY104" s="315">
        <f>IFERROR(IF(DY$7&gt;$D$3,"",IF(BQ104="OD","OD",IF(BQ104="Missed","Missed",IF(BQ104="TBC","TBC",IF(BQ104="Undefined","Undefined",_xlfn.XLOOKUP(DY$7,Marketing!$M$6:$BM$6,Marketing!$M$12:$BM$12)/_xlfn.XLOOKUP(DY$7,Marketing!$M$6:$BM$6,Marketing!$M$11:$BM$11)))))),"")</f>
        <v>0.4</v>
      </c>
      <c r="DZ104" s="315">
        <f>IFERROR(IF(DZ$7&gt;$D$3,"",IF(BR104="OD","OD",IF(BR104="Missed","Missed",IF(BR104="TBC","TBC",IF(BR104="Undefined","Undefined",_xlfn.XLOOKUP(DZ$7,Marketing!$M$6:$BM$6,Marketing!$M$12:$BM$12)/_xlfn.XLOOKUP(DZ$7,Marketing!$M$6:$BM$6,Marketing!$M$11:$BM$11)))))),"")</f>
        <v>0.5</v>
      </c>
      <c r="EA104" s="315">
        <f>IFERROR(IF(EA$7&gt;$D$3,"",IF(BS104="OD","OD",IF(BS104="Missed","Missed",IF(BS104="TBC","TBC",IF(BS104="Undefined","Undefined",_xlfn.XLOOKUP(EA$7,Marketing!$M$6:$BM$6,Marketing!$M$12:$BM$12)/_xlfn.XLOOKUP(EA$7,Marketing!$M$6:$BM$6,Marketing!$M$11:$BM$11)))))),"")</f>
        <v>0.2</v>
      </c>
      <c r="EB104" s="315">
        <f>IFERROR(IF(EB$7&gt;$D$3,"",IF(BT104="OD","OD",IF(BT104="Missed","Missed",IF(BT104="TBC","TBC",IF(BT104="Undefined","Undefined",_xlfn.XLOOKUP(EB$7,Marketing!$M$6:$BM$6,Marketing!$M$12:$BM$12)/_xlfn.XLOOKUP(EB$7,Marketing!$M$6:$BM$6,Marketing!$M$11:$BM$11)))))),"")</f>
        <v>0.6</v>
      </c>
      <c r="EC104" s="315">
        <f>IFERROR(IF(EC$7&gt;$D$3,"",IF(BU104="OD","OD",IF(BU104="Missed","Missed",IF(BU104="TBC","TBC",IF(BU104="Undefined","Undefined",_xlfn.XLOOKUP(EC$7,Marketing!$M$6:$BM$6,Marketing!$M$12:$BM$12)/_xlfn.XLOOKUP(EC$7,Marketing!$M$6:$BM$6,Marketing!$M$11:$BM$11)))))),"")</f>
        <v>0</v>
      </c>
      <c r="ED104" s="315">
        <f>IFERROR(IF(ED$7&gt;$D$3,"",IF(BV104="OD","OD",IF(BV104="Missed","Missed",IF(BV104="TBC","TBC",IF(BV104="Undefined","Undefined",_xlfn.XLOOKUP(ED$7,Marketing!$M$6:$BM$6,Marketing!$M$12:$BM$12)/_xlfn.XLOOKUP(ED$7,Marketing!$M$6:$BM$6,Marketing!$M$11:$BM$11)))))),"")</f>
        <v>1</v>
      </c>
      <c r="EE104" s="315">
        <f>IFERROR(IF(EE$7&gt;$D$3,"",IF(BW104="OD","OD",IF(BW104="Missed","Missed",IF(BW104="TBC","TBC",IF(BW104="Undefined","Undefined",_xlfn.XLOOKUP(EE$7,Marketing!$M$6:$BM$6,Marketing!$M$12:$BM$12)/_xlfn.XLOOKUP(EE$7,Marketing!$M$6:$BM$6,Marketing!$M$11:$BM$11)))))),"")</f>
        <v>1</v>
      </c>
      <c r="EF104" s="315">
        <f>IFERROR(IF(EF$7&gt;$D$3,"",IF(BX104="OD","OD",IF(BX104="Missed","Missed",IF(BX104="TBC","TBC",IF(BX104="Undefined","Undefined",_xlfn.XLOOKUP(EF$7,Marketing!$M$6:$BM$6,Marketing!$M$12:$BM$12)/_xlfn.XLOOKUP(EF$7,Marketing!$M$6:$BM$6,Marketing!$M$11:$BM$11)))))),"")</f>
        <v>1</v>
      </c>
      <c r="EG104" s="315">
        <f>IFERROR(IF(EG$7&gt;$D$3,"",IF(BY104="OD","OD",IF(BY104="Missed","Missed",IF(BY104="TBC","TBC",IF(BY104="Undefined","Undefined",_xlfn.XLOOKUP(EG$7,Marketing!$M$6:$BM$6,Marketing!$M$12:$BM$12)/_xlfn.XLOOKUP(EG$7,Marketing!$M$6:$BM$6,Marketing!$M$11:$BM$11)))))),"")</f>
        <v>0.6</v>
      </c>
      <c r="EH104" s="315">
        <f>IFERROR(IF(EH$7&gt;$D$3,"",IF(BZ104="OD","OD",IF(BZ104="Missed","Missed",IF(BZ104="TBC","TBC",IF(BZ104="Undefined","Undefined",_xlfn.XLOOKUP(EH$7,Marketing!$M$6:$BM$6,Marketing!$M$12:$BM$12)/_xlfn.XLOOKUP(EH$7,Marketing!$M$6:$BM$6,Marketing!$M$11:$BM$11)))))),"")</f>
        <v>1</v>
      </c>
      <c r="EI104" s="315">
        <f>IFERROR(IF(EI$7&gt;$D$3,"",IF(CA104="OD","OD",IF(CA104="Missed","Missed",IF(CA104="TBC","TBC",IF(CA104="Undefined","Undefined",_xlfn.XLOOKUP(EI$7,Marketing!$M$6:$BM$6,Marketing!$M$12:$BM$12)/_xlfn.XLOOKUP(EI$7,Marketing!$M$6:$BM$6,Marketing!$M$11:$BM$11)))))),"")</f>
        <v>1</v>
      </c>
      <c r="EJ104" s="315">
        <f>IFERROR(IF(EJ$7&gt;$D$3,"",IF(CB104="OD","OD",IF(CB104="Missed","Missed",IF(CB104="TBC","TBC",IF(CB104="Undefined","Undefined",_xlfn.XLOOKUP(EJ$7,Marketing!$M$6:$BM$6,Marketing!$M$12:$BM$12)/_xlfn.XLOOKUP(EJ$7,Marketing!$M$6:$BM$6,Marketing!$M$11:$BM$11)))))),"")</f>
        <v>1</v>
      </c>
      <c r="EK104" s="315" t="str">
        <f>IFERROR(IF(EK$7&gt;$D$3,"",IF(CC104="OD","OD",IF(CC104="Missed","Missed",IF(CC104="TBC","TBC",IF(CC104="Undefined","Undefined",_xlfn.XLOOKUP(EK$7,Marketing!$M$6:$BM$6,Marketing!$M$12:$BM$12)/_xlfn.XLOOKUP(EK$7,Marketing!$M$6:$BM$6,Marketing!$M$11:$BM$11)))))),"")</f>
        <v/>
      </c>
      <c r="EL104" s="315" t="str">
        <f>IFERROR(IF(EL$7&gt;$D$3,"",IF(CD104="OD","OD",IF(CD104="Missed","Missed",IF(CD104="TBC","TBC",IF(CD104="Undefined","Undefined",_xlfn.XLOOKUP(EL$7,Marketing!$M$6:$BM$6,Marketing!$M$12:$BM$12)/_xlfn.XLOOKUP(EL$7,Marketing!$M$6:$BM$6,Marketing!$M$11:$BM$11)))))),"")</f>
        <v/>
      </c>
      <c r="EM104" s="315" t="str">
        <f>IFERROR(IF(EM$7&gt;$D$3,"",IF(CE104="OD","OD",IF(CE104="Missed","Missed",IF(CE104="TBC","TBC",IF(CE104="Undefined","Undefined",_xlfn.XLOOKUP(EM$7,Marketing!$M$6:$BM$6,Marketing!$M$12:$BM$12)/_xlfn.XLOOKUP(EM$7,Marketing!$M$6:$BM$6,Marketing!$M$11:$BM$11)))))),"")</f>
        <v/>
      </c>
      <c r="EN104" s="315" t="str">
        <f>IFERROR(IF(EN$7&gt;$D$3,"",IF(CF104="OD","OD",IF(CF104="Missed","Missed",IF(CF104="TBC","TBC",IF(CF104="Undefined","Undefined",_xlfn.XLOOKUP(EN$7,Marketing!$M$6:$BM$6,Marketing!$M$12:$BM$12)/_xlfn.XLOOKUP(EN$7,Marketing!$M$6:$BM$6,Marketing!$M$11:$BM$11)))))),"")</f>
        <v/>
      </c>
      <c r="EO104" s="315" t="str">
        <f>IFERROR(IF(EO$7&gt;$D$3,"",IF(CG104="OD","OD",IF(CG104="Missed","Missed",IF(CG104="TBC","TBC",IF(CG104="Undefined","Undefined",_xlfn.XLOOKUP(EO$7,Marketing!$M$6:$BM$6,Marketing!$M$12:$BM$12)/_xlfn.XLOOKUP(EO$7,Marketing!$M$6:$BM$6,Marketing!$M$11:$BM$11)))))),"")</f>
        <v/>
      </c>
      <c r="EP104" s="315" t="str">
        <f>IFERROR(IF(EP$7&gt;$D$3,"",IF(CH104="OD","OD",IF(CH104="Missed","Missed",IF(CH104="TBC","TBC",IF(CH104="Undefined","Undefined",_xlfn.XLOOKUP(EP$7,Marketing!$M$6:$BM$6,Marketing!$M$12:$BM$12)/_xlfn.XLOOKUP(EP$7,Marketing!$M$6:$BM$6,Marketing!$M$11:$BM$11)))))),"")</f>
        <v/>
      </c>
      <c r="EQ104" s="315" t="str">
        <f>IFERROR(IF(EQ$7&gt;$D$3,"",IF(CI104="OD","OD",IF(CI104="Missed","Missed",IF(CI104="TBC","TBC",IF(CI104="Undefined","Undefined",_xlfn.XLOOKUP(EQ$7,Marketing!$M$6:$BM$6,Marketing!$M$12:$BM$12)/_xlfn.XLOOKUP(EQ$7,Marketing!$M$6:$BM$6,Marketing!$M$11:$BM$11)))))),"")</f>
        <v/>
      </c>
      <c r="ER104" s="315" t="str">
        <f>IFERROR(IF(ER$7&gt;$D$3,"",IF(CJ104="OD","OD",IF(CJ104="Missed","Missed",IF(CJ104="TBC","TBC",IF(CJ104="Undefined","Undefined",_xlfn.XLOOKUP(ER$7,Marketing!$M$6:$BM$6,Marketing!$M$12:$BM$12)/_xlfn.XLOOKUP(ER$7,Marketing!$M$6:$BM$6,Marketing!$M$11:$BM$11)))))),"")</f>
        <v/>
      </c>
      <c r="ES104" s="315" t="str">
        <f>IFERROR(IF(ES$7&gt;$D$3,"",IF(CK104="OD","OD",IF(CK104="Missed","Missed",IF(CK104="TBC","TBC",IF(CK104="Undefined","Undefined",_xlfn.XLOOKUP(ES$7,Marketing!$M$6:$BM$6,Marketing!$M$12:$BM$12)/_xlfn.XLOOKUP(ES$7,Marketing!$M$6:$BM$6,Marketing!$M$11:$BM$11)))))),"")</f>
        <v/>
      </c>
      <c r="ET104" s="315" t="str">
        <f>IFERROR(IF(ET$7&gt;$D$3,"",IF(CL104="OD","OD",IF(CL104="Missed","Missed",IF(CL104="TBC","TBC",IF(CL104="Undefined","Undefined",_xlfn.XLOOKUP(ET$7,Marketing!$M$6:$BM$6,Marketing!$M$12:$BM$12)/_xlfn.XLOOKUP(ET$7,Marketing!$M$6:$BM$6,Marketing!$M$11:$BM$11)))))),"")</f>
        <v/>
      </c>
      <c r="EU104" s="315" t="str">
        <f>IFERROR(IF(EU$7&gt;$D$3,"",IF(CM104="OD","OD",IF(CM104="Missed","Missed",IF(CM104="TBC","TBC",IF(CM104="Undefined","Undefined",_xlfn.XLOOKUP(EU$7,Marketing!$M$6:$BM$6,Marketing!$M$12:$BM$12)/_xlfn.XLOOKUP(EU$7,Marketing!$M$6:$BM$6,Marketing!$M$11:$BM$11)))))),"")</f>
        <v/>
      </c>
      <c r="EW104" s="465" t="str">
        <f>+$A104</f>
        <v>Marketing-KPI D1</v>
      </c>
      <c r="EX104" s="136" t="str">
        <f>+$C104</f>
        <v>KPI D1</v>
      </c>
      <c r="EY104" s="144" t="str">
        <f>+$D104</f>
        <v>Delivery</v>
      </c>
      <c r="EZ104" s="144" t="str">
        <f>+$E104</f>
        <v>Tasks completed on Time</v>
      </c>
      <c r="FA104" s="145" t="str">
        <f>+$F104</f>
        <v>Percentage</v>
      </c>
      <c r="FB104" s="145" t="s">
        <v>251</v>
      </c>
      <c r="FC104" s="226" t="str">
        <f>IF(FC$7&gt;$D$3,"",IF($FA102&lt;FC$7,"OD",_xlfn.XLOOKUP(FC$7,Marketing!$M$6:$BM$6,Marketing!$M$12:$BM$12)))</f>
        <v>Blank</v>
      </c>
      <c r="FD104" s="226">
        <f>IF(FD$7&gt;$D$3,"",IF($FA102&lt;FD$7,"OD",_xlfn.XLOOKUP(FD$7,Marketing!$M$6:$BM$6,Marketing!$M$12:$BM$12)))</f>
        <v>100</v>
      </c>
      <c r="FE104" s="226">
        <f>IF(FE$7&gt;$D$3,"",IF($FA102&lt;FE$7,"OD",_xlfn.XLOOKUP(FE$7,Marketing!$M$6:$BM$6,Marketing!$M$12:$BM$12)))</f>
        <v>33</v>
      </c>
      <c r="FF104" s="226">
        <f>IF(FF$7&gt;$D$3,"",IF($FA102&lt;FF$7,"OD",_xlfn.XLOOKUP(FF$7,Marketing!$M$6:$BM$6,Marketing!$M$12:$BM$12)))</f>
        <v>100</v>
      </c>
      <c r="FG104" s="226">
        <f>IF(FG$7&gt;$D$3,"",IF($FA102&lt;FG$7,"OD",_xlfn.XLOOKUP(FG$7,Marketing!$M$6:$BM$6,Marketing!$M$12:$BM$12)))</f>
        <v>33</v>
      </c>
      <c r="FH104" s="226">
        <f>IF(FH$7&gt;$D$3,"",IF($FA102&lt;FH$7,"OD",_xlfn.XLOOKUP(FH$7,Marketing!$M$6:$BM$6,Marketing!$M$12:$BM$12)))</f>
        <v>66</v>
      </c>
      <c r="FI104" s="226">
        <f>IF(FI$7&gt;$D$3,"",IF($FA102&lt;FI$7,"OD",_xlfn.XLOOKUP(FI$7,Marketing!$M$6:$BM$6,Marketing!$M$12:$BM$12)))</f>
        <v>66</v>
      </c>
      <c r="FJ104" s="226">
        <f>IF(FJ$7&gt;$D$3,"",IF($FA102&lt;FJ$7,"OD",_xlfn.XLOOKUP(FJ$7,Marketing!$M$6:$BM$6,Marketing!$M$12:$BM$12)))</f>
        <v>50</v>
      </c>
      <c r="FK104" s="226">
        <f>IF(FK$7&gt;$D$3,"",IF($FA102&lt;FK$7,"OD",_xlfn.XLOOKUP(FK$7,Marketing!$M$6:$BM$6,Marketing!$M$12:$BM$12)))</f>
        <v>100</v>
      </c>
      <c r="FL104" s="226">
        <f>IF(FL$7&gt;$D$3,"",IF($FA102&lt;FL$7,"OD",_xlfn.XLOOKUP(FL$7,Marketing!$M$6:$BM$6,Marketing!$M$12:$BM$12)))</f>
        <v>100</v>
      </c>
      <c r="FM104" s="226">
        <f>IF(FM$7&gt;$D$3,"",IF($FA102&lt;FM$7,"OD",_xlfn.XLOOKUP(FM$7,Marketing!$M$6:$BM$6,Marketing!$M$12:$BM$12)))</f>
        <v>100</v>
      </c>
      <c r="FN104" s="226">
        <f>IF(FN$7&gt;$D$3,"",IF($FA102&lt;FN$7,"OD",_xlfn.XLOOKUP(FN$7,Marketing!$M$6:$BM$6,Marketing!$M$12:$BM$12)))</f>
        <v>100</v>
      </c>
      <c r="FO104" s="226">
        <f>IF(FO$7&gt;$D$3,"",IF($FA102&lt;FO$7,"OD",_xlfn.XLOOKUP(FO$7,Marketing!$M$6:$BM$6,Marketing!$M$12:$BM$12)))</f>
        <v>100</v>
      </c>
      <c r="FP104" s="226">
        <f>IF(FP$7&gt;$D$3,"",IF($FA102&lt;FP$7,"OD",_xlfn.XLOOKUP(FP$7,Marketing!$M$6:$BM$6,Marketing!$M$12:$BM$12)))</f>
        <v>66</v>
      </c>
      <c r="FQ104" s="226">
        <f>IF(FQ$7&gt;$D$3,"",IF($FA102&lt;FQ$7,"OD",_xlfn.XLOOKUP(FQ$7,Marketing!$M$6:$BM$6,Marketing!$M$12:$BM$12)))</f>
        <v>100</v>
      </c>
      <c r="FR104" s="226">
        <f>IF(FR$7&gt;$D$3,"",IF($FA102&lt;FR$7,"OD",_xlfn.XLOOKUP(FR$7,Marketing!$M$6:$BM$6,Marketing!$M$12:$BM$12)))</f>
        <v>100</v>
      </c>
      <c r="FS104" s="226">
        <f>IF(FS$7&gt;$D$3,"",IF($FA102&lt;FS$7,"OD",_xlfn.XLOOKUP(FS$7,Marketing!$M$6:$BM$6,Marketing!$M$12:$BM$12)))</f>
        <v>100</v>
      </c>
      <c r="FT104" s="226">
        <f>IF(FT$7&gt;$D$3,"",IF($FA102&lt;FT$7,"OD",_xlfn.XLOOKUP(FT$7,Marketing!$M$6:$BM$6,Marketing!$M$12:$BM$12)))</f>
        <v>100</v>
      </c>
      <c r="FU104" s="226">
        <f>IF(FU$7&gt;$D$3,"",IF($FA102&lt;FU$7,"OD",_xlfn.XLOOKUP(FU$7,Marketing!$M$6:$BM$6,Marketing!$M$12:$BM$12)))</f>
        <v>100</v>
      </c>
      <c r="FV104" s="226">
        <f>IF(FV$7&gt;$D$3,"",IF($FA102&lt;FV$7,"OD",_xlfn.XLOOKUP(FV$7,Marketing!$M$6:$BM$6,Marketing!$M$12:$BM$12)))</f>
        <v>100</v>
      </c>
      <c r="FW104" s="226">
        <f>IF(FW$7&gt;$D$3,"",IF($FA102&lt;FW$7,"OD",_xlfn.XLOOKUP(FW$7,Marketing!$M$6:$BM$6,Marketing!$M$12:$BM$12)))</f>
        <v>100</v>
      </c>
      <c r="FX104" s="226">
        <f>IF(FX$7&gt;$D$3,"",IF($FA102&lt;FX$7,"OD",_xlfn.XLOOKUP(FX$7,Marketing!$M$6:$BM$6,Marketing!$M$12:$BM$12)))</f>
        <v>100</v>
      </c>
      <c r="FY104" s="226">
        <f>IF(FY$7&gt;$D$3,"",IF($FA102&lt;FY$7,"OD",_xlfn.XLOOKUP(FY$7,Marketing!$M$6:$BM$6,Marketing!$M$12:$BM$12)))</f>
        <v>100</v>
      </c>
      <c r="FZ104" s="226">
        <f>IF(FZ$7&gt;$D$3,"",IF($FA102&lt;FZ$7,"OD",_xlfn.XLOOKUP(FZ$7,Marketing!$M$6:$BM$6,Marketing!$M$12:$BM$12)))</f>
        <v>75</v>
      </c>
      <c r="GA104" s="226">
        <f>IF(GA$7&gt;$D$3,"",IF($FA102&lt;GA$7,"OD",_xlfn.XLOOKUP(GA$7,Marketing!$M$6:$BM$6,Marketing!$M$12:$BM$12)))</f>
        <v>100</v>
      </c>
      <c r="GB104" s="226">
        <f>IF(GB$7&gt;$D$3,"",IF($FA102&lt;GB$7,"OD",_xlfn.XLOOKUP(GB$7,Marketing!$M$6:$BM$6,Marketing!$M$12:$BM$12)))</f>
        <v>40</v>
      </c>
      <c r="GC104" s="226">
        <f>IF(GC$7&gt;$D$3,"",IF($FA102&lt;GC$7,"OD",_xlfn.XLOOKUP(GC$7,Marketing!$M$6:$BM$6,Marketing!$M$12:$BM$12)))</f>
        <v>60</v>
      </c>
      <c r="GD104" s="226">
        <f>IF(GD$7&gt;$D$3,"",IF($FA102&lt;GD$7,"OD",_xlfn.XLOOKUP(GD$7,Marketing!$M$6:$BM$6,Marketing!$M$12:$BM$12)))</f>
        <v>100</v>
      </c>
      <c r="GE104" s="226">
        <f>IF(GE$7&gt;$D$3,"",IF($FA102&lt;GE$7,"OD",_xlfn.XLOOKUP(GE$7,Marketing!$M$6:$BM$6,Marketing!$M$12:$BM$12)))</f>
        <v>100</v>
      </c>
      <c r="GF104" s="226">
        <f>IF(GF$7&gt;$D$3,"",IF($FA102&lt;GF$7,"OD",_xlfn.XLOOKUP(GF$7,Marketing!$M$6:$BM$6,Marketing!$M$12:$BM$12)))</f>
        <v>100</v>
      </c>
      <c r="GG104" s="226">
        <f>IF(GG$7&gt;$D$3,"",IF($FA102&lt;GG$7,"OD",_xlfn.XLOOKUP(GG$7,Marketing!$M$6:$BM$6,Marketing!$M$12:$BM$12)))</f>
        <v>40</v>
      </c>
      <c r="GH104" s="226">
        <f>IF(GH$7&gt;$D$3,"",IF($FA102&lt;GH$7,"OD",_xlfn.XLOOKUP(GH$7,Marketing!$M$6:$BM$6,Marketing!$M$12:$BM$12)))</f>
        <v>50</v>
      </c>
      <c r="GI104" s="226">
        <f>IF(GI$7&gt;$D$3,"",IF($FA102&lt;GI$7,"OD",_xlfn.XLOOKUP(GI$7,Marketing!$M$6:$BM$6,Marketing!$M$12:$BM$12)))</f>
        <v>20</v>
      </c>
      <c r="GJ104" s="226">
        <f>IF(GJ$7&gt;$D$3,"",IF($FA102&lt;GJ$7,"OD",_xlfn.XLOOKUP(GJ$7,Marketing!$M$6:$BM$6,Marketing!$M$12:$BM$12)))</f>
        <v>60</v>
      </c>
      <c r="GK104" s="226">
        <f>IF(GK$7&gt;$D$3,"",IF($FA102&lt;GK$7,"OD",_xlfn.XLOOKUP(GK$7,Marketing!$M$6:$BM$6,Marketing!$M$12:$BM$12)))</f>
        <v>0</v>
      </c>
      <c r="GL104" s="226">
        <f>IF(GL$7&gt;$D$3,"",IF($FA102&lt;GL$7,"OD",_xlfn.XLOOKUP(GL$7,Marketing!$M$6:$BM$6,Marketing!$M$12:$BM$12)))</f>
        <v>100</v>
      </c>
      <c r="GM104" s="226">
        <f>IF(GM$7&gt;$D$3,"",IF($FA102&lt;GM$7,"OD",_xlfn.XLOOKUP(GM$7,Marketing!$M$6:$BM$6,Marketing!$M$12:$BM$12)))</f>
        <v>100</v>
      </c>
      <c r="GN104" s="226">
        <f>IF(GN$7&gt;$D$3,"",IF($FA102&lt;GN$7,"OD",_xlfn.XLOOKUP(GN$7,Marketing!$M$6:$BM$6,Marketing!$M$12:$BM$12)))</f>
        <v>100</v>
      </c>
      <c r="GO104" s="226">
        <f>IF(GO$7&gt;$D$3,"",IF($FA102&lt;GO$7,"OD",_xlfn.XLOOKUP(GO$7,Marketing!$M$6:$BM$6,Marketing!$M$12:$BM$12)))</f>
        <v>60</v>
      </c>
      <c r="GP104" s="226">
        <f>IF(GP$7&gt;$D$3,"",IF($FA102&lt;GP$7,"OD",_xlfn.XLOOKUP(GP$7,Marketing!$M$6:$BM$6,Marketing!$M$12:$BM$12)))</f>
        <v>100</v>
      </c>
      <c r="GQ104" s="226">
        <f>IF(GQ$7&gt;$D$3,"",IF($FA102&lt;GQ$7,"OD",_xlfn.XLOOKUP(GQ$7,Marketing!$M$6:$BM$6,Marketing!$M$12:$BM$12)))</f>
        <v>100</v>
      </c>
      <c r="GR104" s="226">
        <f>IF(GR$7&gt;$D$3,"",IF($FA102&lt;GR$7,"OD",_xlfn.XLOOKUP(GR$7,Marketing!$M$6:$BM$6,Marketing!$M$12:$BM$12)))</f>
        <v>100</v>
      </c>
      <c r="GS104" s="226" t="str">
        <f>IF(GS$7&gt;$D$3,"",IF($FA102&lt;GS$7,"OD",_xlfn.XLOOKUP(GS$7,Marketing!$M$6:$BM$6,Marketing!$M$12:$BM$12)))</f>
        <v/>
      </c>
      <c r="GT104" s="226" t="str">
        <f>IF(GT$7&gt;$D$3,"",IF($FA102&lt;GT$7,"OD",_xlfn.XLOOKUP(GT$7,Marketing!$M$6:$BM$6,Marketing!$M$12:$BM$12)))</f>
        <v/>
      </c>
      <c r="GU104" s="226" t="str">
        <f>IF(GU$7&gt;$D$3,"",IF($FA102&lt;GU$7,"OD",_xlfn.XLOOKUP(GU$7,Marketing!$M$6:$BM$6,Marketing!$M$12:$BM$12)))</f>
        <v/>
      </c>
      <c r="GV104" s="226" t="str">
        <f>IF(GV$7&gt;$D$3,"",IF($FA102&lt;GV$7,"OD",_xlfn.XLOOKUP(GV$7,Marketing!$M$6:$BM$6,Marketing!$M$12:$BM$12)))</f>
        <v/>
      </c>
      <c r="GW104" s="226" t="str">
        <f>IF(GW$7&gt;$D$3,"",IF($FA102&lt;GW$7,"OD",_xlfn.XLOOKUP(GW$7,Marketing!$M$6:$BM$6,Marketing!$M$12:$BM$12)))</f>
        <v/>
      </c>
      <c r="GX104" s="226" t="str">
        <f>IF(GX$7&gt;$D$3,"",IF($FA102&lt;GX$7,"OD",_xlfn.XLOOKUP(GX$7,Marketing!$M$6:$BM$6,Marketing!$M$12:$BM$12)))</f>
        <v/>
      </c>
      <c r="GY104" s="226" t="str">
        <f>IF(GY$7&gt;$D$3,"",IF($FA102&lt;GY$7,"OD",_xlfn.XLOOKUP(GY$7,Marketing!$M$6:$BM$6,Marketing!$M$12:$BM$12)))</f>
        <v/>
      </c>
      <c r="GZ104" s="226" t="str">
        <f>IF(GZ$7&gt;$D$3,"",IF($FA102&lt;GZ$7,"OD",_xlfn.XLOOKUP(GZ$7,Marketing!$M$6:$BM$6,Marketing!$M$12:$BM$12)))</f>
        <v/>
      </c>
      <c r="HA104" s="226" t="str">
        <f>IF(HA$7&gt;$D$3,"",IF($FA102&lt;HA$7,"OD",_xlfn.XLOOKUP(HA$7,Marketing!$M$6:$BM$6,Marketing!$M$12:$BM$12)))</f>
        <v/>
      </c>
      <c r="HB104" s="226" t="str">
        <f>IF(HB$7&gt;$D$3,"",IF($FA102&lt;HB$7,"OD",_xlfn.XLOOKUP(HB$7,Marketing!$M$6:$BM$6,Marketing!$M$12:$BM$12)))</f>
        <v/>
      </c>
      <c r="HC104" s="226" t="str">
        <f>IF(HC$7&gt;$D$3,"",IF($FA102&lt;HC$7,"OD",_xlfn.XLOOKUP(HC$7,Marketing!$M$6:$BM$6,Marketing!$M$12:$BM$12)))</f>
        <v/>
      </c>
      <c r="HE104" s="136" t="str">
        <f>+$C104</f>
        <v>KPI D1</v>
      </c>
      <c r="HF104" s="144" t="str">
        <f>+$D104</f>
        <v>Delivery</v>
      </c>
      <c r="HG104" s="144" t="str">
        <f>+$E104</f>
        <v>Tasks completed on Time</v>
      </c>
      <c r="HH104" s="145" t="str">
        <f>+$F104</f>
        <v>Percentage</v>
      </c>
      <c r="HI104" s="145" t="s">
        <v>44</v>
      </c>
      <c r="HJ104" s="226" t="str">
        <f>IF(HJ$7&gt;$D$3,"",IF($FA102&lt;HJ$7,"OD",_xlfn.XLOOKUP(HJ$7,Marketing!$M$6:$BM$6,Marketing!$M$11:$BM$11)))</f>
        <v>Blank</v>
      </c>
      <c r="HK104" s="226">
        <f>IF(HK$7&gt;$D$3,"",IF($FA102&lt;HK$7,"OD",_xlfn.XLOOKUP(HK$7,Marketing!$M$6:$BM$6,Marketing!$M$11:$BM$11)))</f>
        <v>100</v>
      </c>
      <c r="HL104" s="226">
        <f>IF(HL$7&gt;$D$3,"",IF($FA102&lt;HL$7,"OD",_xlfn.XLOOKUP(HL$7,Marketing!$M$6:$BM$6,Marketing!$M$11:$BM$11)))</f>
        <v>100</v>
      </c>
      <c r="HM104" s="226">
        <f>IF(HM$7&gt;$D$3,"",IF($FA102&lt;HM$7,"OD",_xlfn.XLOOKUP(HM$7,Marketing!$M$6:$BM$6,Marketing!$M$11:$BM$11)))</f>
        <v>100</v>
      </c>
      <c r="HN104" s="226">
        <f>IF(HN$7&gt;$D$3,"",IF($FA102&lt;HN$7,"OD",_xlfn.XLOOKUP(HN$7,Marketing!$M$6:$BM$6,Marketing!$M$11:$BM$11)))</f>
        <v>100</v>
      </c>
      <c r="HO104" s="226">
        <f>IF(HO$7&gt;$D$3,"",IF($FA102&lt;HO$7,"OD",_xlfn.XLOOKUP(HO$7,Marketing!$M$6:$BM$6,Marketing!$M$11:$BM$11)))</f>
        <v>100</v>
      </c>
      <c r="HP104" s="226">
        <f>IF(HP$7&gt;$D$3,"",IF($FA102&lt;HP$7,"OD",_xlfn.XLOOKUP(HP$7,Marketing!$M$6:$BM$6,Marketing!$M$11:$BM$11)))</f>
        <v>100</v>
      </c>
      <c r="HQ104" s="226">
        <f>IF(HQ$7&gt;$D$3,"",IF($FA102&lt;HQ$7,"OD",_xlfn.XLOOKUP(HQ$7,Marketing!$M$6:$BM$6,Marketing!$M$11:$BM$11)))</f>
        <v>100</v>
      </c>
      <c r="HR104" s="226">
        <f>IF(HR$7&gt;$D$3,"",IF($FA102&lt;HR$7,"OD",_xlfn.XLOOKUP(HR$7,Marketing!$M$6:$BM$6,Marketing!$M$11:$BM$11)))</f>
        <v>100</v>
      </c>
      <c r="HS104" s="226">
        <f>IF(HS$7&gt;$D$3,"",IF($FA102&lt;HS$7,"OD",_xlfn.XLOOKUP(HS$7,Marketing!$M$6:$BM$6,Marketing!$M$11:$BM$11)))</f>
        <v>100</v>
      </c>
      <c r="HT104" s="226">
        <f>IF(HT$7&gt;$D$3,"",IF($FA102&lt;HT$7,"OD",_xlfn.XLOOKUP(HT$7,Marketing!$M$6:$BM$6,Marketing!$M$11:$BM$11)))</f>
        <v>100</v>
      </c>
      <c r="HU104" s="226">
        <f>IF(HU$7&gt;$D$3,"",IF($FA102&lt;HU$7,"OD",_xlfn.XLOOKUP(HU$7,Marketing!$M$6:$BM$6,Marketing!$M$11:$BM$11)))</f>
        <v>100</v>
      </c>
      <c r="HV104" s="226">
        <f>IF(HV$7&gt;$D$3,"",IF($FA102&lt;HV$7,"OD",_xlfn.XLOOKUP(HV$7,Marketing!$M$6:$BM$6,Marketing!$M$11:$BM$11)))</f>
        <v>100</v>
      </c>
      <c r="HW104" s="226">
        <f>IF(HW$7&gt;$D$3,"",IF($FA102&lt;HW$7,"OD",_xlfn.XLOOKUP(HW$7,Marketing!$M$6:$BM$6,Marketing!$M$11:$BM$11)))</f>
        <v>100</v>
      </c>
      <c r="HX104" s="226">
        <f>IF(HX$7&gt;$D$3,"",IF($FA102&lt;HX$7,"OD",_xlfn.XLOOKUP(HX$7,Marketing!$M$6:$BM$6,Marketing!$M$11:$BM$11)))</f>
        <v>100</v>
      </c>
      <c r="HY104" s="226">
        <f>IF(HY$7&gt;$D$3,"",IF($FA102&lt;HY$7,"OD",_xlfn.XLOOKUP(HY$7,Marketing!$M$6:$BM$6,Marketing!$M$11:$BM$11)))</f>
        <v>100</v>
      </c>
      <c r="HZ104" s="226">
        <f>IF(HZ$7&gt;$D$3,"",IF($FA102&lt;HZ$7,"OD",_xlfn.XLOOKUP(HZ$7,Marketing!$M$6:$BM$6,Marketing!$M$11:$BM$11)))</f>
        <v>100</v>
      </c>
      <c r="IA104" s="226">
        <f>IF(IA$7&gt;$D$3,"",IF($FA102&lt;IA$7,"OD",_xlfn.XLOOKUP(IA$7,Marketing!$M$6:$BM$6,Marketing!$M$11:$BM$11)))</f>
        <v>100</v>
      </c>
      <c r="IB104" s="226">
        <f>IF(IB$7&gt;$D$3,"",IF($FA102&lt;IB$7,"OD",_xlfn.XLOOKUP(IB$7,Marketing!$M$6:$BM$6,Marketing!$M$11:$BM$11)))</f>
        <v>100</v>
      </c>
      <c r="IC104" s="226">
        <f>IF(IC$7&gt;$D$3,"",IF($FA102&lt;IC$7,"OD",_xlfn.XLOOKUP(IC$7,Marketing!$M$6:$BM$6,Marketing!$M$11:$BM$11)))</f>
        <v>100</v>
      </c>
      <c r="ID104" s="226">
        <f>IF(ID$7&gt;$D$3,"",IF($FA102&lt;ID$7,"OD",_xlfn.XLOOKUP(ID$7,Marketing!$M$6:$BM$6,Marketing!$M$11:$BM$11)))</f>
        <v>100</v>
      </c>
      <c r="IE104" s="226">
        <f>IF(IE$7&gt;$D$3,"",IF($FA102&lt;IE$7,"OD",_xlfn.XLOOKUP(IE$7,Marketing!$M$6:$BM$6,Marketing!$M$11:$BM$11)))</f>
        <v>100</v>
      </c>
      <c r="IF104" s="226">
        <f>IF(IF$7&gt;$D$3,"",IF($FA102&lt;IF$7,"OD",_xlfn.XLOOKUP(IF$7,Marketing!$M$6:$BM$6,Marketing!$M$11:$BM$11)))</f>
        <v>100</v>
      </c>
      <c r="IG104" s="226">
        <f>IF(IG$7&gt;$D$3,"",IF($FA102&lt;IG$7,"OD",_xlfn.XLOOKUP(IG$7,Marketing!$M$6:$BM$6,Marketing!$M$11:$BM$11)))</f>
        <v>100</v>
      </c>
      <c r="IH104" s="226">
        <f>IF(IH$7&gt;$D$3,"",IF($FA102&lt;IH$7,"OD",_xlfn.XLOOKUP(IH$7,Marketing!$M$6:$BM$6,Marketing!$M$11:$BM$11)))</f>
        <v>100</v>
      </c>
      <c r="II104" s="226">
        <f>IF(II$7&gt;$D$3,"",IF($FA102&lt;II$7,"OD",_xlfn.XLOOKUP(II$7,Marketing!$M$6:$BM$6,Marketing!$M$11:$BM$11)))</f>
        <v>100</v>
      </c>
      <c r="IJ104" s="226">
        <f>IF(IJ$7&gt;$D$3,"",IF($FA102&lt;IJ$7,"OD",_xlfn.XLOOKUP(IJ$7,Marketing!$M$6:$BM$6,Marketing!$M$11:$BM$11)))</f>
        <v>100</v>
      </c>
      <c r="IK104" s="226">
        <f>IF(IK$7&gt;$D$3,"",IF($FA102&lt;IK$7,"OD",_xlfn.XLOOKUP(IK$7,Marketing!$M$6:$BM$6,Marketing!$M$11:$BM$11)))</f>
        <v>100</v>
      </c>
      <c r="IL104" s="226">
        <f>IF(IL$7&gt;$D$3,"",IF($FA102&lt;IL$7,"OD",_xlfn.XLOOKUP(IL$7,Marketing!$M$6:$BM$6,Marketing!$M$11:$BM$11)))</f>
        <v>100</v>
      </c>
      <c r="IM104" s="226">
        <f>IF(IM$7&gt;$D$3,"",IF($FA102&lt;IM$7,"OD",_xlfn.XLOOKUP(IM$7,Marketing!$M$6:$BM$6,Marketing!$M$11:$BM$11)))</f>
        <v>100</v>
      </c>
      <c r="IN104" s="226">
        <f>IF(IN$7&gt;$D$3,"",IF($FA102&lt;IN$7,"OD",_xlfn.XLOOKUP(IN$7,Marketing!$M$6:$BM$6,Marketing!$M$11:$BM$11)))</f>
        <v>100</v>
      </c>
      <c r="IO104" s="226">
        <f>IF(IO$7&gt;$D$3,"",IF($FA102&lt;IO$7,"OD",_xlfn.XLOOKUP(IO$7,Marketing!$M$6:$BM$6,Marketing!$M$11:$BM$11)))</f>
        <v>100</v>
      </c>
      <c r="IP104" s="226">
        <f>IF(IP$7&gt;$D$3,"",IF($FA102&lt;IP$7,"OD",_xlfn.XLOOKUP(IP$7,Marketing!$M$6:$BM$6,Marketing!$M$11:$BM$11)))</f>
        <v>100</v>
      </c>
      <c r="IQ104" s="226">
        <f>IF(IQ$7&gt;$D$3,"",IF($FA102&lt;IQ$7,"OD",_xlfn.XLOOKUP(IQ$7,Marketing!$M$6:$BM$6,Marketing!$M$11:$BM$11)))</f>
        <v>100</v>
      </c>
      <c r="IR104" s="226">
        <f>IF(IR$7&gt;$D$3,"",IF($FA102&lt;IR$7,"OD",_xlfn.XLOOKUP(IR$7,Marketing!$M$6:$BM$6,Marketing!$M$11:$BM$11)))</f>
        <v>100</v>
      </c>
      <c r="IS104" s="226">
        <f>IF(IS$7&gt;$D$3,"",IF($FA102&lt;IS$7,"OD",_xlfn.XLOOKUP(IS$7,Marketing!$M$6:$BM$6,Marketing!$M$11:$BM$11)))</f>
        <v>100</v>
      </c>
      <c r="IT104" s="226">
        <f>IF(IT$7&gt;$D$3,"",IF($FA102&lt;IT$7,"OD",_xlfn.XLOOKUP(IT$7,Marketing!$M$6:$BM$6,Marketing!$M$11:$BM$11)))</f>
        <v>100</v>
      </c>
      <c r="IU104" s="226">
        <f>IF(IU$7&gt;$D$3,"",IF($FA102&lt;IU$7,"OD",_xlfn.XLOOKUP(IU$7,Marketing!$M$6:$BM$6,Marketing!$M$11:$BM$11)))</f>
        <v>100</v>
      </c>
      <c r="IV104" s="226">
        <f>IF(IV$7&gt;$D$3,"",IF($FA102&lt;IV$7,"OD",_xlfn.XLOOKUP(IV$7,Marketing!$M$6:$BM$6,Marketing!$M$11:$BM$11)))</f>
        <v>100</v>
      </c>
      <c r="IW104" s="226">
        <f>IF(IW$7&gt;$D$3,"",IF($FA102&lt;IW$7,"OD",_xlfn.XLOOKUP(IW$7,Marketing!$M$6:$BM$6,Marketing!$M$11:$BM$11)))</f>
        <v>100</v>
      </c>
      <c r="IX104" s="226">
        <f>IF(IX$7&gt;$D$3,"",IF($FA102&lt;IX$7,"OD",_xlfn.XLOOKUP(IX$7,Marketing!$M$6:$BM$6,Marketing!$M$11:$BM$11)))</f>
        <v>100</v>
      </c>
      <c r="IY104" s="226">
        <f>IF(IY$7&gt;$D$3,"",IF($FA102&lt;IY$7,"OD",_xlfn.XLOOKUP(IY$7,Marketing!$M$6:$BM$6,Marketing!$M$11:$BM$11)))</f>
        <v>100</v>
      </c>
      <c r="IZ104" s="226" t="str">
        <f>IF(IZ$7&gt;$D$3,"",IF($FA102&lt;IZ$7,"OD",_xlfn.XLOOKUP(IZ$7,Marketing!$M$6:$BM$6,Marketing!$M$11:$BM$11)))</f>
        <v/>
      </c>
      <c r="JA104" s="226" t="str">
        <f>IF(JA$7&gt;$D$3,"",IF($FA102&lt;JA$7,"OD",_xlfn.XLOOKUP(JA$7,Marketing!$M$6:$BM$6,Marketing!$M$11:$BM$11)))</f>
        <v/>
      </c>
      <c r="JB104" s="226" t="str">
        <f>IF(JB$7&gt;$D$3,"",IF($FA102&lt;JB$7,"OD",_xlfn.XLOOKUP(JB$7,Marketing!$M$6:$BM$6,Marketing!$M$11:$BM$11)))</f>
        <v/>
      </c>
      <c r="JC104" s="226" t="str">
        <f>IF(JC$7&gt;$D$3,"",IF($FA102&lt;JC$7,"OD",_xlfn.XLOOKUP(JC$7,Marketing!$M$6:$BM$6,Marketing!$M$11:$BM$11)))</f>
        <v/>
      </c>
      <c r="JD104" s="226" t="str">
        <f>IF(JD$7&gt;$D$3,"",IF($FA102&lt;JD$7,"OD",_xlfn.XLOOKUP(JD$7,Marketing!$M$6:$BM$6,Marketing!$M$11:$BM$11)))</f>
        <v/>
      </c>
      <c r="JE104" s="226" t="str">
        <f>IF(JE$7&gt;$D$3,"",IF($FA102&lt;JE$7,"OD",_xlfn.XLOOKUP(JE$7,Marketing!$M$6:$BM$6,Marketing!$M$11:$BM$11)))</f>
        <v/>
      </c>
      <c r="JF104" s="226" t="str">
        <f>IF(JF$7&gt;$D$3,"",IF($FA102&lt;JF$7,"OD",_xlfn.XLOOKUP(JF$7,Marketing!$M$6:$BM$6,Marketing!$M$11:$BM$11)))</f>
        <v/>
      </c>
      <c r="JG104" s="226" t="str">
        <f>IF(JG$7&gt;$D$3,"",IF($FA102&lt;JG$7,"OD",_xlfn.XLOOKUP(JG$7,Marketing!$M$6:$BM$6,Marketing!$M$11:$BM$11)))</f>
        <v/>
      </c>
      <c r="JH104" s="226" t="str">
        <f>IF(JH$7&gt;$D$3,"",IF($FA102&lt;JH$7,"OD",_xlfn.XLOOKUP(JH$7,Marketing!$M$6:$BM$6,Marketing!$M$11:$BM$11)))</f>
        <v/>
      </c>
      <c r="JI104" s="226" t="str">
        <f>IF(JI$7&gt;$D$3,"",IF($FA102&lt;JI$7,"OD",_xlfn.XLOOKUP(JI$7,Marketing!$M$6:$BM$6,Marketing!$M$11:$BM$11)))</f>
        <v/>
      </c>
      <c r="JJ104" s="226" t="str">
        <f>IF(JJ$7&gt;$D$3,"",IF($FA102&lt;JJ$7,"OD",_xlfn.XLOOKUP(JJ$7,Marketing!$M$6:$BM$6,Marketing!$M$11:$BM$11)))</f>
        <v/>
      </c>
      <c r="JM104" s="136" t="str">
        <f>+$C104</f>
        <v>KPI D1</v>
      </c>
      <c r="JN104" s="144" t="str">
        <f>+$D104</f>
        <v>Delivery</v>
      </c>
      <c r="JO104" s="144" t="str">
        <f>+$E104</f>
        <v>Tasks completed on Time</v>
      </c>
      <c r="JP104" s="145" t="str">
        <f>+$F104</f>
        <v>Percentage</v>
      </c>
      <c r="JQ104" s="145" t="s">
        <v>284</v>
      </c>
      <c r="JR104" s="226" t="str">
        <f>IFERROR(AVERAGE(FC104:$FC104),"")</f>
        <v/>
      </c>
      <c r="JS104" s="226">
        <f>IFERROR(AVERAGE($FC104:FD104),"")</f>
        <v>100</v>
      </c>
      <c r="JT104" s="226">
        <f>IFERROR(AVERAGE($FC104:FE104),"")</f>
        <v>66.5</v>
      </c>
      <c r="JU104" s="226">
        <f>IFERROR(AVERAGE($FC104:FF104),"")</f>
        <v>77.666666666666671</v>
      </c>
      <c r="JV104" s="226">
        <f>IFERROR(AVERAGE($FC104:FG104),"")</f>
        <v>66.5</v>
      </c>
      <c r="JW104" s="226">
        <f>IFERROR(AVERAGE($FC104:FH104),"")</f>
        <v>66.400000000000006</v>
      </c>
      <c r="JX104" s="226">
        <f>IFERROR(AVERAGE($FC104:FI104),"")</f>
        <v>66.333333333333329</v>
      </c>
      <c r="JY104" s="226">
        <f>IFERROR(AVERAGE($FC104:FJ104),"")</f>
        <v>64</v>
      </c>
      <c r="JZ104" s="226">
        <f>IFERROR(AVERAGE($FC104:FK104),"")</f>
        <v>68.5</v>
      </c>
      <c r="KA104" s="226">
        <f>IFERROR(AVERAGE($FC104:FL104),"")</f>
        <v>72</v>
      </c>
      <c r="KB104" s="226">
        <f>IFERROR(AVERAGE($FC104:FM104),"")</f>
        <v>74.8</v>
      </c>
      <c r="KC104" s="226">
        <f>IFERROR(AVERAGE($FC104:FN104),"")</f>
        <v>77.090909090909093</v>
      </c>
      <c r="KD104" s="226">
        <f>IFERROR(AVERAGE($FC104:FO104),"")</f>
        <v>79</v>
      </c>
      <c r="KE104" s="226">
        <f>IFERROR(AVERAGE($FC104:FP104),"")</f>
        <v>78</v>
      </c>
      <c r="KF104" s="226">
        <f>IFERROR(AVERAGE($FC104:FQ104),"")</f>
        <v>79.571428571428569</v>
      </c>
      <c r="KG104" s="226">
        <f>IFERROR(AVERAGE($FC104:FR104),"")</f>
        <v>80.933333333333337</v>
      </c>
      <c r="KH104" s="226">
        <f>IFERROR(AVERAGE($FC104:FS104),"")</f>
        <v>82.125</v>
      </c>
      <c r="KI104" s="226">
        <f>IFERROR(AVERAGE($FC104:FT104),"")</f>
        <v>83.17647058823529</v>
      </c>
      <c r="KJ104" s="226">
        <f>IFERROR(AVERAGE($FC104:FU104),"")</f>
        <v>84.111111111111114</v>
      </c>
      <c r="KK104" s="226">
        <f>IFERROR(AVERAGE($FC104:FV104),"")</f>
        <v>84.94736842105263</v>
      </c>
      <c r="KL104" s="226">
        <f>IFERROR(AVERAGE($FC104:FW104),"")</f>
        <v>85.7</v>
      </c>
      <c r="KM104" s="226">
        <f>IFERROR(AVERAGE($FC104:FX104),"")</f>
        <v>86.38095238095238</v>
      </c>
      <c r="KN104" s="226">
        <f>IFERROR(AVERAGE($FC104:FY104),"")</f>
        <v>87</v>
      </c>
      <c r="KO104" s="226">
        <f>IFERROR(AVERAGE($FC104:FZ104),"")</f>
        <v>86.478260869565219</v>
      </c>
      <c r="KP104" s="226">
        <f>IFERROR(AVERAGE($FC104:GA104),"")</f>
        <v>87.041666666666671</v>
      </c>
      <c r="KQ104" s="226">
        <f>IFERROR(AVERAGE($FC104:GB104),"")</f>
        <v>85.16</v>
      </c>
      <c r="KR104" s="226">
        <f>IFERROR(AVERAGE($FC104:GC104),"")</f>
        <v>84.192307692307693</v>
      </c>
      <c r="KS104" s="226">
        <f>IFERROR(AVERAGE($FC104:GD104),"")</f>
        <v>84.777777777777771</v>
      </c>
      <c r="KT104" s="226">
        <f>IFERROR(AVERAGE($FC104:GE104),"")</f>
        <v>85.321428571428569</v>
      </c>
      <c r="KU104" s="226">
        <f>IFERROR(AVERAGE($FC104:GF104),"")</f>
        <v>85.827586206896555</v>
      </c>
      <c r="KV104" s="226">
        <f>IFERROR(AVERAGE($FC104:GG104),"")</f>
        <v>84.3</v>
      </c>
      <c r="KW104" s="226">
        <f>IFERROR(AVERAGE($FC104:GH104),"")</f>
        <v>83.193548387096769</v>
      </c>
      <c r="KX104" s="226">
        <f>IFERROR(AVERAGE($FC104:GI104),"")</f>
        <v>81.21875</v>
      </c>
      <c r="KY104" s="226">
        <f>IFERROR(AVERAGE($FC104:GJ104),"")</f>
        <v>80.575757575757578</v>
      </c>
      <c r="KZ104" s="226">
        <f>IFERROR(AVERAGE($FC104:GK104),"")</f>
        <v>78.205882352941174</v>
      </c>
      <c r="LA104" s="226">
        <f>IFERROR(AVERAGE($FC104:GL104),"")</f>
        <v>78.828571428571422</v>
      </c>
      <c r="LB104" s="226">
        <f>IFERROR(AVERAGE($FC104:GM104),"")</f>
        <v>79.416666666666671</v>
      </c>
      <c r="LC104" s="226">
        <f>IFERROR(AVERAGE($FC104:GN104),"")</f>
        <v>79.972972972972968</v>
      </c>
      <c r="LD104" s="226">
        <f>IFERROR(AVERAGE($FC104:GO104),"")</f>
        <v>79.44736842105263</v>
      </c>
      <c r="LE104" s="226">
        <f>IFERROR(AVERAGE($FC104:GP104),"")</f>
        <v>79.974358974358978</v>
      </c>
      <c r="LF104" s="226">
        <f>IFERROR(AVERAGE($FC104:GQ104),"")</f>
        <v>80.474999999999994</v>
      </c>
      <c r="LG104" s="226">
        <f>IFERROR(AVERAGE($FC104:GR104),"")</f>
        <v>80.951219512195124</v>
      </c>
      <c r="LH104" s="226">
        <f>IFERROR(AVERAGE($FC104:GS104),"")</f>
        <v>80.951219512195124</v>
      </c>
      <c r="LI104" s="226">
        <f>IFERROR(AVERAGE($FC104:GT104),"")</f>
        <v>80.951219512195124</v>
      </c>
      <c r="LJ104" s="226">
        <f>IFERROR(AVERAGE($FC104:GU104),"")</f>
        <v>80.951219512195124</v>
      </c>
      <c r="LK104" s="226">
        <f>IFERROR(AVERAGE($FC104:GV104),"")</f>
        <v>80.951219512195124</v>
      </c>
      <c r="LL104" s="226">
        <f>IFERROR(AVERAGE($FC104:GW104),"")</f>
        <v>80.951219512195124</v>
      </c>
      <c r="LM104" s="226">
        <f>IFERROR(AVERAGE($FC104:GX104),"")</f>
        <v>80.951219512195124</v>
      </c>
      <c r="LN104" s="226">
        <f>IFERROR(AVERAGE($FC104:GY104),"")</f>
        <v>80.951219512195124</v>
      </c>
      <c r="LO104" s="226">
        <f>IFERROR(AVERAGE($FC104:GZ104),"")</f>
        <v>80.951219512195124</v>
      </c>
      <c r="LP104" s="226">
        <f>IFERROR(AVERAGE($FC104:HA104),"")</f>
        <v>80.951219512195124</v>
      </c>
      <c r="LQ104" s="226">
        <f>IFERROR(AVERAGE($FC104:HB104),"")</f>
        <v>80.951219512195124</v>
      </c>
      <c r="LR104" s="226">
        <f>IFERROR(AVERAGE($FC104:HC104),"")</f>
        <v>80.951219512195124</v>
      </c>
      <c r="LT104" s="136" t="str">
        <f>+$C104</f>
        <v>KPI D1</v>
      </c>
      <c r="LU104" s="144" t="str">
        <f>+$D104</f>
        <v>Delivery</v>
      </c>
      <c r="LV104" s="144" t="str">
        <f>+$E104</f>
        <v>Tasks completed on Time</v>
      </c>
      <c r="LW104" s="145" t="str">
        <f>+$F104</f>
        <v>Percentage</v>
      </c>
      <c r="LX104" s="145" t="s">
        <v>285</v>
      </c>
      <c r="LY104" s="226" t="str">
        <f>IFERROR(AVERAGE($HJ104:HJ104),"")</f>
        <v/>
      </c>
      <c r="LZ104" s="226">
        <f>IFERROR(IF(LAD$7&gt;$D$3,"",AVERAGE($HJ104:HK104)),"")</f>
        <v>100</v>
      </c>
      <c r="MA104" s="226">
        <f>IFERROR(IF(MA$7&gt;$D$3,"",AVERAGE($HJ104:HL104)),"")</f>
        <v>100</v>
      </c>
      <c r="MB104" s="226">
        <f>IFERROR(IF(MB$7&gt;$D$3,"",AVERAGE($HJ104:HM104)),"")</f>
        <v>100</v>
      </c>
      <c r="MC104" s="226">
        <f>IFERROR(IF(MC$7&gt;$D$3,"",AVERAGE($HJ104:HN104)),"")</f>
        <v>100</v>
      </c>
      <c r="MD104" s="226">
        <f>IFERROR(IF(MD$7&gt;$D$3,"",AVERAGE($HJ104:HO104)),"")</f>
        <v>100</v>
      </c>
      <c r="ME104" s="226">
        <f>IFERROR(IF(ME$7&gt;$D$3,"",AVERAGE($HJ104:HP104)),"")</f>
        <v>100</v>
      </c>
      <c r="MF104" s="226">
        <f>IFERROR(IF(MF$7&gt;$D$3,"",AVERAGE($HJ104:HQ104)),"")</f>
        <v>100</v>
      </c>
      <c r="MG104" s="226">
        <f>IFERROR(IF(MG$7&gt;$D$3,"",AVERAGE($HJ104:HR104)),"")</f>
        <v>100</v>
      </c>
      <c r="MH104" s="226">
        <f>IFERROR(IF(MH$7&gt;$D$3,"",AVERAGE($HJ104:HS104)),"")</f>
        <v>100</v>
      </c>
      <c r="MI104" s="226">
        <f>IFERROR(IF(MI$7&gt;$D$3,"",AVERAGE($HJ104:HT104)),"")</f>
        <v>100</v>
      </c>
      <c r="MJ104" s="226">
        <f>IFERROR(IF(MJ$7&gt;$D$3,"",AVERAGE($HJ104:HU104)),"")</f>
        <v>100</v>
      </c>
      <c r="MK104" s="226">
        <f>IFERROR(IF(MK$7&gt;$D$3,"",AVERAGE($HJ104:HV104)),"")</f>
        <v>100</v>
      </c>
      <c r="ML104" s="226">
        <f>IFERROR(IF(ML$7&gt;$D$3,"",AVERAGE($HJ104:HW104)),"")</f>
        <v>100</v>
      </c>
      <c r="MM104" s="226">
        <f>IFERROR(IF(MM$7&gt;$D$3,"",AVERAGE($HJ104:HX104)),"")</f>
        <v>100</v>
      </c>
      <c r="MN104" s="226">
        <f>IFERROR(IF(MN$7&gt;$D$3,"",AVERAGE($HJ104:HY104)),"")</f>
        <v>100</v>
      </c>
      <c r="MO104" s="226">
        <f>IFERROR(IF(MO$7&gt;$D$3,"",AVERAGE($HJ104:HZ104)),"")</f>
        <v>100</v>
      </c>
      <c r="MP104" s="226">
        <f>IFERROR(IF(MP$7&gt;$D$3,"",AVERAGE($HJ104:IA104)),"")</f>
        <v>100</v>
      </c>
      <c r="MQ104" s="226">
        <f>IFERROR(IF(MQ$7&gt;$D$3,"",AVERAGE($HJ104:IB104)),"")</f>
        <v>100</v>
      </c>
      <c r="MR104" s="226">
        <f>IFERROR(IF(MR$7&gt;$D$3,"",AVERAGE($HJ104:IC104)),"")</f>
        <v>100</v>
      </c>
      <c r="MS104" s="226">
        <f>IFERROR(IF(MS$7&gt;$D$3,"",AVERAGE($HJ104:ID104)),"")</f>
        <v>100</v>
      </c>
      <c r="MT104" s="226">
        <f>IFERROR(IF(MT$7&gt;$D$3,"",AVERAGE($HJ104:IE104)),"")</f>
        <v>100</v>
      </c>
      <c r="MU104" s="226">
        <f>IFERROR(IF(MU$7&gt;$D$3,"",AVERAGE($HJ104:IF104)),"")</f>
        <v>100</v>
      </c>
      <c r="MV104" s="226">
        <f>IFERROR(IF(MV$7&gt;$D$3,"",AVERAGE($HJ104:IG104)),"")</f>
        <v>100</v>
      </c>
      <c r="MW104" s="226">
        <f>IFERROR(IF(MW$7&gt;$D$3,"",AVERAGE($HJ104:IH104)),"")</f>
        <v>100</v>
      </c>
      <c r="MX104" s="226">
        <f>IFERROR(IF(MX$7&gt;$D$3,"",AVERAGE($HJ104:II104)),"")</f>
        <v>100</v>
      </c>
      <c r="MY104" s="226">
        <f>IFERROR(IF(MY$7&gt;$D$3,"",AVERAGE($HJ104:IJ104)),"")</f>
        <v>100</v>
      </c>
      <c r="MZ104" s="226">
        <f>IFERROR(IF(MZ$7&gt;$D$3,"",AVERAGE($HJ104:IK104)),"")</f>
        <v>100</v>
      </c>
      <c r="NA104" s="226">
        <f>IFERROR(IF(NA$7&gt;$D$3,"",AVERAGE($HJ104:IL104)),"")</f>
        <v>100</v>
      </c>
      <c r="NB104" s="226">
        <f>IFERROR(IF(NB$7&gt;$D$3,"",AVERAGE($HJ104:IM104)),"")</f>
        <v>100</v>
      </c>
      <c r="NC104" s="226">
        <f>IFERROR(IF(NC$7&gt;$D$3,"",AVERAGE($HJ104:IN104)),"")</f>
        <v>100</v>
      </c>
      <c r="ND104" s="226">
        <f>IFERROR(IF(ND$7&gt;$D$3,"",AVERAGE($HJ104:IO104)),"")</f>
        <v>100</v>
      </c>
      <c r="NE104" s="226">
        <f>IFERROR(IF(NE$7&gt;$D$3,"",AVERAGE($HJ104:IP104)),"")</f>
        <v>100</v>
      </c>
      <c r="NF104" s="226">
        <f>IFERROR(IF(NF$7&gt;$D$3,"",AVERAGE($HJ104:IQ104)),"")</f>
        <v>100</v>
      </c>
      <c r="NG104" s="226">
        <f>IFERROR(IF(NG$7&gt;$D$3,"",AVERAGE($HJ104:IR104)),"")</f>
        <v>100</v>
      </c>
      <c r="NH104" s="226">
        <f>IFERROR(IF(NH$7&gt;$D$3,"",AVERAGE($HJ104:IS104)),"")</f>
        <v>100</v>
      </c>
      <c r="NI104" s="226">
        <f>IFERROR(IF(NI$7&gt;$D$3,"",AVERAGE($HJ104:IT104)),"")</f>
        <v>100</v>
      </c>
      <c r="NJ104" s="226">
        <f>IFERROR(IF(NJ$7&gt;$D$3,"",AVERAGE($HJ104:IU104)),"")</f>
        <v>100</v>
      </c>
      <c r="NK104" s="226">
        <f>IFERROR(IF(NK$7&gt;$D$3,"",AVERAGE($HJ104:IV104)),"")</f>
        <v>100</v>
      </c>
      <c r="NL104" s="226">
        <f>IFERROR(IF(NL$7&gt;$D$3,"",AVERAGE($HJ104:IW104)),"")</f>
        <v>100</v>
      </c>
      <c r="NM104" s="226">
        <f>IFERROR(IF(NM$7&gt;$D$3,"",AVERAGE($HJ104:IX104)),"")</f>
        <v>100</v>
      </c>
      <c r="NN104" s="226">
        <f>IFERROR(IF(NN$7&gt;$D$3,"",AVERAGE($HJ104:IY104)),"")</f>
        <v>100</v>
      </c>
      <c r="NO104" s="226" t="str">
        <f>IFERROR(IF(NO$7&gt;$D$3,"",AVERAGE($HJ104:IZ104)),"")</f>
        <v/>
      </c>
      <c r="NP104" s="226" t="str">
        <f>IFERROR(IF(NP$7&gt;$D$3,"",AVERAGE($HJ104:JA104)),"")</f>
        <v/>
      </c>
      <c r="NQ104" s="226" t="str">
        <f>IFERROR(IF(NQ$7&gt;$D$3,"",AVERAGE($HJ104:JB104)),"")</f>
        <v/>
      </c>
      <c r="NR104" s="226" t="str">
        <f>IFERROR(IF(NR$7&gt;$D$3,"",AVERAGE($HJ104:JC104)),"")</f>
        <v/>
      </c>
      <c r="NS104" s="226" t="str">
        <f>IFERROR(IF(NS$7&gt;$D$3,"",AVERAGE($HJ104:JD104)),"")</f>
        <v/>
      </c>
      <c r="NT104" s="226" t="str">
        <f>IFERROR(IF(NT$7&gt;$D$3,"",AVERAGE($HJ104:JE104)),"")</f>
        <v/>
      </c>
      <c r="NU104" s="226" t="str">
        <f>IFERROR(IF(NU$7&gt;$D$3,"",AVERAGE($HJ104:JF104)),"")</f>
        <v/>
      </c>
      <c r="NV104" s="226" t="str">
        <f>IFERROR(IF(NV$7&gt;$D$3,"",AVERAGE($HJ104:JG104)),"")</f>
        <v/>
      </c>
      <c r="NW104" s="226" t="str">
        <f>IFERROR(IF(NW$7&gt;$D$3,"",AVERAGE($HJ104:JH104)),"")</f>
        <v/>
      </c>
      <c r="NX104" s="226" t="str">
        <f>IFERROR(IF(NX$7&gt;$D$3,"",AVERAGE($HJ104:JI104)),"")</f>
        <v/>
      </c>
      <c r="NY104" s="226" t="str">
        <f>IFERROR(IF(NY$7&gt;$D$3,"",AVERAGE($HJ104:JJ104)),"")</f>
        <v/>
      </c>
    </row>
    <row r="105" spans="1:389" x14ac:dyDescent="0.3">
      <c r="A105" t="str">
        <f>$B$102&amp;"-"&amp;C105</f>
        <v>Marketing-KPI Q1</v>
      </c>
      <c r="B105" s="918">
        <f>+'KPI Stats'!B104</f>
        <v>0</v>
      </c>
      <c r="C105" s="136" t="str">
        <f>+'KPI Stats'!C104</f>
        <v>KPI Q1</v>
      </c>
      <c r="D105" s="144" t="str">
        <f>+'KPI Stats'!D104</f>
        <v>Quality</v>
      </c>
      <c r="E105" s="144" t="str">
        <f>+'KPI Stats'!E104</f>
        <v>Content Issues found</v>
      </c>
      <c r="F105" s="145" t="str">
        <f>+'KPI Stats'!F104</f>
        <v>Count</v>
      </c>
      <c r="G105" s="169" t="str">
        <f>+'KPI Stats'!G104</f>
        <v>Above Zero</v>
      </c>
      <c r="J105" s="69" t="str">
        <f>_xlfn.XLOOKUP(J$7,$AM$7:$CM$7,$AM105:$CM105,,FALSE)</f>
        <v>G</v>
      </c>
      <c r="K105" s="264">
        <f>_xlfn.XLOOKUP(K$7,$FC$7:$HC$7,$FC105:$HC105,,FALSE)</f>
        <v>0</v>
      </c>
      <c r="L105" s="278">
        <f>_xlfn.XLOOKUP(L$7,$HJ$7:$JJ$7,$HJ105:$JJ105,,FALSE)</f>
        <v>0</v>
      </c>
      <c r="M105" s="372" t="s">
        <v>286</v>
      </c>
      <c r="P105" s="69" t="str">
        <f>_xlfn.XLOOKUP(P$7,$AM$7:$CM$7,$AM105:$CM105,,FALSE)</f>
        <v>G</v>
      </c>
      <c r="Q105" s="264">
        <f t="shared" si="350"/>
        <v>0</v>
      </c>
      <c r="R105" s="278">
        <f t="shared" si="350"/>
        <v>0</v>
      </c>
      <c r="S105" s="373" t="s">
        <v>286</v>
      </c>
      <c r="T105" s="374" t="s">
        <v>286</v>
      </c>
      <c r="U105" s="295" t="str">
        <f>IF(F102&lt;$R$2,"Not Complete",IF(Q105=R105,"Same −",IF($G105="Over",IF(Q105&lt;R105,"Better ↑","Worse ↓"),IF($G105="Under",IF(Q105&gt;R105,"Better ↑","Worse ↓"),IF(G105="Above Zero",IF(Q105&lt;R105,"Better ↑","Worse ↓"),"err")))))</f>
        <v>Same −</v>
      </c>
      <c r="X105" s="69" t="str">
        <f t="shared" si="351"/>
        <v>R</v>
      </c>
      <c r="Y105" s="264">
        <f>_xlfn.XLOOKUP(Y$7,$JR$7:$LR$7,$JR105:$LR105,FALSE)</f>
        <v>0.48780487804878048</v>
      </c>
      <c r="Z105" s="278">
        <f>_xlfn.XLOOKUP(Z$7,$LY$7:$NY$7,$LY105:$NY105,FALSE)</f>
        <v>0</v>
      </c>
      <c r="AA105" s="373" t="s">
        <v>295</v>
      </c>
      <c r="AB105" s="295" t="str">
        <f>IF(F102&lt;$R$2,"TBC",IF(Y105=Z105,"Same −",IF($G105="Over",IF(Z105&lt;Y105,"Better ↑ ","Worse ↓ "),IF($G105="Under",IF(Y105&gt;Z105,"Better ↑ ","Worse ↓ "),IF(G105="Above Zero",IF(Y105&lt;Z105,"Better ↑","Worse ↓"),"err")))))</f>
        <v>Worse ↓</v>
      </c>
      <c r="AC105" s="69" t="str">
        <f>IF(AND(G105="above adero",AD105&gt;0),"R",IF(AF105&gt;1,"G",IF(AF105&gt;0.95,"A","R")))</f>
        <v>G</v>
      </c>
      <c r="AD105" s="264">
        <f>_xlfn.XLOOKUP(AD$7,$JR$7:$LR$7,$JR105:$LR105,FALSE)</f>
        <v>0.5</v>
      </c>
      <c r="AE105" s="278">
        <f>_xlfn.XLOOKUP(AE$7,$LY$7:$NY$7,$LY105:$NY105,FALSE)</f>
        <v>0</v>
      </c>
      <c r="AF105" s="272" t="str">
        <f>IFERROR(IF(G105="under",AD105/AE105,IF(G105="Over",AE105/AD105,"")),"")</f>
        <v/>
      </c>
      <c r="AH105" s="465" t="str">
        <f>+$A105</f>
        <v>Marketing-KPI Q1</v>
      </c>
      <c r="AI105" s="136" t="str">
        <f t="shared" si="352"/>
        <v>KPI Q1</v>
      </c>
      <c r="AJ105" s="144" t="str">
        <f t="shared" si="352"/>
        <v>Quality</v>
      </c>
      <c r="AK105" s="144" t="str">
        <f t="shared" si="337"/>
        <v>Content Issues found</v>
      </c>
      <c r="AL105" s="145" t="str">
        <f t="shared" si="337"/>
        <v>Count</v>
      </c>
      <c r="AM105" s="69" t="str">
        <f>IF(AM$7&gt;$D$3,"",_xlfn.XLOOKUP(AM$7,Marketing!$M$6:$BM$6,Marketing!$M$16:$BM$16))</f>
        <v>Blank</v>
      </c>
      <c r="AN105" s="199" t="str">
        <f>IF(AN$7&gt;$D$3,"",_xlfn.XLOOKUP(AN$7,Marketing!$M$6:$BM$6,Marketing!$M$16:$BM$16))</f>
        <v>R</v>
      </c>
      <c r="AO105" s="69" t="str">
        <f>IF(AO$7&gt;$D$3,"",_xlfn.XLOOKUP(AO$7,Marketing!$M$6:$BM$6,Marketing!$M$16:$BM$16))</f>
        <v>R</v>
      </c>
      <c r="AP105" s="69" t="str">
        <f>IF(AP$7&gt;$D$3,"",_xlfn.XLOOKUP(AP$7,Marketing!$M$6:$BM$6,Marketing!$M$16:$BM$16))</f>
        <v>R</v>
      </c>
      <c r="AQ105" s="69" t="str">
        <f>IF(AQ$7&gt;$D$3,"",_xlfn.XLOOKUP(AQ$7,Marketing!$M$6:$BM$6,Marketing!$M$16:$BM$16))</f>
        <v>G</v>
      </c>
      <c r="AR105" s="69" t="str">
        <f>IF(AR$7&gt;$D$3,"",_xlfn.XLOOKUP(AR$7,Marketing!$M$6:$BM$6,Marketing!$M$16:$BM$16))</f>
        <v>G</v>
      </c>
      <c r="AS105" s="69" t="str">
        <f>IF(AS$7&gt;$D$3,"",_xlfn.XLOOKUP(AS$7,Marketing!$M$6:$BM$6,Marketing!$M$16:$BM$16))</f>
        <v>R</v>
      </c>
      <c r="AT105" s="69" t="str">
        <f>IF(AT$7&gt;$D$3,"",_xlfn.XLOOKUP(AT$7,Marketing!$M$6:$BM$6,Marketing!$M$16:$BM$16))</f>
        <v>R</v>
      </c>
      <c r="AU105" s="69" t="str">
        <f>IF(AU$7&gt;$D$3,"",_xlfn.XLOOKUP(AU$7,Marketing!$M$6:$BM$6,Marketing!$M$16:$BM$16))</f>
        <v>R</v>
      </c>
      <c r="AV105" s="69" t="str">
        <f>IF(AV$7&gt;$D$3,"",_xlfn.XLOOKUP(AV$7,Marketing!$M$6:$BM$6,Marketing!$M$16:$BM$16))</f>
        <v>G</v>
      </c>
      <c r="AW105" s="69" t="str">
        <f>IF(AW$7&gt;$D$3,"",_xlfn.XLOOKUP(AW$7,Marketing!$M$6:$BM$6,Marketing!$M$16:$BM$16))</f>
        <v>G</v>
      </c>
      <c r="AX105" s="69" t="str">
        <f>IF(AX$7&gt;$D$3,"",_xlfn.XLOOKUP(AX$7,Marketing!$M$6:$BM$6,Marketing!$M$16:$BM$16))</f>
        <v>R</v>
      </c>
      <c r="AY105" s="69" t="str">
        <f>IF(AY$7&gt;$D$3,"",_xlfn.XLOOKUP(AY$7,Marketing!$M$6:$BM$6,Marketing!$M$16:$BM$16))</f>
        <v>G</v>
      </c>
      <c r="AZ105" s="69" t="str">
        <f>IF(AZ$7&gt;$D$3,"",_xlfn.XLOOKUP(AZ$7,Marketing!$M$6:$BM$6,Marketing!$M$16:$BM$16))</f>
        <v>R</v>
      </c>
      <c r="BA105" s="69" t="str">
        <f>IF(BA$7&gt;$D$3,"",_xlfn.XLOOKUP(BA$7,Marketing!$M$6:$BM$6,Marketing!$M$16:$BM$16))</f>
        <v>G</v>
      </c>
      <c r="BB105" s="69" t="str">
        <f>IF(BB$7&gt;$D$3,"",_xlfn.XLOOKUP(BB$7,Marketing!$M$6:$BM$6,Marketing!$M$16:$BM$16))</f>
        <v>G</v>
      </c>
      <c r="BC105" s="69" t="str">
        <f>IF(BC$7&gt;$D$3,"",_xlfn.XLOOKUP(BC$7,Marketing!$M$6:$BM$6,Marketing!$M$16:$BM$16))</f>
        <v>G</v>
      </c>
      <c r="BD105" s="69" t="str">
        <f>IF(BD$7&gt;$D$3,"",_xlfn.XLOOKUP(BD$7,Marketing!$M$6:$BM$6,Marketing!$M$16:$BM$16))</f>
        <v>G</v>
      </c>
      <c r="BE105" s="69" t="str">
        <f>IF(BE$7&gt;$D$3,"",_xlfn.XLOOKUP(BE$7,Marketing!$M$6:$BM$6,Marketing!$M$16:$BM$16))</f>
        <v>G</v>
      </c>
      <c r="BF105" s="69" t="str">
        <f>IF(BF$7&gt;$D$3,"",_xlfn.XLOOKUP(BF$7,Marketing!$M$6:$BM$6,Marketing!$M$16:$BM$16))</f>
        <v>G</v>
      </c>
      <c r="BG105" s="69" t="str">
        <f>IF(BG$7&gt;$D$3,"",_xlfn.XLOOKUP(BG$7,Marketing!$M$6:$BM$6,Marketing!$M$16:$BM$16))</f>
        <v>R</v>
      </c>
      <c r="BH105" s="69" t="str">
        <f>IF(BH$7&gt;$D$3,"",_xlfn.XLOOKUP(BH$7,Marketing!$M$6:$BM$6,Marketing!$M$16:$BM$16))</f>
        <v>G</v>
      </c>
      <c r="BI105" s="69" t="str">
        <f>IF(BI$7&gt;$D$3,"",_xlfn.XLOOKUP(BI$7,Marketing!$M$6:$BM$6,Marketing!$M$16:$BM$16))</f>
        <v>R</v>
      </c>
      <c r="BJ105" s="69" t="str">
        <f>IF(BJ$7&gt;$D$3,"",_xlfn.XLOOKUP(BJ$7,Marketing!$M$6:$BM$6,Marketing!$M$16:$BM$16))</f>
        <v>R</v>
      </c>
      <c r="BK105" s="69" t="str">
        <f>IF(BK$7&gt;$D$3,"",_xlfn.XLOOKUP(BK$7,Marketing!$M$6:$BM$6,Marketing!$M$16:$BM$16))</f>
        <v>R</v>
      </c>
      <c r="BL105" s="69" t="str">
        <f>IF(BL$7&gt;$D$3,"",_xlfn.XLOOKUP(BL$7,Marketing!$M$6:$BM$6,Marketing!$M$16:$BM$16))</f>
        <v>G</v>
      </c>
      <c r="BM105" s="69" t="str">
        <f>IF(BM$7&gt;$D$3,"",_xlfn.XLOOKUP(BM$7,Marketing!$M$6:$BM$6,Marketing!$M$16:$BM$16))</f>
        <v>G</v>
      </c>
      <c r="BN105" s="69" t="str">
        <f>IF(BN$7&gt;$D$3,"",_xlfn.XLOOKUP(BN$7,Marketing!$M$6:$BM$6,Marketing!$M$16:$BM$16))</f>
        <v>G</v>
      </c>
      <c r="BO105" s="69" t="str">
        <f>IF(BO$7&gt;$D$3,"",_xlfn.XLOOKUP(BO$7,Marketing!$M$6:$BM$6,Marketing!$M$16:$BM$16))</f>
        <v>G</v>
      </c>
      <c r="BP105" s="69" t="str">
        <f>IF(BP$7&gt;$D$3,"",_xlfn.XLOOKUP(BP$7,Marketing!$M$6:$BM$6,Marketing!$M$16:$BM$16))</f>
        <v>R</v>
      </c>
      <c r="BQ105" s="69" t="str">
        <f>IF(BQ$7&gt;$D$3,"",_xlfn.XLOOKUP(BQ$7,Marketing!$M$6:$BM$6,Marketing!$M$16:$BM$16))</f>
        <v>G</v>
      </c>
      <c r="BR105" s="69" t="str">
        <f>IF(BR$7&gt;$D$3,"",_xlfn.XLOOKUP(BR$7,Marketing!$M$6:$BM$6,Marketing!$M$16:$BM$16))</f>
        <v>R</v>
      </c>
      <c r="BS105" s="69" t="str">
        <f>IF(BS$7&gt;$D$3,"",_xlfn.XLOOKUP(BS$7,Marketing!$M$6:$BM$6,Marketing!$M$16:$BM$16))</f>
        <v>G</v>
      </c>
      <c r="BT105" s="69" t="str">
        <f>IF(BT$7&gt;$D$3,"",_xlfn.XLOOKUP(BT$7,Marketing!$M$6:$BM$6,Marketing!$M$16:$BM$16))</f>
        <v>R</v>
      </c>
      <c r="BU105" s="69" t="str">
        <f>IF(BU$7&gt;$D$3,"",_xlfn.XLOOKUP(BU$7,Marketing!$M$6:$BM$6,Marketing!$M$16:$BM$16))</f>
        <v>R</v>
      </c>
      <c r="BV105" s="69" t="str">
        <f>IF(BV$7&gt;$D$3,"",_xlfn.XLOOKUP(BV$7,Marketing!$M$6:$BM$6,Marketing!$M$16:$BM$16))</f>
        <v>R</v>
      </c>
      <c r="BW105" s="69" t="str">
        <f>IF(BW$7&gt;$D$3,"",_xlfn.XLOOKUP(BW$7,Marketing!$M$6:$BM$6,Marketing!$M$16:$BM$16))</f>
        <v>G</v>
      </c>
      <c r="BX105" s="69" t="str">
        <f>IF(BX$7&gt;$D$3,"",_xlfn.XLOOKUP(BX$7,Marketing!$M$6:$BM$6,Marketing!$M$16:$BM$16))</f>
        <v>G</v>
      </c>
      <c r="BY105" s="69" t="str">
        <f>IF(BY$7&gt;$D$3,"",_xlfn.XLOOKUP(BY$7,Marketing!$M$6:$BM$6,Marketing!$M$16:$BM$16))</f>
        <v>G</v>
      </c>
      <c r="BZ105" s="69" t="str">
        <f>IF(BZ$7&gt;$D$3,"",_xlfn.XLOOKUP(BZ$7,Marketing!$M$6:$BM$6,Marketing!$M$16:$BM$16))</f>
        <v>R</v>
      </c>
      <c r="CA105" s="69" t="str">
        <f>IF(CA$7&gt;$D$3,"",_xlfn.XLOOKUP(CA$7,Marketing!$M$6:$BM$6,Marketing!$M$16:$BM$16))</f>
        <v>G</v>
      </c>
      <c r="CB105" s="69" t="str">
        <f>IF(CB$7&gt;$D$3,"",_xlfn.XLOOKUP(CB$7,Marketing!$M$6:$BM$6,Marketing!$M$16:$BM$16))</f>
        <v>G</v>
      </c>
      <c r="CC105" s="69" t="str">
        <f>IF(CC$7&gt;$D$3,"",_xlfn.XLOOKUP(CC$7,Marketing!$M$6:$BM$6,Marketing!$M$16:$BM$16))</f>
        <v/>
      </c>
      <c r="CD105" s="69" t="str">
        <f>IF(CD$7&gt;$D$3,"",_xlfn.XLOOKUP(CD$7,Marketing!$M$6:$BM$6,Marketing!$M$16:$BM$16))</f>
        <v/>
      </c>
      <c r="CE105" s="69" t="str">
        <f>IF(CE$7&gt;$D$3,"",_xlfn.XLOOKUP(CE$7,Marketing!$M$6:$BM$6,Marketing!$M$16:$BM$16))</f>
        <v/>
      </c>
      <c r="CF105" s="69" t="str">
        <f>IF(CF$7&gt;$D$3,"",_xlfn.XLOOKUP(CF$7,Marketing!$M$6:$BM$6,Marketing!$M$16:$BM$16))</f>
        <v/>
      </c>
      <c r="CG105" s="69" t="str">
        <f>IF(CG$7&gt;$D$3,"",_xlfn.XLOOKUP(CG$7,Marketing!$M$6:$BM$6,Marketing!$M$16:$BM$16))</f>
        <v/>
      </c>
      <c r="CH105" s="69" t="str">
        <f>IF(CH$7&gt;$D$3,"",_xlfn.XLOOKUP(CH$7,Marketing!$M$6:$BM$6,Marketing!$M$16:$BM$16))</f>
        <v/>
      </c>
      <c r="CI105" s="69" t="str">
        <f>IF(CI$7&gt;$D$3,"",_xlfn.XLOOKUP(CI$7,Marketing!$M$6:$BM$6,Marketing!$M$16:$BM$16))</f>
        <v/>
      </c>
      <c r="CJ105" s="69" t="str">
        <f>IF(CJ$7&gt;$D$3,"",_xlfn.XLOOKUP(CJ$7,Marketing!$M$6:$BM$6,Marketing!$M$16:$BM$16))</f>
        <v/>
      </c>
      <c r="CK105" s="69" t="str">
        <f>IF(CK$7&gt;$D$3,"",_xlfn.XLOOKUP(CK$7,Marketing!$M$6:$BM$6,Marketing!$M$16:$BM$16))</f>
        <v/>
      </c>
      <c r="CL105" s="69" t="str">
        <f>IF(CL$7&gt;$D$3,"",_xlfn.XLOOKUP(CL$7,Marketing!$M$6:$BM$6,Marketing!$M$16:$BM$16))</f>
        <v/>
      </c>
      <c r="CM105" s="69" t="str">
        <f>IF(CM$7&gt;$D$3,"",_xlfn.XLOOKUP(CM$7,Marketing!$M$6:$BM$6,Marketing!$M$16:$BM$16))</f>
        <v/>
      </c>
      <c r="CO105" s="465" t="str">
        <f>+$A105</f>
        <v>Marketing-KPI Q1</v>
      </c>
      <c r="CP105" s="136" t="str">
        <f t="shared" si="353"/>
        <v>KPI Q1</v>
      </c>
      <c r="CQ105" s="144" t="str">
        <f t="shared" si="353"/>
        <v>Quality</v>
      </c>
      <c r="CR105" s="144" t="str">
        <f t="shared" si="340"/>
        <v>Content Issues found</v>
      </c>
      <c r="CS105" s="145" t="str">
        <f t="shared" si="340"/>
        <v>Count</v>
      </c>
      <c r="CT105" s="207" t="s">
        <v>247</v>
      </c>
      <c r="CU105" s="626" t="str">
        <f>IF(CU$7&gt;$D$3,"",_xlfn.XLOOKUP(CU$7,Marketing!$M$6:$BM$6,Marketing!$M$15:$BM$15))</f>
        <v>Blank</v>
      </c>
      <c r="CV105" s="329">
        <f>IF(CV$7&gt;$D$3,"",IF(AN105="OD","OD",IF(AN105="Missed","Missed",IF(AN105="TBC","TBC",IF(AN105="Undefined","Undefined",_xlfn.XLOOKUP(CV$7,Marketing!$M$6:$BM$6,Marketing!$M$15:$BM$15))))))</f>
        <v>1</v>
      </c>
      <c r="CW105" s="314">
        <f>IF(CW$7&gt;$D$3,"",IF(AO105="OD","OD",IF(AO105="Missed","Missed",IF(AO105="TBC","TBC",IF(AO105="Undefined","Undefined",_xlfn.XLOOKUP(CW$7,Marketing!$M$6:$BM$6,Marketing!$M$15:$BM$15))))))</f>
        <v>1</v>
      </c>
      <c r="CX105" s="314">
        <f>IF(CX$7&gt;$D$3,"",IF(AP105="OD","OD",IF(AP105="Missed","Missed",IF(AP105="TBC","TBC",IF(AP105="Undefined","Undefined",_xlfn.XLOOKUP(CX$7,Marketing!$M$6:$BM$6,Marketing!$M$15:$BM$15))))))</f>
        <v>1</v>
      </c>
      <c r="CY105" s="314">
        <f>IF(CY$7&gt;$D$3,"",IF(AQ105="OD","OD",IF(AQ105="Missed","Missed",IF(AQ105="TBC","TBC",IF(AQ105="Undefined","Undefined",_xlfn.XLOOKUP(CY$7,Marketing!$M$6:$BM$6,Marketing!$M$15:$BM$15))))))</f>
        <v>0</v>
      </c>
      <c r="CZ105" s="314">
        <f>IF(CZ$7&gt;$D$3,"",IF(AR105="OD","OD",IF(AR105="Missed","Missed",IF(AR105="TBC","TBC",IF(AR105="Undefined","Undefined",_xlfn.XLOOKUP(CZ$7,Marketing!$M$6:$BM$6,Marketing!$M$15:$BM$15))))))</f>
        <v>0</v>
      </c>
      <c r="DA105" s="314">
        <f>IF(DA$7&gt;$D$3,"",IF(AS105="OD","OD",IF(AS105="Missed","Missed",IF(AS105="TBC","TBC",IF(AS105="Undefined","Undefined",_xlfn.XLOOKUP(DA$7,Marketing!$M$6:$BM$6,Marketing!$M$15:$BM$15))))))</f>
        <v>1</v>
      </c>
      <c r="DB105" s="314">
        <f>IF(DB$7&gt;$D$3,"",IF(AT105="OD","OD",IF(AT105="Missed","Missed",IF(AT105="TBC","TBC",IF(AT105="Undefined","Undefined",_xlfn.XLOOKUP(DB$7,Marketing!$M$6:$BM$6,Marketing!$M$15:$BM$15))))))</f>
        <v>1</v>
      </c>
      <c r="DC105" s="314">
        <f>IF(DC$7&gt;$D$3,"",IF(AU105="OD","OD",IF(AU105="Missed","Missed",IF(AU105="TBC","TBC",IF(AU105="Undefined","Undefined",_xlfn.XLOOKUP(DC$7,Marketing!$M$6:$BM$6,Marketing!$M$15:$BM$15))))))</f>
        <v>1</v>
      </c>
      <c r="DD105" s="314">
        <f>IF(DD$7&gt;$D$3,"",IF(AV105="OD","OD",IF(AV105="Missed","Missed",IF(AV105="TBC","TBC",IF(AV105="Undefined","Undefined",_xlfn.XLOOKUP(DD$7,Marketing!$M$6:$BM$6,Marketing!$M$15:$BM$15))))))</f>
        <v>0</v>
      </c>
      <c r="DE105" s="314">
        <f>IF(DE$7&gt;$D$3,"",IF(AW105="OD","OD",IF(AW105="Missed","Missed",IF(AW105="TBC","TBC",IF(AW105="Undefined","Undefined",_xlfn.XLOOKUP(DE$7,Marketing!$M$6:$BM$6,Marketing!$M$15:$BM$15))))))</f>
        <v>0</v>
      </c>
      <c r="DF105" s="314">
        <f>IF(DF$7&gt;$D$3,"",IF(AX105="OD","OD",IF(AX105="Missed","Missed",IF(AX105="TBC","TBC",IF(AX105="Undefined","Undefined",_xlfn.XLOOKUP(DF$7,Marketing!$M$6:$BM$6,Marketing!$M$15:$BM$15))))))</f>
        <v>1</v>
      </c>
      <c r="DG105" s="314">
        <f>IF(DG$7&gt;$D$3,"",IF(AY105="OD","OD",IF(AY105="Missed","Missed",IF(AY105="TBC","TBC",IF(AY105="Undefined","Undefined",_xlfn.XLOOKUP(DG$7,Marketing!$M$6:$BM$6,Marketing!$M$15:$BM$15))))))</f>
        <v>0</v>
      </c>
      <c r="DH105" s="314">
        <f>IF(DH$7&gt;$D$3,"",IF(AZ105="OD","OD",IF(AZ105="Missed","Missed",IF(AZ105="TBC","TBC",IF(AZ105="Undefined","Undefined",_xlfn.XLOOKUP(DH$7,Marketing!$M$6:$BM$6,Marketing!$M$15:$BM$15))))))</f>
        <v>1</v>
      </c>
      <c r="DI105" s="314">
        <f>IF(DI$7&gt;$D$3,"",IF(BA105="OD","OD",IF(BA105="Missed","Missed",IF(BA105="TBC","TBC",IF(BA105="Undefined","Undefined",_xlfn.XLOOKUP(DI$7,Marketing!$M$6:$BM$6,Marketing!$M$15:$BM$15))))))</f>
        <v>0</v>
      </c>
      <c r="DJ105" s="314">
        <f>IF(DJ$7&gt;$D$3,"",IF(BB105="OD","OD",IF(BB105="Missed","Missed",IF(BB105="TBC","TBC",IF(BB105="Undefined","Undefined",_xlfn.XLOOKUP(DJ$7,Marketing!$M$6:$BM$6,Marketing!$M$15:$BM$15))))))</f>
        <v>0</v>
      </c>
      <c r="DK105" s="314">
        <f>IF(DK$7&gt;$D$3,"",IF(BC105="OD","OD",IF(BC105="Missed","Missed",IF(BC105="TBC","TBC",IF(BC105="Undefined","Undefined",_xlfn.XLOOKUP(DK$7,Marketing!$M$6:$BM$6,Marketing!$M$15:$BM$15))))))</f>
        <v>0</v>
      </c>
      <c r="DL105" s="314">
        <f>IF(DL$7&gt;$D$3,"",IF(BD105="OD","OD",IF(BD105="Missed","Missed",IF(BD105="TBC","TBC",IF(BD105="Undefined","Undefined",_xlfn.XLOOKUP(DL$7,Marketing!$M$6:$BM$6,Marketing!$M$15:$BM$15))))))</f>
        <v>0</v>
      </c>
      <c r="DM105" s="314">
        <f>IF(DM$7&gt;$D$3,"",IF(BE105="OD","OD",IF(BE105="Missed","Missed",IF(BE105="TBC","TBC",IF(BE105="Undefined","Undefined",_xlfn.XLOOKUP(DM$7,Marketing!$M$6:$BM$6,Marketing!$M$15:$BM$15))))))</f>
        <v>0</v>
      </c>
      <c r="DN105" s="314">
        <f>IF(DN$7&gt;$D$3,"",IF(BF105="OD","OD",IF(BF105="Missed","Missed",IF(BF105="TBC","TBC",IF(BF105="Undefined","Undefined",_xlfn.XLOOKUP(DN$7,Marketing!$M$6:$BM$6,Marketing!$M$15:$BM$15))))))</f>
        <v>0</v>
      </c>
      <c r="DO105" s="314">
        <f>IF(DO$7&gt;$D$3,"",IF(BG105="OD","OD",IF(BG105="Missed","Missed",IF(BG105="TBC","TBC",IF(BG105="Undefined","Undefined",_xlfn.XLOOKUP(DO$7,Marketing!$M$6:$BM$6,Marketing!$M$15:$BM$15))))))</f>
        <v>1</v>
      </c>
      <c r="DP105" s="314">
        <f>IF(DP$7&gt;$D$3,"",IF(BH105="OD","OD",IF(BH105="Missed","Missed",IF(BH105="TBC","TBC",IF(BH105="Undefined","Undefined",_xlfn.XLOOKUP(DP$7,Marketing!$M$6:$BM$6,Marketing!$M$15:$BM$15))))))</f>
        <v>0</v>
      </c>
      <c r="DQ105" s="314">
        <f>IF(DQ$7&gt;$D$3,"",IF(BI105="OD","OD",IF(BI105="Missed","Missed",IF(BI105="TBC","TBC",IF(BI105="Undefined","Undefined",_xlfn.XLOOKUP(DQ$7,Marketing!$M$6:$BM$6,Marketing!$M$15:$BM$15))))))</f>
        <v>1</v>
      </c>
      <c r="DR105" s="314">
        <f>IF(DR$7&gt;$D$3,"",IF(BJ105="OD","OD",IF(BJ105="Missed","Missed",IF(BJ105="TBC","TBC",IF(BJ105="Undefined","Undefined",_xlfn.XLOOKUP(DR$7,Marketing!$M$6:$BM$6,Marketing!$M$15:$BM$15))))))</f>
        <v>1</v>
      </c>
      <c r="DS105" s="314">
        <f>IF(DS$7&gt;$D$3,"",IF(BK105="OD","OD",IF(BK105="Missed","Missed",IF(BK105="TBC","TBC",IF(BK105="Undefined","Undefined",_xlfn.XLOOKUP(DS$7,Marketing!$M$6:$BM$6,Marketing!$M$15:$BM$15))))))</f>
        <v>1</v>
      </c>
      <c r="DT105" s="314">
        <f>IF(DT$7&gt;$D$3,"",IF(BL105="OD","OD",IF(BL105="Missed","Missed",IF(BL105="TBC","TBC",IF(BL105="Undefined","Undefined",_xlfn.XLOOKUP(DT$7,Marketing!$M$6:$BM$6,Marketing!$M$15:$BM$15))))))</f>
        <v>0</v>
      </c>
      <c r="DU105" s="314">
        <f>IF(DU$7&gt;$D$3,"",IF(BM105="OD","OD",IF(BM105="Missed","Missed",IF(BM105="TBC","TBC",IF(BM105="Undefined","Undefined",_xlfn.XLOOKUP(DU$7,Marketing!$M$6:$BM$6,Marketing!$M$15:$BM$15))))))</f>
        <v>0</v>
      </c>
      <c r="DV105" s="314">
        <f>IF(DV$7&gt;$D$3,"",IF(BN105="OD","OD",IF(BN105="Missed","Missed",IF(BN105="TBC","TBC",IF(BN105="Undefined","Undefined",_xlfn.XLOOKUP(DV$7,Marketing!$M$6:$BM$6,Marketing!$M$15:$BM$15))))))</f>
        <v>0</v>
      </c>
      <c r="DW105" s="314">
        <f>IF(DW$7&gt;$D$3,"",IF(BO105="OD","OD",IF(BO105="Missed","Missed",IF(BO105="TBC","TBC",IF(BO105="Undefined","Undefined",_xlfn.XLOOKUP(DW$7,Marketing!$M$6:$BM$6,Marketing!$M$15:$BM$15))))))</f>
        <v>0</v>
      </c>
      <c r="DX105" s="314">
        <f>IF(DX$7&gt;$D$3,"",IF(BP105="OD","OD",IF(BP105="Missed","Missed",IF(BP105="TBC","TBC",IF(BP105="Undefined","Undefined",_xlfn.XLOOKUP(DX$7,Marketing!$M$6:$BM$6,Marketing!$M$15:$BM$15))))))</f>
        <v>1</v>
      </c>
      <c r="DY105" s="314">
        <f>IF(DY$7&gt;$D$3,"",IF(BQ105="OD","OD",IF(BQ105="Missed","Missed",IF(BQ105="TBC","TBC",IF(BQ105="Undefined","Undefined",_xlfn.XLOOKUP(DY$7,Marketing!$M$6:$BM$6,Marketing!$M$15:$BM$15))))))</f>
        <v>0</v>
      </c>
      <c r="DZ105" s="314">
        <f>IF(DZ$7&gt;$D$3,"",IF(BR105="OD","OD",IF(BR105="Missed","Missed",IF(BR105="TBC","TBC",IF(BR105="Undefined","Undefined",_xlfn.XLOOKUP(DZ$7,Marketing!$M$6:$BM$6,Marketing!$M$15:$BM$15))))))</f>
        <v>3</v>
      </c>
      <c r="EA105" s="314">
        <f>IF(EA$7&gt;$D$3,"",IF(BS105="OD","OD",IF(BS105="Missed","Missed",IF(BS105="TBC","TBC",IF(BS105="Undefined","Undefined",_xlfn.XLOOKUP(EA$7,Marketing!$M$6:$BM$6,Marketing!$M$15:$BM$15))))))</f>
        <v>0</v>
      </c>
      <c r="EB105" s="314">
        <f>IF(EB$7&gt;$D$3,"",IF(BT105="OD","OD",IF(BT105="Missed","Missed",IF(BT105="TBC","TBC",IF(BT105="Undefined","Undefined",_xlfn.XLOOKUP(EB$7,Marketing!$M$6:$BM$6,Marketing!$M$15:$BM$15))))))</f>
        <v>1</v>
      </c>
      <c r="EC105" s="314">
        <f>IF(EC$7&gt;$D$3,"",IF(BU105="OD","OD",IF(BU105="Missed","Missed",IF(BU105="TBC","TBC",IF(BU105="Undefined","Undefined",_xlfn.XLOOKUP(EC$7,Marketing!$M$6:$BM$6,Marketing!$M$15:$BM$15))))))</f>
        <v>1</v>
      </c>
      <c r="ED105" s="314">
        <f>IF(ED$7&gt;$D$3,"",IF(BV105="OD","OD",IF(BV105="Missed","Missed",IF(BV105="TBC","TBC",IF(BV105="Undefined","Undefined",_xlfn.XLOOKUP(ED$7,Marketing!$M$6:$BM$6,Marketing!$M$15:$BM$15))))))</f>
        <v>1</v>
      </c>
      <c r="EE105" s="314">
        <f>IF(EE$7&gt;$D$3,"",IF(BW105="OD","OD",IF(BW105="Missed","Missed",IF(BW105="TBC","TBC",IF(BW105="Undefined","Undefined",_xlfn.XLOOKUP(EE$7,Marketing!$M$6:$BM$6,Marketing!$M$15:$BM$15))))))</f>
        <v>0</v>
      </c>
      <c r="EF105" s="314">
        <f>IF(EF$7&gt;$D$3,"",IF(BX105="OD","OD",IF(BX105="Missed","Missed",IF(BX105="TBC","TBC",IF(BX105="Undefined","Undefined",_xlfn.XLOOKUP(EF$7,Marketing!$M$6:$BM$6,Marketing!$M$15:$BM$15))))))</f>
        <v>0</v>
      </c>
      <c r="EG105" s="314">
        <f>IF(EG$7&gt;$D$3,"",IF(BY105="OD","OD",IF(BY105="Missed","Missed",IF(BY105="TBC","TBC",IF(BY105="Undefined","Undefined",_xlfn.XLOOKUP(EG$7,Marketing!$M$6:$BM$6,Marketing!$M$15:$BM$15))))))</f>
        <v>0</v>
      </c>
      <c r="EH105" s="314">
        <f>IF(EH$7&gt;$D$3,"",IF(BZ105="OD","OD",IF(BZ105="Missed","Missed",IF(BZ105="TBC","TBC",IF(BZ105="Undefined","Undefined",_xlfn.XLOOKUP(EH$7,Marketing!$M$6:$BM$6,Marketing!$M$15:$BM$15))))))</f>
        <v>1</v>
      </c>
      <c r="EI105" s="314">
        <f>IF(EI$7&gt;$D$3,"",IF(CA105="OD","OD",IF(CA105="Missed","Missed",IF(CA105="TBC","TBC",IF(CA105="Undefined","Undefined",_xlfn.XLOOKUP(EI$7,Marketing!$M$6:$BM$6,Marketing!$M$15:$BM$15))))))</f>
        <v>0</v>
      </c>
      <c r="EJ105" s="314">
        <f>IF(EJ$7&gt;$D$3,"",IF(CB105="OD","OD",IF(CB105="Missed","Missed",IF(CB105="TBC","TBC",IF(CB105="Undefined","Undefined",_xlfn.XLOOKUP(EJ$7,Marketing!$M$6:$BM$6,Marketing!$M$15:$BM$15))))))</f>
        <v>0</v>
      </c>
      <c r="EK105" s="314" t="str">
        <f>IF(EK$7&gt;$D$3,"",IF(CC105="OD","OD",IF(CC105="Missed","Missed",IF(CC105="TBC","TBC",IF(CC105="Undefined","Undefined",_xlfn.XLOOKUP(EK$7,Marketing!$M$6:$BM$6,Marketing!$M$15:$BM$15))))))</f>
        <v/>
      </c>
      <c r="EL105" s="314" t="str">
        <f>IF(EL$7&gt;$D$3,"",IF(CD105="OD","OD",IF(CD105="Missed","Missed",IF(CD105="TBC","TBC",IF(CD105="Undefined","Undefined",_xlfn.XLOOKUP(EL$7,Marketing!$M$6:$BM$6,Marketing!$M$15:$BM$15))))))</f>
        <v/>
      </c>
      <c r="EM105" s="314" t="str">
        <f>IF(EM$7&gt;$D$3,"",IF(CE105="OD","OD",IF(CE105="Missed","Missed",IF(CE105="TBC","TBC",IF(CE105="Undefined","Undefined",_xlfn.XLOOKUP(EM$7,Marketing!$M$6:$BM$6,Marketing!$M$15:$BM$15))))))</f>
        <v/>
      </c>
      <c r="EN105" s="314" t="str">
        <f>IF(EN$7&gt;$D$3,"",IF(CF105="OD","OD",IF(CF105="Missed","Missed",IF(CF105="TBC","TBC",IF(CF105="Undefined","Undefined",_xlfn.XLOOKUP(EN$7,Marketing!$M$6:$BM$6,Marketing!$M$15:$BM$15))))))</f>
        <v/>
      </c>
      <c r="EO105" s="314" t="str">
        <f>IF(EO$7&gt;$D$3,"",IF(CG105="OD","OD",IF(CG105="Missed","Missed",IF(CG105="TBC","TBC",IF(CG105="Undefined","Undefined",_xlfn.XLOOKUP(EO$7,Marketing!$M$6:$BM$6,Marketing!$M$15:$BM$15))))))</f>
        <v/>
      </c>
      <c r="EP105" s="314" t="str">
        <f>IF(EP$7&gt;$D$3,"",IF(CH105="OD","OD",IF(CH105="Missed","Missed",IF(CH105="TBC","TBC",IF(CH105="Undefined","Undefined",_xlfn.XLOOKUP(EP$7,Marketing!$M$6:$BM$6,Marketing!$M$15:$BM$15))))))</f>
        <v/>
      </c>
      <c r="EQ105" s="314" t="str">
        <f>IF(EQ$7&gt;$D$3,"",IF(CI105="OD","OD",IF(CI105="Missed","Missed",IF(CI105="TBC","TBC",IF(CI105="Undefined","Undefined",_xlfn.XLOOKUP(EQ$7,Marketing!$M$6:$BM$6,Marketing!$M$15:$BM$15))))))</f>
        <v/>
      </c>
      <c r="ER105" s="314" t="str">
        <f>IF(ER$7&gt;$D$3,"",IF(CJ105="OD","OD",IF(CJ105="Missed","Missed",IF(CJ105="TBC","TBC",IF(CJ105="Undefined","Undefined",_xlfn.XLOOKUP(ER$7,Marketing!$M$6:$BM$6,Marketing!$M$15:$BM$15))))))</f>
        <v/>
      </c>
      <c r="ES105" s="314" t="str">
        <f>IF(ES$7&gt;$D$3,"",IF(CK105="OD","OD",IF(CK105="Missed","Missed",IF(CK105="TBC","TBC",IF(CK105="Undefined","Undefined",_xlfn.XLOOKUP(ES$7,Marketing!$M$6:$BM$6,Marketing!$M$15:$BM$15))))))</f>
        <v/>
      </c>
      <c r="ET105" s="314" t="str">
        <f>IF(ET$7&gt;$D$3,"",IF(CL105="OD","OD",IF(CL105="Missed","Missed",IF(CL105="TBC","TBC",IF(CL105="Undefined","Undefined",_xlfn.XLOOKUP(ET$7,Marketing!$M$6:$BM$6,Marketing!$M$15:$BM$15))))))</f>
        <v/>
      </c>
      <c r="EU105" s="314" t="str">
        <f>IF(EU$7&gt;$D$3,"",IF(CM105="OD","OD",IF(CM105="Missed","Missed",IF(CM105="TBC","TBC",IF(CM105="Undefined","Undefined",_xlfn.XLOOKUP(EU$7,Marketing!$M$6:$BM$6,Marketing!$M$15:$BM$15))))))</f>
        <v/>
      </c>
      <c r="EW105" s="465" t="str">
        <f>+$A105</f>
        <v>Marketing-KPI Q1</v>
      </c>
      <c r="EX105" s="136" t="str">
        <f>+$C105</f>
        <v>KPI Q1</v>
      </c>
      <c r="EY105" s="144" t="str">
        <f>+$D105</f>
        <v>Quality</v>
      </c>
      <c r="EZ105" s="144" t="str">
        <f>+$E105</f>
        <v>Content Issues found</v>
      </c>
      <c r="FA105" s="145" t="str">
        <f>+$F105</f>
        <v>Count</v>
      </c>
      <c r="FB105" s="145" t="s">
        <v>251</v>
      </c>
      <c r="FC105" s="226" t="str">
        <f>IF(FC$7&gt;$D$3,"",IF($FA102&lt;FC$7,"OD",_xlfn.XLOOKUP(FC$7,Marketing!$M$6:$BM$6,Marketing!$M$15:$BM$15)))</f>
        <v>Blank</v>
      </c>
      <c r="FD105" s="226">
        <f>IF(FD$7&gt;$D$3,"",IF($FA102&lt;FD$7,"OD",_xlfn.XLOOKUP(FD$7,Marketing!$M$6:$BM$6,Marketing!$M$15:$BM$15)))</f>
        <v>1</v>
      </c>
      <c r="FE105" s="226">
        <f>IF(FE$7&gt;$D$3,"",IF($FA102&lt;FE$7,"OD",_xlfn.XLOOKUP(FE$7,Marketing!$M$6:$BM$6,Marketing!$M$15:$BM$15)))</f>
        <v>1</v>
      </c>
      <c r="FF105" s="226">
        <f>IF(FF$7&gt;$D$3,"",IF($FA102&lt;FF$7,"OD",_xlfn.XLOOKUP(FF$7,Marketing!$M$6:$BM$6,Marketing!$M$15:$BM$15)))</f>
        <v>1</v>
      </c>
      <c r="FG105" s="226">
        <f>IF(FG$7&gt;$D$3,"",IF($FA102&lt;FG$7,"OD",_xlfn.XLOOKUP(FG$7,Marketing!$M$6:$BM$6,Marketing!$M$15:$BM$15)))</f>
        <v>0</v>
      </c>
      <c r="FH105" s="226">
        <f>IF(FH$7&gt;$D$3,"",IF($FA102&lt;FH$7,"OD",_xlfn.XLOOKUP(FH$7,Marketing!$M$6:$BM$6,Marketing!$M$15:$BM$15)))</f>
        <v>0</v>
      </c>
      <c r="FI105" s="226">
        <f>IF(FI$7&gt;$D$3,"",IF($FA102&lt;FI$7,"OD",_xlfn.XLOOKUP(FI$7,Marketing!$M$6:$BM$6,Marketing!$M$15:$BM$15)))</f>
        <v>1</v>
      </c>
      <c r="FJ105" s="226">
        <f>IF(FJ$7&gt;$D$3,"",IF($FA102&lt;FJ$7,"OD",_xlfn.XLOOKUP(FJ$7,Marketing!$M$6:$BM$6,Marketing!$M$15:$BM$15)))</f>
        <v>1</v>
      </c>
      <c r="FK105" s="226">
        <f>IF(FK$7&gt;$D$3,"",IF($FA102&lt;FK$7,"OD",_xlfn.XLOOKUP(FK$7,Marketing!$M$6:$BM$6,Marketing!$M$15:$BM$15)))</f>
        <v>1</v>
      </c>
      <c r="FL105" s="226">
        <f>IF(FL$7&gt;$D$3,"",IF($FA102&lt;FL$7,"OD",_xlfn.XLOOKUP(FL$7,Marketing!$M$6:$BM$6,Marketing!$M$15:$BM$15)))</f>
        <v>0</v>
      </c>
      <c r="FM105" s="226">
        <f>IF(FM$7&gt;$D$3,"",IF($FA102&lt;FM$7,"OD",_xlfn.XLOOKUP(FM$7,Marketing!$M$6:$BM$6,Marketing!$M$15:$BM$15)))</f>
        <v>0</v>
      </c>
      <c r="FN105" s="226">
        <f>IF(FN$7&gt;$D$3,"",IF($FA102&lt;FN$7,"OD",_xlfn.XLOOKUP(FN$7,Marketing!$M$6:$BM$6,Marketing!$M$15:$BM$15)))</f>
        <v>1</v>
      </c>
      <c r="FO105" s="226">
        <f>IF(FO$7&gt;$D$3,"",IF($FA102&lt;FO$7,"OD",_xlfn.XLOOKUP(FO$7,Marketing!$M$6:$BM$6,Marketing!$M$15:$BM$15)))</f>
        <v>0</v>
      </c>
      <c r="FP105" s="226">
        <f>IF(FP$7&gt;$D$3,"",IF($FA102&lt;FP$7,"OD",_xlfn.XLOOKUP(FP$7,Marketing!$M$6:$BM$6,Marketing!$M$15:$BM$15)))</f>
        <v>1</v>
      </c>
      <c r="FQ105" s="226">
        <f>IF(FQ$7&gt;$D$3,"",IF($FA102&lt;FQ$7,"OD",_xlfn.XLOOKUP(FQ$7,Marketing!$M$6:$BM$6,Marketing!$M$15:$BM$15)))</f>
        <v>0</v>
      </c>
      <c r="FR105" s="226">
        <f>IF(FR$7&gt;$D$3,"",IF($FA102&lt;FR$7,"OD",_xlfn.XLOOKUP(FR$7,Marketing!$M$6:$BM$6,Marketing!$M$15:$BM$15)))</f>
        <v>0</v>
      </c>
      <c r="FS105" s="226">
        <f>IF(FS$7&gt;$D$3,"",IF($FA102&lt;FS$7,"OD",_xlfn.XLOOKUP(FS$7,Marketing!$M$6:$BM$6,Marketing!$M$15:$BM$15)))</f>
        <v>0</v>
      </c>
      <c r="FT105" s="226">
        <f>IF(FT$7&gt;$D$3,"",IF($FA102&lt;FT$7,"OD",_xlfn.XLOOKUP(FT$7,Marketing!$M$6:$BM$6,Marketing!$M$15:$BM$15)))</f>
        <v>0</v>
      </c>
      <c r="FU105" s="226">
        <f>IF(FU$7&gt;$D$3,"",IF($FA102&lt;FU$7,"OD",_xlfn.XLOOKUP(FU$7,Marketing!$M$6:$BM$6,Marketing!$M$15:$BM$15)))</f>
        <v>0</v>
      </c>
      <c r="FV105" s="226">
        <f>IF(FV$7&gt;$D$3,"",IF($FA102&lt;FV$7,"OD",_xlfn.XLOOKUP(FV$7,Marketing!$M$6:$BM$6,Marketing!$M$15:$BM$15)))</f>
        <v>0</v>
      </c>
      <c r="FW105" s="226">
        <f>IF(FW$7&gt;$D$3,"",IF($FA102&lt;FW$7,"OD",_xlfn.XLOOKUP(FW$7,Marketing!$M$6:$BM$6,Marketing!$M$15:$BM$15)))</f>
        <v>1</v>
      </c>
      <c r="FX105" s="226">
        <f>IF(FX$7&gt;$D$3,"",IF($FA102&lt;FX$7,"OD",_xlfn.XLOOKUP(FX$7,Marketing!$M$6:$BM$6,Marketing!$M$15:$BM$15)))</f>
        <v>0</v>
      </c>
      <c r="FY105" s="226">
        <f>IF(FY$7&gt;$D$3,"",IF($FA102&lt;FY$7,"OD",_xlfn.XLOOKUP(FY$7,Marketing!$M$6:$BM$6,Marketing!$M$15:$BM$15)))</f>
        <v>1</v>
      </c>
      <c r="FZ105" s="226">
        <f>IF(FZ$7&gt;$D$3,"",IF($FA102&lt;FZ$7,"OD",_xlfn.XLOOKUP(FZ$7,Marketing!$M$6:$BM$6,Marketing!$M$15:$BM$15)))</f>
        <v>1</v>
      </c>
      <c r="GA105" s="226">
        <f>IF(GA$7&gt;$D$3,"",IF($FA102&lt;GA$7,"OD",_xlfn.XLOOKUP(GA$7,Marketing!$M$6:$BM$6,Marketing!$M$15:$BM$15)))</f>
        <v>1</v>
      </c>
      <c r="GB105" s="226">
        <f>IF(GB$7&gt;$D$3,"",IF($FA102&lt;GB$7,"OD",_xlfn.XLOOKUP(GB$7,Marketing!$M$6:$BM$6,Marketing!$M$15:$BM$15)))</f>
        <v>0</v>
      </c>
      <c r="GC105" s="226">
        <f>IF(GC$7&gt;$D$3,"",IF($FA102&lt;GC$7,"OD",_xlfn.XLOOKUP(GC$7,Marketing!$M$6:$BM$6,Marketing!$M$15:$BM$15)))</f>
        <v>0</v>
      </c>
      <c r="GD105" s="226">
        <f>IF(GD$7&gt;$D$3,"",IF($FA102&lt;GD$7,"OD",_xlfn.XLOOKUP(GD$7,Marketing!$M$6:$BM$6,Marketing!$M$15:$BM$15)))</f>
        <v>0</v>
      </c>
      <c r="GE105" s="226">
        <f>IF(GE$7&gt;$D$3,"",IF($FA102&lt;GE$7,"OD",_xlfn.XLOOKUP(GE$7,Marketing!$M$6:$BM$6,Marketing!$M$15:$BM$15)))</f>
        <v>0</v>
      </c>
      <c r="GF105" s="226">
        <f>IF(GF$7&gt;$D$3,"",IF($FA102&lt;GF$7,"OD",_xlfn.XLOOKUP(GF$7,Marketing!$M$6:$BM$6,Marketing!$M$15:$BM$15)))</f>
        <v>1</v>
      </c>
      <c r="GG105" s="226">
        <f>IF(GG$7&gt;$D$3,"",IF($FA102&lt;GG$7,"OD",_xlfn.XLOOKUP(GG$7,Marketing!$M$6:$BM$6,Marketing!$M$15:$BM$15)))</f>
        <v>0</v>
      </c>
      <c r="GH105" s="226">
        <f>IF(GH$7&gt;$D$3,"",IF($FA102&lt;GH$7,"OD",_xlfn.XLOOKUP(GH$7,Marketing!$M$6:$BM$6,Marketing!$M$15:$BM$15)))</f>
        <v>3</v>
      </c>
      <c r="GI105" s="226">
        <f>IF(GI$7&gt;$D$3,"",IF($FA102&lt;GI$7,"OD",_xlfn.XLOOKUP(GI$7,Marketing!$M$6:$BM$6,Marketing!$M$15:$BM$15)))</f>
        <v>0</v>
      </c>
      <c r="GJ105" s="226">
        <f>IF(GJ$7&gt;$D$3,"",IF($FA102&lt;GJ$7,"OD",_xlfn.XLOOKUP(GJ$7,Marketing!$M$6:$BM$6,Marketing!$M$15:$BM$15)))</f>
        <v>1</v>
      </c>
      <c r="GK105" s="226">
        <f>IF(GK$7&gt;$D$3,"",IF($FA102&lt;GK$7,"OD",_xlfn.XLOOKUP(GK$7,Marketing!$M$6:$BM$6,Marketing!$M$15:$BM$15)))</f>
        <v>1</v>
      </c>
      <c r="GL105" s="226">
        <f>IF(GL$7&gt;$D$3,"",IF($FA102&lt;GL$7,"OD",_xlfn.XLOOKUP(GL$7,Marketing!$M$6:$BM$6,Marketing!$M$15:$BM$15)))</f>
        <v>1</v>
      </c>
      <c r="GM105" s="226">
        <f>IF(GM$7&gt;$D$3,"",IF($FA102&lt;GM$7,"OD",_xlfn.XLOOKUP(GM$7,Marketing!$M$6:$BM$6,Marketing!$M$15:$BM$15)))</f>
        <v>0</v>
      </c>
      <c r="GN105" s="226">
        <f>IF(GN$7&gt;$D$3,"",IF($FA102&lt;GN$7,"OD",_xlfn.XLOOKUP(GN$7,Marketing!$M$6:$BM$6,Marketing!$M$15:$BM$15)))</f>
        <v>0</v>
      </c>
      <c r="GO105" s="226">
        <f>IF(GO$7&gt;$D$3,"",IF($FA102&lt;GO$7,"OD",_xlfn.XLOOKUP(GO$7,Marketing!$M$6:$BM$6,Marketing!$M$15:$BM$15)))</f>
        <v>0</v>
      </c>
      <c r="GP105" s="226">
        <f>IF(GP$7&gt;$D$3,"",IF($FA102&lt;GP$7,"OD",_xlfn.XLOOKUP(GP$7,Marketing!$M$6:$BM$6,Marketing!$M$15:$BM$15)))</f>
        <v>1</v>
      </c>
      <c r="GQ105" s="226">
        <f>IF(GQ$7&gt;$D$3,"",IF($FA102&lt;GQ$7,"OD",_xlfn.XLOOKUP(GQ$7,Marketing!$M$6:$BM$6,Marketing!$M$15:$BM$15)))</f>
        <v>0</v>
      </c>
      <c r="GR105" s="226">
        <f>IF(GR$7&gt;$D$3,"",IF($FA102&lt;GR$7,"OD",_xlfn.XLOOKUP(GR$7,Marketing!$M$6:$BM$6,Marketing!$M$15:$BM$15)))</f>
        <v>0</v>
      </c>
      <c r="GS105" s="226" t="str">
        <f>IF(GS$7&gt;$D$3,"",IF($FA102&lt;GS$7,"OD",_xlfn.XLOOKUP(GS$7,Marketing!$M$6:$BM$6,Marketing!$M$15:$BM$15)))</f>
        <v/>
      </c>
      <c r="GT105" s="226" t="str">
        <f>IF(GT$7&gt;$D$3,"",IF($FA102&lt;GT$7,"OD",_xlfn.XLOOKUP(GT$7,Marketing!$M$6:$BM$6,Marketing!$M$15:$BM$15)))</f>
        <v/>
      </c>
      <c r="GU105" s="226" t="str">
        <f>IF(GU$7&gt;$D$3,"",IF($FA102&lt;GU$7,"OD",_xlfn.XLOOKUP(GU$7,Marketing!$M$6:$BM$6,Marketing!$M$15:$BM$15)))</f>
        <v/>
      </c>
      <c r="GV105" s="226" t="str">
        <f>IF(GV$7&gt;$D$3,"",IF($FA102&lt;GV$7,"OD",_xlfn.XLOOKUP(GV$7,Marketing!$M$6:$BM$6,Marketing!$M$15:$BM$15)))</f>
        <v/>
      </c>
      <c r="GW105" s="226" t="str">
        <f>IF(GW$7&gt;$D$3,"",IF($FA102&lt;GW$7,"OD",_xlfn.XLOOKUP(GW$7,Marketing!$M$6:$BM$6,Marketing!$M$15:$BM$15)))</f>
        <v/>
      </c>
      <c r="GX105" s="226" t="str">
        <f>IF(GX$7&gt;$D$3,"",IF($FA102&lt;GX$7,"OD",_xlfn.XLOOKUP(GX$7,Marketing!$M$6:$BM$6,Marketing!$M$15:$BM$15)))</f>
        <v/>
      </c>
      <c r="GY105" s="226" t="str">
        <f>IF(GY$7&gt;$D$3,"",IF($FA102&lt;GY$7,"OD",_xlfn.XLOOKUP(GY$7,Marketing!$M$6:$BM$6,Marketing!$M$15:$BM$15)))</f>
        <v/>
      </c>
      <c r="GZ105" s="226" t="str">
        <f>IF(GZ$7&gt;$D$3,"",IF($FA102&lt;GZ$7,"OD",_xlfn.XLOOKUP(GZ$7,Marketing!$M$6:$BM$6,Marketing!$M$15:$BM$15)))</f>
        <v/>
      </c>
      <c r="HA105" s="226" t="str">
        <f>IF(HA$7&gt;$D$3,"",IF($FA102&lt;HA$7,"OD",_xlfn.XLOOKUP(HA$7,Marketing!$M$6:$BM$6,Marketing!$M$15:$BM$15)))</f>
        <v/>
      </c>
      <c r="HB105" s="226" t="str">
        <f>IF(HB$7&gt;$D$3,"",IF($FA102&lt;HB$7,"OD",_xlfn.XLOOKUP(HB$7,Marketing!$M$6:$BM$6,Marketing!$M$15:$BM$15)))</f>
        <v/>
      </c>
      <c r="HC105" s="226" t="str">
        <f>IF(HC$7&gt;$D$3,"",IF($FA102&lt;HC$7,"OD",_xlfn.XLOOKUP(HC$7,Marketing!$M$6:$BM$6,Marketing!$M$15:$BM$15)))</f>
        <v/>
      </c>
      <c r="HE105" s="136" t="str">
        <f>+$C105</f>
        <v>KPI Q1</v>
      </c>
      <c r="HF105" s="144" t="str">
        <f>+$D105</f>
        <v>Quality</v>
      </c>
      <c r="HG105" s="144" t="str">
        <f>+$E105</f>
        <v>Content Issues found</v>
      </c>
      <c r="HH105" s="145" t="str">
        <f>+$F105</f>
        <v>Count</v>
      </c>
      <c r="HI105" s="145" t="s">
        <v>44</v>
      </c>
      <c r="HJ105" s="226" t="str">
        <f>IF(HJ$7&gt;$D$3,"",IF($FA102&lt;HJ$7,"OD",_xlfn.XLOOKUP(HJ$7,Marketing!$M$6:$BM$6,Marketing!$M$14:$BM$14)))</f>
        <v>Blank</v>
      </c>
      <c r="HK105" s="226">
        <f>IF(HK$7&gt;$D$3,"",IF($FA102&lt;HK$7,"OD",_xlfn.XLOOKUP(HK$7,Marketing!$M$6:$BM$6,Marketing!$M$14:$BM$14)))</f>
        <v>0</v>
      </c>
      <c r="HL105" s="226">
        <f>IF(HL$7&gt;$D$3,"",IF($FA102&lt;HL$7,"OD",_xlfn.XLOOKUP(HL$7,Marketing!$M$6:$BM$6,Marketing!$M$14:$BM$14)))</f>
        <v>0</v>
      </c>
      <c r="HM105" s="226">
        <f>IF(HM$7&gt;$D$3,"",IF($FA102&lt;HM$7,"OD",_xlfn.XLOOKUP(HM$7,Marketing!$M$6:$BM$6,Marketing!$M$14:$BM$14)))</f>
        <v>0</v>
      </c>
      <c r="HN105" s="226">
        <f>IF(HN$7&gt;$D$3,"",IF($FA102&lt;HN$7,"OD",_xlfn.XLOOKUP(HN$7,Marketing!$M$6:$BM$6,Marketing!$M$14:$BM$14)))</f>
        <v>0</v>
      </c>
      <c r="HO105" s="226">
        <f>IF(HO$7&gt;$D$3,"",IF($FA102&lt;HO$7,"OD",_xlfn.XLOOKUP(HO$7,Marketing!$M$6:$BM$6,Marketing!$M$14:$BM$14)))</f>
        <v>0</v>
      </c>
      <c r="HP105" s="226">
        <f>IF(HP$7&gt;$D$3,"",IF($FA102&lt;HP$7,"OD",_xlfn.XLOOKUP(HP$7,Marketing!$M$6:$BM$6,Marketing!$M$14:$BM$14)))</f>
        <v>0</v>
      </c>
      <c r="HQ105" s="226">
        <f>IF(HQ$7&gt;$D$3,"",IF($FA102&lt;HQ$7,"OD",_xlfn.XLOOKUP(HQ$7,Marketing!$M$6:$BM$6,Marketing!$M$14:$BM$14)))</f>
        <v>0</v>
      </c>
      <c r="HR105" s="226">
        <f>IF(HR$7&gt;$D$3,"",IF($FA102&lt;HR$7,"OD",_xlfn.XLOOKUP(HR$7,Marketing!$M$6:$BM$6,Marketing!$M$14:$BM$14)))</f>
        <v>0</v>
      </c>
      <c r="HS105" s="226">
        <f>IF(HS$7&gt;$D$3,"",IF($FA102&lt;HS$7,"OD",_xlfn.XLOOKUP(HS$7,Marketing!$M$6:$BM$6,Marketing!$M$14:$BM$14)))</f>
        <v>0</v>
      </c>
      <c r="HT105" s="226">
        <f>IF(HT$7&gt;$D$3,"",IF($FA102&lt;HT$7,"OD",_xlfn.XLOOKUP(HT$7,Marketing!$M$6:$BM$6,Marketing!$M$14:$BM$14)))</f>
        <v>0</v>
      </c>
      <c r="HU105" s="226">
        <f>IF(HU$7&gt;$D$3,"",IF($FA102&lt;HU$7,"OD",_xlfn.XLOOKUP(HU$7,Marketing!$M$6:$BM$6,Marketing!$M$14:$BM$14)))</f>
        <v>0</v>
      </c>
      <c r="HV105" s="226">
        <f>IF(HV$7&gt;$D$3,"",IF($FA102&lt;HV$7,"OD",_xlfn.XLOOKUP(HV$7,Marketing!$M$6:$BM$6,Marketing!$M$14:$BM$14)))</f>
        <v>0</v>
      </c>
      <c r="HW105" s="226">
        <f>IF(HW$7&gt;$D$3,"",IF($FA102&lt;HW$7,"OD",_xlfn.XLOOKUP(HW$7,Marketing!$M$6:$BM$6,Marketing!$M$14:$BM$14)))</f>
        <v>0</v>
      </c>
      <c r="HX105" s="226">
        <f>IF(HX$7&gt;$D$3,"",IF($FA102&lt;HX$7,"OD",_xlfn.XLOOKUP(HX$7,Marketing!$M$6:$BM$6,Marketing!$M$14:$BM$14)))</f>
        <v>0</v>
      </c>
      <c r="HY105" s="226">
        <f>IF(HY$7&gt;$D$3,"",IF($FA102&lt;HY$7,"OD",_xlfn.XLOOKUP(HY$7,Marketing!$M$6:$BM$6,Marketing!$M$14:$BM$14)))</f>
        <v>0</v>
      </c>
      <c r="HZ105" s="226">
        <f>IF(HZ$7&gt;$D$3,"",IF($FA102&lt;HZ$7,"OD",_xlfn.XLOOKUP(HZ$7,Marketing!$M$6:$BM$6,Marketing!$M$14:$BM$14)))</f>
        <v>0</v>
      </c>
      <c r="IA105" s="226">
        <f>IF(IA$7&gt;$D$3,"",IF($FA102&lt;IA$7,"OD",_xlfn.XLOOKUP(IA$7,Marketing!$M$6:$BM$6,Marketing!$M$14:$BM$14)))</f>
        <v>0</v>
      </c>
      <c r="IB105" s="226">
        <f>IF(IB$7&gt;$D$3,"",IF($FA102&lt;IB$7,"OD",_xlfn.XLOOKUP(IB$7,Marketing!$M$6:$BM$6,Marketing!$M$14:$BM$14)))</f>
        <v>0</v>
      </c>
      <c r="IC105" s="226">
        <f>IF(IC$7&gt;$D$3,"",IF($FA102&lt;IC$7,"OD",_xlfn.XLOOKUP(IC$7,Marketing!$M$6:$BM$6,Marketing!$M$14:$BM$14)))</f>
        <v>0</v>
      </c>
      <c r="ID105" s="226">
        <f>IF(ID$7&gt;$D$3,"",IF($FA102&lt;ID$7,"OD",_xlfn.XLOOKUP(ID$7,Marketing!$M$6:$BM$6,Marketing!$M$14:$BM$14)))</f>
        <v>0</v>
      </c>
      <c r="IE105" s="226">
        <f>IF(IE$7&gt;$D$3,"",IF($FA102&lt;IE$7,"OD",_xlfn.XLOOKUP(IE$7,Marketing!$M$6:$BM$6,Marketing!$M$14:$BM$14)))</f>
        <v>0</v>
      </c>
      <c r="IF105" s="226">
        <f>IF(IF$7&gt;$D$3,"",IF($FA102&lt;IF$7,"OD",_xlfn.XLOOKUP(IF$7,Marketing!$M$6:$BM$6,Marketing!$M$14:$BM$14)))</f>
        <v>0</v>
      </c>
      <c r="IG105" s="226">
        <f>IF(IG$7&gt;$D$3,"",IF($FA102&lt;IG$7,"OD",_xlfn.XLOOKUP(IG$7,Marketing!$M$6:$BM$6,Marketing!$M$14:$BM$14)))</f>
        <v>0</v>
      </c>
      <c r="IH105" s="226">
        <f>IF(IH$7&gt;$D$3,"",IF($FA102&lt;IH$7,"OD",_xlfn.XLOOKUP(IH$7,Marketing!$M$6:$BM$6,Marketing!$M$14:$BM$14)))</f>
        <v>0</v>
      </c>
      <c r="II105" s="226">
        <f>IF(II$7&gt;$D$3,"",IF($FA102&lt;II$7,"OD",_xlfn.XLOOKUP(II$7,Marketing!$M$6:$BM$6,Marketing!$M$14:$BM$14)))</f>
        <v>0</v>
      </c>
      <c r="IJ105" s="226">
        <f>IF(IJ$7&gt;$D$3,"",IF($FA102&lt;IJ$7,"OD",_xlfn.XLOOKUP(IJ$7,Marketing!$M$6:$BM$6,Marketing!$M$14:$BM$14)))</f>
        <v>0</v>
      </c>
      <c r="IK105" s="226">
        <f>IF(IK$7&gt;$D$3,"",IF($FA102&lt;IK$7,"OD",_xlfn.XLOOKUP(IK$7,Marketing!$M$6:$BM$6,Marketing!$M$14:$BM$14)))</f>
        <v>0</v>
      </c>
      <c r="IL105" s="226">
        <f>IF(IL$7&gt;$D$3,"",IF($FA102&lt;IL$7,"OD",_xlfn.XLOOKUP(IL$7,Marketing!$M$6:$BM$6,Marketing!$M$14:$BM$14)))</f>
        <v>0</v>
      </c>
      <c r="IM105" s="226">
        <f>IF(IM$7&gt;$D$3,"",IF($FA102&lt;IM$7,"OD",_xlfn.XLOOKUP(IM$7,Marketing!$M$6:$BM$6,Marketing!$M$14:$BM$14)))</f>
        <v>0</v>
      </c>
      <c r="IN105" s="226">
        <f>IF(IN$7&gt;$D$3,"",IF($FA102&lt;IN$7,"OD",_xlfn.XLOOKUP(IN$7,Marketing!$M$6:$BM$6,Marketing!$M$14:$BM$14)))</f>
        <v>0</v>
      </c>
      <c r="IO105" s="226">
        <f>IF(IO$7&gt;$D$3,"",IF($FA102&lt;IO$7,"OD",_xlfn.XLOOKUP(IO$7,Marketing!$M$6:$BM$6,Marketing!$M$14:$BM$14)))</f>
        <v>0</v>
      </c>
      <c r="IP105" s="226">
        <f>IF(IP$7&gt;$D$3,"",IF($FA102&lt;IP$7,"OD",_xlfn.XLOOKUP(IP$7,Marketing!$M$6:$BM$6,Marketing!$M$14:$BM$14)))</f>
        <v>0</v>
      </c>
      <c r="IQ105" s="226">
        <f>IF(IQ$7&gt;$D$3,"",IF($FA102&lt;IQ$7,"OD",_xlfn.XLOOKUP(IQ$7,Marketing!$M$6:$BM$6,Marketing!$M$14:$BM$14)))</f>
        <v>0</v>
      </c>
      <c r="IR105" s="226">
        <f>IF(IR$7&gt;$D$3,"",IF($FA102&lt;IR$7,"OD",_xlfn.XLOOKUP(IR$7,Marketing!$M$6:$BM$6,Marketing!$M$14:$BM$14)))</f>
        <v>0</v>
      </c>
      <c r="IS105" s="226">
        <f>IF(IS$7&gt;$D$3,"",IF($FA102&lt;IS$7,"OD",_xlfn.XLOOKUP(IS$7,Marketing!$M$6:$BM$6,Marketing!$M$14:$BM$14)))</f>
        <v>0</v>
      </c>
      <c r="IT105" s="226">
        <f>IF(IT$7&gt;$D$3,"",IF($FA102&lt;IT$7,"OD",_xlfn.XLOOKUP(IT$7,Marketing!$M$6:$BM$6,Marketing!$M$14:$BM$14)))</f>
        <v>0</v>
      </c>
      <c r="IU105" s="226">
        <f>IF(IU$7&gt;$D$3,"",IF($FA102&lt;IU$7,"OD",_xlfn.XLOOKUP(IU$7,Marketing!$M$6:$BM$6,Marketing!$M$14:$BM$14)))</f>
        <v>0</v>
      </c>
      <c r="IV105" s="226">
        <f>IF(IV$7&gt;$D$3,"",IF($FA102&lt;IV$7,"OD",_xlfn.XLOOKUP(IV$7,Marketing!$M$6:$BM$6,Marketing!$M$14:$BM$14)))</f>
        <v>0</v>
      </c>
      <c r="IW105" s="226">
        <f>IF(IW$7&gt;$D$3,"",IF($FA102&lt;IW$7,"OD",_xlfn.XLOOKUP(IW$7,Marketing!$M$6:$BM$6,Marketing!$M$14:$BM$14)))</f>
        <v>0</v>
      </c>
      <c r="IX105" s="226">
        <f>IF(IX$7&gt;$D$3,"",IF($FA102&lt;IX$7,"OD",_xlfn.XLOOKUP(IX$7,Marketing!$M$6:$BM$6,Marketing!$M$14:$BM$14)))</f>
        <v>0</v>
      </c>
      <c r="IY105" s="226">
        <f>IF(IY$7&gt;$D$3,"",IF($FA102&lt;IY$7,"OD",_xlfn.XLOOKUP(IY$7,Marketing!$M$6:$BM$6,Marketing!$M$14:$BM$14)))</f>
        <v>0</v>
      </c>
      <c r="IZ105" s="226" t="str">
        <f>IF(IZ$7&gt;$D$3,"",IF($FA102&lt;IZ$7,"OD",_xlfn.XLOOKUP(IZ$7,Marketing!$M$6:$BM$6,Marketing!$M$14:$BM$14)))</f>
        <v/>
      </c>
      <c r="JA105" s="226" t="str">
        <f>IF(JA$7&gt;$D$3,"",IF($FA102&lt;JA$7,"OD",_xlfn.XLOOKUP(JA$7,Marketing!$M$6:$BM$6,Marketing!$M$14:$BM$14)))</f>
        <v/>
      </c>
      <c r="JB105" s="226" t="str">
        <f>IF(JB$7&gt;$D$3,"",IF($FA102&lt;JB$7,"OD",_xlfn.XLOOKUP(JB$7,Marketing!$M$6:$BM$6,Marketing!$M$14:$BM$14)))</f>
        <v/>
      </c>
      <c r="JC105" s="226" t="str">
        <f>IF(JC$7&gt;$D$3,"",IF($FA102&lt;JC$7,"OD",_xlfn.XLOOKUP(JC$7,Marketing!$M$6:$BM$6,Marketing!$M$14:$BM$14)))</f>
        <v/>
      </c>
      <c r="JD105" s="226" t="str">
        <f>IF(JD$7&gt;$D$3,"",IF($FA102&lt;JD$7,"OD",_xlfn.XLOOKUP(JD$7,Marketing!$M$6:$BM$6,Marketing!$M$14:$BM$14)))</f>
        <v/>
      </c>
      <c r="JE105" s="226" t="str">
        <f>IF(JE$7&gt;$D$3,"",IF($FA102&lt;JE$7,"OD",_xlfn.XLOOKUP(JE$7,Marketing!$M$6:$BM$6,Marketing!$M$14:$BM$14)))</f>
        <v/>
      </c>
      <c r="JF105" s="226" t="str">
        <f>IF(JF$7&gt;$D$3,"",IF($FA102&lt;JF$7,"OD",_xlfn.XLOOKUP(JF$7,Marketing!$M$6:$BM$6,Marketing!$M$14:$BM$14)))</f>
        <v/>
      </c>
      <c r="JG105" s="226" t="str">
        <f>IF(JG$7&gt;$D$3,"",IF($FA102&lt;JG$7,"OD",_xlfn.XLOOKUP(JG$7,Marketing!$M$6:$BM$6,Marketing!$M$14:$BM$14)))</f>
        <v/>
      </c>
      <c r="JH105" s="226" t="str">
        <f>IF(JH$7&gt;$D$3,"",IF($FA102&lt;JH$7,"OD",_xlfn.XLOOKUP(JH$7,Marketing!$M$6:$BM$6,Marketing!$M$14:$BM$14)))</f>
        <v/>
      </c>
      <c r="JI105" s="226" t="str">
        <f>IF(JI$7&gt;$D$3,"",IF($FA102&lt;JI$7,"OD",_xlfn.XLOOKUP(JI$7,Marketing!$M$6:$BM$6,Marketing!$M$14:$BM$14)))</f>
        <v/>
      </c>
      <c r="JJ105" s="226" t="str">
        <f>IF(JJ$7&gt;$D$3,"",IF($FA102&lt;JJ$7,"OD",_xlfn.XLOOKUP(JJ$7,Marketing!$M$6:$BM$6,Marketing!$M$14:$BM$14)))</f>
        <v/>
      </c>
      <c r="JM105" s="136" t="str">
        <f>+$C105</f>
        <v>KPI Q1</v>
      </c>
      <c r="JN105" s="144" t="str">
        <f>+$D105</f>
        <v>Quality</v>
      </c>
      <c r="JO105" s="144" t="str">
        <f>+$E105</f>
        <v>Content Issues found</v>
      </c>
      <c r="JP105" s="145" t="str">
        <f>+$F105</f>
        <v>Count</v>
      </c>
      <c r="JQ105" s="145" t="s">
        <v>284</v>
      </c>
      <c r="JR105" s="226" t="str">
        <f>IFERROR(AVERAGE(FC105:$FC105),"")</f>
        <v/>
      </c>
      <c r="JS105" s="226">
        <f>IFERROR(AVERAGE($FC105:FD105),"")</f>
        <v>1</v>
      </c>
      <c r="JT105" s="226">
        <f>IFERROR(AVERAGE($FC105:FE105),"")</f>
        <v>1</v>
      </c>
      <c r="JU105" s="226">
        <f>IFERROR(AVERAGE($FC105:FF105),"")</f>
        <v>1</v>
      </c>
      <c r="JV105" s="226">
        <f>IFERROR(AVERAGE($FC105:FG105),"")</f>
        <v>0.75</v>
      </c>
      <c r="JW105" s="226">
        <f>IFERROR(AVERAGE($FC105:FH105),"")</f>
        <v>0.6</v>
      </c>
      <c r="JX105" s="226">
        <f>IFERROR(AVERAGE($FC105:FI105),"")</f>
        <v>0.66666666666666663</v>
      </c>
      <c r="JY105" s="226">
        <f>IFERROR(AVERAGE($FC105:FJ105),"")</f>
        <v>0.7142857142857143</v>
      </c>
      <c r="JZ105" s="226">
        <f>IFERROR(AVERAGE($FC105:FK105),"")</f>
        <v>0.75</v>
      </c>
      <c r="KA105" s="226">
        <f>IFERROR(AVERAGE($FC105:FL105),"")</f>
        <v>0.66666666666666663</v>
      </c>
      <c r="KB105" s="226">
        <f>IFERROR(AVERAGE($FC105:FM105),"")</f>
        <v>0.6</v>
      </c>
      <c r="KC105" s="226">
        <f>IFERROR(AVERAGE($FC105:FN105),"")</f>
        <v>0.63636363636363635</v>
      </c>
      <c r="KD105" s="226">
        <f>IFERROR(AVERAGE($FC105:FO105),"")</f>
        <v>0.58333333333333337</v>
      </c>
      <c r="KE105" s="226">
        <f>IFERROR(AVERAGE($FC105:FP105),"")</f>
        <v>0.61538461538461542</v>
      </c>
      <c r="KF105" s="226">
        <f>IFERROR(AVERAGE($FC105:FQ105),"")</f>
        <v>0.5714285714285714</v>
      </c>
      <c r="KG105" s="226">
        <f>IFERROR(AVERAGE($FC105:FR105),"")</f>
        <v>0.53333333333333333</v>
      </c>
      <c r="KH105" s="226">
        <f>IFERROR(AVERAGE($FC105:FS105),"")</f>
        <v>0.5</v>
      </c>
      <c r="KI105" s="226">
        <f>IFERROR(AVERAGE($FC105:FT105),"")</f>
        <v>0.47058823529411764</v>
      </c>
      <c r="KJ105" s="226">
        <f>IFERROR(AVERAGE($FC105:FU105),"")</f>
        <v>0.44444444444444442</v>
      </c>
      <c r="KK105" s="226">
        <f>IFERROR(AVERAGE($FC105:FV105),"")</f>
        <v>0.42105263157894735</v>
      </c>
      <c r="KL105" s="226">
        <f>IFERROR(AVERAGE($FC105:FW105),"")</f>
        <v>0.45</v>
      </c>
      <c r="KM105" s="226">
        <f>IFERROR(AVERAGE($FC105:FX105),"")</f>
        <v>0.42857142857142855</v>
      </c>
      <c r="KN105" s="226">
        <f>IFERROR(AVERAGE($FC105:FY105),"")</f>
        <v>0.45454545454545453</v>
      </c>
      <c r="KO105" s="226">
        <f>IFERROR(AVERAGE($FC105:FZ105),"")</f>
        <v>0.47826086956521741</v>
      </c>
      <c r="KP105" s="226">
        <f>IFERROR(AVERAGE($FC105:GA105),"")</f>
        <v>0.5</v>
      </c>
      <c r="KQ105" s="226">
        <f>IFERROR(AVERAGE($FC105:GB105),"")</f>
        <v>0.48</v>
      </c>
      <c r="KR105" s="226">
        <f>IFERROR(AVERAGE($FC105:GC105),"")</f>
        <v>0.46153846153846156</v>
      </c>
      <c r="KS105" s="226">
        <f>IFERROR(AVERAGE($FC105:GD105),"")</f>
        <v>0.44444444444444442</v>
      </c>
      <c r="KT105" s="226">
        <f>IFERROR(AVERAGE($FC105:GE105),"")</f>
        <v>0.42857142857142855</v>
      </c>
      <c r="KU105" s="226">
        <f>IFERROR(AVERAGE($FC105:GF105),"")</f>
        <v>0.44827586206896552</v>
      </c>
      <c r="KV105" s="226">
        <f>IFERROR(AVERAGE($FC105:GG105),"")</f>
        <v>0.43333333333333335</v>
      </c>
      <c r="KW105" s="226">
        <f>IFERROR(AVERAGE($FC105:GH105),"")</f>
        <v>0.5161290322580645</v>
      </c>
      <c r="KX105" s="226">
        <f>IFERROR(AVERAGE($FC105:GI105),"")</f>
        <v>0.5</v>
      </c>
      <c r="KY105" s="226">
        <f>IFERROR(AVERAGE($FC105:GJ105),"")</f>
        <v>0.51515151515151514</v>
      </c>
      <c r="KZ105" s="226">
        <f>IFERROR(AVERAGE($FC105:GK105),"")</f>
        <v>0.52941176470588236</v>
      </c>
      <c r="LA105" s="226">
        <f>IFERROR(AVERAGE($FC105:GL105),"")</f>
        <v>0.54285714285714282</v>
      </c>
      <c r="LB105" s="226">
        <f>IFERROR(AVERAGE($FC105:GM105),"")</f>
        <v>0.52777777777777779</v>
      </c>
      <c r="LC105" s="226">
        <f>IFERROR(AVERAGE($FC105:GN105),"")</f>
        <v>0.51351351351351349</v>
      </c>
      <c r="LD105" s="226">
        <f>IFERROR(AVERAGE($FC105:GO105),"")</f>
        <v>0.5</v>
      </c>
      <c r="LE105" s="226">
        <f>IFERROR(AVERAGE($FC105:GP105),"")</f>
        <v>0.51282051282051277</v>
      </c>
      <c r="LF105" s="226">
        <f>IFERROR(AVERAGE($FC105:GQ105),"")</f>
        <v>0.5</v>
      </c>
      <c r="LG105" s="226">
        <f>IFERROR(AVERAGE($FC105:GR105),"")</f>
        <v>0.48780487804878048</v>
      </c>
      <c r="LH105" s="226">
        <f>IFERROR(AVERAGE($FC105:GS105),"")</f>
        <v>0.48780487804878048</v>
      </c>
      <c r="LI105" s="226">
        <f>IFERROR(AVERAGE($FC105:GT105),"")</f>
        <v>0.48780487804878048</v>
      </c>
      <c r="LJ105" s="226">
        <f>IFERROR(AVERAGE($FC105:GU105),"")</f>
        <v>0.48780487804878048</v>
      </c>
      <c r="LK105" s="226">
        <f>IFERROR(AVERAGE($FC105:GV105),"")</f>
        <v>0.48780487804878048</v>
      </c>
      <c r="LL105" s="226">
        <f>IFERROR(AVERAGE($FC105:GW105),"")</f>
        <v>0.48780487804878048</v>
      </c>
      <c r="LM105" s="226">
        <f>IFERROR(AVERAGE($FC105:GX105),"")</f>
        <v>0.48780487804878048</v>
      </c>
      <c r="LN105" s="226">
        <f>IFERROR(AVERAGE($FC105:GY105),"")</f>
        <v>0.48780487804878048</v>
      </c>
      <c r="LO105" s="226">
        <f>IFERROR(AVERAGE($FC105:GZ105),"")</f>
        <v>0.48780487804878048</v>
      </c>
      <c r="LP105" s="226">
        <f>IFERROR(AVERAGE($FC105:HA105),"")</f>
        <v>0.48780487804878048</v>
      </c>
      <c r="LQ105" s="226">
        <f>IFERROR(AVERAGE($FC105:HB105),"")</f>
        <v>0.48780487804878048</v>
      </c>
      <c r="LR105" s="226">
        <f>IFERROR(AVERAGE($FC105:HC105),"")</f>
        <v>0.48780487804878048</v>
      </c>
      <c r="LT105" s="136" t="str">
        <f>+$C105</f>
        <v>KPI Q1</v>
      </c>
      <c r="LU105" s="144" t="str">
        <f>+$D105</f>
        <v>Quality</v>
      </c>
      <c r="LV105" s="144" t="str">
        <f>+$E105</f>
        <v>Content Issues found</v>
      </c>
      <c r="LW105" s="145" t="str">
        <f>+$F105</f>
        <v>Count</v>
      </c>
      <c r="LX105" s="145" t="s">
        <v>285</v>
      </c>
      <c r="LY105" s="226" t="str">
        <f>IFERROR(AVERAGE($HJ105:HJ105),"")</f>
        <v/>
      </c>
      <c r="LZ105" s="226">
        <f>IFERROR(IF(LAD$7&gt;$D$3,"",AVERAGE($HJ105:HK105)),"")</f>
        <v>0</v>
      </c>
      <c r="MA105" s="226">
        <f>IFERROR(IF(MA$7&gt;$D$3,"",AVERAGE($HJ105:HL105)),"")</f>
        <v>0</v>
      </c>
      <c r="MB105" s="226">
        <f>IFERROR(IF(MB$7&gt;$D$3,"",AVERAGE($HJ105:HM105)),"")</f>
        <v>0</v>
      </c>
      <c r="MC105" s="226">
        <f>IFERROR(IF(MC$7&gt;$D$3,"",AVERAGE($HJ105:HN105)),"")</f>
        <v>0</v>
      </c>
      <c r="MD105" s="226">
        <f>IFERROR(IF(MD$7&gt;$D$3,"",AVERAGE($HJ105:HO105)),"")</f>
        <v>0</v>
      </c>
      <c r="ME105" s="226">
        <f>IFERROR(IF(ME$7&gt;$D$3,"",AVERAGE($HJ105:HP105)),"")</f>
        <v>0</v>
      </c>
      <c r="MF105" s="226">
        <f>IFERROR(IF(MF$7&gt;$D$3,"",AVERAGE($HJ105:HQ105)),"")</f>
        <v>0</v>
      </c>
      <c r="MG105" s="226">
        <f>IFERROR(IF(MG$7&gt;$D$3,"",AVERAGE($HJ105:HR105)),"")</f>
        <v>0</v>
      </c>
      <c r="MH105" s="226">
        <f>IFERROR(IF(MH$7&gt;$D$3,"",AVERAGE($HJ105:HS105)),"")</f>
        <v>0</v>
      </c>
      <c r="MI105" s="226">
        <f>IFERROR(IF(MI$7&gt;$D$3,"",AVERAGE($HJ105:HT105)),"")</f>
        <v>0</v>
      </c>
      <c r="MJ105" s="226">
        <f>IFERROR(IF(MJ$7&gt;$D$3,"",AVERAGE($HJ105:HU105)),"")</f>
        <v>0</v>
      </c>
      <c r="MK105" s="226">
        <f>IFERROR(IF(MK$7&gt;$D$3,"",AVERAGE($HJ105:HV105)),"")</f>
        <v>0</v>
      </c>
      <c r="ML105" s="226">
        <f>IFERROR(IF(ML$7&gt;$D$3,"",AVERAGE($HJ105:HW105)),"")</f>
        <v>0</v>
      </c>
      <c r="MM105" s="226">
        <f>IFERROR(IF(MM$7&gt;$D$3,"",AVERAGE($HJ105:HX105)),"")</f>
        <v>0</v>
      </c>
      <c r="MN105" s="226">
        <f>IFERROR(IF(MN$7&gt;$D$3,"",AVERAGE($HJ105:HY105)),"")</f>
        <v>0</v>
      </c>
      <c r="MO105" s="226">
        <f>IFERROR(IF(MO$7&gt;$D$3,"",AVERAGE($HJ105:HZ105)),"")</f>
        <v>0</v>
      </c>
      <c r="MP105" s="226">
        <f>IFERROR(IF(MP$7&gt;$D$3,"",AVERAGE($HJ105:IA105)),"")</f>
        <v>0</v>
      </c>
      <c r="MQ105" s="226">
        <f>IFERROR(IF(MQ$7&gt;$D$3,"",AVERAGE($HJ105:IB105)),"")</f>
        <v>0</v>
      </c>
      <c r="MR105" s="226">
        <f>IFERROR(IF(MR$7&gt;$D$3,"",AVERAGE($HJ105:IC105)),"")</f>
        <v>0</v>
      </c>
      <c r="MS105" s="226">
        <f>IFERROR(IF(MS$7&gt;$D$3,"",AVERAGE($HJ105:ID105)),"")</f>
        <v>0</v>
      </c>
      <c r="MT105" s="226">
        <f>IFERROR(IF(MT$7&gt;$D$3,"",AVERAGE($HJ105:IE105)),"")</f>
        <v>0</v>
      </c>
      <c r="MU105" s="226">
        <f>IFERROR(IF(MU$7&gt;$D$3,"",AVERAGE($HJ105:IF105)),"")</f>
        <v>0</v>
      </c>
      <c r="MV105" s="226">
        <f>IFERROR(IF(MV$7&gt;$D$3,"",AVERAGE($HJ105:IG105)),"")</f>
        <v>0</v>
      </c>
      <c r="MW105" s="226">
        <f>IFERROR(IF(MW$7&gt;$D$3,"",AVERAGE($HJ105:IH105)),"")</f>
        <v>0</v>
      </c>
      <c r="MX105" s="226">
        <f>IFERROR(IF(MX$7&gt;$D$3,"",AVERAGE($HJ105:II105)),"")</f>
        <v>0</v>
      </c>
      <c r="MY105" s="226">
        <f>IFERROR(IF(MY$7&gt;$D$3,"",AVERAGE($HJ105:IJ105)),"")</f>
        <v>0</v>
      </c>
      <c r="MZ105" s="226">
        <f>IFERROR(IF(MZ$7&gt;$D$3,"",AVERAGE($HJ105:IK105)),"")</f>
        <v>0</v>
      </c>
      <c r="NA105" s="226">
        <f>IFERROR(IF(NA$7&gt;$D$3,"",AVERAGE($HJ105:IL105)),"")</f>
        <v>0</v>
      </c>
      <c r="NB105" s="226">
        <f>IFERROR(IF(NB$7&gt;$D$3,"",AVERAGE($HJ105:IM105)),"")</f>
        <v>0</v>
      </c>
      <c r="NC105" s="226">
        <f>IFERROR(IF(NC$7&gt;$D$3,"",AVERAGE($HJ105:IN105)),"")</f>
        <v>0</v>
      </c>
      <c r="ND105" s="226">
        <f>IFERROR(IF(ND$7&gt;$D$3,"",AVERAGE($HJ105:IO105)),"")</f>
        <v>0</v>
      </c>
      <c r="NE105" s="226">
        <f>IFERROR(IF(NE$7&gt;$D$3,"",AVERAGE($HJ105:IP105)),"")</f>
        <v>0</v>
      </c>
      <c r="NF105" s="226">
        <f>IFERROR(IF(NF$7&gt;$D$3,"",AVERAGE($HJ105:IQ105)),"")</f>
        <v>0</v>
      </c>
      <c r="NG105" s="226">
        <f>IFERROR(IF(NG$7&gt;$D$3,"",AVERAGE($HJ105:IR105)),"")</f>
        <v>0</v>
      </c>
      <c r="NH105" s="226">
        <f>IFERROR(IF(NH$7&gt;$D$3,"",AVERAGE($HJ105:IS105)),"")</f>
        <v>0</v>
      </c>
      <c r="NI105" s="226">
        <f>IFERROR(IF(NI$7&gt;$D$3,"",AVERAGE($HJ105:IT105)),"")</f>
        <v>0</v>
      </c>
      <c r="NJ105" s="226">
        <f>IFERROR(IF(NJ$7&gt;$D$3,"",AVERAGE($HJ105:IU105)),"")</f>
        <v>0</v>
      </c>
      <c r="NK105" s="226">
        <f>IFERROR(IF(NK$7&gt;$D$3,"",AVERAGE($HJ105:IV105)),"")</f>
        <v>0</v>
      </c>
      <c r="NL105" s="226">
        <f>IFERROR(IF(NL$7&gt;$D$3,"",AVERAGE($HJ105:IW105)),"")</f>
        <v>0</v>
      </c>
      <c r="NM105" s="226">
        <f>IFERROR(IF(NM$7&gt;$D$3,"",AVERAGE($HJ105:IX105)),"")</f>
        <v>0</v>
      </c>
      <c r="NN105" s="226">
        <f>IFERROR(IF(NN$7&gt;$D$3,"",AVERAGE($HJ105:IY105)),"")</f>
        <v>0</v>
      </c>
      <c r="NO105" s="226" t="str">
        <f>IFERROR(IF(NO$7&gt;$D$3,"",AVERAGE($HJ105:IZ105)),"")</f>
        <v/>
      </c>
      <c r="NP105" s="226" t="str">
        <f>IFERROR(IF(NP$7&gt;$D$3,"",AVERAGE($HJ105:JA105)),"")</f>
        <v/>
      </c>
      <c r="NQ105" s="226" t="str">
        <f>IFERROR(IF(NQ$7&gt;$D$3,"",AVERAGE($HJ105:JB105)),"")</f>
        <v/>
      </c>
      <c r="NR105" s="226" t="str">
        <f>IFERROR(IF(NR$7&gt;$D$3,"",AVERAGE($HJ105:JC105)),"")</f>
        <v/>
      </c>
      <c r="NS105" s="226" t="str">
        <f>IFERROR(IF(NS$7&gt;$D$3,"",AVERAGE($HJ105:JD105)),"")</f>
        <v/>
      </c>
      <c r="NT105" s="226" t="str">
        <f>IFERROR(IF(NT$7&gt;$D$3,"",AVERAGE($HJ105:JE105)),"")</f>
        <v/>
      </c>
      <c r="NU105" s="226" t="str">
        <f>IFERROR(IF(NU$7&gt;$D$3,"",AVERAGE($HJ105:JF105)),"")</f>
        <v/>
      </c>
      <c r="NV105" s="226" t="str">
        <f>IFERROR(IF(NV$7&gt;$D$3,"",AVERAGE($HJ105:JG105)),"")</f>
        <v/>
      </c>
      <c r="NW105" s="226" t="str">
        <f>IFERROR(IF(NW$7&gt;$D$3,"",AVERAGE($HJ105:JH105)),"")</f>
        <v/>
      </c>
      <c r="NX105" s="226" t="str">
        <f>IFERROR(IF(NX$7&gt;$D$3,"",AVERAGE($HJ105:JI105)),"")</f>
        <v/>
      </c>
      <c r="NY105" s="226" t="str">
        <f>IFERROR(IF(NY$7&gt;$D$3,"",AVERAGE($HJ105:JJ105)),"")</f>
        <v/>
      </c>
    </row>
    <row r="106" spans="1:389" ht="15" thickBot="1" x14ac:dyDescent="0.35">
      <c r="A106" t="str">
        <f>$B$102&amp;"-"&amp;C106</f>
        <v>Marketing-KPI C1</v>
      </c>
      <c r="B106" s="138">
        <f>+'KPI Stats'!B105</f>
        <v>0</v>
      </c>
      <c r="C106" s="138" t="str">
        <f>+'KPI Stats'!C105</f>
        <v>KPI C1</v>
      </c>
      <c r="D106" s="146" t="str">
        <f>+'KPI Stats'!D105</f>
        <v>Cost</v>
      </c>
      <c r="E106" s="146" t="str">
        <f>+'KPI Stats'!E105</f>
        <v>Cost per Engagement for campaigns</v>
      </c>
      <c r="F106" s="147" t="str">
        <f>+'KPI Stats'!F105</f>
        <v>£'s</v>
      </c>
      <c r="G106" s="170" t="str">
        <f>+'KPI Stats'!G105</f>
        <v>Over</v>
      </c>
      <c r="J106" s="160" t="str">
        <f>_xlfn.XLOOKUP(J$7,$AM$7:$CM$7,$AM106:$CM106,,FALSE)</f>
        <v>G</v>
      </c>
      <c r="K106" s="266">
        <f>_xlfn.XLOOKUP(K$7,$FC$7:$HC$7,$FC106:$HC106,,FALSE)</f>
        <v>0</v>
      </c>
      <c r="L106" s="279">
        <f>_xlfn.XLOOKUP(L$7,$HJ$7:$JJ$7,$HJ106:$JJ106,,FALSE)</f>
        <v>0</v>
      </c>
      <c r="M106" s="367">
        <f>IF(_xlfn.XLOOKUP(M$7,$CU$7:$EU$7,$CU106:$EU106,,FALSE)=0,"NA",_xlfn.XLOOKUP(M$7,$CU$7:$EU$7,$CU106:$EU106,,FALSE))</f>
        <v>1</v>
      </c>
      <c r="P106" s="160" t="str">
        <f>_xlfn.XLOOKUP(P$7,$AM$7:$CM$7,$AM106:$CM106,,FALSE)</f>
        <v>G</v>
      </c>
      <c r="Q106" s="266">
        <f t="shared" si="350"/>
        <v>0</v>
      </c>
      <c r="R106" s="279">
        <f t="shared" si="350"/>
        <v>0</v>
      </c>
      <c r="S106" s="370">
        <f>IF(_xlfn.XLOOKUP(S$7,$CU$7:$EU$7,$CU106:$EU106,,FALSE)=0,"NA",_xlfn.XLOOKUP(M$7,$CU$7:$EU$7,$CU106:$EU106,,FALSE))</f>
        <v>1</v>
      </c>
      <c r="T106" s="371">
        <f>IF(_xlfn.XLOOKUP(T$7,$CU$7:$EU$7,$CU106:$EU106,,FALSE)=0,"NA",_xlfn.XLOOKUP(T$7,$CU$7:$EU$7,$CU106:$EU106,,FALSE))</f>
        <v>1</v>
      </c>
      <c r="U106" s="296" t="str">
        <f>IF(F102&lt;$R$2,"Not Complete",IF(Q106=R106,"Same −",IF($G106="Over",IF(Q106&lt;R106,"Better ↑","Worse ↓"),IF($G106="Under",IF(Q106&gt;R106,"Better ↑","Worse ↓"),"err"))))</f>
        <v>Same −</v>
      </c>
      <c r="X106" s="160" t="str">
        <f t="shared" si="351"/>
        <v>G</v>
      </c>
      <c r="Y106" s="266">
        <f>_xlfn.XLOOKUP(Y$7,$JR$7:$LR$7,$JR106:$LR106,FALSE)</f>
        <v>1.9146341463414633</v>
      </c>
      <c r="Z106" s="279">
        <f>_xlfn.XLOOKUP(Z$7,$LY$7:$NY$7,$LY106:$NY106,FALSE)</f>
        <v>11.439024390243903</v>
      </c>
      <c r="AA106" s="289">
        <f>IFERROR(IF(G106="under",Y106/Z106,IF(G106="Over",Z106/Y106,"")),"")</f>
        <v>5.9745222929936306</v>
      </c>
      <c r="AB106" s="296" t="str">
        <f>IF(F102&lt;$R$2,"TBC",IF(Y106=Z106,"Same −",IF($G106="Over",IF(Z106&gt;Y106,"Better ↑ ","Worse ↓ "),IF($G106="Under",IF(Y106&lt;Z106,"Better ↑ ","Worse ↓ "),"err"))))</f>
        <v xml:space="preserve">Better ↑ </v>
      </c>
      <c r="AC106" s="160" t="str">
        <f>IF(AND(G106="above adero",AD106&gt;0),"R",IF(AF106&gt;1,"G",IF(AF106&gt;0.95,"A","R")))</f>
        <v>G</v>
      </c>
      <c r="AD106" s="266">
        <f>_xlfn.XLOOKUP(AD$7,$JR$7:$LR$7,$JR106:$LR106,FALSE)</f>
        <v>1.9624999999999999</v>
      </c>
      <c r="AE106" s="279">
        <f>_xlfn.XLOOKUP(AE$7,$LY$7:$NY$7,$LY106:$NY106,FALSE)</f>
        <v>11.725</v>
      </c>
      <c r="AF106" s="273">
        <f>IFERROR(IF(G106="under",AD106/AE106,IF(G106="Over",AE106/AD106,"")),"")</f>
        <v>5.9745222929936306</v>
      </c>
      <c r="AH106" s="465" t="str">
        <f>+$A106</f>
        <v>Marketing-KPI C1</v>
      </c>
      <c r="AI106" s="138" t="str">
        <f t="shared" si="352"/>
        <v>KPI C1</v>
      </c>
      <c r="AJ106" s="146" t="str">
        <f t="shared" si="352"/>
        <v>Cost</v>
      </c>
      <c r="AK106" s="146" t="str">
        <f t="shared" si="337"/>
        <v>Cost per Engagement for campaigns</v>
      </c>
      <c r="AL106" s="147" t="str">
        <f t="shared" si="337"/>
        <v>£'s</v>
      </c>
      <c r="AM106" s="160" t="str">
        <f>IF(AM$7&gt;$D$3,"",_xlfn.XLOOKUP(AM$7,Marketing!$M$6:$BM$6,Marketing!$M$19:$BM$19))</f>
        <v>Blank</v>
      </c>
      <c r="AN106" s="200" t="str">
        <f>IF(AN$7&gt;$D$3,"",_xlfn.XLOOKUP(AN$7,Marketing!$M$6:$BM$6,Marketing!$M$19:$BM$19))</f>
        <v>G</v>
      </c>
      <c r="AO106" s="160" t="str">
        <f>IF(AO$7&gt;$D$3,"",_xlfn.XLOOKUP(AO$7,Marketing!$M$6:$BM$6,Marketing!$M$19:$BM$19))</f>
        <v>G</v>
      </c>
      <c r="AP106" s="160" t="str">
        <f>IF(AP$7&gt;$D$3,"",_xlfn.XLOOKUP(AP$7,Marketing!$M$6:$BM$6,Marketing!$M$19:$BM$19))</f>
        <v>G</v>
      </c>
      <c r="AQ106" s="160" t="str">
        <f>IF(AQ$7&gt;$D$3,"",_xlfn.XLOOKUP(AQ$7,Marketing!$M$6:$BM$6,Marketing!$M$19:$BM$19))</f>
        <v>G</v>
      </c>
      <c r="AR106" s="160" t="str">
        <f>IF(AR$7&gt;$D$3,"",_xlfn.XLOOKUP(AR$7,Marketing!$M$6:$BM$6,Marketing!$M$19:$BM$19))</f>
        <v>G</v>
      </c>
      <c r="AS106" s="160" t="str">
        <f>IF(AS$7&gt;$D$3,"",_xlfn.XLOOKUP(AS$7,Marketing!$M$6:$BM$6,Marketing!$M$19:$BM$19))</f>
        <v>G</v>
      </c>
      <c r="AT106" s="160" t="str">
        <f>IF(AT$7&gt;$D$3,"",_xlfn.XLOOKUP(AT$7,Marketing!$M$6:$BM$6,Marketing!$M$19:$BM$19))</f>
        <v>G</v>
      </c>
      <c r="AU106" s="160" t="str">
        <f>IF(AU$7&gt;$D$3,"",_xlfn.XLOOKUP(AU$7,Marketing!$M$6:$BM$6,Marketing!$M$19:$BM$19))</f>
        <v>G</v>
      </c>
      <c r="AV106" s="160" t="str">
        <f>IF(AV$7&gt;$D$3,"",_xlfn.XLOOKUP(AV$7,Marketing!$M$6:$BM$6,Marketing!$M$19:$BM$19))</f>
        <v>G</v>
      </c>
      <c r="AW106" s="160" t="str">
        <f>IF(AW$7&gt;$D$3,"",_xlfn.XLOOKUP(AW$7,Marketing!$M$6:$BM$6,Marketing!$M$19:$BM$19))</f>
        <v>G</v>
      </c>
      <c r="AX106" s="160" t="str">
        <f>IF(AX$7&gt;$D$3,"",_xlfn.XLOOKUP(AX$7,Marketing!$M$6:$BM$6,Marketing!$M$19:$BM$19))</f>
        <v>G</v>
      </c>
      <c r="AY106" s="160" t="str">
        <f>IF(AY$7&gt;$D$3,"",_xlfn.XLOOKUP(AY$7,Marketing!$M$6:$BM$6,Marketing!$M$19:$BM$19))</f>
        <v>G</v>
      </c>
      <c r="AZ106" s="160" t="str">
        <f>IF(AZ$7&gt;$D$3,"",_xlfn.XLOOKUP(AZ$7,Marketing!$M$6:$BM$6,Marketing!$M$19:$BM$19))</f>
        <v>G</v>
      </c>
      <c r="BA106" s="160" t="str">
        <f>IF(BA$7&gt;$D$3,"",_xlfn.XLOOKUP(BA$7,Marketing!$M$6:$BM$6,Marketing!$M$19:$BM$19))</f>
        <v>G</v>
      </c>
      <c r="BB106" s="160" t="str">
        <f>IF(BB$7&gt;$D$3,"",_xlfn.XLOOKUP(BB$7,Marketing!$M$6:$BM$6,Marketing!$M$19:$BM$19))</f>
        <v>G</v>
      </c>
      <c r="BC106" s="160" t="str">
        <f>IF(BC$7&gt;$D$3,"",_xlfn.XLOOKUP(BC$7,Marketing!$M$6:$BM$6,Marketing!$M$19:$BM$19))</f>
        <v>G</v>
      </c>
      <c r="BD106" s="160" t="str">
        <f>IF(BD$7&gt;$D$3,"",_xlfn.XLOOKUP(BD$7,Marketing!$M$6:$BM$6,Marketing!$M$19:$BM$19))</f>
        <v>G</v>
      </c>
      <c r="BE106" s="160" t="str">
        <f>IF(BE$7&gt;$D$3,"",_xlfn.XLOOKUP(BE$7,Marketing!$M$6:$BM$6,Marketing!$M$19:$BM$19))</f>
        <v>G</v>
      </c>
      <c r="BF106" s="160" t="str">
        <f>IF(BF$7&gt;$D$3,"",_xlfn.XLOOKUP(BF$7,Marketing!$M$6:$BM$6,Marketing!$M$19:$BM$19))</f>
        <v>G</v>
      </c>
      <c r="BG106" s="160" t="str">
        <f>IF(BG$7&gt;$D$3,"",_xlfn.XLOOKUP(BG$7,Marketing!$M$6:$BM$6,Marketing!$M$19:$BM$19))</f>
        <v>G</v>
      </c>
      <c r="BH106" s="160" t="str">
        <f>IF(BH$7&gt;$D$3,"",_xlfn.XLOOKUP(BH$7,Marketing!$M$6:$BM$6,Marketing!$M$19:$BM$19))</f>
        <v>G</v>
      </c>
      <c r="BI106" s="160" t="str">
        <f>IF(BI$7&gt;$D$3,"",_xlfn.XLOOKUP(BI$7,Marketing!$M$6:$BM$6,Marketing!$M$19:$BM$19))</f>
        <v>G</v>
      </c>
      <c r="BJ106" s="160" t="str">
        <f>IF(BJ$7&gt;$D$3,"",_xlfn.XLOOKUP(BJ$7,Marketing!$M$6:$BM$6,Marketing!$M$19:$BM$19))</f>
        <v>G</v>
      </c>
      <c r="BK106" s="160" t="str">
        <f>IF(BK$7&gt;$D$3,"",_xlfn.XLOOKUP(BK$7,Marketing!$M$6:$BM$6,Marketing!$M$19:$BM$19))</f>
        <v>G</v>
      </c>
      <c r="BL106" s="160" t="str">
        <f>IF(BL$7&gt;$D$3,"",_xlfn.XLOOKUP(BL$7,Marketing!$M$6:$BM$6,Marketing!$M$19:$BM$19))</f>
        <v>G</v>
      </c>
      <c r="BM106" s="160" t="str">
        <f>IF(BM$7&gt;$D$3,"",_xlfn.XLOOKUP(BM$7,Marketing!$M$6:$BM$6,Marketing!$M$19:$BM$19))</f>
        <v>G</v>
      </c>
      <c r="BN106" s="160" t="str">
        <f>IF(BN$7&gt;$D$3,"",_xlfn.XLOOKUP(BN$7,Marketing!$M$6:$BM$6,Marketing!$M$19:$BM$19))</f>
        <v>G</v>
      </c>
      <c r="BO106" s="160" t="str">
        <f>IF(BO$7&gt;$D$3,"",_xlfn.XLOOKUP(BO$7,Marketing!$M$6:$BM$6,Marketing!$M$19:$BM$19))</f>
        <v>G</v>
      </c>
      <c r="BP106" s="160" t="str">
        <f>IF(BP$7&gt;$D$3,"",_xlfn.XLOOKUP(BP$7,Marketing!$M$6:$BM$6,Marketing!$M$19:$BM$19))</f>
        <v>G</v>
      </c>
      <c r="BQ106" s="160" t="str">
        <f>IF(BQ$7&gt;$D$3,"",_xlfn.XLOOKUP(BQ$7,Marketing!$M$6:$BM$6,Marketing!$M$19:$BM$19))</f>
        <v>G</v>
      </c>
      <c r="BR106" s="160" t="str">
        <f>IF(BR$7&gt;$D$3,"",_xlfn.XLOOKUP(BR$7,Marketing!$M$6:$BM$6,Marketing!$M$19:$BM$19))</f>
        <v>G</v>
      </c>
      <c r="BS106" s="160" t="str">
        <f>IF(BS$7&gt;$D$3,"",_xlfn.XLOOKUP(BS$7,Marketing!$M$6:$BM$6,Marketing!$M$19:$BM$19))</f>
        <v>G</v>
      </c>
      <c r="BT106" s="160" t="str">
        <f>IF(BT$7&gt;$D$3,"",_xlfn.XLOOKUP(BT$7,Marketing!$M$6:$BM$6,Marketing!$M$19:$BM$19))</f>
        <v>G</v>
      </c>
      <c r="BU106" s="160" t="str">
        <f>IF(BU$7&gt;$D$3,"",_xlfn.XLOOKUP(BU$7,Marketing!$M$6:$BM$6,Marketing!$M$19:$BM$19))</f>
        <v>G</v>
      </c>
      <c r="BV106" s="160" t="str">
        <f>IF(BV$7&gt;$D$3,"",_xlfn.XLOOKUP(BV$7,Marketing!$M$6:$BM$6,Marketing!$M$19:$BM$19))</f>
        <v>G</v>
      </c>
      <c r="BW106" s="160" t="str">
        <f>IF(BW$7&gt;$D$3,"",_xlfn.XLOOKUP(BW$7,Marketing!$M$6:$BM$6,Marketing!$M$19:$BM$19))</f>
        <v>G</v>
      </c>
      <c r="BX106" s="160" t="str">
        <f>IF(BX$7&gt;$D$3,"",_xlfn.XLOOKUP(BX$7,Marketing!$M$6:$BM$6,Marketing!$M$19:$BM$19))</f>
        <v>G</v>
      </c>
      <c r="BY106" s="160" t="str">
        <f>IF(BY$7&gt;$D$3,"",_xlfn.XLOOKUP(BY$7,Marketing!$M$6:$BM$6,Marketing!$M$19:$BM$19))</f>
        <v>G</v>
      </c>
      <c r="BZ106" s="160" t="str">
        <f>IF(BZ$7&gt;$D$3,"",_xlfn.XLOOKUP(BZ$7,Marketing!$M$6:$BM$6,Marketing!$M$19:$BM$19))</f>
        <v>G</v>
      </c>
      <c r="CA106" s="160" t="str">
        <f>IF(CA$7&gt;$D$3,"",_xlfn.XLOOKUP(CA$7,Marketing!$M$6:$BM$6,Marketing!$M$19:$BM$19))</f>
        <v>G</v>
      </c>
      <c r="CB106" s="160" t="str">
        <f>IF(CB$7&gt;$D$3,"",_xlfn.XLOOKUP(CB$7,Marketing!$M$6:$BM$6,Marketing!$M$19:$BM$19))</f>
        <v>G</v>
      </c>
      <c r="CC106" s="160" t="str">
        <f>IF(CC$7&gt;$D$3,"",_xlfn.XLOOKUP(CC$7,Marketing!$M$6:$BM$6,Marketing!$M$19:$BM$19))</f>
        <v/>
      </c>
      <c r="CD106" s="160" t="str">
        <f>IF(CD$7&gt;$D$3,"",_xlfn.XLOOKUP(CD$7,Marketing!$M$6:$BM$6,Marketing!$M$19:$BM$19))</f>
        <v/>
      </c>
      <c r="CE106" s="160" t="str">
        <f>IF(CE$7&gt;$D$3,"",_xlfn.XLOOKUP(CE$7,Marketing!$M$6:$BM$6,Marketing!$M$19:$BM$19))</f>
        <v/>
      </c>
      <c r="CF106" s="160" t="str">
        <f>IF(CF$7&gt;$D$3,"",_xlfn.XLOOKUP(CF$7,Marketing!$M$6:$BM$6,Marketing!$M$19:$BM$19))</f>
        <v/>
      </c>
      <c r="CG106" s="160" t="str">
        <f>IF(CG$7&gt;$D$3,"",_xlfn.XLOOKUP(CG$7,Marketing!$M$6:$BM$6,Marketing!$M$19:$BM$19))</f>
        <v/>
      </c>
      <c r="CH106" s="160" t="str">
        <f>IF(CH$7&gt;$D$3,"",_xlfn.XLOOKUP(CH$7,Marketing!$M$6:$BM$6,Marketing!$M$19:$BM$19))</f>
        <v/>
      </c>
      <c r="CI106" s="160" t="str">
        <f>IF(CI$7&gt;$D$3,"",_xlfn.XLOOKUP(CI$7,Marketing!$M$6:$BM$6,Marketing!$M$19:$BM$19))</f>
        <v/>
      </c>
      <c r="CJ106" s="160" t="str">
        <f>IF(CJ$7&gt;$D$3,"",_xlfn.XLOOKUP(CJ$7,Marketing!$M$6:$BM$6,Marketing!$M$19:$BM$19))</f>
        <v/>
      </c>
      <c r="CK106" s="160" t="str">
        <f>IF(CK$7&gt;$D$3,"",_xlfn.XLOOKUP(CK$7,Marketing!$M$6:$BM$6,Marketing!$M$19:$BM$19))</f>
        <v/>
      </c>
      <c r="CL106" s="160" t="str">
        <f>IF(CL$7&gt;$D$3,"",_xlfn.XLOOKUP(CL$7,Marketing!$M$6:$BM$6,Marketing!$M$19:$BM$19))</f>
        <v/>
      </c>
      <c r="CM106" s="160" t="str">
        <f>IF(CM$7&gt;$D$3,"",_xlfn.XLOOKUP(CM$7,Marketing!$M$6:$BM$6,Marketing!$M$19:$BM$19))</f>
        <v/>
      </c>
      <c r="CO106" s="465" t="str">
        <f>+$A106</f>
        <v>Marketing-KPI C1</v>
      </c>
      <c r="CP106" s="138" t="str">
        <f t="shared" si="353"/>
        <v>KPI C1</v>
      </c>
      <c r="CQ106" s="146" t="str">
        <f t="shared" si="353"/>
        <v>Cost</v>
      </c>
      <c r="CR106" s="146" t="str">
        <f t="shared" si="340"/>
        <v>Cost per Engagement for campaigns</v>
      </c>
      <c r="CS106" s="147" t="str">
        <f t="shared" si="340"/>
        <v>£'s</v>
      </c>
      <c r="CT106" s="208" t="s">
        <v>246</v>
      </c>
      <c r="CU106" s="627" t="str">
        <f>IF(CU$7&gt;$D$3,"",_xlfn.XLOOKUP(CU$7,Marketing!$M$6:$BM$6,Marketing!$M$18:$BM$18))</f>
        <v>Blank</v>
      </c>
      <c r="CV106" s="324">
        <f>IF(CV$7&gt;$D$3,"",IF(AN106="Missed","Missed",IF(AN106="OD","OD",IF(AN106="TBC","TBC",IF(AN106="Undefined","Undefined",IF(_xlfn.XLOOKUP(CV$7,Marketing!$M$6:$BM$6,Marketing!$M$18:$BM$18)=0,100%,_xlfn.XLOOKUP(CV$7,Marketing!$M$6:$BM$6,Marketing!$M$17:$BM$17)/_xlfn.XLOOKUP(CV$7,Marketing!$M$6:$BM$6,Marketing!$M$18:$BM$18)))))))</f>
        <v>1</v>
      </c>
      <c r="CW106" s="325">
        <f>IF(CW$7&gt;$D$3,"",IF(AO106="Missed","Missed",IF(AO106="OD","OD",IF(AO106="TBC","TBC",IF(AO106="Undefined","Undefined",IF(_xlfn.XLOOKUP(CW$7,Marketing!$M$6:$BM$6,Marketing!$M$18:$BM$18)=0,100%,_xlfn.XLOOKUP(CW$7,Marketing!$M$6:$BM$6,Marketing!$M$17:$BM$17)/_xlfn.XLOOKUP(CW$7,Marketing!$M$6:$BM$6,Marketing!$M$18:$BM$18)))))))</f>
        <v>1</v>
      </c>
      <c r="CX106" s="325">
        <f>IF(CX$7&gt;$D$3,"",IF(AP106="Missed","Missed",IF(AP106="OD","OD",IF(AP106="TBC","TBC",IF(AP106="Undefined","Undefined",IF(_xlfn.XLOOKUP(CX$7,Marketing!$M$6:$BM$6,Marketing!$M$18:$BM$18)=0,100%,_xlfn.XLOOKUP(CX$7,Marketing!$M$6:$BM$6,Marketing!$M$17:$BM$17)/_xlfn.XLOOKUP(CX$7,Marketing!$M$6:$BM$6,Marketing!$M$18:$BM$18)))))))</f>
        <v>1</v>
      </c>
      <c r="CY106" s="325">
        <f>IF(CY$7&gt;$D$3,"",IF(AQ106="Missed","Missed",IF(AQ106="OD","OD",IF(AQ106="TBC","TBC",IF(AQ106="Undefined","Undefined",IF(_xlfn.XLOOKUP(CY$7,Marketing!$M$6:$BM$6,Marketing!$M$18:$BM$18)=0,100%,_xlfn.XLOOKUP(CY$7,Marketing!$M$6:$BM$6,Marketing!$M$17:$BM$17)/_xlfn.XLOOKUP(CY$7,Marketing!$M$6:$BM$6,Marketing!$M$18:$BM$18)))))))</f>
        <v>1</v>
      </c>
      <c r="CZ106" s="325">
        <f>IF(CZ$7&gt;$D$3,"",IF(AR106="Missed","Missed",IF(AR106="OD","OD",IF(AR106="TBC","TBC",IF(AR106="Undefined","Undefined",IF(_xlfn.XLOOKUP(CZ$7,Marketing!$M$6:$BM$6,Marketing!$M$18:$BM$18)=0,100%,_xlfn.XLOOKUP(CZ$7,Marketing!$M$6:$BM$6,Marketing!$M$17:$BM$17)/_xlfn.XLOOKUP(CZ$7,Marketing!$M$6:$BM$6,Marketing!$M$18:$BM$18)))))))</f>
        <v>1</v>
      </c>
      <c r="DA106" s="325">
        <f>IF(DA$7&gt;$D$3,"",IF(AS106="Missed","Missed",IF(AS106="OD","OD",IF(AS106="TBC","TBC",IF(AS106="Undefined","Undefined",IF(_xlfn.XLOOKUP(DA$7,Marketing!$M$6:$BM$6,Marketing!$M$18:$BM$18)=0,100%,_xlfn.XLOOKUP(DA$7,Marketing!$M$6:$BM$6,Marketing!$M$17:$BM$17)/_xlfn.XLOOKUP(DA$7,Marketing!$M$6:$BM$6,Marketing!$M$18:$BM$18)))))))</f>
        <v>1</v>
      </c>
      <c r="DB106" s="325">
        <f>IF(DB$7&gt;$D$3,"",IF(AT106="Missed","Missed",IF(AT106="OD","OD",IF(AT106="TBC","TBC",IF(AT106="Undefined","Undefined",IF(_xlfn.XLOOKUP(DB$7,Marketing!$M$6:$BM$6,Marketing!$M$18:$BM$18)=0,100%,_xlfn.XLOOKUP(DB$7,Marketing!$M$6:$BM$6,Marketing!$M$17:$BM$17)/_xlfn.XLOOKUP(DB$7,Marketing!$M$6:$BM$6,Marketing!$M$18:$BM$18)))))))</f>
        <v>1</v>
      </c>
      <c r="DC106" s="325">
        <f>IF(DC$7&gt;$D$3,"",IF(AU106="Missed","Missed",IF(AU106="OD","OD",IF(AU106="TBC","TBC",IF(AU106="Undefined","Undefined",IF(_xlfn.XLOOKUP(DC$7,Marketing!$M$6:$BM$6,Marketing!$M$18:$BM$18)=0,100%,_xlfn.XLOOKUP(DC$7,Marketing!$M$6:$BM$6,Marketing!$M$17:$BM$17)/_xlfn.XLOOKUP(DC$7,Marketing!$M$6:$BM$6,Marketing!$M$18:$BM$18)))))))</f>
        <v>1</v>
      </c>
      <c r="DD106" s="325">
        <f>IF(DD$7&gt;$D$3,"",IF(AV106="Missed","Missed",IF(AV106="OD","OD",IF(AV106="TBC","TBC",IF(AV106="Undefined","Undefined",IF(_xlfn.XLOOKUP(DD$7,Marketing!$M$6:$BM$6,Marketing!$M$18:$BM$18)=0,100%,_xlfn.XLOOKUP(DD$7,Marketing!$M$6:$BM$6,Marketing!$M$17:$BM$17)/_xlfn.XLOOKUP(DD$7,Marketing!$M$6:$BM$6,Marketing!$M$18:$BM$18)))))))</f>
        <v>1</v>
      </c>
      <c r="DE106" s="325">
        <f>IF(DE$7&gt;$D$3,"",IF(AW106="Missed","Missed",IF(AW106="OD","OD",IF(AW106="TBC","TBC",IF(AW106="Undefined","Undefined",IF(_xlfn.XLOOKUP(DE$7,Marketing!$M$6:$BM$6,Marketing!$M$18:$BM$18)=0,100%,_xlfn.XLOOKUP(DE$7,Marketing!$M$6:$BM$6,Marketing!$M$17:$BM$17)/_xlfn.XLOOKUP(DE$7,Marketing!$M$6:$BM$6,Marketing!$M$18:$BM$18)))))))</f>
        <v>1</v>
      </c>
      <c r="DF106" s="325">
        <f>IF(DF$7&gt;$D$3,"",IF(AX106="Missed","Missed",IF(AX106="OD","OD",IF(AX106="TBC","TBC",IF(AX106="Undefined","Undefined",IF(_xlfn.XLOOKUP(DF$7,Marketing!$M$6:$BM$6,Marketing!$M$18:$BM$18)=0,100%,_xlfn.XLOOKUP(DF$7,Marketing!$M$6:$BM$6,Marketing!$M$17:$BM$17)/_xlfn.XLOOKUP(DF$7,Marketing!$M$6:$BM$6,Marketing!$M$18:$BM$18)))))))</f>
        <v>1.868421052631579</v>
      </c>
      <c r="DG106" s="325">
        <f>IF(DG$7&gt;$D$3,"",IF(AY106="Missed","Missed",IF(AY106="OD","OD",IF(AY106="TBC","TBC",IF(AY106="Undefined","Undefined",IF(_xlfn.XLOOKUP(DG$7,Marketing!$M$6:$BM$6,Marketing!$M$18:$BM$18)=0,100%,_xlfn.XLOOKUP(DG$7,Marketing!$M$6:$BM$6,Marketing!$M$17:$BM$17)/_xlfn.XLOOKUP(DG$7,Marketing!$M$6:$BM$6,Marketing!$M$18:$BM$18)))))))</f>
        <v>1</v>
      </c>
      <c r="DH106" s="325">
        <f>IF(DH$7&gt;$D$3,"",IF(AZ106="Missed","Missed",IF(AZ106="OD","OD",IF(AZ106="TBC","TBC",IF(AZ106="Undefined","Undefined",IF(_xlfn.XLOOKUP(DH$7,Marketing!$M$6:$BM$6,Marketing!$M$18:$BM$18)=0,100%,_xlfn.XLOOKUP(DH$7,Marketing!$M$6:$BM$6,Marketing!$M$17:$BM$17)/_xlfn.XLOOKUP(DH$7,Marketing!$M$6:$BM$6,Marketing!$M$18:$BM$18)))))))</f>
        <v>1</v>
      </c>
      <c r="DI106" s="325">
        <f>IF(DI$7&gt;$D$3,"",IF(BA106="Missed","Missed",IF(BA106="OD","OD",IF(BA106="TBC","TBC",IF(BA106="Undefined","Undefined",IF(_xlfn.XLOOKUP(DI$7,Marketing!$M$6:$BM$6,Marketing!$M$18:$BM$18)=0,100%,_xlfn.XLOOKUP(DI$7,Marketing!$M$6:$BM$6,Marketing!$M$17:$BM$17)/_xlfn.XLOOKUP(DI$7,Marketing!$M$6:$BM$6,Marketing!$M$18:$BM$18)))))))</f>
        <v>1</v>
      </c>
      <c r="DJ106" s="325">
        <f>IF(DJ$7&gt;$D$3,"",IF(BB106="Missed","Missed",IF(BB106="OD","OD",IF(BB106="TBC","TBC",IF(BB106="Undefined","Undefined",IF(_xlfn.XLOOKUP(DJ$7,Marketing!$M$6:$BM$6,Marketing!$M$18:$BM$18)=0,100%,_xlfn.XLOOKUP(DJ$7,Marketing!$M$6:$BM$6,Marketing!$M$17:$BM$17)/_xlfn.XLOOKUP(DJ$7,Marketing!$M$6:$BM$6,Marketing!$M$18:$BM$18)))))))</f>
        <v>1</v>
      </c>
      <c r="DK106" s="325">
        <f>IF(DK$7&gt;$D$3,"",IF(BC106="Missed","Missed",IF(BC106="OD","OD",IF(BC106="TBC","TBC",IF(BC106="Undefined","Undefined",IF(_xlfn.XLOOKUP(DK$7,Marketing!$M$6:$BM$6,Marketing!$M$18:$BM$18)=0,100%,_xlfn.XLOOKUP(DK$7,Marketing!$M$6:$BM$6,Marketing!$M$17:$BM$17)/_xlfn.XLOOKUP(DK$7,Marketing!$M$6:$BM$6,Marketing!$M$18:$BM$18)))))))</f>
        <v>1</v>
      </c>
      <c r="DL106" s="325">
        <f>IF(DL$7&gt;$D$3,"",IF(BD106="Missed","Missed",IF(BD106="OD","OD",IF(BD106="TBC","TBC",IF(BD106="Undefined","Undefined",IF(_xlfn.XLOOKUP(DL$7,Marketing!$M$6:$BM$6,Marketing!$M$18:$BM$18)=0,100%,_xlfn.XLOOKUP(DL$7,Marketing!$M$6:$BM$6,Marketing!$M$17:$BM$17)/_xlfn.XLOOKUP(DL$7,Marketing!$M$6:$BM$6,Marketing!$M$18:$BM$18)))))))</f>
        <v>1</v>
      </c>
      <c r="DM106" s="325">
        <f>IF(DM$7&gt;$D$3,"",IF(BE106="Missed","Missed",IF(BE106="OD","OD",IF(BE106="TBC","TBC",IF(BE106="Undefined","Undefined",IF(_xlfn.XLOOKUP(DM$7,Marketing!$M$6:$BM$6,Marketing!$M$18:$BM$18)=0,100%,_xlfn.XLOOKUP(DM$7,Marketing!$M$6:$BM$6,Marketing!$M$17:$BM$17)/_xlfn.XLOOKUP(DM$7,Marketing!$M$6:$BM$6,Marketing!$M$18:$BM$18)))))))</f>
        <v>1</v>
      </c>
      <c r="DN106" s="325">
        <f>IF(DN$7&gt;$D$3,"",IF(BF106="Missed","Missed",IF(BF106="OD","OD",IF(BF106="TBC","TBC",IF(BF106="Undefined","Undefined",IF(_xlfn.XLOOKUP(DN$7,Marketing!$M$6:$BM$6,Marketing!$M$18:$BM$18)=0,100%,_xlfn.XLOOKUP(DN$7,Marketing!$M$6:$BM$6,Marketing!$M$17:$BM$17)/_xlfn.XLOOKUP(DN$7,Marketing!$M$6:$BM$6,Marketing!$M$18:$BM$18)))))))</f>
        <v>1</v>
      </c>
      <c r="DO106" s="325">
        <f>IF(DO$7&gt;$D$3,"",IF(BG106="Missed","Missed",IF(BG106="OD","OD",IF(BG106="TBC","TBC",IF(BG106="Undefined","Undefined",IF(_xlfn.XLOOKUP(DO$7,Marketing!$M$6:$BM$6,Marketing!$M$18:$BM$18)=0,100%,_xlfn.XLOOKUP(DO$7,Marketing!$M$6:$BM$6,Marketing!$M$17:$BM$17)/_xlfn.XLOOKUP(DO$7,Marketing!$M$6:$BM$6,Marketing!$M$18:$BM$18)))))))</f>
        <v>8</v>
      </c>
      <c r="DP106" s="325">
        <f>IF(DP$7&gt;$D$3,"",IF(BH106="Missed","Missed",IF(BH106="OD","OD",IF(BH106="TBC","TBC",IF(BH106="Undefined","Undefined",IF(_xlfn.XLOOKUP(DP$7,Marketing!$M$6:$BM$6,Marketing!$M$18:$BM$18)=0,100%,_xlfn.XLOOKUP(DP$7,Marketing!$M$6:$BM$6,Marketing!$M$17:$BM$17)/_xlfn.XLOOKUP(DP$7,Marketing!$M$6:$BM$6,Marketing!$M$18:$BM$18)))))))</f>
        <v>1</v>
      </c>
      <c r="DQ106" s="325">
        <f>IF(DQ$7&gt;$D$3,"",IF(BI106="Missed","Missed",IF(BI106="OD","OD",IF(BI106="TBC","TBC",IF(BI106="Undefined","Undefined",IF(_xlfn.XLOOKUP(DQ$7,Marketing!$M$6:$BM$6,Marketing!$M$18:$BM$18)=0,100%,_xlfn.XLOOKUP(DQ$7,Marketing!$M$6:$BM$6,Marketing!$M$17:$BM$17)/_xlfn.XLOOKUP(DQ$7,Marketing!$M$6:$BM$6,Marketing!$M$18:$BM$18)))))))</f>
        <v>1</v>
      </c>
      <c r="DR106" s="325">
        <f>IF(DR$7&gt;$D$3,"",IF(BJ106="Missed","Missed",IF(BJ106="OD","OD",IF(BJ106="TBC","TBC",IF(BJ106="Undefined","Undefined",IF(_xlfn.XLOOKUP(DR$7,Marketing!$M$6:$BM$6,Marketing!$M$18:$BM$18)=0,100%,_xlfn.XLOOKUP(DR$7,Marketing!$M$6:$BM$6,Marketing!$M$17:$BM$17)/_xlfn.XLOOKUP(DR$7,Marketing!$M$6:$BM$6,Marketing!$M$18:$BM$18)))))))</f>
        <v>1</v>
      </c>
      <c r="DS106" s="325">
        <f>IF(DS$7&gt;$D$3,"",IF(BK106="Missed","Missed",IF(BK106="OD","OD",IF(BK106="TBC","TBC",IF(BK106="Undefined","Undefined",IF(_xlfn.XLOOKUP(DS$7,Marketing!$M$6:$BM$6,Marketing!$M$18:$BM$18)=0,100%,_xlfn.XLOOKUP(DS$7,Marketing!$M$6:$BM$6,Marketing!$M$17:$BM$17)/_xlfn.XLOOKUP(DS$7,Marketing!$M$6:$BM$6,Marketing!$M$18:$BM$18)))))))</f>
        <v>1</v>
      </c>
      <c r="DT106" s="325">
        <f>IF(DT$7&gt;$D$3,"",IF(BL106="Missed","Missed",IF(BL106="OD","OD",IF(BL106="TBC","TBC",IF(BL106="Undefined","Undefined",IF(_xlfn.XLOOKUP(DT$7,Marketing!$M$6:$BM$6,Marketing!$M$18:$BM$18)=0,100%,_xlfn.XLOOKUP(DT$7,Marketing!$M$6:$BM$6,Marketing!$M$17:$BM$17)/_xlfn.XLOOKUP(DT$7,Marketing!$M$6:$BM$6,Marketing!$M$18:$BM$18)))))))</f>
        <v>1</v>
      </c>
      <c r="DU106" s="325">
        <f>IF(DU$7&gt;$D$3,"",IF(BM106="Missed","Missed",IF(BM106="OD","OD",IF(BM106="TBC","TBC",IF(BM106="Undefined","Undefined",IF(_xlfn.XLOOKUP(DU$7,Marketing!$M$6:$BM$6,Marketing!$M$18:$BM$18)=0,100%,_xlfn.XLOOKUP(DU$7,Marketing!$M$6:$BM$6,Marketing!$M$17:$BM$17)/_xlfn.XLOOKUP(DU$7,Marketing!$M$6:$BM$6,Marketing!$M$18:$BM$18)))))))</f>
        <v>1</v>
      </c>
      <c r="DV106" s="325">
        <f>IF(DV$7&gt;$D$3,"",IF(BN106="Missed","Missed",IF(BN106="OD","OD",IF(BN106="TBC","TBC",IF(BN106="Undefined","Undefined",IF(_xlfn.XLOOKUP(DV$7,Marketing!$M$6:$BM$6,Marketing!$M$18:$BM$18)=0,100%,_xlfn.XLOOKUP(DV$7,Marketing!$M$6:$BM$6,Marketing!$M$17:$BM$17)/_xlfn.XLOOKUP(DV$7,Marketing!$M$6:$BM$6,Marketing!$M$18:$BM$18)))))))</f>
        <v>1</v>
      </c>
      <c r="DW106" s="325">
        <f>IF(DW$7&gt;$D$3,"",IF(BO106="Missed","Missed",IF(BO106="OD","OD",IF(BO106="TBC","TBC",IF(BO106="Undefined","Undefined",IF(_xlfn.XLOOKUP(DW$7,Marketing!$M$6:$BM$6,Marketing!$M$18:$BM$18)=0,100%,_xlfn.XLOOKUP(DW$7,Marketing!$M$6:$BM$6,Marketing!$M$17:$BM$17)/_xlfn.XLOOKUP(DW$7,Marketing!$M$6:$BM$6,Marketing!$M$18:$BM$18)))))))</f>
        <v>1</v>
      </c>
      <c r="DX106" s="325">
        <f>IF(DX$7&gt;$D$3,"",IF(BP106="Missed","Missed",IF(BP106="OD","OD",IF(BP106="TBC","TBC",IF(BP106="Undefined","Undefined",IF(_xlfn.XLOOKUP(DX$7,Marketing!$M$6:$BM$6,Marketing!$M$18:$BM$18)=0,100%,_xlfn.XLOOKUP(DX$7,Marketing!$M$6:$BM$6,Marketing!$M$17:$BM$17)/_xlfn.XLOOKUP(DX$7,Marketing!$M$6:$BM$6,Marketing!$M$18:$BM$18)))))))</f>
        <v>1</v>
      </c>
      <c r="DY106" s="325">
        <f>IF(DY$7&gt;$D$3,"",IF(BQ106="Missed","Missed",IF(BQ106="OD","OD",IF(BQ106="TBC","TBC",IF(BQ106="Undefined","Undefined",IF(_xlfn.XLOOKUP(DY$7,Marketing!$M$6:$BM$6,Marketing!$M$18:$BM$18)=0,100%,_xlfn.XLOOKUP(DY$7,Marketing!$M$6:$BM$6,Marketing!$M$17:$BM$17)/_xlfn.XLOOKUP(DY$7,Marketing!$M$6:$BM$6,Marketing!$M$18:$BM$18)))))))</f>
        <v>1</v>
      </c>
      <c r="DZ106" s="325">
        <f>IF(DZ$7&gt;$D$3,"",IF(BR106="Missed","Missed",IF(BR106="OD","OD",IF(BR106="TBC","TBC",IF(BR106="Undefined","Undefined",IF(_xlfn.XLOOKUP(DZ$7,Marketing!$M$6:$BM$6,Marketing!$M$18:$BM$18)=0,100%,_xlfn.XLOOKUP(DZ$7,Marketing!$M$6:$BM$6,Marketing!$M$17:$BM$17)/_xlfn.XLOOKUP(DZ$7,Marketing!$M$6:$BM$6,Marketing!$M$18:$BM$18)))))))</f>
        <v>1</v>
      </c>
      <c r="EA106" s="325">
        <f>IF(EA$7&gt;$D$3,"",IF(BS106="Missed","Missed",IF(BS106="OD","OD",IF(BS106="TBC","TBC",IF(BS106="Undefined","Undefined",IF(_xlfn.XLOOKUP(EA$7,Marketing!$M$6:$BM$6,Marketing!$M$18:$BM$18)=0,100%,_xlfn.XLOOKUP(EA$7,Marketing!$M$6:$BM$6,Marketing!$M$17:$BM$17)/_xlfn.XLOOKUP(EA$7,Marketing!$M$6:$BM$6,Marketing!$M$18:$BM$18)))))))</f>
        <v>1</v>
      </c>
      <c r="EB106" s="325">
        <f>IF(EB$7&gt;$D$3,"",IF(BT106="Missed","Missed",IF(BT106="OD","OD",IF(BT106="TBC","TBC",IF(BT106="Undefined","Undefined",IF(_xlfn.XLOOKUP(EB$7,Marketing!$M$6:$BM$6,Marketing!$M$18:$BM$18)=0,100%,_xlfn.XLOOKUP(EB$7,Marketing!$M$6:$BM$6,Marketing!$M$17:$BM$17)/_xlfn.XLOOKUP(EB$7,Marketing!$M$6:$BM$6,Marketing!$M$18:$BM$18)))))))</f>
        <v>1</v>
      </c>
      <c r="EC106" s="325">
        <f>IF(EC$7&gt;$D$3,"",IF(BU106="Missed","Missed",IF(BU106="OD","OD",IF(BU106="TBC","TBC",IF(BU106="Undefined","Undefined",IF(_xlfn.XLOOKUP(EC$7,Marketing!$M$6:$BM$6,Marketing!$M$18:$BM$18)=0,100%,_xlfn.XLOOKUP(EC$7,Marketing!$M$6:$BM$6,Marketing!$M$17:$BM$17)/_xlfn.XLOOKUP(EC$7,Marketing!$M$6:$BM$6,Marketing!$M$18:$BM$18)))))))</f>
        <v>1</v>
      </c>
      <c r="ED106" s="325">
        <f>IF(ED$7&gt;$D$3,"",IF(BV106="Missed","Missed",IF(BV106="OD","OD",IF(BV106="TBC","TBC",IF(BV106="Undefined","Undefined",IF(_xlfn.XLOOKUP(ED$7,Marketing!$M$6:$BM$6,Marketing!$M$18:$BM$18)=0,100%,_xlfn.XLOOKUP(ED$7,Marketing!$M$6:$BM$6,Marketing!$M$17:$BM$17)/_xlfn.XLOOKUP(ED$7,Marketing!$M$6:$BM$6,Marketing!$M$18:$BM$18)))))))</f>
        <v>1</v>
      </c>
      <c r="EE106" s="325">
        <f>IF(EE$7&gt;$D$3,"",IF(BW106="Missed","Missed",IF(BW106="OD","OD",IF(BW106="TBC","TBC",IF(BW106="Undefined","Undefined",IF(_xlfn.XLOOKUP(EE$7,Marketing!$M$6:$BM$6,Marketing!$M$18:$BM$18)=0,100%,_xlfn.XLOOKUP(EE$7,Marketing!$M$6:$BM$6,Marketing!$M$17:$BM$17)/_xlfn.XLOOKUP(EE$7,Marketing!$M$6:$BM$6,Marketing!$M$18:$BM$18)))))))</f>
        <v>1</v>
      </c>
      <c r="EF106" s="325">
        <f>IF(EF$7&gt;$D$3,"",IF(BX106="Missed","Missed",IF(BX106="OD","OD",IF(BX106="TBC","TBC",IF(BX106="Undefined","Undefined",IF(_xlfn.XLOOKUP(EF$7,Marketing!$M$6:$BM$6,Marketing!$M$18:$BM$18)=0,100%,_xlfn.XLOOKUP(EF$7,Marketing!$M$6:$BM$6,Marketing!$M$17:$BM$17)/_xlfn.XLOOKUP(EF$7,Marketing!$M$6:$BM$6,Marketing!$M$18:$BM$18)))))))</f>
        <v>1</v>
      </c>
      <c r="EG106" s="325">
        <f>IF(EG$7&gt;$D$3,"",IF(BY106="Missed","Missed",IF(BY106="OD","OD",IF(BY106="TBC","TBC",IF(BY106="Undefined","Undefined",IF(_xlfn.XLOOKUP(EG$7,Marketing!$M$6:$BM$6,Marketing!$M$18:$BM$18)=0,100%,_xlfn.XLOOKUP(EG$7,Marketing!$M$6:$BM$6,Marketing!$M$17:$BM$17)/_xlfn.XLOOKUP(EG$7,Marketing!$M$6:$BM$6,Marketing!$M$18:$BM$18)))))))</f>
        <v>1</v>
      </c>
      <c r="EH106" s="325">
        <f>IF(EH$7&gt;$D$3,"",IF(BZ106="Missed","Missed",IF(BZ106="OD","OD",IF(BZ106="TBC","TBC",IF(BZ106="Undefined","Undefined",IF(_xlfn.XLOOKUP(EH$7,Marketing!$M$6:$BM$6,Marketing!$M$18:$BM$18)=0,100%,_xlfn.XLOOKUP(EH$7,Marketing!$M$6:$BM$6,Marketing!$M$17:$BM$17)/_xlfn.XLOOKUP(EH$7,Marketing!$M$6:$BM$6,Marketing!$M$18:$BM$18)))))))</f>
        <v>1</v>
      </c>
      <c r="EI106" s="325">
        <f>IF(EI$7&gt;$D$3,"",IF(CA106="Missed","Missed",IF(CA106="OD","OD",IF(CA106="TBC","TBC",IF(CA106="Undefined","Undefined",IF(_xlfn.XLOOKUP(EI$7,Marketing!$M$6:$BM$6,Marketing!$M$18:$BM$18)=0,100%,_xlfn.XLOOKUP(EI$7,Marketing!$M$6:$BM$6,Marketing!$M$17:$BM$17)/_xlfn.XLOOKUP(EI$7,Marketing!$M$6:$BM$6,Marketing!$M$18:$BM$18)))))))</f>
        <v>1</v>
      </c>
      <c r="EJ106" s="325">
        <f>IF(EJ$7&gt;$D$3,"",IF(CB106="Missed","Missed",IF(CB106="OD","OD",IF(CB106="TBC","TBC",IF(CB106="Undefined","Undefined",IF(_xlfn.XLOOKUP(EJ$7,Marketing!$M$6:$BM$6,Marketing!$M$18:$BM$18)=0,100%,_xlfn.XLOOKUP(EJ$7,Marketing!$M$6:$BM$6,Marketing!$M$17:$BM$17)/_xlfn.XLOOKUP(EJ$7,Marketing!$M$6:$BM$6,Marketing!$M$18:$BM$18)))))))</f>
        <v>1</v>
      </c>
      <c r="EK106" s="325" t="str">
        <f>IF(EK$7&gt;$D$3,"",IF(CC106="Missed","Missed",IF(CC106="OD","OD",IF(CC106="TBC","TBC",IF(CC106="Undefined","Undefined",IF(_xlfn.XLOOKUP(EK$7,Marketing!$M$6:$BM$6,Marketing!$M$18:$BM$18)=0,100%,_xlfn.XLOOKUP(EK$7,Marketing!$M$6:$BM$6,Marketing!$M$17:$BM$17)/_xlfn.XLOOKUP(EK$7,Marketing!$M$6:$BM$6,Marketing!$M$18:$BM$18)))))))</f>
        <v/>
      </c>
      <c r="EL106" s="325" t="str">
        <f>IF(EL$7&gt;$D$3,"",IF(CD106="Missed","Missed",IF(CD106="OD","OD",IF(CD106="TBC","TBC",IF(CD106="Undefined","Undefined",IF(_xlfn.XLOOKUP(EL$7,Marketing!$M$6:$BM$6,Marketing!$M$18:$BM$18)=0,100%,_xlfn.XLOOKUP(EL$7,Marketing!$M$6:$BM$6,Marketing!$M$17:$BM$17)/_xlfn.XLOOKUP(EL$7,Marketing!$M$6:$BM$6,Marketing!$M$18:$BM$18)))))))</f>
        <v/>
      </c>
      <c r="EM106" s="325" t="str">
        <f>IF(EM$7&gt;$D$3,"",IF(CE106="Missed","Missed",IF(CE106="OD","OD",IF(CE106="TBC","TBC",IF(CE106="Undefined","Undefined",IF(_xlfn.XLOOKUP(EM$7,Marketing!$M$6:$BM$6,Marketing!$M$18:$BM$18)=0,100%,_xlfn.XLOOKUP(EM$7,Marketing!$M$6:$BM$6,Marketing!$M$17:$BM$17)/_xlfn.XLOOKUP(EM$7,Marketing!$M$6:$BM$6,Marketing!$M$18:$BM$18)))))))</f>
        <v/>
      </c>
      <c r="EN106" s="325" t="str">
        <f>IF(EN$7&gt;$D$3,"",IF(CF106="Missed","Missed",IF(CF106="OD","OD",IF(CF106="TBC","TBC",IF(CF106="Undefined","Undefined",IF(_xlfn.XLOOKUP(EN$7,Marketing!$M$6:$BM$6,Marketing!$M$18:$BM$18)=0,100%,_xlfn.XLOOKUP(EN$7,Marketing!$M$6:$BM$6,Marketing!$M$17:$BM$17)/_xlfn.XLOOKUP(EN$7,Marketing!$M$6:$BM$6,Marketing!$M$18:$BM$18)))))))</f>
        <v/>
      </c>
      <c r="EO106" s="325" t="str">
        <f>IF(EO$7&gt;$D$3,"",IF(CG106="Missed","Missed",IF(CG106="OD","OD",IF(CG106="TBC","TBC",IF(CG106="Undefined","Undefined",IF(_xlfn.XLOOKUP(EO$7,Marketing!$M$6:$BM$6,Marketing!$M$18:$BM$18)=0,100%,_xlfn.XLOOKUP(EO$7,Marketing!$M$6:$BM$6,Marketing!$M$17:$BM$17)/_xlfn.XLOOKUP(EO$7,Marketing!$M$6:$BM$6,Marketing!$M$18:$BM$18)))))))</f>
        <v/>
      </c>
      <c r="EP106" s="325" t="str">
        <f>IF(EP$7&gt;$D$3,"",IF(CH106="Missed","Missed",IF(CH106="OD","OD",IF(CH106="TBC","TBC",IF(CH106="Undefined","Undefined",IF(_xlfn.XLOOKUP(EP$7,Marketing!$M$6:$BM$6,Marketing!$M$18:$BM$18)=0,100%,_xlfn.XLOOKUP(EP$7,Marketing!$M$6:$BM$6,Marketing!$M$17:$BM$17)/_xlfn.XLOOKUP(EP$7,Marketing!$M$6:$BM$6,Marketing!$M$18:$BM$18)))))))</f>
        <v/>
      </c>
      <c r="EQ106" s="325" t="str">
        <f>IF(EQ$7&gt;$D$3,"",IF(CI106="Missed","Missed",IF(CI106="OD","OD",IF(CI106="TBC","TBC",IF(CI106="Undefined","Undefined",IF(_xlfn.XLOOKUP(EQ$7,Marketing!$M$6:$BM$6,Marketing!$M$18:$BM$18)=0,100%,_xlfn.XLOOKUP(EQ$7,Marketing!$M$6:$BM$6,Marketing!$M$17:$BM$17)/_xlfn.XLOOKUP(EQ$7,Marketing!$M$6:$BM$6,Marketing!$M$18:$BM$18)))))))</f>
        <v/>
      </c>
      <c r="ER106" s="325" t="str">
        <f>IF(ER$7&gt;$D$3,"",IF(CJ106="Missed","Missed",IF(CJ106="OD","OD",IF(CJ106="TBC","TBC",IF(CJ106="Undefined","Undefined",IF(_xlfn.XLOOKUP(ER$7,Marketing!$M$6:$BM$6,Marketing!$M$18:$BM$18)=0,100%,_xlfn.XLOOKUP(ER$7,Marketing!$M$6:$BM$6,Marketing!$M$17:$BM$17)/_xlfn.XLOOKUP(ER$7,Marketing!$M$6:$BM$6,Marketing!$M$18:$BM$18)))))))</f>
        <v/>
      </c>
      <c r="ES106" s="325" t="str">
        <f>IF(ES$7&gt;$D$3,"",IF(CK106="Missed","Missed",IF(CK106="OD","OD",IF(CK106="TBC","TBC",IF(CK106="Undefined","Undefined",IF(_xlfn.XLOOKUP(ES$7,Marketing!$M$6:$BM$6,Marketing!$M$18:$BM$18)=0,100%,_xlfn.XLOOKUP(ES$7,Marketing!$M$6:$BM$6,Marketing!$M$17:$BM$17)/_xlfn.XLOOKUP(ES$7,Marketing!$M$6:$BM$6,Marketing!$M$18:$BM$18)))))))</f>
        <v/>
      </c>
      <c r="ET106" s="325" t="str">
        <f>IF(ET$7&gt;$D$3,"",IF(CL106="Missed","Missed",IF(CL106="OD","OD",IF(CL106="TBC","TBC",IF(CL106="Undefined","Undefined",IF(_xlfn.XLOOKUP(ET$7,Marketing!$M$6:$BM$6,Marketing!$M$18:$BM$18)=0,100%,_xlfn.XLOOKUP(ET$7,Marketing!$M$6:$BM$6,Marketing!$M$17:$BM$17)/_xlfn.XLOOKUP(ET$7,Marketing!$M$6:$BM$6,Marketing!$M$18:$BM$18)))))))</f>
        <v/>
      </c>
      <c r="EU106" s="325" t="str">
        <f>IF(EU$7&gt;$D$3,"",IF(CM106="Missed","Missed",IF(CM106="OD","OD",IF(CM106="TBC","TBC",IF(CM106="Undefined","Undefined",IF(_xlfn.XLOOKUP(EU$7,Marketing!$M$6:$BM$6,Marketing!$M$18:$BM$18)=0,100%,_xlfn.XLOOKUP(EU$7,Marketing!$M$6:$BM$6,Marketing!$M$17:$BM$17)/_xlfn.XLOOKUP(EU$7,Marketing!$M$6:$BM$6,Marketing!$M$18:$BM$18)))))))</f>
        <v/>
      </c>
      <c r="EW106" s="465" t="str">
        <f>+$A106</f>
        <v>Marketing-KPI C1</v>
      </c>
      <c r="EX106" s="138" t="str">
        <f>+$C106</f>
        <v>KPI C1</v>
      </c>
      <c r="EY106" s="146" t="str">
        <f>+$D106</f>
        <v>Cost</v>
      </c>
      <c r="EZ106" s="146" t="str">
        <f>+$E106</f>
        <v>Cost per Engagement for campaigns</v>
      </c>
      <c r="FA106" s="147" t="str">
        <f>+$F106</f>
        <v>£'s</v>
      </c>
      <c r="FB106" s="147" t="s">
        <v>251</v>
      </c>
      <c r="FC106" s="227" t="str">
        <f>IF(FC$7&gt;$D$3,"",IF($FA102&lt;FC$7,"OD",_xlfn.XLOOKUP(FC$7,Marketing!$M$6:$BM$6,Marketing!$M$18:$BM$18)))</f>
        <v>Blank</v>
      </c>
      <c r="FD106" s="227">
        <f>IF(FD$7&gt;$D$3,"",IF($FA102&lt;FD$7,"OD",_xlfn.XLOOKUP(FD$7,Marketing!$M$6:$BM$6,Marketing!$M$18:$BM$18)))</f>
        <v>0</v>
      </c>
      <c r="FE106" s="227">
        <f>IF(FE$7&gt;$D$3,"",IF($FA102&lt;FE$7,"OD",_xlfn.XLOOKUP(FE$7,Marketing!$M$6:$BM$6,Marketing!$M$18:$BM$18)))</f>
        <v>0</v>
      </c>
      <c r="FF106" s="227">
        <f>IF(FF$7&gt;$D$3,"",IF($FA102&lt;FF$7,"OD",_xlfn.XLOOKUP(FF$7,Marketing!$M$6:$BM$6,Marketing!$M$18:$BM$18)))</f>
        <v>0</v>
      </c>
      <c r="FG106" s="227">
        <f>IF(FG$7&gt;$D$3,"",IF($FA102&lt;FG$7,"OD",_xlfn.XLOOKUP(FG$7,Marketing!$M$6:$BM$6,Marketing!$M$18:$BM$18)))</f>
        <v>0</v>
      </c>
      <c r="FH106" s="227">
        <f>IF(FH$7&gt;$D$3,"",IF($FA102&lt;FH$7,"OD",_xlfn.XLOOKUP(FH$7,Marketing!$M$6:$BM$6,Marketing!$M$18:$BM$18)))</f>
        <v>0</v>
      </c>
      <c r="FI106" s="227">
        <f>IF(FI$7&gt;$D$3,"",IF($FA102&lt;FI$7,"OD",_xlfn.XLOOKUP(FI$7,Marketing!$M$6:$BM$6,Marketing!$M$18:$BM$18)))</f>
        <v>0</v>
      </c>
      <c r="FJ106" s="227">
        <f>IF(FJ$7&gt;$D$3,"",IF($FA102&lt;FJ$7,"OD",_xlfn.XLOOKUP(FJ$7,Marketing!$M$6:$BM$6,Marketing!$M$18:$BM$18)))</f>
        <v>0</v>
      </c>
      <c r="FK106" s="227">
        <f>IF(FK$7&gt;$D$3,"",IF($FA102&lt;FK$7,"OD",_xlfn.XLOOKUP(FK$7,Marketing!$M$6:$BM$6,Marketing!$M$18:$BM$18)))</f>
        <v>0</v>
      </c>
      <c r="FL106" s="227">
        <f>IF(FL$7&gt;$D$3,"",IF($FA102&lt;FL$7,"OD",_xlfn.XLOOKUP(FL$7,Marketing!$M$6:$BM$6,Marketing!$M$18:$BM$18)))</f>
        <v>0</v>
      </c>
      <c r="FM106" s="227">
        <f>IF(FM$7&gt;$D$3,"",IF($FA102&lt;FM$7,"OD",_xlfn.XLOOKUP(FM$7,Marketing!$M$6:$BM$6,Marketing!$M$18:$BM$18)))</f>
        <v>0</v>
      </c>
      <c r="FN106" s="227">
        <f>IF(FN$7&gt;$D$3,"",IF($FA102&lt;FN$7,"OD",_xlfn.XLOOKUP(FN$7,Marketing!$M$6:$BM$6,Marketing!$M$18:$BM$18)))</f>
        <v>76</v>
      </c>
      <c r="FO106" s="227">
        <f>IF(FO$7&gt;$D$3,"",IF($FA102&lt;FO$7,"OD",_xlfn.XLOOKUP(FO$7,Marketing!$M$6:$BM$6,Marketing!$M$18:$BM$18)))</f>
        <v>0</v>
      </c>
      <c r="FP106" s="227">
        <f>IF(FP$7&gt;$D$3,"",IF($FA102&lt;FP$7,"OD",_xlfn.XLOOKUP(FP$7,Marketing!$M$6:$BM$6,Marketing!$M$18:$BM$18)))</f>
        <v>0</v>
      </c>
      <c r="FQ106" s="227">
        <f>IF(FQ$7&gt;$D$3,"",IF($FA102&lt;FQ$7,"OD",_xlfn.XLOOKUP(FQ$7,Marketing!$M$6:$BM$6,Marketing!$M$18:$BM$18)))</f>
        <v>0</v>
      </c>
      <c r="FR106" s="227">
        <f>IF(FR$7&gt;$D$3,"",IF($FA102&lt;FR$7,"OD",_xlfn.XLOOKUP(FR$7,Marketing!$M$6:$BM$6,Marketing!$M$18:$BM$18)))</f>
        <v>0</v>
      </c>
      <c r="FS106" s="227">
        <f>IF(FS$7&gt;$D$3,"",IF($FA102&lt;FS$7,"OD",_xlfn.XLOOKUP(FS$7,Marketing!$M$6:$BM$6,Marketing!$M$18:$BM$18)))</f>
        <v>0</v>
      </c>
      <c r="FT106" s="227">
        <f>IF(FT$7&gt;$D$3,"",IF($FA102&lt;FT$7,"OD",_xlfn.XLOOKUP(FT$7,Marketing!$M$6:$BM$6,Marketing!$M$18:$BM$18)))</f>
        <v>0</v>
      </c>
      <c r="FU106" s="227">
        <f>IF(FU$7&gt;$D$3,"",IF($FA102&lt;FU$7,"OD",_xlfn.XLOOKUP(FU$7,Marketing!$M$6:$BM$6,Marketing!$M$18:$BM$18)))</f>
        <v>0</v>
      </c>
      <c r="FV106" s="227">
        <f>IF(FV$7&gt;$D$3,"",IF($FA102&lt;FV$7,"OD",_xlfn.XLOOKUP(FV$7,Marketing!$M$6:$BM$6,Marketing!$M$18:$BM$18)))</f>
        <v>0</v>
      </c>
      <c r="FW106" s="227">
        <f>IF(FW$7&gt;$D$3,"",IF($FA102&lt;FW$7,"OD",_xlfn.XLOOKUP(FW$7,Marketing!$M$6:$BM$6,Marketing!$M$18:$BM$18)))</f>
        <v>2.5</v>
      </c>
      <c r="FX106" s="227">
        <f>IF(FX$7&gt;$D$3,"",IF($FA102&lt;FX$7,"OD",_xlfn.XLOOKUP(FX$7,Marketing!$M$6:$BM$6,Marketing!$M$18:$BM$18)))</f>
        <v>0</v>
      </c>
      <c r="FY106" s="227">
        <f>IF(FY$7&gt;$D$3,"",IF($FA102&lt;FY$7,"OD",_xlfn.XLOOKUP(FY$7,Marketing!$M$6:$BM$6,Marketing!$M$18:$BM$18)))</f>
        <v>0</v>
      </c>
      <c r="FZ106" s="227">
        <f>IF(FZ$7&gt;$D$3,"",IF($FA102&lt;FZ$7,"OD",_xlfn.XLOOKUP(FZ$7,Marketing!$M$6:$BM$6,Marketing!$M$18:$BM$18)))</f>
        <v>0</v>
      </c>
      <c r="GA106" s="227">
        <f>IF(GA$7&gt;$D$3,"",IF($FA102&lt;GA$7,"OD",_xlfn.XLOOKUP(GA$7,Marketing!$M$6:$BM$6,Marketing!$M$18:$BM$18)))</f>
        <v>0</v>
      </c>
      <c r="GB106" s="227">
        <f>IF(GB$7&gt;$D$3,"",IF($FA102&lt;GB$7,"OD",_xlfn.XLOOKUP(GB$7,Marketing!$M$6:$BM$6,Marketing!$M$18:$BM$18)))</f>
        <v>0</v>
      </c>
      <c r="GC106" s="227">
        <f>IF(GC$7&gt;$D$3,"",IF($FA102&lt;GC$7,"OD",_xlfn.XLOOKUP(GC$7,Marketing!$M$6:$BM$6,Marketing!$M$18:$BM$18)))</f>
        <v>0</v>
      </c>
      <c r="GD106" s="227">
        <f>IF(GD$7&gt;$D$3,"",IF($FA102&lt;GD$7,"OD",_xlfn.XLOOKUP(GD$7,Marketing!$M$6:$BM$6,Marketing!$M$18:$BM$18)))</f>
        <v>0</v>
      </c>
      <c r="GE106" s="227">
        <f>IF(GE$7&gt;$D$3,"",IF($FA102&lt;GE$7,"OD",_xlfn.XLOOKUP(GE$7,Marketing!$M$6:$BM$6,Marketing!$M$18:$BM$18)))</f>
        <v>0</v>
      </c>
      <c r="GF106" s="227">
        <f>IF(GF$7&gt;$D$3,"",IF($FA102&lt;GF$7,"OD",_xlfn.XLOOKUP(GF$7,Marketing!$M$6:$BM$6,Marketing!$M$18:$BM$18)))</f>
        <v>0</v>
      </c>
      <c r="GG106" s="227">
        <f>IF(GG$7&gt;$D$3,"",IF($FA102&lt;GG$7,"OD",_xlfn.XLOOKUP(GG$7,Marketing!$M$6:$BM$6,Marketing!$M$18:$BM$18)))</f>
        <v>0</v>
      </c>
      <c r="GH106" s="227">
        <f>IF(GH$7&gt;$D$3,"",IF($FA102&lt;GH$7,"OD",_xlfn.XLOOKUP(GH$7,Marketing!$M$6:$BM$6,Marketing!$M$18:$BM$18)))</f>
        <v>0</v>
      </c>
      <c r="GI106" s="227">
        <f>IF(GI$7&gt;$D$3,"",IF($FA102&lt;GI$7,"OD",_xlfn.XLOOKUP(GI$7,Marketing!$M$6:$BM$6,Marketing!$M$18:$BM$18)))</f>
        <v>0</v>
      </c>
      <c r="GJ106" s="227">
        <f>IF(GJ$7&gt;$D$3,"",IF($FA102&lt;GJ$7,"OD",_xlfn.XLOOKUP(GJ$7,Marketing!$M$6:$BM$6,Marketing!$M$18:$BM$18)))</f>
        <v>0</v>
      </c>
      <c r="GK106" s="227">
        <f>IF(GK$7&gt;$D$3,"",IF($FA102&lt;GK$7,"OD",_xlfn.XLOOKUP(GK$7,Marketing!$M$6:$BM$6,Marketing!$M$18:$BM$18)))</f>
        <v>0</v>
      </c>
      <c r="GL106" s="227">
        <f>IF(GL$7&gt;$D$3,"",IF($FA102&lt;GL$7,"OD",_xlfn.XLOOKUP(GL$7,Marketing!$M$6:$BM$6,Marketing!$M$18:$BM$18)))</f>
        <v>0</v>
      </c>
      <c r="GM106" s="227">
        <f>IF(GM$7&gt;$D$3,"",IF($FA102&lt;GM$7,"OD",_xlfn.XLOOKUP(GM$7,Marketing!$M$6:$BM$6,Marketing!$M$18:$BM$18)))</f>
        <v>0</v>
      </c>
      <c r="GN106" s="227">
        <f>IF(GN$7&gt;$D$3,"",IF($FA102&lt;GN$7,"OD",_xlfn.XLOOKUP(GN$7,Marketing!$M$6:$BM$6,Marketing!$M$18:$BM$18)))</f>
        <v>0</v>
      </c>
      <c r="GO106" s="227">
        <f>IF(GO$7&gt;$D$3,"",IF($FA102&lt;GO$7,"OD",_xlfn.XLOOKUP(GO$7,Marketing!$M$6:$BM$6,Marketing!$M$18:$BM$18)))</f>
        <v>0</v>
      </c>
      <c r="GP106" s="227">
        <f>IF(GP$7&gt;$D$3,"",IF($FA102&lt;GP$7,"OD",_xlfn.XLOOKUP(GP$7,Marketing!$M$6:$BM$6,Marketing!$M$18:$BM$18)))</f>
        <v>0</v>
      </c>
      <c r="GQ106" s="227">
        <f>IF(GQ$7&gt;$D$3,"",IF($FA102&lt;GQ$7,"OD",_xlfn.XLOOKUP(GQ$7,Marketing!$M$6:$BM$6,Marketing!$M$18:$BM$18)))</f>
        <v>0</v>
      </c>
      <c r="GR106" s="227">
        <f>IF(GR$7&gt;$D$3,"",IF($FA102&lt;GR$7,"OD",_xlfn.XLOOKUP(GR$7,Marketing!$M$6:$BM$6,Marketing!$M$18:$BM$18)))</f>
        <v>0</v>
      </c>
      <c r="GS106" s="227" t="str">
        <f>IF(GS$7&gt;$D$3,"",IF($FA102&lt;GS$7,"OD",_xlfn.XLOOKUP(GS$7,Marketing!$M$6:$BM$6,Marketing!$M$18:$BM$18)))</f>
        <v/>
      </c>
      <c r="GT106" s="227" t="str">
        <f>IF(GT$7&gt;$D$3,"",IF($FA102&lt;GT$7,"OD",_xlfn.XLOOKUP(GT$7,Marketing!$M$6:$BM$6,Marketing!$M$18:$BM$18)))</f>
        <v/>
      </c>
      <c r="GU106" s="227" t="str">
        <f>IF(GU$7&gt;$D$3,"",IF($FA102&lt;GU$7,"OD",_xlfn.XLOOKUP(GU$7,Marketing!$M$6:$BM$6,Marketing!$M$18:$BM$18)))</f>
        <v/>
      </c>
      <c r="GV106" s="227" t="str">
        <f>IF(GV$7&gt;$D$3,"",IF($FA102&lt;GV$7,"OD",_xlfn.XLOOKUP(GV$7,Marketing!$M$6:$BM$6,Marketing!$M$18:$BM$18)))</f>
        <v/>
      </c>
      <c r="GW106" s="227" t="str">
        <f>IF(GW$7&gt;$D$3,"",IF($FA102&lt;GW$7,"OD",_xlfn.XLOOKUP(GW$7,Marketing!$M$6:$BM$6,Marketing!$M$18:$BM$18)))</f>
        <v/>
      </c>
      <c r="GX106" s="227" t="str">
        <f>IF(GX$7&gt;$D$3,"",IF($FA102&lt;GX$7,"OD",_xlfn.XLOOKUP(GX$7,Marketing!$M$6:$BM$6,Marketing!$M$18:$BM$18)))</f>
        <v/>
      </c>
      <c r="GY106" s="227" t="str">
        <f>IF(GY$7&gt;$D$3,"",IF($FA102&lt;GY$7,"OD",_xlfn.XLOOKUP(GY$7,Marketing!$M$6:$BM$6,Marketing!$M$18:$BM$18)))</f>
        <v/>
      </c>
      <c r="GZ106" s="227" t="str">
        <f>IF(GZ$7&gt;$D$3,"",IF($FA102&lt;GZ$7,"OD",_xlfn.XLOOKUP(GZ$7,Marketing!$M$6:$BM$6,Marketing!$M$18:$BM$18)))</f>
        <v/>
      </c>
      <c r="HA106" s="227" t="str">
        <f>IF(HA$7&gt;$D$3,"",IF($FA102&lt;HA$7,"OD",_xlfn.XLOOKUP(HA$7,Marketing!$M$6:$BM$6,Marketing!$M$18:$BM$18)))</f>
        <v/>
      </c>
      <c r="HB106" s="227" t="str">
        <f>IF(HB$7&gt;$D$3,"",IF($FA102&lt;HB$7,"OD",_xlfn.XLOOKUP(HB$7,Marketing!$M$6:$BM$6,Marketing!$M$18:$BM$18)))</f>
        <v/>
      </c>
      <c r="HC106" s="227" t="str">
        <f>IF(HC$7&gt;$D$3,"",IF($FA102&lt;HC$7,"OD",_xlfn.XLOOKUP(HC$7,Marketing!$M$6:$BM$6,Marketing!$M$18:$BM$18)))</f>
        <v/>
      </c>
      <c r="HE106" s="138" t="str">
        <f>+$C106</f>
        <v>KPI C1</v>
      </c>
      <c r="HF106" s="146" t="str">
        <f>+$D106</f>
        <v>Cost</v>
      </c>
      <c r="HG106" s="146" t="str">
        <f>+$E106</f>
        <v>Cost per Engagement for campaigns</v>
      </c>
      <c r="HH106" s="147" t="str">
        <f>+$F106</f>
        <v>£'s</v>
      </c>
      <c r="HI106" s="147" t="s">
        <v>44</v>
      </c>
      <c r="HJ106" s="227" t="str">
        <f>IF(HJ$7&gt;$D$3,"",IF($FA102&lt;HJ$7,"OD",_xlfn.XLOOKUP(HJ$7,Marketing!$M$6:$BM$6,Marketing!$M$17:$BM$17)))</f>
        <v>Blank</v>
      </c>
      <c r="HK106" s="227">
        <f>IF(HK$7&gt;$D$3,"",IF($FA102&lt;HK$7,"OD",_xlfn.XLOOKUP(HK$7,Marketing!$M$6:$BM$6,Marketing!$M$17:$BM$17)))</f>
        <v>0</v>
      </c>
      <c r="HL106" s="227">
        <f>IF(HL$7&gt;$D$3,"",IF($FA102&lt;HL$7,"OD",_xlfn.XLOOKUP(HL$7,Marketing!$M$6:$BM$6,Marketing!$M$17:$BM$17)))</f>
        <v>0</v>
      </c>
      <c r="HM106" s="227">
        <f>IF(HM$7&gt;$D$3,"",IF($FA102&lt;HM$7,"OD",_xlfn.XLOOKUP(HM$7,Marketing!$M$6:$BM$6,Marketing!$M$17:$BM$17)))</f>
        <v>0</v>
      </c>
      <c r="HN106" s="227">
        <f>IF(HN$7&gt;$D$3,"",IF($FA102&lt;HN$7,"OD",_xlfn.XLOOKUP(HN$7,Marketing!$M$6:$BM$6,Marketing!$M$17:$BM$17)))</f>
        <v>0</v>
      </c>
      <c r="HO106" s="227">
        <f>IF(HO$7&gt;$D$3,"",IF($FA102&lt;HO$7,"OD",_xlfn.XLOOKUP(HO$7,Marketing!$M$6:$BM$6,Marketing!$M$17:$BM$17)))</f>
        <v>0</v>
      </c>
      <c r="HP106" s="227">
        <f>IF(HP$7&gt;$D$3,"",IF($FA102&lt;HP$7,"OD",_xlfn.XLOOKUP(HP$7,Marketing!$M$6:$BM$6,Marketing!$M$17:$BM$17)))</f>
        <v>0</v>
      </c>
      <c r="HQ106" s="227">
        <f>IF(HQ$7&gt;$D$3,"",IF($FA102&lt;HQ$7,"OD",_xlfn.XLOOKUP(HQ$7,Marketing!$M$6:$BM$6,Marketing!$M$17:$BM$17)))</f>
        <v>0</v>
      </c>
      <c r="HR106" s="227">
        <f>IF(HR$7&gt;$D$3,"",IF($FA102&lt;HR$7,"OD",_xlfn.XLOOKUP(HR$7,Marketing!$M$6:$BM$6,Marketing!$M$17:$BM$17)))</f>
        <v>0</v>
      </c>
      <c r="HS106" s="227">
        <f>IF(HS$7&gt;$D$3,"",IF($FA102&lt;HS$7,"OD",_xlfn.XLOOKUP(HS$7,Marketing!$M$6:$BM$6,Marketing!$M$17:$BM$17)))</f>
        <v>0</v>
      </c>
      <c r="HT106" s="227">
        <f>IF(HT$7&gt;$D$3,"",IF($FA102&lt;HT$7,"OD",_xlfn.XLOOKUP(HT$7,Marketing!$M$6:$BM$6,Marketing!$M$17:$BM$17)))</f>
        <v>0</v>
      </c>
      <c r="HU106" s="227">
        <f>IF(HU$7&gt;$D$3,"",IF($FA102&lt;HU$7,"OD",_xlfn.XLOOKUP(HU$7,Marketing!$M$6:$BM$6,Marketing!$M$17:$BM$17)))</f>
        <v>142</v>
      </c>
      <c r="HV106" s="227">
        <f>IF(HV$7&gt;$D$3,"",IF($FA102&lt;HV$7,"OD",_xlfn.XLOOKUP(HV$7,Marketing!$M$6:$BM$6,Marketing!$M$17:$BM$17)))</f>
        <v>0</v>
      </c>
      <c r="HW106" s="227">
        <f>IF(HW$7&gt;$D$3,"",IF($FA102&lt;HW$7,"OD",_xlfn.XLOOKUP(HW$7,Marketing!$M$6:$BM$6,Marketing!$M$17:$BM$17)))</f>
        <v>0</v>
      </c>
      <c r="HX106" s="227">
        <f>IF(HX$7&gt;$D$3,"",IF($FA102&lt;HX$7,"OD",_xlfn.XLOOKUP(HX$7,Marketing!$M$6:$BM$6,Marketing!$M$17:$BM$17)))</f>
        <v>0</v>
      </c>
      <c r="HY106" s="227">
        <f>IF(HY$7&gt;$D$3,"",IF($FA102&lt;HY$7,"OD",_xlfn.XLOOKUP(HY$7,Marketing!$M$6:$BM$6,Marketing!$M$17:$BM$17)))</f>
        <v>0</v>
      </c>
      <c r="HZ106" s="227">
        <f>IF(HZ$7&gt;$D$3,"",IF($FA102&lt;HZ$7,"OD",_xlfn.XLOOKUP(HZ$7,Marketing!$M$6:$BM$6,Marketing!$M$17:$BM$17)))</f>
        <v>0</v>
      </c>
      <c r="IA106" s="227">
        <f>IF(IA$7&gt;$D$3,"",IF($FA102&lt;IA$7,"OD",_xlfn.XLOOKUP(IA$7,Marketing!$M$6:$BM$6,Marketing!$M$17:$BM$17)))</f>
        <v>0</v>
      </c>
      <c r="IB106" s="227">
        <f>IF(IB$7&gt;$D$3,"",IF($FA102&lt;IB$7,"OD",_xlfn.XLOOKUP(IB$7,Marketing!$M$6:$BM$6,Marketing!$M$17:$BM$17)))</f>
        <v>0</v>
      </c>
      <c r="IC106" s="227">
        <f>IF(IC$7&gt;$D$3,"",IF($FA102&lt;IC$7,"OD",_xlfn.XLOOKUP(IC$7,Marketing!$M$6:$BM$6,Marketing!$M$17:$BM$17)))</f>
        <v>0</v>
      </c>
      <c r="ID106" s="227">
        <f>IF(ID$7&gt;$D$3,"",IF($FA102&lt;ID$7,"OD",_xlfn.XLOOKUP(ID$7,Marketing!$M$6:$BM$6,Marketing!$M$17:$BM$17)))</f>
        <v>20</v>
      </c>
      <c r="IE106" s="227">
        <f>IF(IE$7&gt;$D$3,"",IF($FA102&lt;IE$7,"OD",_xlfn.XLOOKUP(IE$7,Marketing!$M$6:$BM$6,Marketing!$M$17:$BM$17)))</f>
        <v>0</v>
      </c>
      <c r="IF106" s="227">
        <f>IF(IF$7&gt;$D$3,"",IF($FA102&lt;IF$7,"OD",_xlfn.XLOOKUP(IF$7,Marketing!$M$6:$BM$6,Marketing!$M$17:$BM$17)))</f>
        <v>0</v>
      </c>
      <c r="IG106" s="227">
        <f>IF(IG$7&gt;$D$3,"",IF($FA102&lt;IG$7,"OD",_xlfn.XLOOKUP(IG$7,Marketing!$M$6:$BM$6,Marketing!$M$17:$BM$17)))</f>
        <v>0</v>
      </c>
      <c r="IH106" s="227">
        <f>IF(IH$7&gt;$D$3,"",IF($FA102&lt;IH$7,"OD",_xlfn.XLOOKUP(IH$7,Marketing!$M$6:$BM$6,Marketing!$M$17:$BM$17)))</f>
        <v>0</v>
      </c>
      <c r="II106" s="227">
        <f>IF(II$7&gt;$D$3,"",IF($FA102&lt;II$7,"OD",_xlfn.XLOOKUP(II$7,Marketing!$M$6:$BM$6,Marketing!$M$17:$BM$17)))</f>
        <v>0</v>
      </c>
      <c r="IJ106" s="227">
        <f>IF(IJ$7&gt;$D$3,"",IF($FA102&lt;IJ$7,"OD",_xlfn.XLOOKUP(IJ$7,Marketing!$M$6:$BM$6,Marketing!$M$17:$BM$17)))</f>
        <v>0</v>
      </c>
      <c r="IK106" s="227">
        <f>IF(IK$7&gt;$D$3,"",IF($FA102&lt;IK$7,"OD",_xlfn.XLOOKUP(IK$7,Marketing!$M$6:$BM$6,Marketing!$M$17:$BM$17)))</f>
        <v>0</v>
      </c>
      <c r="IL106" s="227">
        <f>IF(IL$7&gt;$D$3,"",IF($FA102&lt;IL$7,"OD",_xlfn.XLOOKUP(IL$7,Marketing!$M$6:$BM$6,Marketing!$M$17:$BM$17)))</f>
        <v>0</v>
      </c>
      <c r="IM106" s="227">
        <f>IF(IM$7&gt;$D$3,"",IF($FA102&lt;IM$7,"OD",_xlfn.XLOOKUP(IM$7,Marketing!$M$6:$BM$6,Marketing!$M$17:$BM$17)))</f>
        <v>0</v>
      </c>
      <c r="IN106" s="227">
        <f>IF(IN$7&gt;$D$3,"",IF($FA102&lt;IN$7,"OD",_xlfn.XLOOKUP(IN$7,Marketing!$M$6:$BM$6,Marketing!$M$17:$BM$17)))</f>
        <v>0</v>
      </c>
      <c r="IO106" s="227">
        <f>IF(IO$7&gt;$D$3,"",IF($FA102&lt;IO$7,"OD",_xlfn.XLOOKUP(IO$7,Marketing!$M$6:$BM$6,Marketing!$M$17:$BM$17)))</f>
        <v>0</v>
      </c>
      <c r="IP106" s="227">
        <f>IF(IP$7&gt;$D$3,"",IF($FA102&lt;IP$7,"OD",_xlfn.XLOOKUP(IP$7,Marketing!$M$6:$BM$6,Marketing!$M$17:$BM$17)))</f>
        <v>0</v>
      </c>
      <c r="IQ106" s="227">
        <f>IF(IQ$7&gt;$D$3,"",IF($FA102&lt;IQ$7,"OD",_xlfn.XLOOKUP(IQ$7,Marketing!$M$6:$BM$6,Marketing!$M$17:$BM$17)))</f>
        <v>0</v>
      </c>
      <c r="IR106" s="227">
        <f>IF(IR$7&gt;$D$3,"",IF($FA102&lt;IR$7,"OD",_xlfn.XLOOKUP(IR$7,Marketing!$M$6:$BM$6,Marketing!$M$17:$BM$17)))</f>
        <v>0</v>
      </c>
      <c r="IS106" s="227">
        <f>IF(IS$7&gt;$D$3,"",IF($FA102&lt;IS$7,"OD",_xlfn.XLOOKUP(IS$7,Marketing!$M$6:$BM$6,Marketing!$M$17:$BM$17)))</f>
        <v>40</v>
      </c>
      <c r="IT106" s="227">
        <f>IF(IT$7&gt;$D$3,"",IF($FA102&lt;IT$7,"OD",_xlfn.XLOOKUP(IT$7,Marketing!$M$6:$BM$6,Marketing!$M$17:$BM$17)))</f>
        <v>0</v>
      </c>
      <c r="IU106" s="227">
        <f>IF(IU$7&gt;$D$3,"",IF($FA102&lt;IU$7,"OD",_xlfn.XLOOKUP(IU$7,Marketing!$M$6:$BM$6,Marketing!$M$17:$BM$17)))</f>
        <v>267</v>
      </c>
      <c r="IV106" s="227">
        <f>IF(IV$7&gt;$D$3,"",IF($FA102&lt;IV$7,"OD",_xlfn.XLOOKUP(IV$7,Marketing!$M$6:$BM$6,Marketing!$M$17:$BM$17)))</f>
        <v>0</v>
      </c>
      <c r="IW106" s="227">
        <f>IF(IW$7&gt;$D$3,"",IF($FA102&lt;IW$7,"OD",_xlfn.XLOOKUP(IW$7,Marketing!$M$6:$BM$6,Marketing!$M$17:$BM$17)))</f>
        <v>0</v>
      </c>
      <c r="IX106" s="227">
        <f>IF(IX$7&gt;$D$3,"",IF($FA102&lt;IX$7,"OD",_xlfn.XLOOKUP(IX$7,Marketing!$M$6:$BM$6,Marketing!$M$17:$BM$17)))</f>
        <v>0</v>
      </c>
      <c r="IY106" s="227">
        <f>IF(IY$7&gt;$D$3,"",IF($FA102&lt;IY$7,"OD",_xlfn.XLOOKUP(IY$7,Marketing!$M$6:$BM$6,Marketing!$M$17:$BM$17)))</f>
        <v>0</v>
      </c>
      <c r="IZ106" s="227" t="str">
        <f>IF(IZ$7&gt;$D$3,"",IF($FA102&lt;IZ$7,"OD",_xlfn.XLOOKUP(IZ$7,Marketing!$M$6:$BM$6,Marketing!$M$17:$BM$17)))</f>
        <v/>
      </c>
      <c r="JA106" s="227" t="str">
        <f>IF(JA$7&gt;$D$3,"",IF($FA102&lt;JA$7,"OD",_xlfn.XLOOKUP(JA$7,Marketing!$M$6:$BM$6,Marketing!$M$17:$BM$17)))</f>
        <v/>
      </c>
      <c r="JB106" s="227" t="str">
        <f>IF(JB$7&gt;$D$3,"",IF($FA102&lt;JB$7,"OD",_xlfn.XLOOKUP(JB$7,Marketing!$M$6:$BM$6,Marketing!$M$17:$BM$17)))</f>
        <v/>
      </c>
      <c r="JC106" s="227" t="str">
        <f>IF(JC$7&gt;$D$3,"",IF($FA102&lt;JC$7,"OD",_xlfn.XLOOKUP(JC$7,Marketing!$M$6:$BM$6,Marketing!$M$17:$BM$17)))</f>
        <v/>
      </c>
      <c r="JD106" s="227" t="str">
        <f>IF(JD$7&gt;$D$3,"",IF($FA102&lt;JD$7,"OD",_xlfn.XLOOKUP(JD$7,Marketing!$M$6:$BM$6,Marketing!$M$17:$BM$17)))</f>
        <v/>
      </c>
      <c r="JE106" s="227" t="str">
        <f>IF(JE$7&gt;$D$3,"",IF($FA102&lt;JE$7,"OD",_xlfn.XLOOKUP(JE$7,Marketing!$M$6:$BM$6,Marketing!$M$17:$BM$17)))</f>
        <v/>
      </c>
      <c r="JF106" s="227" t="str">
        <f>IF(JF$7&gt;$D$3,"",IF($FA102&lt;JF$7,"OD",_xlfn.XLOOKUP(JF$7,Marketing!$M$6:$BM$6,Marketing!$M$17:$BM$17)))</f>
        <v/>
      </c>
      <c r="JG106" s="227" t="str">
        <f>IF(JG$7&gt;$D$3,"",IF($FA102&lt;JG$7,"OD",_xlfn.XLOOKUP(JG$7,Marketing!$M$6:$BM$6,Marketing!$M$17:$BM$17)))</f>
        <v/>
      </c>
      <c r="JH106" s="227" t="str">
        <f>IF(JH$7&gt;$D$3,"",IF($FA102&lt;JH$7,"OD",_xlfn.XLOOKUP(JH$7,Marketing!$M$6:$BM$6,Marketing!$M$17:$BM$17)))</f>
        <v/>
      </c>
      <c r="JI106" s="227" t="str">
        <f>IF(JI$7&gt;$D$3,"",IF($FA102&lt;JI$7,"OD",_xlfn.XLOOKUP(JI$7,Marketing!$M$6:$BM$6,Marketing!$M$17:$BM$17)))</f>
        <v/>
      </c>
      <c r="JJ106" s="227" t="str">
        <f>IF(JJ$7&gt;$D$3,"",IF($FA102&lt;JJ$7,"OD",_xlfn.XLOOKUP(JJ$7,Marketing!$M$6:$BM$6,Marketing!$M$17:$BM$17)))</f>
        <v/>
      </c>
      <c r="JM106" s="138" t="str">
        <f>+$C106</f>
        <v>KPI C1</v>
      </c>
      <c r="JN106" s="146" t="str">
        <f>+$D106</f>
        <v>Cost</v>
      </c>
      <c r="JO106" s="146" t="str">
        <f>+$E106</f>
        <v>Cost per Engagement for campaigns</v>
      </c>
      <c r="JP106" s="147" t="str">
        <f>+$F106</f>
        <v>£'s</v>
      </c>
      <c r="JQ106" s="147" t="s">
        <v>284</v>
      </c>
      <c r="JR106" s="227" t="str">
        <f>IFERROR(AVERAGE(FC106:$FC106),"")</f>
        <v/>
      </c>
      <c r="JS106" s="227">
        <f>IFERROR(AVERAGE($FC106:FD106),"")</f>
        <v>0</v>
      </c>
      <c r="JT106" s="227">
        <f>IFERROR(AVERAGE($FC106:FE106),"")</f>
        <v>0</v>
      </c>
      <c r="JU106" s="227">
        <f>IFERROR(AVERAGE($FC106:FF106),"")</f>
        <v>0</v>
      </c>
      <c r="JV106" s="227">
        <f>IFERROR(AVERAGE($FC106:FG106),"")</f>
        <v>0</v>
      </c>
      <c r="JW106" s="227">
        <f>IFERROR(AVERAGE($FC106:FH106),"")</f>
        <v>0</v>
      </c>
      <c r="JX106" s="227">
        <f>IFERROR(AVERAGE($FC106:FI106),"")</f>
        <v>0</v>
      </c>
      <c r="JY106" s="227">
        <f>IFERROR(AVERAGE($FC106:FJ106),"")</f>
        <v>0</v>
      </c>
      <c r="JZ106" s="227">
        <f>IFERROR(AVERAGE($FC106:FK106),"")</f>
        <v>0</v>
      </c>
      <c r="KA106" s="227">
        <f>IFERROR(AVERAGE($FC106:FL106),"")</f>
        <v>0</v>
      </c>
      <c r="KB106" s="227">
        <f>IFERROR(AVERAGE($FC106:FM106),"")</f>
        <v>0</v>
      </c>
      <c r="KC106" s="227">
        <f>IFERROR(AVERAGE($FC106:FN106),"")</f>
        <v>6.9090909090909092</v>
      </c>
      <c r="KD106" s="227">
        <f>IFERROR(AVERAGE($FC106:FO106),"")</f>
        <v>6.333333333333333</v>
      </c>
      <c r="KE106" s="227">
        <f>IFERROR(AVERAGE($FC106:FP106),"")</f>
        <v>5.8461538461538458</v>
      </c>
      <c r="KF106" s="227">
        <f>IFERROR(AVERAGE($FC106:FQ106),"")</f>
        <v>5.4285714285714288</v>
      </c>
      <c r="KG106" s="227">
        <f>IFERROR(AVERAGE($FC106:FR106),"")</f>
        <v>5.0666666666666664</v>
      </c>
      <c r="KH106" s="227">
        <f>IFERROR(AVERAGE($FC106:FS106),"")</f>
        <v>4.75</v>
      </c>
      <c r="KI106" s="227">
        <f>IFERROR(AVERAGE($FC106:FT106),"")</f>
        <v>4.4705882352941178</v>
      </c>
      <c r="KJ106" s="227">
        <f>IFERROR(AVERAGE($FC106:FU106),"")</f>
        <v>4.2222222222222223</v>
      </c>
      <c r="KK106" s="227">
        <f>IFERROR(AVERAGE($FC106:FV106),"")</f>
        <v>4</v>
      </c>
      <c r="KL106" s="227">
        <f>IFERROR(AVERAGE($FC106:FW106),"")</f>
        <v>3.9249999999999998</v>
      </c>
      <c r="KM106" s="227">
        <f>IFERROR(AVERAGE($FC106:FX106),"")</f>
        <v>3.7380952380952381</v>
      </c>
      <c r="KN106" s="227">
        <f>IFERROR(AVERAGE($FC106:FY106),"")</f>
        <v>3.5681818181818183</v>
      </c>
      <c r="KO106" s="227">
        <f>IFERROR(AVERAGE($FC106:FZ106),"")</f>
        <v>3.4130434782608696</v>
      </c>
      <c r="KP106" s="227">
        <f>IFERROR(AVERAGE($FC106:GA106),"")</f>
        <v>3.2708333333333335</v>
      </c>
      <c r="KQ106" s="227">
        <f>IFERROR(AVERAGE($FC106:GB106),"")</f>
        <v>3.14</v>
      </c>
      <c r="KR106" s="227">
        <f>IFERROR(AVERAGE($FC106:GC106),"")</f>
        <v>3.0192307692307692</v>
      </c>
      <c r="KS106" s="227">
        <f>IFERROR(AVERAGE($FC106:GD106),"")</f>
        <v>2.9074074074074074</v>
      </c>
      <c r="KT106" s="227">
        <f>IFERROR(AVERAGE($FC106:GE106),"")</f>
        <v>2.8035714285714284</v>
      </c>
      <c r="KU106" s="227">
        <f>IFERROR(AVERAGE($FC106:GF106),"")</f>
        <v>2.7068965517241379</v>
      </c>
      <c r="KV106" s="227">
        <f>IFERROR(AVERAGE($FC106:GG106),"")</f>
        <v>2.6166666666666667</v>
      </c>
      <c r="KW106" s="227">
        <f>IFERROR(AVERAGE($FC106:GH106),"")</f>
        <v>2.532258064516129</v>
      </c>
      <c r="KX106" s="227">
        <f>IFERROR(AVERAGE($FC106:GI106),"")</f>
        <v>2.453125</v>
      </c>
      <c r="KY106" s="227">
        <f>IFERROR(AVERAGE($FC106:GJ106),"")</f>
        <v>2.3787878787878789</v>
      </c>
      <c r="KZ106" s="227">
        <f>IFERROR(AVERAGE($FC106:GK106),"")</f>
        <v>2.3088235294117645</v>
      </c>
      <c r="LA106" s="227">
        <f>IFERROR(AVERAGE($FC106:GL106),"")</f>
        <v>2.2428571428571429</v>
      </c>
      <c r="LB106" s="227">
        <f>IFERROR(AVERAGE($FC106:GM106),"")</f>
        <v>2.1805555555555554</v>
      </c>
      <c r="LC106" s="227">
        <f>IFERROR(AVERAGE($FC106:GN106),"")</f>
        <v>2.1216216216216215</v>
      </c>
      <c r="LD106" s="227">
        <f>IFERROR(AVERAGE($FC106:GO106),"")</f>
        <v>2.0657894736842106</v>
      </c>
      <c r="LE106" s="227">
        <f>IFERROR(AVERAGE($FC106:GP106),"")</f>
        <v>2.0128205128205128</v>
      </c>
      <c r="LF106" s="227">
        <f>IFERROR(AVERAGE($FC106:GQ106),"")</f>
        <v>1.9624999999999999</v>
      </c>
      <c r="LG106" s="227">
        <f>IFERROR(AVERAGE($FC106:GR106),"")</f>
        <v>1.9146341463414633</v>
      </c>
      <c r="LH106" s="227">
        <f>IFERROR(AVERAGE($FC106:GS106),"")</f>
        <v>1.9146341463414633</v>
      </c>
      <c r="LI106" s="227">
        <f>IFERROR(AVERAGE($FC106:GT106),"")</f>
        <v>1.9146341463414633</v>
      </c>
      <c r="LJ106" s="227">
        <f>IFERROR(AVERAGE($FC106:GU106),"")</f>
        <v>1.9146341463414633</v>
      </c>
      <c r="LK106" s="227">
        <f>IFERROR(AVERAGE($FC106:GV106),"")</f>
        <v>1.9146341463414633</v>
      </c>
      <c r="LL106" s="227">
        <f>IFERROR(AVERAGE($FC106:GW106),"")</f>
        <v>1.9146341463414633</v>
      </c>
      <c r="LM106" s="227">
        <f>IFERROR(AVERAGE($FC106:GX106),"")</f>
        <v>1.9146341463414633</v>
      </c>
      <c r="LN106" s="227">
        <f>IFERROR(AVERAGE($FC106:GY106),"")</f>
        <v>1.9146341463414633</v>
      </c>
      <c r="LO106" s="227">
        <f>IFERROR(AVERAGE($FC106:GZ106),"")</f>
        <v>1.9146341463414633</v>
      </c>
      <c r="LP106" s="227">
        <f>IFERROR(AVERAGE($FC106:HA106),"")</f>
        <v>1.9146341463414633</v>
      </c>
      <c r="LQ106" s="227">
        <f>IFERROR(AVERAGE($FC106:HB106),"")</f>
        <v>1.9146341463414633</v>
      </c>
      <c r="LR106" s="227">
        <f>IFERROR(AVERAGE($FC106:HC106),"")</f>
        <v>1.9146341463414633</v>
      </c>
      <c r="LT106" s="138" t="str">
        <f>+$C106</f>
        <v>KPI C1</v>
      </c>
      <c r="LU106" s="146" t="str">
        <f>+$D106</f>
        <v>Cost</v>
      </c>
      <c r="LV106" s="146" t="str">
        <f>+$E106</f>
        <v>Cost per Engagement for campaigns</v>
      </c>
      <c r="LW106" s="147" t="str">
        <f>+$F106</f>
        <v>£'s</v>
      </c>
      <c r="LX106" s="147" t="s">
        <v>285</v>
      </c>
      <c r="LY106" s="227" t="str">
        <f>IFERROR(AVERAGE($HJ106:HJ106),"")</f>
        <v/>
      </c>
      <c r="LZ106" s="227">
        <f>IFERROR(IF(LAD$7&gt;$D$3,"",AVERAGE($HJ106:HK106)),"")</f>
        <v>0</v>
      </c>
      <c r="MA106" s="227">
        <f>IFERROR(IF(MA$7&gt;$D$3,"",AVERAGE($HJ106:HL106)),"")</f>
        <v>0</v>
      </c>
      <c r="MB106" s="227">
        <f>IFERROR(IF(MB$7&gt;$D$3,"",AVERAGE($HJ106:HM106)),"")</f>
        <v>0</v>
      </c>
      <c r="MC106" s="227">
        <f>IFERROR(IF(MC$7&gt;$D$3,"",AVERAGE($HJ106:HN106)),"")</f>
        <v>0</v>
      </c>
      <c r="MD106" s="227">
        <f>IFERROR(IF(MD$7&gt;$D$3,"",AVERAGE($HJ106:HO106)),"")</f>
        <v>0</v>
      </c>
      <c r="ME106" s="227">
        <f>IFERROR(IF(ME$7&gt;$D$3,"",AVERAGE($HJ106:HP106)),"")</f>
        <v>0</v>
      </c>
      <c r="MF106" s="227">
        <f>IFERROR(IF(MF$7&gt;$D$3,"",AVERAGE($HJ106:HQ106)),"")</f>
        <v>0</v>
      </c>
      <c r="MG106" s="227">
        <f>IFERROR(IF(MG$7&gt;$D$3,"",AVERAGE($HJ106:HR106)),"")</f>
        <v>0</v>
      </c>
      <c r="MH106" s="227">
        <f>IFERROR(IF(MH$7&gt;$D$3,"",AVERAGE($HJ106:HS106)),"")</f>
        <v>0</v>
      </c>
      <c r="MI106" s="227">
        <f>IFERROR(IF(MI$7&gt;$D$3,"",AVERAGE($HJ106:HT106)),"")</f>
        <v>0</v>
      </c>
      <c r="MJ106" s="227">
        <f>IFERROR(IF(MJ$7&gt;$D$3,"",AVERAGE($HJ106:HU106)),"")</f>
        <v>12.909090909090908</v>
      </c>
      <c r="MK106" s="227">
        <f>IFERROR(IF(MK$7&gt;$D$3,"",AVERAGE($HJ106:HV106)),"")</f>
        <v>11.833333333333334</v>
      </c>
      <c r="ML106" s="227">
        <f>IFERROR(IF(ML$7&gt;$D$3,"",AVERAGE($HJ106:HW106)),"")</f>
        <v>10.923076923076923</v>
      </c>
      <c r="MM106" s="227">
        <f>IFERROR(IF(MM$7&gt;$D$3,"",AVERAGE($HJ106:HX106)),"")</f>
        <v>10.142857142857142</v>
      </c>
      <c r="MN106" s="227">
        <f>IFERROR(IF(MN$7&gt;$D$3,"",AVERAGE($HJ106:HY106)),"")</f>
        <v>9.4666666666666668</v>
      </c>
      <c r="MO106" s="227">
        <f>IFERROR(IF(MO$7&gt;$D$3,"",AVERAGE($HJ106:HZ106)),"")</f>
        <v>8.875</v>
      </c>
      <c r="MP106" s="227">
        <f>IFERROR(IF(MP$7&gt;$D$3,"",AVERAGE($HJ106:IA106)),"")</f>
        <v>8.3529411764705888</v>
      </c>
      <c r="MQ106" s="227">
        <f>IFERROR(IF(MQ$7&gt;$D$3,"",AVERAGE($HJ106:IB106)),"")</f>
        <v>7.8888888888888893</v>
      </c>
      <c r="MR106" s="227">
        <f>IFERROR(IF(MR$7&gt;$D$3,"",AVERAGE($HJ106:IC106)),"")</f>
        <v>7.4736842105263159</v>
      </c>
      <c r="MS106" s="227">
        <f>IFERROR(IF(MS$7&gt;$D$3,"",AVERAGE($HJ106:ID106)),"")</f>
        <v>8.1</v>
      </c>
      <c r="MT106" s="227">
        <f>IFERROR(IF(MT$7&gt;$D$3,"",AVERAGE($HJ106:IE106)),"")</f>
        <v>7.7142857142857144</v>
      </c>
      <c r="MU106" s="227">
        <f>IFERROR(IF(MU$7&gt;$D$3,"",AVERAGE($HJ106:IF106)),"")</f>
        <v>7.3636363636363633</v>
      </c>
      <c r="MV106" s="227">
        <f>IFERROR(IF(MV$7&gt;$D$3,"",AVERAGE($HJ106:IG106)),"")</f>
        <v>7.0434782608695654</v>
      </c>
      <c r="MW106" s="227">
        <f>IFERROR(IF(MW$7&gt;$D$3,"",AVERAGE($HJ106:IH106)),"")</f>
        <v>6.75</v>
      </c>
      <c r="MX106" s="227">
        <f>IFERROR(IF(MX$7&gt;$D$3,"",AVERAGE($HJ106:II106)),"")</f>
        <v>6.48</v>
      </c>
      <c r="MY106" s="227">
        <f>IFERROR(IF(MY$7&gt;$D$3,"",AVERAGE($HJ106:IJ106)),"")</f>
        <v>6.2307692307692308</v>
      </c>
      <c r="MZ106" s="227">
        <f>IFERROR(IF(MZ$7&gt;$D$3,"",AVERAGE($HJ106:IK106)),"")</f>
        <v>6</v>
      </c>
      <c r="NA106" s="227">
        <f>IFERROR(IF(NA$7&gt;$D$3,"",AVERAGE($HJ106:IL106)),"")</f>
        <v>5.7857142857142856</v>
      </c>
      <c r="NB106" s="227">
        <f>IFERROR(IF(NB$7&gt;$D$3,"",AVERAGE($HJ106:IM106)),"")</f>
        <v>5.5862068965517242</v>
      </c>
      <c r="NC106" s="227">
        <f>IFERROR(IF(NC$7&gt;$D$3,"",AVERAGE($HJ106:IN106)),"")</f>
        <v>5.4</v>
      </c>
      <c r="ND106" s="227">
        <f>IFERROR(IF(ND$7&gt;$D$3,"",AVERAGE($HJ106:IO106)),"")</f>
        <v>5.225806451612903</v>
      </c>
      <c r="NE106" s="227">
        <f>IFERROR(IF(NE$7&gt;$D$3,"",AVERAGE($HJ106:IP106)),"")</f>
        <v>5.0625</v>
      </c>
      <c r="NF106" s="227">
        <f>IFERROR(IF(NF$7&gt;$D$3,"",AVERAGE($HJ106:IQ106)),"")</f>
        <v>4.9090909090909092</v>
      </c>
      <c r="NG106" s="227">
        <f>IFERROR(IF(NG$7&gt;$D$3,"",AVERAGE($HJ106:IR106)),"")</f>
        <v>4.7647058823529411</v>
      </c>
      <c r="NH106" s="227">
        <f>IFERROR(IF(NH$7&gt;$D$3,"",AVERAGE($HJ106:IS106)),"")</f>
        <v>5.7714285714285714</v>
      </c>
      <c r="NI106" s="227">
        <f>IFERROR(IF(NI$7&gt;$D$3,"",AVERAGE($HJ106:IT106)),"")</f>
        <v>5.6111111111111107</v>
      </c>
      <c r="NJ106" s="227">
        <f>IFERROR(IF(NJ$7&gt;$D$3,"",AVERAGE($HJ106:IU106)),"")</f>
        <v>12.675675675675675</v>
      </c>
      <c r="NK106" s="227">
        <f>IFERROR(IF(NK$7&gt;$D$3,"",AVERAGE($HJ106:IV106)),"")</f>
        <v>12.342105263157896</v>
      </c>
      <c r="NL106" s="227">
        <f>IFERROR(IF(NL$7&gt;$D$3,"",AVERAGE($HJ106:IW106)),"")</f>
        <v>12.025641025641026</v>
      </c>
      <c r="NM106" s="227">
        <f>IFERROR(IF(NM$7&gt;$D$3,"",AVERAGE($HJ106:IX106)),"")</f>
        <v>11.725</v>
      </c>
      <c r="NN106" s="227">
        <f>IFERROR(IF(NN$7&gt;$D$3,"",AVERAGE($HJ106:IY106)),"")</f>
        <v>11.439024390243903</v>
      </c>
      <c r="NO106" s="227" t="str">
        <f>IFERROR(IF(NO$7&gt;$D$3,"",AVERAGE($HJ106:IZ106)),"")</f>
        <v/>
      </c>
      <c r="NP106" s="227" t="str">
        <f>IFERROR(IF(NP$7&gt;$D$3,"",AVERAGE($HJ106:JA106)),"")</f>
        <v/>
      </c>
      <c r="NQ106" s="227" t="str">
        <f>IFERROR(IF(NQ$7&gt;$D$3,"",AVERAGE($HJ106:JB106)),"")</f>
        <v/>
      </c>
      <c r="NR106" s="227" t="str">
        <f>IFERROR(IF(NR$7&gt;$D$3,"",AVERAGE($HJ106:JC106)),"")</f>
        <v/>
      </c>
      <c r="NS106" s="227" t="str">
        <f>IFERROR(IF(NS$7&gt;$D$3,"",AVERAGE($HJ106:JD106)),"")</f>
        <v/>
      </c>
      <c r="NT106" s="227" t="str">
        <f>IFERROR(IF(NT$7&gt;$D$3,"",AVERAGE($HJ106:JE106)),"")</f>
        <v/>
      </c>
      <c r="NU106" s="227" t="str">
        <f>IFERROR(IF(NU$7&gt;$D$3,"",AVERAGE($HJ106:JF106)),"")</f>
        <v/>
      </c>
      <c r="NV106" s="227" t="str">
        <f>IFERROR(IF(NV$7&gt;$D$3,"",AVERAGE($HJ106:JG106)),"")</f>
        <v/>
      </c>
      <c r="NW106" s="227" t="str">
        <f>IFERROR(IF(NW$7&gt;$D$3,"",AVERAGE($HJ106:JH106)),"")</f>
        <v/>
      </c>
      <c r="NX106" s="227" t="str">
        <f>IFERROR(IF(NX$7&gt;$D$3,"",AVERAGE($HJ106:JI106)),"")</f>
        <v/>
      </c>
      <c r="NY106" s="227" t="str">
        <f>IFERROR(IF(NY$7&gt;$D$3,"",AVERAGE($HJ106:JJ106)),"")</f>
        <v/>
      </c>
    </row>
    <row r="107" spans="1:389" ht="15" thickBot="1" x14ac:dyDescent="0.35">
      <c r="AB107" s="292"/>
      <c r="AH107" s="465"/>
      <c r="AN107" s="201"/>
      <c r="CO107" s="465"/>
      <c r="CV107" s="316"/>
      <c r="CW107" s="316"/>
      <c r="CX107" s="316"/>
      <c r="CY107" s="316"/>
      <c r="CZ107" s="316"/>
      <c r="DA107" s="316"/>
      <c r="DB107" s="316"/>
      <c r="DC107" s="316"/>
      <c r="DD107" s="316"/>
      <c r="DE107" s="316"/>
      <c r="DF107" s="316"/>
      <c r="DG107" s="316"/>
      <c r="DH107" s="316"/>
      <c r="DI107" s="316"/>
      <c r="DJ107" s="316"/>
      <c r="DK107" s="316"/>
      <c r="DL107" s="316"/>
      <c r="DM107" s="316"/>
      <c r="DN107" s="316"/>
      <c r="DO107" s="316"/>
      <c r="DP107" s="316"/>
      <c r="DQ107" s="316"/>
      <c r="DR107" s="316"/>
      <c r="DS107" s="316"/>
      <c r="DT107" s="316"/>
      <c r="DU107" s="316"/>
      <c r="DV107" s="316"/>
      <c r="DW107" s="316"/>
      <c r="DX107" s="316"/>
      <c r="DY107" s="316"/>
      <c r="DZ107" s="316"/>
      <c r="EA107" s="316"/>
      <c r="EB107" s="316"/>
      <c r="EC107" s="316"/>
      <c r="ED107" s="316"/>
      <c r="EE107" s="316"/>
      <c r="EF107" s="316"/>
      <c r="EG107" s="316"/>
      <c r="EH107" s="316"/>
      <c r="EI107" s="316"/>
      <c r="EJ107" s="316"/>
      <c r="EK107" s="316"/>
      <c r="EL107" s="316"/>
      <c r="EM107" s="316"/>
      <c r="EN107" s="316"/>
      <c r="EO107" s="316"/>
      <c r="EP107" s="316"/>
      <c r="EQ107" s="316"/>
      <c r="ER107" s="316"/>
      <c r="ES107" s="316"/>
      <c r="ET107" s="316"/>
      <c r="EU107" s="316"/>
      <c r="EW107" s="465"/>
      <c r="FC107" s="201"/>
      <c r="FD107" s="201"/>
      <c r="FE107" s="201"/>
      <c r="FF107" s="201"/>
      <c r="FG107" s="201"/>
      <c r="FH107" s="201"/>
      <c r="FI107" s="201"/>
      <c r="FJ107" s="201"/>
      <c r="FK107" s="201"/>
      <c r="FL107" s="201"/>
      <c r="FM107" s="201"/>
      <c r="FN107" s="201"/>
      <c r="FO107" s="201"/>
      <c r="FP107" s="201"/>
      <c r="FQ107" s="201"/>
      <c r="FR107" s="201"/>
      <c r="FS107" s="201"/>
      <c r="FT107" s="201"/>
      <c r="FU107" s="201"/>
      <c r="FV107" s="201"/>
      <c r="FW107" s="201"/>
      <c r="FX107" s="201"/>
      <c r="FY107" s="201"/>
      <c r="FZ107" s="201"/>
      <c r="GA107" s="201"/>
      <c r="GB107" s="201"/>
      <c r="GC107" s="201"/>
      <c r="GD107" s="201"/>
      <c r="GE107" s="201"/>
      <c r="GF107" s="201"/>
      <c r="GG107" s="201"/>
      <c r="GH107" s="201"/>
      <c r="GI107" s="201"/>
      <c r="GJ107" s="201"/>
      <c r="GK107" s="201"/>
      <c r="GL107" s="201"/>
      <c r="GM107" s="201"/>
      <c r="GN107" s="201"/>
      <c r="GO107" s="201"/>
      <c r="GP107" s="201"/>
      <c r="GQ107" s="201"/>
      <c r="GR107" s="201"/>
      <c r="GS107" s="201"/>
      <c r="GT107" s="201"/>
      <c r="GU107" s="201"/>
      <c r="GV107" s="201"/>
      <c r="GW107" s="201"/>
      <c r="GX107" s="201"/>
      <c r="GY107" s="201"/>
      <c r="GZ107" s="201"/>
      <c r="HA107" s="201"/>
      <c r="HB107" s="201"/>
      <c r="HC107" s="201"/>
      <c r="HJ107" s="201"/>
      <c r="HK107" s="201"/>
      <c r="HL107" s="249"/>
      <c r="HM107" s="249"/>
      <c r="HN107" s="249"/>
      <c r="HO107" s="249"/>
      <c r="HP107" s="249"/>
      <c r="HQ107" s="249"/>
      <c r="HR107" s="249"/>
      <c r="HS107" s="249"/>
      <c r="HT107" s="249"/>
      <c r="HU107" s="249"/>
      <c r="HV107" s="249"/>
      <c r="HW107" s="249"/>
      <c r="HX107" s="249"/>
      <c r="HY107" s="249"/>
      <c r="HZ107" s="249"/>
      <c r="IA107" s="249"/>
      <c r="IB107" s="249"/>
      <c r="IC107" s="249"/>
      <c r="ID107" s="249"/>
      <c r="IE107" s="249"/>
      <c r="IF107" s="249"/>
      <c r="IG107" s="249"/>
      <c r="IH107" s="249"/>
      <c r="II107" s="249"/>
      <c r="IJ107" s="249"/>
      <c r="IK107" s="249"/>
      <c r="IL107" s="249"/>
      <c r="IM107" s="249"/>
      <c r="IN107" s="249"/>
      <c r="IO107" s="249"/>
      <c r="IP107" s="249"/>
      <c r="IQ107" s="249"/>
      <c r="IR107" s="249"/>
      <c r="IS107" s="249"/>
      <c r="IT107" s="249"/>
      <c r="IU107" s="249"/>
      <c r="IV107" s="249"/>
      <c r="IW107" s="249"/>
      <c r="IX107" s="249"/>
      <c r="IY107" s="249"/>
      <c r="IZ107" s="249"/>
      <c r="JA107" s="249"/>
      <c r="JB107" s="249"/>
      <c r="JC107" s="249"/>
      <c r="JD107" s="249"/>
      <c r="JE107" s="249"/>
      <c r="JF107" s="249"/>
      <c r="JG107" s="249"/>
      <c r="JH107" s="249"/>
      <c r="JI107" s="249"/>
      <c r="JJ107" s="249"/>
      <c r="JR107" s="249"/>
      <c r="JS107" s="249"/>
      <c r="JT107" s="249"/>
      <c r="JU107" s="249"/>
      <c r="JV107" s="249"/>
      <c r="JW107" s="249"/>
      <c r="JX107" s="249"/>
      <c r="JY107" s="249"/>
      <c r="JZ107" s="249"/>
      <c r="KA107" s="249"/>
      <c r="KB107" s="249"/>
      <c r="KC107" s="249"/>
      <c r="KD107" s="249"/>
      <c r="KE107" s="249"/>
      <c r="KF107" s="249"/>
      <c r="KG107" s="249"/>
      <c r="KH107" s="249"/>
      <c r="KI107" s="249"/>
      <c r="KJ107" s="249"/>
      <c r="KK107" s="249"/>
      <c r="KL107" s="249"/>
      <c r="KM107" s="249"/>
      <c r="KN107" s="249"/>
      <c r="KO107" s="249"/>
      <c r="KP107" s="249"/>
      <c r="KQ107" s="249"/>
      <c r="KR107" s="249"/>
      <c r="KS107" s="249"/>
      <c r="KT107" s="249"/>
      <c r="KU107" s="249"/>
      <c r="KV107" s="249"/>
      <c r="KW107" s="249"/>
      <c r="KX107" s="249"/>
      <c r="KY107" s="249"/>
      <c r="KZ107" s="249"/>
      <c r="LA107" s="249"/>
      <c r="LB107" s="249"/>
      <c r="LC107" s="249"/>
      <c r="LD107" s="249"/>
      <c r="LE107" s="249"/>
      <c r="LF107" s="249"/>
      <c r="LG107" s="249"/>
      <c r="LH107" s="249"/>
      <c r="LI107" s="249"/>
      <c r="LJ107" s="249"/>
      <c r="LK107" s="249"/>
      <c r="LL107" s="249"/>
      <c r="LM107" s="249"/>
      <c r="LN107" s="249"/>
      <c r="LO107" s="249"/>
      <c r="LP107" s="249"/>
      <c r="LQ107" s="249"/>
      <c r="LR107" s="249"/>
      <c r="LY107" s="201"/>
      <c r="LZ107" s="201"/>
      <c r="MA107" s="201"/>
      <c r="MB107" s="201"/>
      <c r="MC107" s="201"/>
      <c r="MD107" s="201"/>
      <c r="ME107" s="201"/>
      <c r="MF107" s="201"/>
      <c r="MG107" s="201"/>
      <c r="MH107" s="201"/>
      <c r="MI107" s="201"/>
      <c r="MJ107" s="201"/>
      <c r="MK107" s="201"/>
      <c r="ML107" s="201"/>
      <c r="MM107" s="201"/>
      <c r="MN107" s="201"/>
      <c r="MO107" s="201"/>
      <c r="MP107" s="201"/>
      <c r="MQ107" s="201"/>
      <c r="MR107" s="201"/>
      <c r="MS107" s="201"/>
      <c r="MT107" s="201"/>
      <c r="MU107" s="201"/>
      <c r="MV107" s="201"/>
      <c r="MW107" s="201"/>
      <c r="MX107" s="201"/>
      <c r="MY107" s="201"/>
      <c r="MZ107" s="201"/>
      <c r="NA107" s="201"/>
      <c r="NB107" s="201"/>
      <c r="NC107" s="201"/>
      <c r="ND107" s="201"/>
      <c r="NE107" s="201"/>
      <c r="NF107" s="201"/>
      <c r="NG107" s="201"/>
      <c r="NH107" s="201"/>
      <c r="NI107" s="201"/>
      <c r="NJ107" s="201"/>
      <c r="NK107" s="201"/>
      <c r="NL107" s="201"/>
      <c r="NM107" s="201"/>
      <c r="NN107" s="201"/>
      <c r="NO107" s="201"/>
      <c r="NP107" s="201"/>
      <c r="NQ107" s="201"/>
      <c r="NR107" s="201"/>
      <c r="NS107" s="201"/>
      <c r="NT107" s="201"/>
      <c r="NU107" s="201"/>
      <c r="NV107" s="201"/>
      <c r="NW107" s="201"/>
      <c r="NX107" s="201"/>
      <c r="NY107" s="201"/>
    </row>
    <row r="108" spans="1:389" ht="23.4" customHeight="1" thickBot="1" x14ac:dyDescent="0.35">
      <c r="B108" s="180" t="str">
        <f>+'KPI Stats'!B107</f>
        <v>Finance</v>
      </c>
      <c r="C108" s="133" t="str">
        <f>+'KPI Stats'!C107</f>
        <v>Gethin Davies</v>
      </c>
      <c r="D108" s="134"/>
      <c r="E108" s="141" t="str">
        <f>+'KPI Stats'!E107</f>
        <v>Completed to Week</v>
      </c>
      <c r="F108" s="141">
        <f>+'KPI Stats'!F107</f>
        <v>42</v>
      </c>
      <c r="G108" s="181" t="str">
        <f>+'KPI Stats'!G107</f>
        <v>Weekly KPI</v>
      </c>
      <c r="J108" s="181" t="str">
        <f>+$B108</f>
        <v>Finance</v>
      </c>
      <c r="K108" s="181"/>
      <c r="L108" s="182"/>
      <c r="M108" s="183"/>
      <c r="P108" s="181" t="str">
        <f>+$B108</f>
        <v>Finance</v>
      </c>
      <c r="Q108" s="181"/>
      <c r="R108" s="181"/>
      <c r="S108" s="183"/>
      <c r="T108" s="183"/>
      <c r="U108" s="291"/>
      <c r="X108" s="181" t="str">
        <f>+$B108</f>
        <v>Finance</v>
      </c>
      <c r="Y108" s="181"/>
      <c r="Z108" s="181"/>
      <c r="AA108" s="183"/>
      <c r="AB108" s="291"/>
      <c r="AC108" s="181" t="str">
        <f>+$B108</f>
        <v>Finance</v>
      </c>
      <c r="AD108" s="181"/>
      <c r="AE108" s="181"/>
      <c r="AF108" s="183"/>
      <c r="AH108" s="465"/>
      <c r="AI108" s="191" t="str">
        <f>+B109</f>
        <v>Finance</v>
      </c>
      <c r="AJ108" s="192"/>
      <c r="AK108" s="141" t="str">
        <f t="shared" ref="AK108:AL113" si="354">+E108</f>
        <v>Completed to Week</v>
      </c>
      <c r="AL108" s="141">
        <f t="shared" si="354"/>
        <v>42</v>
      </c>
      <c r="AM108" s="181" t="str">
        <f t="shared" ref="AM108:BR108" si="355">+$B108</f>
        <v>Finance</v>
      </c>
      <c r="AN108" s="197" t="str">
        <f t="shared" si="355"/>
        <v>Finance</v>
      </c>
      <c r="AO108" s="181" t="str">
        <f t="shared" si="355"/>
        <v>Finance</v>
      </c>
      <c r="AP108" s="181" t="str">
        <f t="shared" si="355"/>
        <v>Finance</v>
      </c>
      <c r="AQ108" s="181" t="str">
        <f t="shared" si="355"/>
        <v>Finance</v>
      </c>
      <c r="AR108" s="181" t="str">
        <f t="shared" si="355"/>
        <v>Finance</v>
      </c>
      <c r="AS108" s="181" t="str">
        <f t="shared" si="355"/>
        <v>Finance</v>
      </c>
      <c r="AT108" s="181" t="str">
        <f t="shared" si="355"/>
        <v>Finance</v>
      </c>
      <c r="AU108" s="181" t="str">
        <f t="shared" si="355"/>
        <v>Finance</v>
      </c>
      <c r="AV108" s="181" t="str">
        <f t="shared" si="355"/>
        <v>Finance</v>
      </c>
      <c r="AW108" s="181" t="str">
        <f t="shared" si="355"/>
        <v>Finance</v>
      </c>
      <c r="AX108" s="181" t="str">
        <f t="shared" si="355"/>
        <v>Finance</v>
      </c>
      <c r="AY108" s="181" t="str">
        <f t="shared" si="355"/>
        <v>Finance</v>
      </c>
      <c r="AZ108" s="181" t="str">
        <f t="shared" si="355"/>
        <v>Finance</v>
      </c>
      <c r="BA108" s="181" t="str">
        <f t="shared" si="355"/>
        <v>Finance</v>
      </c>
      <c r="BB108" s="181" t="str">
        <f t="shared" si="355"/>
        <v>Finance</v>
      </c>
      <c r="BC108" s="181" t="str">
        <f t="shared" si="355"/>
        <v>Finance</v>
      </c>
      <c r="BD108" s="181" t="str">
        <f t="shared" si="355"/>
        <v>Finance</v>
      </c>
      <c r="BE108" s="181" t="str">
        <f t="shared" si="355"/>
        <v>Finance</v>
      </c>
      <c r="BF108" s="181" t="str">
        <f t="shared" si="355"/>
        <v>Finance</v>
      </c>
      <c r="BG108" s="181" t="str">
        <f t="shared" si="355"/>
        <v>Finance</v>
      </c>
      <c r="BH108" s="181" t="str">
        <f t="shared" si="355"/>
        <v>Finance</v>
      </c>
      <c r="BI108" s="181" t="str">
        <f t="shared" si="355"/>
        <v>Finance</v>
      </c>
      <c r="BJ108" s="181" t="str">
        <f t="shared" si="355"/>
        <v>Finance</v>
      </c>
      <c r="BK108" s="181" t="str">
        <f t="shared" si="355"/>
        <v>Finance</v>
      </c>
      <c r="BL108" s="181" t="str">
        <f t="shared" si="355"/>
        <v>Finance</v>
      </c>
      <c r="BM108" s="181" t="str">
        <f t="shared" si="355"/>
        <v>Finance</v>
      </c>
      <c r="BN108" s="181" t="str">
        <f t="shared" si="355"/>
        <v>Finance</v>
      </c>
      <c r="BO108" s="181" t="str">
        <f t="shared" si="355"/>
        <v>Finance</v>
      </c>
      <c r="BP108" s="181" t="str">
        <f t="shared" si="355"/>
        <v>Finance</v>
      </c>
      <c r="BQ108" s="181" t="str">
        <f t="shared" si="355"/>
        <v>Finance</v>
      </c>
      <c r="BR108" s="181" t="str">
        <f t="shared" si="355"/>
        <v>Finance</v>
      </c>
      <c r="BS108" s="181" t="str">
        <f t="shared" ref="BS108:CM108" si="356">+$B108</f>
        <v>Finance</v>
      </c>
      <c r="BT108" s="181" t="str">
        <f t="shared" si="356"/>
        <v>Finance</v>
      </c>
      <c r="BU108" s="181" t="str">
        <f t="shared" si="356"/>
        <v>Finance</v>
      </c>
      <c r="BV108" s="181" t="str">
        <f t="shared" si="356"/>
        <v>Finance</v>
      </c>
      <c r="BW108" s="181" t="str">
        <f t="shared" si="356"/>
        <v>Finance</v>
      </c>
      <c r="BX108" s="181" t="str">
        <f t="shared" si="356"/>
        <v>Finance</v>
      </c>
      <c r="BY108" s="181" t="str">
        <f t="shared" si="356"/>
        <v>Finance</v>
      </c>
      <c r="BZ108" s="181" t="str">
        <f t="shared" si="356"/>
        <v>Finance</v>
      </c>
      <c r="CA108" s="181" t="str">
        <f t="shared" si="356"/>
        <v>Finance</v>
      </c>
      <c r="CB108" s="181" t="str">
        <f t="shared" si="356"/>
        <v>Finance</v>
      </c>
      <c r="CC108" s="181" t="str">
        <f t="shared" si="356"/>
        <v>Finance</v>
      </c>
      <c r="CD108" s="181" t="str">
        <f t="shared" si="356"/>
        <v>Finance</v>
      </c>
      <c r="CE108" s="181" t="str">
        <f t="shared" si="356"/>
        <v>Finance</v>
      </c>
      <c r="CF108" s="181" t="str">
        <f t="shared" si="356"/>
        <v>Finance</v>
      </c>
      <c r="CG108" s="181" t="str">
        <f t="shared" si="356"/>
        <v>Finance</v>
      </c>
      <c r="CH108" s="181" t="str">
        <f t="shared" si="356"/>
        <v>Finance</v>
      </c>
      <c r="CI108" s="181" t="str">
        <f t="shared" si="356"/>
        <v>Finance</v>
      </c>
      <c r="CJ108" s="181" t="str">
        <f t="shared" si="356"/>
        <v>Finance</v>
      </c>
      <c r="CK108" s="181" t="str">
        <f t="shared" si="356"/>
        <v>Finance</v>
      </c>
      <c r="CL108" s="181" t="str">
        <f t="shared" si="356"/>
        <v>Finance</v>
      </c>
      <c r="CM108" s="181" t="str">
        <f t="shared" si="356"/>
        <v>Finance</v>
      </c>
      <c r="CO108" s="465"/>
      <c r="CP108" s="191" t="str">
        <f>+B109</f>
        <v>Finance</v>
      </c>
      <c r="CQ108" s="192"/>
      <c r="CR108" s="141" t="str">
        <f>+E108</f>
        <v>Completed to Week</v>
      </c>
      <c r="CS108" s="141">
        <f>+F108</f>
        <v>42</v>
      </c>
      <c r="CT108" s="141" t="str">
        <f>+G108</f>
        <v>Weekly KPI</v>
      </c>
      <c r="CU108" s="181" t="str">
        <f t="shared" ref="CU108:EU108" si="357">+$B108</f>
        <v>Finance</v>
      </c>
      <c r="CV108" s="317" t="str">
        <f t="shared" si="357"/>
        <v>Finance</v>
      </c>
      <c r="CW108" s="317" t="str">
        <f t="shared" si="357"/>
        <v>Finance</v>
      </c>
      <c r="CX108" s="317" t="str">
        <f t="shared" si="357"/>
        <v>Finance</v>
      </c>
      <c r="CY108" s="317" t="str">
        <f t="shared" si="357"/>
        <v>Finance</v>
      </c>
      <c r="CZ108" s="317" t="str">
        <f t="shared" si="357"/>
        <v>Finance</v>
      </c>
      <c r="DA108" s="317" t="str">
        <f t="shared" si="357"/>
        <v>Finance</v>
      </c>
      <c r="DB108" s="317" t="str">
        <f t="shared" si="357"/>
        <v>Finance</v>
      </c>
      <c r="DC108" s="317" t="str">
        <f t="shared" si="357"/>
        <v>Finance</v>
      </c>
      <c r="DD108" s="317" t="str">
        <f t="shared" si="357"/>
        <v>Finance</v>
      </c>
      <c r="DE108" s="317" t="str">
        <f t="shared" si="357"/>
        <v>Finance</v>
      </c>
      <c r="DF108" s="317" t="str">
        <f t="shared" si="357"/>
        <v>Finance</v>
      </c>
      <c r="DG108" s="317" t="str">
        <f t="shared" si="357"/>
        <v>Finance</v>
      </c>
      <c r="DH108" s="317" t="str">
        <f t="shared" si="357"/>
        <v>Finance</v>
      </c>
      <c r="DI108" s="317" t="str">
        <f t="shared" si="357"/>
        <v>Finance</v>
      </c>
      <c r="DJ108" s="317" t="str">
        <f t="shared" si="357"/>
        <v>Finance</v>
      </c>
      <c r="DK108" s="317" t="str">
        <f t="shared" si="357"/>
        <v>Finance</v>
      </c>
      <c r="DL108" s="317" t="str">
        <f t="shared" si="357"/>
        <v>Finance</v>
      </c>
      <c r="DM108" s="317" t="str">
        <f t="shared" si="357"/>
        <v>Finance</v>
      </c>
      <c r="DN108" s="317" t="str">
        <f t="shared" si="357"/>
        <v>Finance</v>
      </c>
      <c r="DO108" s="317" t="str">
        <f t="shared" si="357"/>
        <v>Finance</v>
      </c>
      <c r="DP108" s="317" t="str">
        <f t="shared" si="357"/>
        <v>Finance</v>
      </c>
      <c r="DQ108" s="317" t="str">
        <f t="shared" si="357"/>
        <v>Finance</v>
      </c>
      <c r="DR108" s="317" t="str">
        <f t="shared" si="357"/>
        <v>Finance</v>
      </c>
      <c r="DS108" s="317" t="str">
        <f t="shared" si="357"/>
        <v>Finance</v>
      </c>
      <c r="DT108" s="317" t="str">
        <f t="shared" si="357"/>
        <v>Finance</v>
      </c>
      <c r="DU108" s="317" t="str">
        <f t="shared" si="357"/>
        <v>Finance</v>
      </c>
      <c r="DV108" s="317" t="str">
        <f t="shared" si="357"/>
        <v>Finance</v>
      </c>
      <c r="DW108" s="317" t="str">
        <f t="shared" si="357"/>
        <v>Finance</v>
      </c>
      <c r="DX108" s="317" t="str">
        <f t="shared" si="357"/>
        <v>Finance</v>
      </c>
      <c r="DY108" s="317" t="str">
        <f t="shared" si="357"/>
        <v>Finance</v>
      </c>
      <c r="DZ108" s="317" t="str">
        <f t="shared" si="357"/>
        <v>Finance</v>
      </c>
      <c r="EA108" s="317" t="str">
        <f t="shared" si="357"/>
        <v>Finance</v>
      </c>
      <c r="EB108" s="317" t="str">
        <f t="shared" si="357"/>
        <v>Finance</v>
      </c>
      <c r="EC108" s="317" t="str">
        <f t="shared" si="357"/>
        <v>Finance</v>
      </c>
      <c r="ED108" s="317" t="str">
        <f t="shared" si="357"/>
        <v>Finance</v>
      </c>
      <c r="EE108" s="317" t="str">
        <f t="shared" si="357"/>
        <v>Finance</v>
      </c>
      <c r="EF108" s="317" t="str">
        <f t="shared" si="357"/>
        <v>Finance</v>
      </c>
      <c r="EG108" s="317" t="str">
        <f t="shared" si="357"/>
        <v>Finance</v>
      </c>
      <c r="EH108" s="317" t="str">
        <f t="shared" si="357"/>
        <v>Finance</v>
      </c>
      <c r="EI108" s="317" t="str">
        <f t="shared" si="357"/>
        <v>Finance</v>
      </c>
      <c r="EJ108" s="317" t="str">
        <f t="shared" si="357"/>
        <v>Finance</v>
      </c>
      <c r="EK108" s="317" t="str">
        <f t="shared" si="357"/>
        <v>Finance</v>
      </c>
      <c r="EL108" s="317" t="str">
        <f t="shared" si="357"/>
        <v>Finance</v>
      </c>
      <c r="EM108" s="317" t="str">
        <f t="shared" si="357"/>
        <v>Finance</v>
      </c>
      <c r="EN108" s="317" t="str">
        <f t="shared" si="357"/>
        <v>Finance</v>
      </c>
      <c r="EO108" s="317" t="str">
        <f t="shared" si="357"/>
        <v>Finance</v>
      </c>
      <c r="EP108" s="317" t="str">
        <f t="shared" si="357"/>
        <v>Finance</v>
      </c>
      <c r="EQ108" s="317" t="str">
        <f t="shared" si="357"/>
        <v>Finance</v>
      </c>
      <c r="ER108" s="317" t="str">
        <f t="shared" si="357"/>
        <v>Finance</v>
      </c>
      <c r="ES108" s="317" t="str">
        <f t="shared" si="357"/>
        <v>Finance</v>
      </c>
      <c r="ET108" s="317" t="str">
        <f t="shared" si="357"/>
        <v>Finance</v>
      </c>
      <c r="EU108" s="317" t="str">
        <f t="shared" si="357"/>
        <v>Finance</v>
      </c>
      <c r="EW108" s="465"/>
      <c r="EX108" s="191" t="str">
        <f>+$B108</f>
        <v>Finance</v>
      </c>
      <c r="EY108" s="192"/>
      <c r="EZ108" s="141" t="str">
        <f t="shared" ref="EZ108:EZ113" si="358">+$E108</f>
        <v>Completed to Week</v>
      </c>
      <c r="FA108" s="141">
        <f t="shared" ref="FA108:FA113" si="359">+$F108</f>
        <v>42</v>
      </c>
      <c r="FB108" s="141"/>
      <c r="FC108" s="197" t="str">
        <f t="shared" ref="FC108:GH108" si="360">+$B108</f>
        <v>Finance</v>
      </c>
      <c r="FD108" s="197" t="str">
        <f t="shared" si="360"/>
        <v>Finance</v>
      </c>
      <c r="FE108" s="197" t="str">
        <f t="shared" si="360"/>
        <v>Finance</v>
      </c>
      <c r="FF108" s="197" t="str">
        <f t="shared" si="360"/>
        <v>Finance</v>
      </c>
      <c r="FG108" s="197" t="str">
        <f t="shared" si="360"/>
        <v>Finance</v>
      </c>
      <c r="FH108" s="197" t="str">
        <f t="shared" si="360"/>
        <v>Finance</v>
      </c>
      <c r="FI108" s="197" t="str">
        <f t="shared" si="360"/>
        <v>Finance</v>
      </c>
      <c r="FJ108" s="197" t="str">
        <f t="shared" si="360"/>
        <v>Finance</v>
      </c>
      <c r="FK108" s="197" t="str">
        <f t="shared" si="360"/>
        <v>Finance</v>
      </c>
      <c r="FL108" s="197" t="str">
        <f t="shared" si="360"/>
        <v>Finance</v>
      </c>
      <c r="FM108" s="197" t="str">
        <f t="shared" si="360"/>
        <v>Finance</v>
      </c>
      <c r="FN108" s="197" t="str">
        <f t="shared" si="360"/>
        <v>Finance</v>
      </c>
      <c r="FO108" s="197" t="str">
        <f t="shared" si="360"/>
        <v>Finance</v>
      </c>
      <c r="FP108" s="197" t="str">
        <f t="shared" si="360"/>
        <v>Finance</v>
      </c>
      <c r="FQ108" s="197" t="str">
        <f t="shared" si="360"/>
        <v>Finance</v>
      </c>
      <c r="FR108" s="197" t="str">
        <f t="shared" si="360"/>
        <v>Finance</v>
      </c>
      <c r="FS108" s="197" t="str">
        <f t="shared" si="360"/>
        <v>Finance</v>
      </c>
      <c r="FT108" s="197" t="str">
        <f t="shared" si="360"/>
        <v>Finance</v>
      </c>
      <c r="FU108" s="197" t="str">
        <f t="shared" si="360"/>
        <v>Finance</v>
      </c>
      <c r="FV108" s="197" t="str">
        <f t="shared" si="360"/>
        <v>Finance</v>
      </c>
      <c r="FW108" s="197" t="str">
        <f t="shared" si="360"/>
        <v>Finance</v>
      </c>
      <c r="FX108" s="197" t="str">
        <f t="shared" si="360"/>
        <v>Finance</v>
      </c>
      <c r="FY108" s="197" t="str">
        <f t="shared" si="360"/>
        <v>Finance</v>
      </c>
      <c r="FZ108" s="197" t="str">
        <f t="shared" si="360"/>
        <v>Finance</v>
      </c>
      <c r="GA108" s="197" t="str">
        <f t="shared" si="360"/>
        <v>Finance</v>
      </c>
      <c r="GB108" s="197" t="str">
        <f t="shared" si="360"/>
        <v>Finance</v>
      </c>
      <c r="GC108" s="197" t="str">
        <f t="shared" si="360"/>
        <v>Finance</v>
      </c>
      <c r="GD108" s="197" t="str">
        <f t="shared" si="360"/>
        <v>Finance</v>
      </c>
      <c r="GE108" s="197" t="str">
        <f t="shared" si="360"/>
        <v>Finance</v>
      </c>
      <c r="GF108" s="197" t="str">
        <f t="shared" si="360"/>
        <v>Finance</v>
      </c>
      <c r="GG108" s="197" t="str">
        <f t="shared" si="360"/>
        <v>Finance</v>
      </c>
      <c r="GH108" s="197" t="str">
        <f t="shared" si="360"/>
        <v>Finance</v>
      </c>
      <c r="GI108" s="197" t="str">
        <f t="shared" ref="GI108:HC108" si="361">+$B108</f>
        <v>Finance</v>
      </c>
      <c r="GJ108" s="197" t="str">
        <f t="shared" si="361"/>
        <v>Finance</v>
      </c>
      <c r="GK108" s="197" t="str">
        <f t="shared" si="361"/>
        <v>Finance</v>
      </c>
      <c r="GL108" s="197" t="str">
        <f t="shared" si="361"/>
        <v>Finance</v>
      </c>
      <c r="GM108" s="197" t="str">
        <f t="shared" si="361"/>
        <v>Finance</v>
      </c>
      <c r="GN108" s="197" t="str">
        <f t="shared" si="361"/>
        <v>Finance</v>
      </c>
      <c r="GO108" s="197" t="str">
        <f t="shared" si="361"/>
        <v>Finance</v>
      </c>
      <c r="GP108" s="197" t="str">
        <f t="shared" si="361"/>
        <v>Finance</v>
      </c>
      <c r="GQ108" s="197" t="str">
        <f t="shared" si="361"/>
        <v>Finance</v>
      </c>
      <c r="GR108" s="197" t="str">
        <f t="shared" si="361"/>
        <v>Finance</v>
      </c>
      <c r="GS108" s="197" t="str">
        <f t="shared" si="361"/>
        <v>Finance</v>
      </c>
      <c r="GT108" s="197" t="str">
        <f t="shared" si="361"/>
        <v>Finance</v>
      </c>
      <c r="GU108" s="197" t="str">
        <f t="shared" si="361"/>
        <v>Finance</v>
      </c>
      <c r="GV108" s="197" t="str">
        <f t="shared" si="361"/>
        <v>Finance</v>
      </c>
      <c r="GW108" s="197" t="str">
        <f t="shared" si="361"/>
        <v>Finance</v>
      </c>
      <c r="GX108" s="197" t="str">
        <f t="shared" si="361"/>
        <v>Finance</v>
      </c>
      <c r="GY108" s="197" t="str">
        <f t="shared" si="361"/>
        <v>Finance</v>
      </c>
      <c r="GZ108" s="197" t="str">
        <f t="shared" si="361"/>
        <v>Finance</v>
      </c>
      <c r="HA108" s="197" t="str">
        <f t="shared" si="361"/>
        <v>Finance</v>
      </c>
      <c r="HB108" s="197" t="str">
        <f t="shared" si="361"/>
        <v>Finance</v>
      </c>
      <c r="HC108" s="197" t="str">
        <f t="shared" si="361"/>
        <v>Finance</v>
      </c>
      <c r="HE108" s="191">
        <f>+DV109</f>
        <v>1.4521974988598447</v>
      </c>
      <c r="HF108" s="192" t="str">
        <f>+$B108</f>
        <v>Finance</v>
      </c>
      <c r="HG108" s="141" t="str">
        <f t="shared" ref="HG108:HG113" si="362">+$E108</f>
        <v>Completed to Week</v>
      </c>
      <c r="HH108" s="141">
        <f t="shared" ref="HH108:HH113" si="363">+$F108</f>
        <v>42</v>
      </c>
      <c r="HI108" s="141" t="str">
        <f>+GJ108</f>
        <v>Finance</v>
      </c>
      <c r="HJ108" s="197" t="str">
        <f t="shared" ref="HJ108:IO108" si="364">+$B108</f>
        <v>Finance</v>
      </c>
      <c r="HK108" s="197" t="str">
        <f t="shared" si="364"/>
        <v>Finance</v>
      </c>
      <c r="HL108" s="250" t="str">
        <f t="shared" si="364"/>
        <v>Finance</v>
      </c>
      <c r="HM108" s="250" t="str">
        <f t="shared" si="364"/>
        <v>Finance</v>
      </c>
      <c r="HN108" s="250" t="str">
        <f t="shared" si="364"/>
        <v>Finance</v>
      </c>
      <c r="HO108" s="250" t="str">
        <f t="shared" si="364"/>
        <v>Finance</v>
      </c>
      <c r="HP108" s="250" t="str">
        <f t="shared" si="364"/>
        <v>Finance</v>
      </c>
      <c r="HQ108" s="250" t="str">
        <f t="shared" si="364"/>
        <v>Finance</v>
      </c>
      <c r="HR108" s="250" t="str">
        <f t="shared" si="364"/>
        <v>Finance</v>
      </c>
      <c r="HS108" s="250" t="str">
        <f t="shared" si="364"/>
        <v>Finance</v>
      </c>
      <c r="HT108" s="250" t="str">
        <f t="shared" si="364"/>
        <v>Finance</v>
      </c>
      <c r="HU108" s="250" t="str">
        <f t="shared" si="364"/>
        <v>Finance</v>
      </c>
      <c r="HV108" s="250" t="str">
        <f t="shared" si="364"/>
        <v>Finance</v>
      </c>
      <c r="HW108" s="250" t="str">
        <f t="shared" si="364"/>
        <v>Finance</v>
      </c>
      <c r="HX108" s="250" t="str">
        <f t="shared" si="364"/>
        <v>Finance</v>
      </c>
      <c r="HY108" s="250" t="str">
        <f t="shared" si="364"/>
        <v>Finance</v>
      </c>
      <c r="HZ108" s="250" t="str">
        <f t="shared" si="364"/>
        <v>Finance</v>
      </c>
      <c r="IA108" s="250" t="str">
        <f t="shared" si="364"/>
        <v>Finance</v>
      </c>
      <c r="IB108" s="250" t="str">
        <f t="shared" si="364"/>
        <v>Finance</v>
      </c>
      <c r="IC108" s="250" t="str">
        <f t="shared" si="364"/>
        <v>Finance</v>
      </c>
      <c r="ID108" s="250" t="str">
        <f t="shared" si="364"/>
        <v>Finance</v>
      </c>
      <c r="IE108" s="250" t="str">
        <f t="shared" si="364"/>
        <v>Finance</v>
      </c>
      <c r="IF108" s="250" t="str">
        <f t="shared" si="364"/>
        <v>Finance</v>
      </c>
      <c r="IG108" s="250" t="str">
        <f t="shared" si="364"/>
        <v>Finance</v>
      </c>
      <c r="IH108" s="250" t="str">
        <f t="shared" si="364"/>
        <v>Finance</v>
      </c>
      <c r="II108" s="250" t="str">
        <f t="shared" si="364"/>
        <v>Finance</v>
      </c>
      <c r="IJ108" s="250" t="str">
        <f t="shared" si="364"/>
        <v>Finance</v>
      </c>
      <c r="IK108" s="250" t="str">
        <f t="shared" si="364"/>
        <v>Finance</v>
      </c>
      <c r="IL108" s="250" t="str">
        <f t="shared" si="364"/>
        <v>Finance</v>
      </c>
      <c r="IM108" s="250" t="str">
        <f t="shared" si="364"/>
        <v>Finance</v>
      </c>
      <c r="IN108" s="250" t="str">
        <f t="shared" si="364"/>
        <v>Finance</v>
      </c>
      <c r="IO108" s="250" t="str">
        <f t="shared" si="364"/>
        <v>Finance</v>
      </c>
      <c r="IP108" s="250" t="str">
        <f t="shared" ref="IP108:JJ108" si="365">+$B108</f>
        <v>Finance</v>
      </c>
      <c r="IQ108" s="250" t="str">
        <f t="shared" si="365"/>
        <v>Finance</v>
      </c>
      <c r="IR108" s="250" t="str">
        <f t="shared" si="365"/>
        <v>Finance</v>
      </c>
      <c r="IS108" s="250" t="str">
        <f t="shared" si="365"/>
        <v>Finance</v>
      </c>
      <c r="IT108" s="250" t="str">
        <f t="shared" si="365"/>
        <v>Finance</v>
      </c>
      <c r="IU108" s="250" t="str">
        <f t="shared" si="365"/>
        <v>Finance</v>
      </c>
      <c r="IV108" s="250" t="str">
        <f t="shared" si="365"/>
        <v>Finance</v>
      </c>
      <c r="IW108" s="250" t="str">
        <f t="shared" si="365"/>
        <v>Finance</v>
      </c>
      <c r="IX108" s="250" t="str">
        <f t="shared" si="365"/>
        <v>Finance</v>
      </c>
      <c r="IY108" s="250" t="str">
        <f t="shared" si="365"/>
        <v>Finance</v>
      </c>
      <c r="IZ108" s="250" t="str">
        <f t="shared" si="365"/>
        <v>Finance</v>
      </c>
      <c r="JA108" s="250" t="str">
        <f t="shared" si="365"/>
        <v>Finance</v>
      </c>
      <c r="JB108" s="250" t="str">
        <f t="shared" si="365"/>
        <v>Finance</v>
      </c>
      <c r="JC108" s="250" t="str">
        <f t="shared" si="365"/>
        <v>Finance</v>
      </c>
      <c r="JD108" s="250" t="str">
        <f t="shared" si="365"/>
        <v>Finance</v>
      </c>
      <c r="JE108" s="250" t="str">
        <f t="shared" si="365"/>
        <v>Finance</v>
      </c>
      <c r="JF108" s="250" t="str">
        <f t="shared" si="365"/>
        <v>Finance</v>
      </c>
      <c r="JG108" s="250" t="str">
        <f t="shared" si="365"/>
        <v>Finance</v>
      </c>
      <c r="JH108" s="250" t="str">
        <f t="shared" si="365"/>
        <v>Finance</v>
      </c>
      <c r="JI108" s="250" t="str">
        <f t="shared" si="365"/>
        <v>Finance</v>
      </c>
      <c r="JJ108" s="250" t="str">
        <f t="shared" si="365"/>
        <v>Finance</v>
      </c>
      <c r="JM108" s="191" t="str">
        <f>+$B108</f>
        <v>Finance</v>
      </c>
      <c r="JN108" s="192"/>
      <c r="JO108" s="141" t="str">
        <f t="shared" ref="JO108:JO113" si="366">+$E108</f>
        <v>Completed to Week</v>
      </c>
      <c r="JP108" s="141">
        <f t="shared" ref="JP108:JP113" si="367">+$F108</f>
        <v>42</v>
      </c>
      <c r="JQ108" s="141"/>
      <c r="JR108" s="250" t="str">
        <f t="shared" ref="JR108:KW108" si="368">+$B108</f>
        <v>Finance</v>
      </c>
      <c r="JS108" s="250" t="str">
        <f t="shared" si="368"/>
        <v>Finance</v>
      </c>
      <c r="JT108" s="250" t="str">
        <f t="shared" si="368"/>
        <v>Finance</v>
      </c>
      <c r="JU108" s="250" t="str">
        <f t="shared" si="368"/>
        <v>Finance</v>
      </c>
      <c r="JV108" s="250" t="str">
        <f t="shared" si="368"/>
        <v>Finance</v>
      </c>
      <c r="JW108" s="250" t="str">
        <f t="shared" si="368"/>
        <v>Finance</v>
      </c>
      <c r="JX108" s="250" t="str">
        <f t="shared" si="368"/>
        <v>Finance</v>
      </c>
      <c r="JY108" s="250" t="str">
        <f t="shared" si="368"/>
        <v>Finance</v>
      </c>
      <c r="JZ108" s="250" t="str">
        <f t="shared" si="368"/>
        <v>Finance</v>
      </c>
      <c r="KA108" s="250" t="str">
        <f t="shared" si="368"/>
        <v>Finance</v>
      </c>
      <c r="KB108" s="250" t="str">
        <f t="shared" si="368"/>
        <v>Finance</v>
      </c>
      <c r="KC108" s="250" t="str">
        <f t="shared" si="368"/>
        <v>Finance</v>
      </c>
      <c r="KD108" s="250" t="str">
        <f t="shared" si="368"/>
        <v>Finance</v>
      </c>
      <c r="KE108" s="250" t="str">
        <f t="shared" si="368"/>
        <v>Finance</v>
      </c>
      <c r="KF108" s="250" t="str">
        <f t="shared" si="368"/>
        <v>Finance</v>
      </c>
      <c r="KG108" s="250" t="str">
        <f t="shared" si="368"/>
        <v>Finance</v>
      </c>
      <c r="KH108" s="250" t="str">
        <f t="shared" si="368"/>
        <v>Finance</v>
      </c>
      <c r="KI108" s="250" t="str">
        <f t="shared" si="368"/>
        <v>Finance</v>
      </c>
      <c r="KJ108" s="250" t="str">
        <f t="shared" si="368"/>
        <v>Finance</v>
      </c>
      <c r="KK108" s="250" t="str">
        <f t="shared" si="368"/>
        <v>Finance</v>
      </c>
      <c r="KL108" s="250" t="str">
        <f t="shared" si="368"/>
        <v>Finance</v>
      </c>
      <c r="KM108" s="250" t="str">
        <f t="shared" si="368"/>
        <v>Finance</v>
      </c>
      <c r="KN108" s="250" t="str">
        <f t="shared" si="368"/>
        <v>Finance</v>
      </c>
      <c r="KO108" s="250" t="str">
        <f t="shared" si="368"/>
        <v>Finance</v>
      </c>
      <c r="KP108" s="250" t="str">
        <f t="shared" si="368"/>
        <v>Finance</v>
      </c>
      <c r="KQ108" s="250" t="str">
        <f t="shared" si="368"/>
        <v>Finance</v>
      </c>
      <c r="KR108" s="250" t="str">
        <f t="shared" si="368"/>
        <v>Finance</v>
      </c>
      <c r="KS108" s="250" t="str">
        <f t="shared" si="368"/>
        <v>Finance</v>
      </c>
      <c r="KT108" s="250" t="str">
        <f t="shared" si="368"/>
        <v>Finance</v>
      </c>
      <c r="KU108" s="250" t="str">
        <f t="shared" si="368"/>
        <v>Finance</v>
      </c>
      <c r="KV108" s="250" t="str">
        <f t="shared" si="368"/>
        <v>Finance</v>
      </c>
      <c r="KW108" s="250" t="str">
        <f t="shared" si="368"/>
        <v>Finance</v>
      </c>
      <c r="KX108" s="250" t="str">
        <f t="shared" ref="KX108:LR108" si="369">+$B108</f>
        <v>Finance</v>
      </c>
      <c r="KY108" s="250" t="str">
        <f t="shared" si="369"/>
        <v>Finance</v>
      </c>
      <c r="KZ108" s="250" t="str">
        <f t="shared" si="369"/>
        <v>Finance</v>
      </c>
      <c r="LA108" s="250" t="str">
        <f t="shared" si="369"/>
        <v>Finance</v>
      </c>
      <c r="LB108" s="250" t="str">
        <f t="shared" si="369"/>
        <v>Finance</v>
      </c>
      <c r="LC108" s="250" t="str">
        <f t="shared" si="369"/>
        <v>Finance</v>
      </c>
      <c r="LD108" s="250" t="str">
        <f t="shared" si="369"/>
        <v>Finance</v>
      </c>
      <c r="LE108" s="250" t="str">
        <f t="shared" si="369"/>
        <v>Finance</v>
      </c>
      <c r="LF108" s="250" t="str">
        <f t="shared" si="369"/>
        <v>Finance</v>
      </c>
      <c r="LG108" s="250" t="str">
        <f t="shared" si="369"/>
        <v>Finance</v>
      </c>
      <c r="LH108" s="250" t="str">
        <f t="shared" si="369"/>
        <v>Finance</v>
      </c>
      <c r="LI108" s="250" t="str">
        <f t="shared" si="369"/>
        <v>Finance</v>
      </c>
      <c r="LJ108" s="250" t="str">
        <f t="shared" si="369"/>
        <v>Finance</v>
      </c>
      <c r="LK108" s="250" t="str">
        <f t="shared" si="369"/>
        <v>Finance</v>
      </c>
      <c r="LL108" s="250" t="str">
        <f t="shared" si="369"/>
        <v>Finance</v>
      </c>
      <c r="LM108" s="250" t="str">
        <f t="shared" si="369"/>
        <v>Finance</v>
      </c>
      <c r="LN108" s="250" t="str">
        <f t="shared" si="369"/>
        <v>Finance</v>
      </c>
      <c r="LO108" s="250" t="str">
        <f t="shared" si="369"/>
        <v>Finance</v>
      </c>
      <c r="LP108" s="250" t="str">
        <f t="shared" si="369"/>
        <v>Finance</v>
      </c>
      <c r="LQ108" s="250" t="str">
        <f t="shared" si="369"/>
        <v>Finance</v>
      </c>
      <c r="LR108" s="250" t="str">
        <f t="shared" si="369"/>
        <v>Finance</v>
      </c>
      <c r="LT108" s="191" t="str">
        <f>+$B108</f>
        <v>Finance</v>
      </c>
      <c r="LU108" s="192"/>
      <c r="LV108" s="141" t="str">
        <f t="shared" ref="LV108:LV113" si="370">+$E108</f>
        <v>Completed to Week</v>
      </c>
      <c r="LW108" s="141">
        <f t="shared" ref="LW108:LW113" si="371">+$F108</f>
        <v>42</v>
      </c>
      <c r="LX108" s="141"/>
      <c r="LY108" s="197" t="str">
        <f t="shared" ref="LY108:ND108" si="372">+$B108</f>
        <v>Finance</v>
      </c>
      <c r="LZ108" s="197" t="str">
        <f t="shared" si="372"/>
        <v>Finance</v>
      </c>
      <c r="MA108" s="197" t="str">
        <f t="shared" si="372"/>
        <v>Finance</v>
      </c>
      <c r="MB108" s="197" t="str">
        <f t="shared" si="372"/>
        <v>Finance</v>
      </c>
      <c r="MC108" s="197" t="str">
        <f t="shared" si="372"/>
        <v>Finance</v>
      </c>
      <c r="MD108" s="197" t="str">
        <f t="shared" si="372"/>
        <v>Finance</v>
      </c>
      <c r="ME108" s="197" t="str">
        <f t="shared" si="372"/>
        <v>Finance</v>
      </c>
      <c r="MF108" s="197" t="str">
        <f t="shared" si="372"/>
        <v>Finance</v>
      </c>
      <c r="MG108" s="197" t="str">
        <f t="shared" si="372"/>
        <v>Finance</v>
      </c>
      <c r="MH108" s="197" t="str">
        <f t="shared" si="372"/>
        <v>Finance</v>
      </c>
      <c r="MI108" s="197" t="str">
        <f t="shared" si="372"/>
        <v>Finance</v>
      </c>
      <c r="MJ108" s="197" t="str">
        <f t="shared" si="372"/>
        <v>Finance</v>
      </c>
      <c r="MK108" s="197" t="str">
        <f t="shared" si="372"/>
        <v>Finance</v>
      </c>
      <c r="ML108" s="197" t="str">
        <f t="shared" si="372"/>
        <v>Finance</v>
      </c>
      <c r="MM108" s="197" t="str">
        <f t="shared" si="372"/>
        <v>Finance</v>
      </c>
      <c r="MN108" s="197" t="str">
        <f t="shared" si="372"/>
        <v>Finance</v>
      </c>
      <c r="MO108" s="197" t="str">
        <f t="shared" si="372"/>
        <v>Finance</v>
      </c>
      <c r="MP108" s="197" t="str">
        <f t="shared" si="372"/>
        <v>Finance</v>
      </c>
      <c r="MQ108" s="197" t="str">
        <f t="shared" si="372"/>
        <v>Finance</v>
      </c>
      <c r="MR108" s="197" t="str">
        <f t="shared" si="372"/>
        <v>Finance</v>
      </c>
      <c r="MS108" s="197" t="str">
        <f t="shared" si="372"/>
        <v>Finance</v>
      </c>
      <c r="MT108" s="197" t="str">
        <f t="shared" si="372"/>
        <v>Finance</v>
      </c>
      <c r="MU108" s="197" t="str">
        <f t="shared" si="372"/>
        <v>Finance</v>
      </c>
      <c r="MV108" s="197" t="str">
        <f t="shared" si="372"/>
        <v>Finance</v>
      </c>
      <c r="MW108" s="197" t="str">
        <f t="shared" si="372"/>
        <v>Finance</v>
      </c>
      <c r="MX108" s="197" t="str">
        <f t="shared" si="372"/>
        <v>Finance</v>
      </c>
      <c r="MY108" s="197" t="str">
        <f t="shared" si="372"/>
        <v>Finance</v>
      </c>
      <c r="MZ108" s="197" t="str">
        <f t="shared" si="372"/>
        <v>Finance</v>
      </c>
      <c r="NA108" s="197" t="str">
        <f t="shared" si="372"/>
        <v>Finance</v>
      </c>
      <c r="NB108" s="197" t="str">
        <f t="shared" si="372"/>
        <v>Finance</v>
      </c>
      <c r="NC108" s="197" t="str">
        <f t="shared" si="372"/>
        <v>Finance</v>
      </c>
      <c r="ND108" s="197" t="str">
        <f t="shared" si="372"/>
        <v>Finance</v>
      </c>
      <c r="NE108" s="197" t="str">
        <f t="shared" ref="NE108:NY108" si="373">+$B108</f>
        <v>Finance</v>
      </c>
      <c r="NF108" s="197" t="str">
        <f t="shared" si="373"/>
        <v>Finance</v>
      </c>
      <c r="NG108" s="197" t="str">
        <f t="shared" si="373"/>
        <v>Finance</v>
      </c>
      <c r="NH108" s="197" t="str">
        <f t="shared" si="373"/>
        <v>Finance</v>
      </c>
      <c r="NI108" s="197" t="str">
        <f t="shared" si="373"/>
        <v>Finance</v>
      </c>
      <c r="NJ108" s="197" t="str">
        <f t="shared" si="373"/>
        <v>Finance</v>
      </c>
      <c r="NK108" s="197" t="str">
        <f t="shared" si="373"/>
        <v>Finance</v>
      </c>
      <c r="NL108" s="197" t="str">
        <f t="shared" si="373"/>
        <v>Finance</v>
      </c>
      <c r="NM108" s="197" t="str">
        <f t="shared" si="373"/>
        <v>Finance</v>
      </c>
      <c r="NN108" s="197" t="str">
        <f t="shared" si="373"/>
        <v>Finance</v>
      </c>
      <c r="NO108" s="197" t="str">
        <f t="shared" si="373"/>
        <v>Finance</v>
      </c>
      <c r="NP108" s="197" t="str">
        <f t="shared" si="373"/>
        <v>Finance</v>
      </c>
      <c r="NQ108" s="197" t="str">
        <f t="shared" si="373"/>
        <v>Finance</v>
      </c>
      <c r="NR108" s="197" t="str">
        <f t="shared" si="373"/>
        <v>Finance</v>
      </c>
      <c r="NS108" s="197" t="str">
        <f t="shared" si="373"/>
        <v>Finance</v>
      </c>
      <c r="NT108" s="197" t="str">
        <f t="shared" si="373"/>
        <v>Finance</v>
      </c>
      <c r="NU108" s="197" t="str">
        <f t="shared" si="373"/>
        <v>Finance</v>
      </c>
      <c r="NV108" s="197" t="str">
        <f t="shared" si="373"/>
        <v>Finance</v>
      </c>
      <c r="NW108" s="197" t="str">
        <f t="shared" si="373"/>
        <v>Finance</v>
      </c>
      <c r="NX108" s="197" t="str">
        <f t="shared" si="373"/>
        <v>Finance</v>
      </c>
      <c r="NY108" s="197" t="str">
        <f t="shared" si="373"/>
        <v>Finance</v>
      </c>
    </row>
    <row r="109" spans="1:389" ht="15" thickBot="1" x14ac:dyDescent="0.35">
      <c r="A109" t="str">
        <f>$B$108&amp;"-"&amp;C109</f>
        <v>Finance-KPI P1</v>
      </c>
      <c r="B109" s="420" t="str">
        <f>+'KPI Stats'!B108</f>
        <v>Finance</v>
      </c>
      <c r="C109" s="133" t="str">
        <f>+'KPI Stats'!C108</f>
        <v>KPI P1</v>
      </c>
      <c r="D109" s="142" t="str">
        <f>+'KPI Stats'!D108</f>
        <v>Productivity</v>
      </c>
      <c r="E109" s="142" t="str">
        <f>+'KPI Stats'!E108</f>
        <v>purchase ledger invoices posted (Target 2024 avg)</v>
      </c>
      <c r="F109" s="143" t="str">
        <f>+'KPI Stats'!F108</f>
        <v>Count</v>
      </c>
      <c r="G109" s="168" t="s">
        <v>186</v>
      </c>
      <c r="J109" s="159" t="str">
        <f>_xlfn.XLOOKUP(J$7,$AM$7:$CM$7,$AM109:$CM109,,FALSE)</f>
        <v>G</v>
      </c>
      <c r="K109" s="262">
        <f>_xlfn.XLOOKUP(K$7,$FC$7:$HC$7,$FC109:$HC109,,FALSE)</f>
        <v>204</v>
      </c>
      <c r="L109" s="277">
        <f>_xlfn.XLOOKUP(L$7,$HJ$7:$JJ$7,$HJ109:$JJ109,,FALSE)</f>
        <v>138.87</v>
      </c>
      <c r="M109" s="274">
        <f>_xlfn.XLOOKUP(M$7,$CU$7:$EU$7,$CU109:$EU109,,FALSE)</f>
        <v>1.4689997839706199</v>
      </c>
      <c r="P109" s="159" t="str">
        <f>_xlfn.XLOOKUP(P$7,$AM$7:$CM$7,$AM109:$CM109,,FALSE)</f>
        <v>G</v>
      </c>
      <c r="Q109" s="262">
        <f>_xlfn.XLOOKUP(Q$7,$FC$7:$HC$7,$FC109:$HC109,FALSE)</f>
        <v>204</v>
      </c>
      <c r="R109" s="277">
        <f>_xlfn.XLOOKUP(R$7,$FC$7:$HC$7,$FC109:$HC109,FALSE)</f>
        <v>188</v>
      </c>
      <c r="S109" s="262">
        <f>_xlfn.XLOOKUP(S$7,$CU$7:$EU$7,$CU109:$EU109,,FALSE)</f>
        <v>1.4689997839706199</v>
      </c>
      <c r="T109" s="277">
        <f>_xlfn.XLOOKUP(T$7,$CU$7:$EU$7,$CU109:$EU109,,FALSE)</f>
        <v>1.353784114639591</v>
      </c>
      <c r="U109" s="294" t="str">
        <f>IF(F108&lt;$R$2,"Not Complete",IF(Q109=R109,"Same −",IF($G109="Over",IF(Q109&lt;R109,"Better ↑","Worse ↓"),IF($G109="Under",IF(Q109&gt;R109,"Better ↑","Worse ↓"),"err"))))</f>
        <v>Better ↑</v>
      </c>
      <c r="X109" s="159" t="str">
        <f>IF(Y109="","",IF(Y109="Blank","",IF(AND(G109="above zero",Y109&gt;0),"R",IF(AA109&gt;1,"G",IF(AA109&gt;0.95,"A","R")))))</f>
        <v>G</v>
      </c>
      <c r="Y109" s="161">
        <f>_xlfn.XLOOKUP(Y$7,$JR$7:$LR$7,$JR109:$LR109,FALSE)</f>
        <v>178.32539682539687</v>
      </c>
      <c r="Z109" s="161">
        <f>_xlfn.XLOOKUP(Z$7,$LY$7:$NY$7,$LY109:$NY109,FALSE)</f>
        <v>138.86999999999992</v>
      </c>
      <c r="AA109" s="162">
        <f>IFERROR(IF(G109="Undefined","",IF(G109="under",Y109/Z109,IF(G109="over",Z109/Y109,"err"))),"TBC")</f>
        <v>1.2841174971224669</v>
      </c>
      <c r="AB109" s="294" t="str">
        <f>IF(F108&lt;$R$2,"TBC",IF(Y109=Z109,"Same −",IF($G109="Over",IF(Z109&lt;Y109,"Better ↑ ","Worse ↓ "),IF($G109="Under",IF(Y109&gt;Z109,"Better ↑ ","Worse ↓ "),"err"))))</f>
        <v xml:space="preserve">Better ↑ </v>
      </c>
      <c r="AC109" s="159" t="str">
        <f>IF(AND(G109="above adero",AD109&gt;0),"R",IF(AF109&gt;1,"G",IF(AF109&gt;0.95,"A","R")))</f>
        <v>G</v>
      </c>
      <c r="AD109" s="161">
        <f>_xlfn.XLOOKUP(AD$7,$JR$7:$LR$7,$JR109:$LR109,FALSE)</f>
        <v>177.69918699186994</v>
      </c>
      <c r="AE109" s="161">
        <f>_xlfn.XLOOKUP(AE$7,$LY$7:$NY$7,$LY109:$NY109,FALSE)</f>
        <v>138.86999999999992</v>
      </c>
      <c r="AF109" s="162">
        <f t="shared" ref="AF109" si="374">IF(G109="Undefined","",IF(G109="under",AD109/AE109,IF(G109="over",AE109/AD109,"err")))</f>
        <v>1.2796081730529996</v>
      </c>
      <c r="AH109" s="465" t="str">
        <f>+$A109</f>
        <v>Finance-KPI P1</v>
      </c>
      <c r="AI109" s="133" t="str">
        <f t="shared" ref="AI109:AJ113" si="375">+C109</f>
        <v>KPI P1</v>
      </c>
      <c r="AJ109" s="142" t="str">
        <f t="shared" si="375"/>
        <v>Productivity</v>
      </c>
      <c r="AK109" s="142" t="str">
        <f t="shared" si="354"/>
        <v>purchase ledger invoices posted (Target 2024 avg)</v>
      </c>
      <c r="AL109" s="143" t="str">
        <f t="shared" si="354"/>
        <v>Count</v>
      </c>
      <c r="AM109" s="159" t="str">
        <f>IF(AM$7&gt;$D$3,"",_xlfn.XLOOKUP(AM$7,Finance!$M$6:$BM$6,Finance!$M$10:$BM$10))</f>
        <v>R</v>
      </c>
      <c r="AN109" s="198" t="str">
        <f>IF(AN$7&gt;$D$3,"",_xlfn.XLOOKUP(AN$7,Finance!$M$6:$BM$6,Finance!$M$10:$BM$10))</f>
        <v>R</v>
      </c>
      <c r="AO109" s="159" t="str">
        <f>IF(AO$7&gt;$D$3,"",_xlfn.XLOOKUP(AO$7,Finance!$M$6:$BM$6,Finance!$M$10:$BM$10))</f>
        <v>A</v>
      </c>
      <c r="AP109" s="159" t="str">
        <f>IF(AP$7&gt;$D$3,"",_xlfn.XLOOKUP(AP$7,Finance!$M$6:$BM$6,Finance!$M$10:$BM$10))</f>
        <v>G</v>
      </c>
      <c r="AQ109" s="159" t="str">
        <f>IF(AQ$7&gt;$D$3,"",_xlfn.XLOOKUP(AQ$7,Finance!$M$6:$BM$6,Finance!$M$10:$BM$10))</f>
        <v>G</v>
      </c>
      <c r="AR109" s="159" t="str">
        <f>IF(AR$7&gt;$D$3,"",_xlfn.XLOOKUP(AR$7,Finance!$M$6:$BM$6,Finance!$M$10:$BM$10))</f>
        <v>G</v>
      </c>
      <c r="AS109" s="159" t="str">
        <f>IF(AS$7&gt;$D$3,"",_xlfn.XLOOKUP(AS$7,Finance!$M$6:$BM$6,Finance!$M$10:$BM$10))</f>
        <v>G</v>
      </c>
      <c r="AT109" s="159" t="str">
        <f>IF(AT$7&gt;$D$3,"",_xlfn.XLOOKUP(AT$7,Finance!$M$6:$BM$6,Finance!$M$10:$BM$10))</f>
        <v>G</v>
      </c>
      <c r="AU109" s="159" t="str">
        <f>IF(AU$7&gt;$D$3,"",_xlfn.XLOOKUP(AU$7,Finance!$M$6:$BM$6,Finance!$M$10:$BM$10))</f>
        <v>G</v>
      </c>
      <c r="AV109" s="159" t="str">
        <f>IF(AV$7&gt;$D$3,"",_xlfn.XLOOKUP(AV$7,Finance!$M$6:$BM$6,Finance!$M$10:$BM$10))</f>
        <v>G</v>
      </c>
      <c r="AW109" s="159" t="str">
        <f>IF(AW$7&gt;$D$3,"",_xlfn.XLOOKUP(AW$7,Finance!$M$6:$BM$6,Finance!$M$10:$BM$10))</f>
        <v>R</v>
      </c>
      <c r="AX109" s="159" t="str">
        <f>IF(AX$7&gt;$D$3,"",_xlfn.XLOOKUP(AX$7,Finance!$M$6:$BM$6,Finance!$M$10:$BM$10))</f>
        <v>G</v>
      </c>
      <c r="AY109" s="159" t="str">
        <f>IF(AY$7&gt;$D$3,"",_xlfn.XLOOKUP(AY$7,Finance!$M$6:$BM$6,Finance!$M$10:$BM$10))</f>
        <v>G</v>
      </c>
      <c r="AZ109" s="159" t="str">
        <f>IF(AZ$7&gt;$D$3,"",_xlfn.XLOOKUP(AZ$7,Finance!$M$6:$BM$6,Finance!$M$10:$BM$10))</f>
        <v>G</v>
      </c>
      <c r="BA109" s="159" t="str">
        <f>IF(BA$7&gt;$D$3,"",_xlfn.XLOOKUP(BA$7,Finance!$M$6:$BM$6,Finance!$M$10:$BM$10))</f>
        <v>G</v>
      </c>
      <c r="BB109" s="159" t="str">
        <f>IF(BB$7&gt;$D$3,"",_xlfn.XLOOKUP(BB$7,Finance!$M$6:$BM$6,Finance!$M$10:$BM$10))</f>
        <v>A</v>
      </c>
      <c r="BC109" s="159" t="str">
        <f>IF(BC$7&gt;$D$3,"",_xlfn.XLOOKUP(BC$7,Finance!$M$6:$BM$6,Finance!$M$10:$BM$10))</f>
        <v>G</v>
      </c>
      <c r="BD109" s="159" t="str">
        <f>IF(BD$7&gt;$D$3,"",_xlfn.XLOOKUP(BD$7,Finance!$M$6:$BM$6,Finance!$M$10:$BM$10))</f>
        <v>G</v>
      </c>
      <c r="BE109" s="159" t="str">
        <f>IF(BE$7&gt;$D$3,"",_xlfn.XLOOKUP(BE$7,Finance!$M$6:$BM$6,Finance!$M$10:$BM$10))</f>
        <v>G</v>
      </c>
      <c r="BF109" s="159" t="str">
        <f>IF(BF$7&gt;$D$3,"",_xlfn.XLOOKUP(BF$7,Finance!$M$6:$BM$6,Finance!$M$10:$BM$10))</f>
        <v>G</v>
      </c>
      <c r="BG109" s="159" t="str">
        <f>IF(BG$7&gt;$D$3,"",_xlfn.XLOOKUP(BG$7,Finance!$M$6:$BM$6,Finance!$M$10:$BM$10))</f>
        <v>G</v>
      </c>
      <c r="BH109" s="159" t="str">
        <f>IF(BH$7&gt;$D$3,"",_xlfn.XLOOKUP(BH$7,Finance!$M$6:$BM$6,Finance!$M$10:$BM$10))</f>
        <v>R</v>
      </c>
      <c r="BI109" s="159" t="str">
        <f>IF(BI$7&gt;$D$3,"",_xlfn.XLOOKUP(BI$7,Finance!$M$6:$BM$6,Finance!$M$10:$BM$10))</f>
        <v>G</v>
      </c>
      <c r="BJ109" s="159" t="str">
        <f>IF(BJ$7&gt;$D$3,"",_xlfn.XLOOKUP(BJ$7,Finance!$M$6:$BM$6,Finance!$M$10:$BM$10))</f>
        <v>G</v>
      </c>
      <c r="BK109" s="159" t="str">
        <f>IF(BK$7&gt;$D$3,"",_xlfn.XLOOKUP(BK$7,Finance!$M$6:$BM$6,Finance!$M$10:$BM$10))</f>
        <v>G</v>
      </c>
      <c r="BL109" s="159" t="str">
        <f>IF(BL$7&gt;$D$3,"",_xlfn.XLOOKUP(BL$7,Finance!$M$6:$BM$6,Finance!$M$10:$BM$10))</f>
        <v>G</v>
      </c>
      <c r="BM109" s="159" t="str">
        <f>IF(BM$7&gt;$D$3,"",_xlfn.XLOOKUP(BM$7,Finance!$M$6:$BM$6,Finance!$M$10:$BM$10))</f>
        <v>G</v>
      </c>
      <c r="BN109" s="159" t="str">
        <f>IF(BN$7&gt;$D$3,"",_xlfn.XLOOKUP(BN$7,Finance!$M$6:$BM$6,Finance!$M$10:$BM$10))</f>
        <v>G</v>
      </c>
      <c r="BO109" s="159" t="str">
        <f>IF(BO$7&gt;$D$3,"",_xlfn.XLOOKUP(BO$7,Finance!$M$6:$BM$6,Finance!$M$10:$BM$10))</f>
        <v>G</v>
      </c>
      <c r="BP109" s="159" t="str">
        <f>IF(BP$7&gt;$D$3,"",_xlfn.XLOOKUP(BP$7,Finance!$M$6:$BM$6,Finance!$M$10:$BM$10))</f>
        <v>R</v>
      </c>
      <c r="BQ109" s="159" t="str">
        <f>IF(BQ$7&gt;$D$3,"",_xlfn.XLOOKUP(BQ$7,Finance!$M$6:$BM$6,Finance!$M$10:$BM$10))</f>
        <v>R</v>
      </c>
      <c r="BR109" s="159" t="str">
        <f>IF(BR$7&gt;$D$3,"",_xlfn.XLOOKUP(BR$7,Finance!$M$6:$BM$6,Finance!$M$10:$BM$10))</f>
        <v>G</v>
      </c>
      <c r="BS109" s="159" t="str">
        <f>IF(BS$7&gt;$D$3,"",_xlfn.XLOOKUP(BS$7,Finance!$M$6:$BM$6,Finance!$M$10:$BM$10))</f>
        <v>G</v>
      </c>
      <c r="BT109" s="159" t="str">
        <f>IF(BT$7&gt;$D$3,"",_xlfn.XLOOKUP(BT$7,Finance!$M$6:$BM$6,Finance!$M$10:$BM$10))</f>
        <v>G</v>
      </c>
      <c r="BU109" s="159" t="str">
        <f>IF(BU$7&gt;$D$3,"",_xlfn.XLOOKUP(BU$7,Finance!$M$6:$BM$6,Finance!$M$10:$BM$10))</f>
        <v>R</v>
      </c>
      <c r="BV109" s="159" t="str">
        <f>IF(BV$7&gt;$D$3,"",_xlfn.XLOOKUP(BV$7,Finance!$M$6:$BM$6,Finance!$M$10:$BM$10))</f>
        <v>G</v>
      </c>
      <c r="BW109" s="159" t="str">
        <f>IF(BW$7&gt;$D$3,"",_xlfn.XLOOKUP(BW$7,Finance!$M$6:$BM$6,Finance!$M$10:$BM$10))</f>
        <v>G</v>
      </c>
      <c r="BX109" s="159" t="str">
        <f>IF(BX$7&gt;$D$3,"",_xlfn.XLOOKUP(BX$7,Finance!$M$6:$BM$6,Finance!$M$10:$BM$10))</f>
        <v>G</v>
      </c>
      <c r="BY109" s="159" t="str">
        <f>IF(BY$7&gt;$D$3,"",_xlfn.XLOOKUP(BY$7,Finance!$M$6:$BM$6,Finance!$M$10:$BM$10))</f>
        <v>G</v>
      </c>
      <c r="BZ109" s="159" t="str">
        <f>IF(BZ$7&gt;$D$3,"",_xlfn.XLOOKUP(BZ$7,Finance!$M$6:$BM$6,Finance!$M$10:$BM$10))</f>
        <v>G</v>
      </c>
      <c r="CA109" s="159" t="str">
        <f>IF(CA$7&gt;$D$3,"",_xlfn.XLOOKUP(CA$7,Finance!$M$6:$BM$6,Finance!$M$10:$BM$10))</f>
        <v>G</v>
      </c>
      <c r="CB109" s="159" t="str">
        <f>IF(CB$7&gt;$D$3,"",_xlfn.XLOOKUP(CB$7,Finance!$M$6:$BM$6,Finance!$M$10:$BM$10))</f>
        <v>G</v>
      </c>
      <c r="CC109" s="159" t="str">
        <f>IF(CC$7&gt;$D$3,"",_xlfn.XLOOKUP(CC$7,Finance!$M$6:$BM$6,Finance!$M$10:$BM$10))</f>
        <v/>
      </c>
      <c r="CD109" s="159" t="str">
        <f>IF(CD$7&gt;$D$3,"",_xlfn.XLOOKUP(CD$7,Finance!$M$6:$BM$6,Finance!$M$10:$BM$10))</f>
        <v/>
      </c>
      <c r="CE109" s="159" t="str">
        <f>IF(CE$7&gt;$D$3,"",_xlfn.XLOOKUP(CE$7,Finance!$M$6:$BM$6,Finance!$M$10:$BM$10))</f>
        <v/>
      </c>
      <c r="CF109" s="159" t="str">
        <f>IF(CF$7&gt;$D$3,"",_xlfn.XLOOKUP(CF$7,Finance!$M$6:$BM$6,Finance!$M$10:$BM$10))</f>
        <v/>
      </c>
      <c r="CG109" s="159" t="str">
        <f>IF(CG$7&gt;$D$3,"",_xlfn.XLOOKUP(CG$7,Finance!$M$6:$BM$6,Finance!$M$10:$BM$10))</f>
        <v/>
      </c>
      <c r="CH109" s="159" t="str">
        <f>IF(CH$7&gt;$D$3,"",_xlfn.XLOOKUP(CH$7,Finance!$M$6:$BM$6,Finance!$M$10:$BM$10))</f>
        <v/>
      </c>
      <c r="CI109" s="159" t="str">
        <f>IF(CI$7&gt;$D$3,"",_xlfn.XLOOKUP(CI$7,Finance!$M$6:$BM$6,Finance!$M$10:$BM$10))</f>
        <v/>
      </c>
      <c r="CJ109" s="159" t="str">
        <f>IF(CJ$7&gt;$D$3,"",_xlfn.XLOOKUP(CJ$7,Finance!$M$6:$BM$6,Finance!$M$10:$BM$10))</f>
        <v/>
      </c>
      <c r="CK109" s="159" t="str">
        <f>IF(CK$7&gt;$D$3,"",_xlfn.XLOOKUP(CK$7,Finance!$M$6:$BM$6,Finance!$M$10:$BM$10))</f>
        <v/>
      </c>
      <c r="CL109" s="159" t="str">
        <f>IF(CL$7&gt;$D$3,"",_xlfn.XLOOKUP(CL$7,Finance!$M$6:$BM$6,Finance!$M$10:$BM$10))</f>
        <v/>
      </c>
      <c r="CM109" s="159" t="str">
        <f>IF(CM$7&gt;$D$3,"",_xlfn.XLOOKUP(CM$7,Finance!$M$6:$BM$6,Finance!$M$10:$BM$10))</f>
        <v/>
      </c>
      <c r="CO109" s="465" t="str">
        <f>+$A109</f>
        <v>Finance-KPI P1</v>
      </c>
      <c r="CP109" s="133" t="str">
        <f t="shared" ref="CP109:CS113" si="376">+C109</f>
        <v>KPI P1</v>
      </c>
      <c r="CQ109" s="142" t="str">
        <f t="shared" si="376"/>
        <v>Productivity</v>
      </c>
      <c r="CR109" s="142" t="str">
        <f t="shared" si="376"/>
        <v>purchase ledger invoices posted (Target 2024 avg)</v>
      </c>
      <c r="CS109" s="143" t="str">
        <f t="shared" si="376"/>
        <v>Count</v>
      </c>
      <c r="CT109" s="206" t="s">
        <v>246</v>
      </c>
      <c r="CU109" s="323">
        <f>IF(CU$7&gt;$D$3,"",IF(AM109="TBC","TBC",IF(AM109="Undefined","Undefined",IF(AM109="Missed","Missed",IF(AM109="OD","OD",_xlfn.XLOOKUP(CU$7,Finance!$M$6:$BM$6,Finance!$M$9:$BM$9)/_xlfn.XLOOKUP(CU$7,Finance!$M$6:$BM$6,Finance!$M$8:$BM$8))))))</f>
        <v>7.3810038165190467E-2</v>
      </c>
      <c r="CV109" s="323">
        <f>IF(CV$7&gt;$D$3,"",IF(AN109="OD","OD",IF(AN109="Missed","Missed",IF(AN109="TBC","TBC",IF(AN109="Undefined","Undefined",_xlfn.XLOOKUP(CV$7,Finance!$M$6:$BM$6,Finance!$M$9:$BM$9)/_xlfn.XLOOKUP(CV$7,Finance!$M$6:$BM$6,Finance!$M$8:$BM$8))))))</f>
        <v>0.9199251098149348</v>
      </c>
      <c r="CW109" s="315">
        <f>IF(CW$7&gt;$D$3,"",IF(AO109="OD","OD",IF(AO109="Missed","Missed",IF(AO109="TBC","TBC",IF(AO109="Undefined","Undefined",_xlfn.XLOOKUP(CW$7,Finance!$M$6:$BM$6,Finance!$M$9:$BM$9)/_xlfn.XLOOKUP(CW$7,Finance!$M$6:$BM$6,Finance!$M$8:$BM$8))))))</f>
        <v>0.95052927198098935</v>
      </c>
      <c r="CX109" s="315">
        <f>IF(CX$7&gt;$D$3,"",IF(AP109="OD","OD",IF(AP109="Missed","Missed",IF(AP109="TBC","TBC",IF(AP109="Undefined","Undefined",_xlfn.XLOOKUP(CX$7,Finance!$M$6:$BM$6,Finance!$M$9:$BM$9)/_xlfn.XLOOKUP(CX$7,Finance!$M$6:$BM$6,Finance!$M$8:$BM$8))))))</f>
        <v>1.2001632221982188</v>
      </c>
      <c r="CY109" s="315">
        <f>IF(CY$7&gt;$D$3,"",IF(AQ109="OD","OD",IF(AQ109="Missed","Missed",IF(AQ109="TBC","TBC",IF(AQ109="Undefined","Undefined",_xlfn.XLOOKUP(CY$7,Finance!$M$6:$BM$6,Finance!$M$9:$BM$9)/_xlfn.XLOOKUP(CY$7,Finance!$M$6:$BM$6,Finance!$M$8:$BM$8))))))</f>
        <v>1.1521566933102902</v>
      </c>
      <c r="CZ109" s="315">
        <f>IF(CZ$7&gt;$D$3,"",IF(AR109="OD","OD",IF(AR109="Missed","Missed",IF(AR109="TBC","TBC",IF(AR109="Undefined","Undefined",_xlfn.XLOOKUP(CZ$7,Finance!$M$6:$BM$6,Finance!$M$9:$BM$9)/_xlfn.XLOOKUP(CZ$7,Finance!$M$6:$BM$6,Finance!$M$8:$BM$8))))))</f>
        <v>1.3585847675283838</v>
      </c>
      <c r="DA109" s="315">
        <f>IF(DA$7&gt;$D$3,"",IF(AS109="OD","OD",IF(AS109="Missed","Missed",IF(AS109="TBC","TBC",IF(AS109="Undefined","Undefined",_xlfn.XLOOKUP(DA$7,Finance!$M$6:$BM$6,Finance!$M$9:$BM$9)/_xlfn.XLOOKUP(DA$7,Finance!$M$6:$BM$6,Finance!$M$8:$BM$8))))))</f>
        <v>1.3441828088620051</v>
      </c>
      <c r="DB109" s="315">
        <f>IF(DB$7&gt;$D$3,"",IF(AT109="OD","OD",IF(AT109="Missed","Missed",IF(AT109="TBC","TBC",IF(AT109="Undefined","Undefined",_xlfn.XLOOKUP(DB$7,Finance!$M$6:$BM$6,Finance!$M$9:$BM$9)/_xlfn.XLOOKUP(DB$7,Finance!$M$6:$BM$6,Finance!$M$8:$BM$8))))))</f>
        <v>1.3297808501956265</v>
      </c>
      <c r="DC109" s="315">
        <f>IF(DC$7&gt;$D$3,"",IF(AU109="OD","OD",IF(AU109="Missed","Missed",IF(AU109="TBC","TBC",IF(AU109="Undefined","Undefined",_xlfn.XLOOKUP(DC$7,Finance!$M$6:$BM$6,Finance!$M$9:$BM$9)/_xlfn.XLOOKUP(DC$7,Finance!$M$6:$BM$6,Finance!$M$8:$BM$8))))))</f>
        <v>1.4641991310818272</v>
      </c>
      <c r="DD109" s="315">
        <f>IF(DD$7&gt;$D$3,"",IF(AV109="OD","OD",IF(AV109="Missed","Missed",IF(AV109="TBC","TBC",IF(AV109="Undefined","Undefined",_xlfn.XLOOKUP(DD$7,Finance!$M$6:$BM$6,Finance!$M$9:$BM$9)/_xlfn.XLOOKUP(DD$7,Finance!$M$6:$BM$6,Finance!$M$8:$BM$8))))))</f>
        <v>1.4665994575262236</v>
      </c>
      <c r="DE109" s="315">
        <f>IF(DE$7&gt;$D$3,"",IF(AW109="OD","OD",IF(AW109="Missed","Missed",IF(AW109="TBC","TBC",IF(AW109="Undefined","Undefined",_xlfn.XLOOKUP(DE$7,Finance!$M$6:$BM$6,Finance!$M$9:$BM$9)/_xlfn.XLOOKUP(DE$7,Finance!$M$6:$BM$6,Finance!$M$8:$BM$8))))))</f>
        <v>0.79930870598401382</v>
      </c>
      <c r="DF109" s="315">
        <f>IF(DF$7&gt;$D$3,"",IF(AX109="OD","OD",IF(AX109="Missed","Missed",IF(AX109="TBC","TBC",IF(AX109="Undefined","Undefined",_xlfn.XLOOKUP(DF$7,Finance!$M$6:$BM$6,Finance!$M$9:$BM$9)/_xlfn.XLOOKUP(DF$7,Finance!$M$6:$BM$6,Finance!$M$8:$BM$8))))))</f>
        <v>1.2625717097525264</v>
      </c>
      <c r="DG109" s="315">
        <f>IF(DG$7&gt;$D$3,"",IF(AY109="OD","OD",IF(AY109="Missed","Missed",IF(AY109="TBC","TBC",IF(AY109="Undefined","Undefined",_xlfn.XLOOKUP(DG$7,Finance!$M$6:$BM$6,Finance!$M$9:$BM$9)/_xlfn.XLOOKUP(DG$7,Finance!$M$6:$BM$6,Finance!$M$8:$BM$8))))))</f>
        <v>1.4930030484145844</v>
      </c>
      <c r="DH109" s="315">
        <f>IF(DH$7&gt;$D$3,"",IF(AZ109="OD","OD",IF(AZ109="Missed","Missed",IF(AZ109="TBC","TBC",IF(AZ109="Undefined","Undefined",_xlfn.XLOOKUP(DH$7,Finance!$M$6:$BM$6,Finance!$M$9:$BM$9)/_xlfn.XLOOKUP(DH$7,Finance!$M$6:$BM$6,Finance!$M$8:$BM$8))))))</f>
        <v>1.5722138210796668</v>
      </c>
      <c r="DI109" s="315">
        <f>IF(DI$7&gt;$D$3,"",IF(BA109="OD","OD",IF(BA109="Missed","Missed",IF(BA109="TBC","TBC",IF(BA109="Undefined","Undefined",_xlfn.XLOOKUP(DI$7,Finance!$M$6:$BM$6,Finance!$M$9:$BM$9)/_xlfn.XLOOKUP(DI$7,Finance!$M$6:$BM$6,Finance!$M$8:$BM$8))))))</f>
        <v>1.6298216557451815</v>
      </c>
      <c r="DJ109" s="315">
        <f>IF(DJ$7&gt;$D$3,"",IF(BB109="OD","OD",IF(BB109="Missed","Missed",IF(BB109="TBC","TBC",IF(BB109="Undefined","Undefined",_xlfn.XLOOKUP(DJ$7,Finance!$M$6:$BM$6,Finance!$M$9:$BM$9)/_xlfn.XLOOKUP(DJ$7,Finance!$M$6:$BM$6,Finance!$M$8:$BM$8))))))</f>
        <v>0.9697318835361608</v>
      </c>
      <c r="DK109" s="315">
        <f>IF(DK$7&gt;$D$3,"",IF(BC109="OD","OD",IF(BC109="Missed","Missed",IF(BC109="TBC","TBC",IF(BC109="Undefined","Undefined",_xlfn.XLOOKUP(DK$7,Finance!$M$6:$BM$6,Finance!$M$9:$BM$9)/_xlfn.XLOOKUP(DK$7,Finance!$M$6:$BM$6,Finance!$M$8:$BM$8))))))</f>
        <v>1.0225390653128825</v>
      </c>
      <c r="DL109" s="315">
        <f>IF(DL$7&gt;$D$3,"",IF(BD109="OD","OD",IF(BD109="Missed","Missed",IF(BD109="TBC","TBC",IF(BD109="Undefined","Undefined",_xlfn.XLOOKUP(DL$7,Finance!$M$6:$BM$6,Finance!$M$9:$BM$9)/_xlfn.XLOOKUP(DL$7,Finance!$M$6:$BM$6,Finance!$M$8:$BM$8))))))</f>
        <v>1.6154196970788028</v>
      </c>
      <c r="DM109" s="315">
        <f>IF(DM$7&gt;$D$3,"",IF(BE109="OD","OD",IF(BE109="Missed","Missed",IF(BE109="TBC","TBC",IF(BE109="Undefined","Undefined",_xlfn.XLOOKUP(DM$7,Finance!$M$6:$BM$6,Finance!$M$9:$BM$9)/_xlfn.XLOOKUP(DM$7,Finance!$M$6:$BM$6,Finance!$M$8:$BM$8))))))</f>
        <v>1.4065912964163125</v>
      </c>
      <c r="DN109" s="315">
        <f>IF(DN$7&gt;$D$3,"",IF(BF109="OD","OD",IF(BF109="Missed","Missed",IF(BF109="TBC","TBC",IF(BF109="Undefined","Undefined",_xlfn.XLOOKUP(DN$7,Finance!$M$6:$BM$6,Finance!$M$9:$BM$9)/_xlfn.XLOOKUP(DN$7,Finance!$M$6:$BM$6,Finance!$M$8:$BM$8))))))</f>
        <v>1.1713593048654616</v>
      </c>
      <c r="DO109" s="315">
        <f>IF(DO$7&gt;$D$3,"",IF(BG109="OD","OD",IF(BG109="Missed","Missed",IF(BG109="TBC","TBC",IF(BG109="Undefined","Undefined",_xlfn.XLOOKUP(DO$7,Finance!$M$6:$BM$6,Finance!$M$9:$BM$9)/_xlfn.XLOOKUP(DO$7,Finance!$M$6:$BM$6,Finance!$M$8:$BM$8))))))</f>
        <v>1.4065912964163125</v>
      </c>
      <c r="DP109" s="315">
        <f>IF(DP$7&gt;$D$3,"",IF(BH109="OD","OD",IF(BH109="Missed","Missed",IF(BH109="TBC","TBC",IF(BH109="Undefined","Undefined",_xlfn.XLOOKUP(DP$7,Finance!$M$6:$BM$6,Finance!$M$9:$BM$9)/_xlfn.XLOOKUP(DP$7,Finance!$M$6:$BM$6,Finance!$M$8:$BM$8))))))</f>
        <v>0.72009793331893135</v>
      </c>
      <c r="DQ109" s="315">
        <f>IF(DQ$7&gt;$D$3,"",IF(BI109="OD","OD",IF(BI109="Missed","Missed",IF(BI109="TBC","TBC",IF(BI109="Undefined","Undefined",_xlfn.XLOOKUP(DQ$7,Finance!$M$6:$BM$6,Finance!$M$9:$BM$9)/_xlfn.XLOOKUP(DQ$7,Finance!$M$6:$BM$6,Finance!$M$8:$BM$8))))))</f>
        <v>1.5338085979693237</v>
      </c>
      <c r="DR109" s="315">
        <f>IF(DR$7&gt;$D$3,"",IF(BJ109="OD","OD",IF(BJ109="Missed","Missed",IF(BJ109="TBC","TBC",IF(BJ109="Undefined","Undefined",_xlfn.XLOOKUP(DR$7,Finance!$M$6:$BM$6,Finance!$M$9:$BM$9)/_xlfn.XLOOKUP(DR$7,Finance!$M$6:$BM$6,Finance!$M$8:$BM$8))))))</f>
        <v>1.6274213293007849</v>
      </c>
      <c r="DS109" s="315">
        <f>IF(DS$7&gt;$D$3,"",IF(BK109="OD","OD",IF(BK109="Missed","Missed",IF(BK109="TBC","TBC",IF(BK109="Undefined","Undefined",_xlfn.XLOOKUP(DS$7,Finance!$M$6:$BM$6,Finance!$M$9:$BM$9)/_xlfn.XLOOKUP(DS$7,Finance!$M$6:$BM$6,Finance!$M$8:$BM$8))))))</f>
        <v>1.4113919493051055</v>
      </c>
      <c r="DT109" s="315">
        <f>IF(DT$7&gt;$D$3,"",IF(BL109="OD","OD",IF(BL109="Missed","Missed",IF(BL109="TBC","TBC",IF(BL109="Undefined","Undefined",_xlfn.XLOOKUP(DT$7,Finance!$M$6:$BM$6,Finance!$M$9:$BM$9)/_xlfn.XLOOKUP(DT$7,Finance!$M$6:$BM$6,Finance!$M$8:$BM$8))))))</f>
        <v>1.156957346199083</v>
      </c>
      <c r="DU109" s="315">
        <f>IF(DU$7&gt;$D$3,"",IF(BM109="OD","OD",IF(BM109="Missed","Missed",IF(BM109="TBC","TBC",IF(BM109="Undefined","Undefined",_xlfn.XLOOKUP(DU$7,Finance!$M$6:$BM$6,Finance!$M$9:$BM$9)/_xlfn.XLOOKUP(DU$7,Finance!$M$6:$BM$6,Finance!$M$8:$BM$8))))))</f>
        <v>1.4954033748589808</v>
      </c>
      <c r="DV109" s="315">
        <f>IF(DV$7&gt;$D$3,"",IF(BN109="OD","OD",IF(BN109="Missed","Missed",IF(BN109="TBC","TBC",IF(BN109="Undefined","Undefined",_xlfn.XLOOKUP(DV$7,Finance!$M$6:$BM$6,Finance!$M$9:$BM$9)/_xlfn.XLOOKUP(DV$7,Finance!$M$6:$BM$6,Finance!$M$8:$BM$8))))))</f>
        <v>1.4521974988598447</v>
      </c>
      <c r="DW109" s="315">
        <f>IF(DW$7&gt;$D$3,"",IF(BO109="OD","OD",IF(BO109="Missed","Missed",IF(BO109="TBC","TBC",IF(BO109="Undefined","Undefined",_xlfn.XLOOKUP(DW$7,Finance!$M$6:$BM$6,Finance!$M$9:$BM$9)/_xlfn.XLOOKUP(DW$7,Finance!$M$6:$BM$6,Finance!$M$8:$BM$8))))))</f>
        <v>1.0033364537577112</v>
      </c>
      <c r="DX109" s="315">
        <f>IF(DX$7&gt;$D$3,"",IF(BP109="OD","OD",IF(BP109="Missed","Missed",IF(BP109="TBC","TBC",IF(BP109="Undefined","Undefined",_xlfn.XLOOKUP(DX$7,Finance!$M$6:$BM$6,Finance!$M$9:$BM$9)/_xlfn.XLOOKUP(DX$7,Finance!$M$6:$BM$6,Finance!$M$8:$BM$8))))))</f>
        <v>0.91692470175943919</v>
      </c>
      <c r="DY109" s="315">
        <f>IF(DY$7&gt;$D$3,"",IF(BQ109="OD","OD",IF(BQ109="Missed","Missed",IF(BQ109="TBC","TBC",IF(BQ109="Undefined","Undefined",_xlfn.XLOOKUP(DY$7,Finance!$M$6:$BM$6,Finance!$M$9:$BM$9)/_xlfn.XLOOKUP(DY$7,Finance!$M$6:$BM$6,Finance!$M$8:$BM$8))))))</f>
        <v>0.93852763975900722</v>
      </c>
      <c r="DZ109" s="315">
        <f>IF(DZ$7&gt;$D$3,"",IF(BR109="OD","OD",IF(BR109="Missed","Missed",IF(BR109="TBC","TBC",IF(BR109="Undefined","Undefined",_xlfn.XLOOKUP(DZ$7,Finance!$M$6:$BM$6,Finance!$M$9:$BM$9)/_xlfn.XLOOKUP(DZ$7,Finance!$M$6:$BM$6,Finance!$M$8:$BM$8))))))</f>
        <v>1.3321811766400229</v>
      </c>
      <c r="EA109" s="315">
        <f>IF(EA$7&gt;$D$3,"",IF(BS109="OD","OD",IF(BS109="Missed","Missed",IF(BS109="TBC","TBC",IF(BS109="Undefined","Undefined",_xlfn.XLOOKUP(EA$7,Finance!$M$6:$BM$6,Finance!$M$9:$BM$9)/_xlfn.XLOOKUP(EA$7,Finance!$M$6:$BM$6,Finance!$M$8:$BM$8))))))</f>
        <v>2.0498787835145582</v>
      </c>
      <c r="EB109" s="315">
        <f>IF(EB$7&gt;$D$3,"",IF(BT109="OD","OD",IF(BT109="Missed","Missed",IF(BT109="TBC","TBC",IF(BT109="Undefined","Undefined",_xlfn.XLOOKUP(EB$7,Finance!$M$6:$BM$6,Finance!$M$9:$BM$9)/_xlfn.XLOOKUP(EB$7,Finance!$M$6:$BM$6,Finance!$M$8:$BM$8))))))</f>
        <v>1.8794556059624108</v>
      </c>
      <c r="EC109" s="315">
        <f>IF(EC$7&gt;$D$3,"",IF(BU109="OD","OD",IF(BU109="Missed","Missed",IF(BU109="TBC","TBC",IF(BU109="Undefined","Undefined",_xlfn.XLOOKUP(EC$7,Finance!$M$6:$BM$6,Finance!$M$9:$BM$9)/_xlfn.XLOOKUP(EC$7,Finance!$M$6:$BM$6,Finance!$M$8:$BM$8))))))</f>
        <v>0.76570413576246366</v>
      </c>
      <c r="ED109" s="315">
        <f>IF(ED$7&gt;$D$3,"",IF(BV109="OD","OD",IF(BV109="Missed","Missed",IF(BV109="TBC","TBC",IF(BV109="Undefined","Undefined",_xlfn.XLOOKUP(ED$7,Finance!$M$6:$BM$6,Finance!$M$9:$BM$9)/_xlfn.XLOOKUP(ED$7,Finance!$M$6:$BM$6,Finance!$M$8:$BM$8))))))</f>
        <v>1.4023907251386187</v>
      </c>
      <c r="EE109" s="315">
        <f>IF(EE$7&gt;$D$3,"",IF(BW109="OD","OD",IF(BW109="Missed","Missed",IF(BW109="TBC","TBC",IF(BW109="Undefined","Undefined",_xlfn.XLOOKUP(EE$7,Finance!$M$6:$BM$6,Finance!$M$9:$BM$9)/_xlfn.XLOOKUP(EE$7,Finance!$M$6:$BM$6,Finance!$M$8:$BM$8))))))</f>
        <v>1.4185929286382948</v>
      </c>
      <c r="EF109" s="315">
        <f>IF(EF$7&gt;$D$3,"",IF(BX109="OD","OD",IF(BX109="Missed","Missed",IF(BX109="TBC","TBC",IF(BX109="Undefined","Undefined",_xlfn.XLOOKUP(EF$7,Finance!$M$6:$BM$6,Finance!$M$9:$BM$9)/_xlfn.XLOOKUP(EF$7,Finance!$M$6:$BM$6,Finance!$M$8:$BM$8))))))</f>
        <v>1.9706680108494756</v>
      </c>
      <c r="EG109" s="315">
        <f>IF(EG$7&gt;$D$3,"",IF(BY109="OD","OD",IF(BY109="Missed","Missed",IF(BY109="TBC","TBC",IF(BY109="Undefined","Undefined",_xlfn.XLOOKUP(EG$7,Finance!$M$6:$BM$6,Finance!$M$9:$BM$9)/_xlfn.XLOOKUP(EG$7,Finance!$M$6:$BM$6,Finance!$M$8:$BM$8))))))</f>
        <v>1.2835745661409952</v>
      </c>
      <c r="EH109" s="315">
        <f>IF(EH$7&gt;$D$3,"",IF(BZ109="OD","OD",IF(BZ109="Missed","Missed",IF(BZ109="TBC","TBC",IF(BZ109="Undefined","Undefined",_xlfn.XLOOKUP(EH$7,Finance!$M$6:$BM$6,Finance!$M$9:$BM$9)/_xlfn.XLOOKUP(EH$7,Finance!$M$6:$BM$6,Finance!$M$8:$BM$8))))))</f>
        <v>1.1425553875327044</v>
      </c>
      <c r="EI109" s="315">
        <f>IF(EI$7&gt;$D$3,"",IF(CA109="OD","OD",IF(CA109="Missed","Missed",IF(CA109="TBC","TBC",IF(CA109="Undefined","Undefined",_xlfn.XLOOKUP(EI$7,Finance!$M$6:$BM$6,Finance!$M$9:$BM$9)/_xlfn.XLOOKUP(EI$7,Finance!$M$6:$BM$6,Finance!$M$8:$BM$8))))))</f>
        <v>1.353784114639591</v>
      </c>
      <c r="EJ109" s="315">
        <f>IF(EJ$7&gt;$D$3,"",IF(CB109="OD","OD",IF(CB109="Missed","Missed",IF(CB109="TBC","TBC",IF(CB109="Undefined","Undefined",_xlfn.XLOOKUP(EJ$7,Finance!$M$6:$BM$6,Finance!$M$9:$BM$9)/_xlfn.XLOOKUP(EJ$7,Finance!$M$6:$BM$6,Finance!$M$8:$BM$8))))))</f>
        <v>1.4689997839706199</v>
      </c>
      <c r="EK109" s="315" t="str">
        <f>IF(EK$7&gt;$D$3,"",IF(CC109="OD","OD",IF(CC109="Missed","Missed",IF(CC109="TBC","TBC",IF(CC109="Undefined","Undefined",_xlfn.XLOOKUP(EK$7,Finance!$M$6:$BM$6,Finance!$M$9:$BM$9)/_xlfn.XLOOKUP(EK$7,Finance!$M$6:$BM$6,Finance!$M$8:$BM$8))))))</f>
        <v/>
      </c>
      <c r="EL109" s="315" t="str">
        <f>IF(EL$7&gt;$D$3,"",IF(CD109="OD","OD",IF(CD109="Missed","Missed",IF(CD109="TBC","TBC",IF(CD109="Undefined","Undefined",_xlfn.XLOOKUP(EL$7,Finance!$M$6:$BM$6,Finance!$M$9:$BM$9)/_xlfn.XLOOKUP(EL$7,Finance!$M$6:$BM$6,Finance!$M$8:$BM$8))))))</f>
        <v/>
      </c>
      <c r="EM109" s="315" t="str">
        <f>IF(EM$7&gt;$D$3,"",IF(CE109="OD","OD",IF(CE109="Missed","Missed",IF(CE109="TBC","TBC",IF(CE109="Undefined","Undefined",_xlfn.XLOOKUP(EM$7,Finance!$M$6:$BM$6,Finance!$M$9:$BM$9)/_xlfn.XLOOKUP(EM$7,Finance!$M$6:$BM$6,Finance!$M$8:$BM$8))))))</f>
        <v/>
      </c>
      <c r="EN109" s="315" t="str">
        <f>IF(EN$7&gt;$D$3,"",IF(CF109="OD","OD",IF(CF109="Missed","Missed",IF(CF109="TBC","TBC",IF(CF109="Undefined","Undefined",_xlfn.XLOOKUP(EN$7,Finance!$M$6:$BM$6,Finance!$M$9:$BM$9)/_xlfn.XLOOKUP(EN$7,Finance!$M$6:$BM$6,Finance!$M$8:$BM$8))))))</f>
        <v/>
      </c>
      <c r="EO109" s="315" t="str">
        <f>IF(EO$7&gt;$D$3,"",IF(CG109="OD","OD",IF(CG109="Missed","Missed",IF(CG109="TBC","TBC",IF(CG109="Undefined","Undefined",_xlfn.XLOOKUP(EO$7,Finance!$M$6:$BM$6,Finance!$M$9:$BM$9)/_xlfn.XLOOKUP(EO$7,Finance!$M$6:$BM$6,Finance!$M$8:$BM$8))))))</f>
        <v/>
      </c>
      <c r="EP109" s="315" t="str">
        <f>IF(EP$7&gt;$D$3,"",IF(CH109="OD","OD",IF(CH109="Missed","Missed",IF(CH109="TBC","TBC",IF(CH109="Undefined","Undefined",_xlfn.XLOOKUP(EP$7,Finance!$M$6:$BM$6,Finance!$M$9:$BM$9)/_xlfn.XLOOKUP(EP$7,Finance!$M$6:$BM$6,Finance!$M$8:$BM$8))))))</f>
        <v/>
      </c>
      <c r="EQ109" s="315" t="str">
        <f>IF(EQ$7&gt;$D$3,"",IF(CI109="OD","OD",IF(CI109="Missed","Missed",IF(CI109="TBC","TBC",IF(CI109="Undefined","Undefined",_xlfn.XLOOKUP(EQ$7,Finance!$M$6:$BM$6,Finance!$M$9:$BM$9)/_xlfn.XLOOKUP(EQ$7,Finance!$M$6:$BM$6,Finance!$M$8:$BM$8))))))</f>
        <v/>
      </c>
      <c r="ER109" s="315" t="str">
        <f>IF(ER$7&gt;$D$3,"",IF(CJ109="OD","OD",IF(CJ109="Missed","Missed",IF(CJ109="TBC","TBC",IF(CJ109="Undefined","Undefined",_xlfn.XLOOKUP(ER$7,Finance!$M$6:$BM$6,Finance!$M$9:$BM$9)/_xlfn.XLOOKUP(ER$7,Finance!$M$6:$BM$6,Finance!$M$8:$BM$8))))))</f>
        <v/>
      </c>
      <c r="ES109" s="315" t="str">
        <f>IF(ES$7&gt;$D$3,"",IF(CK109="OD","OD",IF(CK109="Missed","Missed",IF(CK109="TBC","TBC",IF(CK109="Undefined","Undefined",_xlfn.XLOOKUP(ES$7,Finance!$M$6:$BM$6,Finance!$M$9:$BM$9)/_xlfn.XLOOKUP(ES$7,Finance!$M$6:$BM$6,Finance!$M$8:$BM$8))))))</f>
        <v/>
      </c>
      <c r="ET109" s="315" t="str">
        <f>IF(ET$7&gt;$D$3,"",IF(CL109="OD","OD",IF(CL109="Missed","Missed",IF(CL109="TBC","TBC",IF(CL109="Undefined","Undefined",_xlfn.XLOOKUP(ET$7,Finance!$M$6:$BM$6,Finance!$M$9:$BM$9)/_xlfn.XLOOKUP(ET$7,Finance!$M$6:$BM$6,Finance!$M$8:$BM$8))))))</f>
        <v/>
      </c>
      <c r="EU109" s="315" t="str">
        <f>IF(EU$7&gt;$D$3,"",IF(CM109="OD","OD",IF(CM109="Missed","Missed",IF(CM109="TBC","TBC",IF(CM109="Undefined","Undefined",_xlfn.XLOOKUP(EU$7,Finance!$M$6:$BM$6,Finance!$M$9:$BM$9)/_xlfn.XLOOKUP(EU$7,Finance!$M$6:$BM$6,Finance!$M$8:$BM$8))))))</f>
        <v/>
      </c>
      <c r="EW109" s="465" t="str">
        <f>+$A109</f>
        <v>Finance-KPI P1</v>
      </c>
      <c r="EX109" s="133" t="str">
        <f>+$C109</f>
        <v>KPI P1</v>
      </c>
      <c r="EY109" s="142" t="str">
        <f>+$D109</f>
        <v>Productivity</v>
      </c>
      <c r="EZ109" s="142" t="str">
        <f t="shared" si="358"/>
        <v>purchase ledger invoices posted (Target 2024 avg)</v>
      </c>
      <c r="FA109" s="143" t="str">
        <f t="shared" si="359"/>
        <v>Count</v>
      </c>
      <c r="FB109" s="143" t="s">
        <v>251</v>
      </c>
      <c r="FC109" s="211">
        <f>IF(FC$7&gt;$D$3,"",IF($FA108&lt;FC$7,"OD",_xlfn.XLOOKUP(FC$7,Finance!$M$6:$BM$6,Finance!$M$9:$BM$9)))</f>
        <v>10.25</v>
      </c>
      <c r="FD109" s="211">
        <f>IF(FD$7&gt;$D$3,"",IF($FA108&lt;FD$7,"OD",_xlfn.XLOOKUP(FD$7,Finance!$M$6:$BM$6,Finance!$M$9:$BM$9)))</f>
        <v>127.75</v>
      </c>
      <c r="FE109" s="211">
        <f>IF(FE$7&gt;$D$3,"",IF($FA108&lt;FE$7,"OD",_xlfn.XLOOKUP(FE$7,Finance!$M$6:$BM$6,Finance!$M$9:$BM$9)))</f>
        <v>132</v>
      </c>
      <c r="FF109" s="211">
        <f>IF(FF$7&gt;$D$3,"",IF($FA108&lt;FF$7,"OD",_xlfn.XLOOKUP(FF$7,Finance!$M$6:$BM$6,Finance!$M$9:$BM$9)))</f>
        <v>166.66666666666666</v>
      </c>
      <c r="FG109" s="211">
        <f>IF(FG$7&gt;$D$3,"",IF($FA108&lt;FG$7,"OD",_xlfn.XLOOKUP(FG$7,Finance!$M$6:$BM$6,Finance!$M$9:$BM$9)))</f>
        <v>160</v>
      </c>
      <c r="FH109" s="211">
        <f>IF(FH$7&gt;$D$3,"",IF($FA108&lt;FH$7,"OD",_xlfn.XLOOKUP(FH$7,Finance!$M$6:$BM$6,Finance!$M$9:$BM$9)))</f>
        <v>188.66666666666666</v>
      </c>
      <c r="FI109" s="211">
        <f>IF(FI$7&gt;$D$3,"",IF($FA108&lt;FI$7,"OD",_xlfn.XLOOKUP(FI$7,Finance!$M$6:$BM$6,Finance!$M$9:$BM$9)))</f>
        <v>186.66666666666666</v>
      </c>
      <c r="FJ109" s="211">
        <f>IF(FJ$7&gt;$D$3,"",IF($FA108&lt;FJ$7,"OD",_xlfn.XLOOKUP(FJ$7,Finance!$M$6:$BM$6,Finance!$M$9:$BM$9)))</f>
        <v>184.66666666666666</v>
      </c>
      <c r="FK109" s="211">
        <f>IF(FK$7&gt;$D$3,"",IF($FA108&lt;FK$7,"OD",_xlfn.XLOOKUP(FK$7,Finance!$M$6:$BM$6,Finance!$M$9:$BM$9)))</f>
        <v>203.33333333333334</v>
      </c>
      <c r="FL109" s="211">
        <f>IF(FL$7&gt;$D$3,"",IF($FA108&lt;FL$7,"OD",_xlfn.XLOOKUP(FL$7,Finance!$M$6:$BM$6,Finance!$M$9:$BM$9)))</f>
        <v>203.66666666666666</v>
      </c>
      <c r="FM109" s="211">
        <f>IF(FM$7&gt;$D$3,"",IF($FA108&lt;FM$7,"OD",_xlfn.XLOOKUP(FM$7,Finance!$M$6:$BM$6,Finance!$M$9:$BM$9)))</f>
        <v>111</v>
      </c>
      <c r="FN109" s="211">
        <f>IF(FN$7&gt;$D$3,"",IF($FA108&lt;FN$7,"OD",_xlfn.XLOOKUP(FN$7,Finance!$M$6:$BM$6,Finance!$M$9:$BM$9)))</f>
        <v>175.33333333333334</v>
      </c>
      <c r="FO109" s="211">
        <f>IF(FO$7&gt;$D$3,"",IF($FA108&lt;FO$7,"OD",_xlfn.XLOOKUP(FO$7,Finance!$M$6:$BM$6,Finance!$M$9:$BM$9)))</f>
        <v>207.33333333333334</v>
      </c>
      <c r="FP109" s="211">
        <f>IF(FP$7&gt;$D$3,"",IF($FA108&lt;FP$7,"OD",_xlfn.XLOOKUP(FP$7,Finance!$M$6:$BM$6,Finance!$M$9:$BM$9)))</f>
        <v>218.33333333333334</v>
      </c>
      <c r="FQ109" s="211">
        <f>IF(FQ$7&gt;$D$3,"",IF($FA108&lt;FQ$7,"OD",_xlfn.XLOOKUP(FQ$7,Finance!$M$6:$BM$6,Finance!$M$9:$BM$9)))</f>
        <v>226.33333333333334</v>
      </c>
      <c r="FR109" s="211">
        <f>IF(FR$7&gt;$D$3,"",IF($FA108&lt;FR$7,"OD",_xlfn.XLOOKUP(FR$7,Finance!$M$6:$BM$6,Finance!$M$9:$BM$9)))</f>
        <v>134.66666666666666</v>
      </c>
      <c r="FS109" s="211">
        <f>IF(FS$7&gt;$D$3,"",IF($FA108&lt;FS$7,"OD",_xlfn.XLOOKUP(FS$7,Finance!$M$6:$BM$6,Finance!$M$9:$BM$9)))</f>
        <v>142</v>
      </c>
      <c r="FT109" s="211">
        <f>IF(FT$7&gt;$D$3,"",IF($FA108&lt;FT$7,"OD",_xlfn.XLOOKUP(FT$7,Finance!$M$6:$BM$6,Finance!$M$9:$BM$9)))</f>
        <v>224.33333333333334</v>
      </c>
      <c r="FU109" s="211">
        <f>IF(FU$7&gt;$D$3,"",IF($FA108&lt;FU$7,"OD",_xlfn.XLOOKUP(FU$7,Finance!$M$6:$BM$6,Finance!$M$9:$BM$9)))</f>
        <v>195.33333333333334</v>
      </c>
      <c r="FV109" s="211">
        <f>IF(FV$7&gt;$D$3,"",IF($FA108&lt;FV$7,"OD",_xlfn.XLOOKUP(FV$7,Finance!$M$6:$BM$6,Finance!$M$9:$BM$9)))</f>
        <v>162.66666666666666</v>
      </c>
      <c r="FW109" s="211">
        <f>IF(FW$7&gt;$D$3,"",IF($FA108&lt;FW$7,"OD",_xlfn.XLOOKUP(FW$7,Finance!$M$6:$BM$6,Finance!$M$9:$BM$9)))</f>
        <v>195.33333333333334</v>
      </c>
      <c r="FX109" s="211">
        <f>IF(FX$7&gt;$D$3,"",IF($FA108&lt;FX$7,"OD",_xlfn.XLOOKUP(FX$7,Finance!$M$6:$BM$6,Finance!$M$9:$BM$9)))</f>
        <v>100</v>
      </c>
      <c r="FY109" s="211">
        <f>IF(FY$7&gt;$D$3,"",IF($FA108&lt;FY$7,"OD",_xlfn.XLOOKUP(FY$7,Finance!$M$6:$BM$6,Finance!$M$9:$BM$9)))</f>
        <v>213</v>
      </c>
      <c r="FZ109" s="211">
        <f>IF(FZ$7&gt;$D$3,"",IF($FA108&lt;FZ$7,"OD",_xlfn.XLOOKUP(FZ$7,Finance!$M$6:$BM$6,Finance!$M$9:$BM$9)))</f>
        <v>226</v>
      </c>
      <c r="GA109" s="211">
        <f>IF(GA$7&gt;$D$3,"",IF($FA108&lt;GA$7,"OD",_xlfn.XLOOKUP(GA$7,Finance!$M$6:$BM$6,Finance!$M$9:$BM$9)))</f>
        <v>196</v>
      </c>
      <c r="GB109" s="211">
        <f>IF(GB$7&gt;$D$3,"",IF($FA108&lt;GB$7,"OD",_xlfn.XLOOKUP(GB$7,Finance!$M$6:$BM$6,Finance!$M$9:$BM$9)))</f>
        <v>160.66666666666666</v>
      </c>
      <c r="GC109" s="211">
        <f>IF(GC$7&gt;$D$3,"",IF($FA108&lt;GC$7,"OD",_xlfn.XLOOKUP(GC$7,Finance!$M$6:$BM$6,Finance!$M$9:$BM$9)))</f>
        <v>207.66666666666666</v>
      </c>
      <c r="GD109" s="211">
        <f>IF(GD$7&gt;$D$3,"",IF($FA108&lt;GD$7,"OD",_xlfn.XLOOKUP(GD$7,Finance!$M$6:$BM$6,Finance!$M$9:$BM$9)))</f>
        <v>201.66666666666666</v>
      </c>
      <c r="GE109" s="211">
        <f>IF(GE$7&gt;$D$3,"",IF($FA108&lt;GE$7,"OD",_xlfn.XLOOKUP(GE$7,Finance!$M$6:$BM$6,Finance!$M$9:$BM$9)))</f>
        <v>139.33333333333334</v>
      </c>
      <c r="GF109" s="211">
        <f>IF(GF$7&gt;$D$3,"",IF($FA108&lt;GF$7,"OD",_xlfn.XLOOKUP(GF$7,Finance!$M$6:$BM$6,Finance!$M$9:$BM$9)))</f>
        <v>127.33333333333333</v>
      </c>
      <c r="GG109" s="211">
        <f>IF(GG$7&gt;$D$3,"",IF($FA108&lt;GG$7,"OD",_xlfn.XLOOKUP(GG$7,Finance!$M$6:$BM$6,Finance!$M$9:$BM$9)))</f>
        <v>130.33333333333334</v>
      </c>
      <c r="GH109" s="211">
        <f>IF(GH$7&gt;$D$3,"",IF($FA108&lt;GH$7,"OD",_xlfn.XLOOKUP(GH$7,Finance!$M$6:$BM$6,Finance!$M$9:$BM$9)))</f>
        <v>185</v>
      </c>
      <c r="GI109" s="211">
        <f>IF(GI$7&gt;$D$3,"",IF($FA108&lt;GI$7,"OD",_xlfn.XLOOKUP(GI$7,Finance!$M$6:$BM$6,Finance!$M$9:$BM$9)))</f>
        <v>284.66666666666669</v>
      </c>
      <c r="GJ109" s="211">
        <f>IF(GJ$7&gt;$D$3,"",IF($FA108&lt;GJ$7,"OD",_xlfn.XLOOKUP(GJ$7,Finance!$M$6:$BM$6,Finance!$M$9:$BM$9)))</f>
        <v>261</v>
      </c>
      <c r="GK109" s="211">
        <f>IF(GK$7&gt;$D$3,"",IF($FA108&lt;GK$7,"OD",_xlfn.XLOOKUP(GK$7,Finance!$M$6:$BM$6,Finance!$M$9:$BM$9)))</f>
        <v>106.33333333333333</v>
      </c>
      <c r="GL109" s="211">
        <f>IF(GL$7&gt;$D$3,"",IF($FA108&lt;GL$7,"OD",_xlfn.XLOOKUP(GL$7,Finance!$M$6:$BM$6,Finance!$M$9:$BM$9)))</f>
        <v>194.75</v>
      </c>
      <c r="GM109" s="211">
        <f>IF(GM$7&gt;$D$3,"",IF($FA108&lt;GM$7,"OD",_xlfn.XLOOKUP(GM$7,Finance!$M$6:$BM$6,Finance!$M$9:$BM$9)))</f>
        <v>197</v>
      </c>
      <c r="GN109" s="211">
        <f>IF(GN$7&gt;$D$3,"",IF($FA108&lt;GN$7,"OD",_xlfn.XLOOKUP(GN$7,Finance!$M$6:$BM$6,Finance!$M$9:$BM$9)))</f>
        <v>273.66666666666669</v>
      </c>
      <c r="GO109" s="211">
        <f>IF(GO$7&gt;$D$3,"",IF($FA108&lt;GO$7,"OD",_xlfn.XLOOKUP(GO$7,Finance!$M$6:$BM$6,Finance!$M$9:$BM$9)))</f>
        <v>178.25</v>
      </c>
      <c r="GP109" s="211">
        <f>IF(GP$7&gt;$D$3,"",IF($FA108&lt;GP$7,"OD",_xlfn.XLOOKUP(GP$7,Finance!$M$6:$BM$6,Finance!$M$9:$BM$9)))</f>
        <v>158.66666666666666</v>
      </c>
      <c r="GQ109" s="211">
        <f>IF(GQ$7&gt;$D$3,"",IF($FA108&lt;GQ$7,"OD",_xlfn.XLOOKUP(GQ$7,Finance!$M$6:$BM$6,Finance!$M$9:$BM$9)))</f>
        <v>188</v>
      </c>
      <c r="GR109" s="211">
        <f>IF(GR$7&gt;$D$3,"",IF($FA108&lt;GR$7,"OD",_xlfn.XLOOKUP(GR$7,Finance!$M$6:$BM$6,Finance!$M$9:$BM$9)))</f>
        <v>204</v>
      </c>
      <c r="GS109" s="211" t="str">
        <f>IF(GS$7&gt;$D$3,"",IF($FA108&lt;GS$7,"OD",_xlfn.XLOOKUP(GS$7,Finance!$M$6:$BM$6,Finance!$M$9:$BM$9)))</f>
        <v/>
      </c>
      <c r="GT109" s="211" t="str">
        <f>IF(GT$7&gt;$D$3,"",IF($FA108&lt;GT$7,"OD",_xlfn.XLOOKUP(GT$7,Finance!$M$6:$BM$6,Finance!$M$9:$BM$9)))</f>
        <v/>
      </c>
      <c r="GU109" s="211" t="str">
        <f>IF(GU$7&gt;$D$3,"",IF($FA108&lt;GU$7,"OD",_xlfn.XLOOKUP(GU$7,Finance!$M$6:$BM$6,Finance!$M$9:$BM$9)))</f>
        <v/>
      </c>
      <c r="GV109" s="211" t="str">
        <f>IF(GV$7&gt;$D$3,"",IF($FA108&lt;GV$7,"OD",_xlfn.XLOOKUP(GV$7,Finance!$M$6:$BM$6,Finance!$M$9:$BM$9)))</f>
        <v/>
      </c>
      <c r="GW109" s="211" t="str">
        <f>IF(GW$7&gt;$D$3,"",IF($FA108&lt;GW$7,"OD",_xlfn.XLOOKUP(GW$7,Finance!$M$6:$BM$6,Finance!$M$9:$BM$9)))</f>
        <v/>
      </c>
      <c r="GX109" s="211" t="str">
        <f>IF(GX$7&gt;$D$3,"",IF($FA108&lt;GX$7,"OD",_xlfn.XLOOKUP(GX$7,Finance!$M$6:$BM$6,Finance!$M$9:$BM$9)))</f>
        <v/>
      </c>
      <c r="GY109" s="211" t="str">
        <f>IF(GY$7&gt;$D$3,"",IF($FA108&lt;GY$7,"OD",_xlfn.XLOOKUP(GY$7,Finance!$M$6:$BM$6,Finance!$M$9:$BM$9)))</f>
        <v/>
      </c>
      <c r="GZ109" s="211" t="str">
        <f>IF(GZ$7&gt;$D$3,"",IF($FA108&lt;GZ$7,"OD",_xlfn.XLOOKUP(GZ$7,Finance!$M$6:$BM$6,Finance!$M$9:$BM$9)))</f>
        <v/>
      </c>
      <c r="HA109" s="211" t="str">
        <f>IF(HA$7&gt;$D$3,"",IF($FA108&lt;HA$7,"OD",_xlfn.XLOOKUP(HA$7,Finance!$M$6:$BM$6,Finance!$M$9:$BM$9)))</f>
        <v/>
      </c>
      <c r="HB109" s="211" t="str">
        <f>IF(HB$7&gt;$D$3,"",IF($FA108&lt;HB$7,"OD",_xlfn.XLOOKUP(HB$7,Finance!$M$6:$BM$6,Finance!$M$9:$BM$9)))</f>
        <v/>
      </c>
      <c r="HC109" s="211" t="str">
        <f>IF(HC$7&gt;$D$3,"",IF($FA108&lt;HC$7,"OD",_xlfn.XLOOKUP(HC$7,Finance!$M$6:$BM$6,Finance!$M$9:$BM$9)))</f>
        <v/>
      </c>
      <c r="HE109" s="133" t="str">
        <f>+$C109</f>
        <v>KPI P1</v>
      </c>
      <c r="HF109" s="142" t="str">
        <f>+$D109</f>
        <v>Productivity</v>
      </c>
      <c r="HG109" s="142" t="str">
        <f t="shared" si="362"/>
        <v>purchase ledger invoices posted (Target 2024 avg)</v>
      </c>
      <c r="HH109" s="143" t="str">
        <f t="shared" si="363"/>
        <v>Count</v>
      </c>
      <c r="HI109" s="143" t="s">
        <v>44</v>
      </c>
      <c r="HJ109" s="211">
        <f>IF(HJ$7&gt;$D$3,"",IF($FA108&lt;HJ$7,"OD",_xlfn.XLOOKUP(HJ$7,Finance!$M$6:$BM$6,Finance!$M$8:$BM$8)))</f>
        <v>138.87</v>
      </c>
      <c r="HK109" s="211">
        <f>IF(HK$7&gt;$D$3,"",IF($FA108&lt;HK$7,"OD",_xlfn.XLOOKUP(HK$7,Finance!$M$6:$BM$6,Finance!$M$8:$BM$8)))</f>
        <v>138.87</v>
      </c>
      <c r="HL109" s="211">
        <f>IF(HL$7&gt;$D$3,"",IF($FA108&lt;HL$7,"OD",_xlfn.XLOOKUP(HL$7,Finance!$M$6:$BM$6,Finance!$M$8:$BM$8)))</f>
        <v>138.87</v>
      </c>
      <c r="HM109" s="211">
        <f>IF(HM$7&gt;$D$3,"",IF($FA108&lt;HM$7,"OD",_xlfn.XLOOKUP(HM$7,Finance!$M$6:$BM$6,Finance!$M$8:$BM$8)))</f>
        <v>138.87</v>
      </c>
      <c r="HN109" s="211">
        <f>IF(HN$7&gt;$D$3,"",IF($FA108&lt;HN$7,"OD",_xlfn.XLOOKUP(HN$7,Finance!$M$6:$BM$6,Finance!$M$8:$BM$8)))</f>
        <v>138.87</v>
      </c>
      <c r="HO109" s="211">
        <f>IF(HO$7&gt;$D$3,"",IF($FA108&lt;HO$7,"OD",_xlfn.XLOOKUP(HO$7,Finance!$M$6:$BM$6,Finance!$M$8:$BM$8)))</f>
        <v>138.87</v>
      </c>
      <c r="HP109" s="211">
        <f>IF(HP$7&gt;$D$3,"",IF($FA108&lt;HP$7,"OD",_xlfn.XLOOKUP(HP$7,Finance!$M$6:$BM$6,Finance!$M$8:$BM$8)))</f>
        <v>138.87</v>
      </c>
      <c r="HQ109" s="211">
        <f>IF(HQ$7&gt;$D$3,"",IF($FA108&lt;HQ$7,"OD",_xlfn.XLOOKUP(HQ$7,Finance!$M$6:$BM$6,Finance!$M$8:$BM$8)))</f>
        <v>138.87</v>
      </c>
      <c r="HR109" s="211">
        <f>IF(HR$7&gt;$D$3,"",IF($FA108&lt;HR$7,"OD",_xlfn.XLOOKUP(HR$7,Finance!$M$6:$BM$6,Finance!$M$8:$BM$8)))</f>
        <v>138.87</v>
      </c>
      <c r="HS109" s="211">
        <f>IF(HS$7&gt;$D$3,"",IF($FA108&lt;HS$7,"OD",_xlfn.XLOOKUP(HS$7,Finance!$M$6:$BM$6,Finance!$M$8:$BM$8)))</f>
        <v>138.87</v>
      </c>
      <c r="HT109" s="211">
        <f>IF(HT$7&gt;$D$3,"",IF($FA108&lt;HT$7,"OD",_xlfn.XLOOKUP(HT$7,Finance!$M$6:$BM$6,Finance!$M$8:$BM$8)))</f>
        <v>138.87</v>
      </c>
      <c r="HU109" s="211">
        <f>IF(HU$7&gt;$D$3,"",IF($FA108&lt;HU$7,"OD",_xlfn.XLOOKUP(HU$7,Finance!$M$6:$BM$6,Finance!$M$8:$BM$8)))</f>
        <v>138.87</v>
      </c>
      <c r="HV109" s="211">
        <f>IF(HV$7&gt;$D$3,"",IF($FA108&lt;HV$7,"OD",_xlfn.XLOOKUP(HV$7,Finance!$M$6:$BM$6,Finance!$M$8:$BM$8)))</f>
        <v>138.87</v>
      </c>
      <c r="HW109" s="211">
        <f>IF(HW$7&gt;$D$3,"",IF($FA108&lt;HW$7,"OD",_xlfn.XLOOKUP(HW$7,Finance!$M$6:$BM$6,Finance!$M$8:$BM$8)))</f>
        <v>138.87</v>
      </c>
      <c r="HX109" s="211">
        <f>IF(HX$7&gt;$D$3,"",IF($FA108&lt;HX$7,"OD",_xlfn.XLOOKUP(HX$7,Finance!$M$6:$BM$6,Finance!$M$8:$BM$8)))</f>
        <v>138.87</v>
      </c>
      <c r="HY109" s="211">
        <f>IF(HY$7&gt;$D$3,"",IF($FA108&lt;HY$7,"OD",_xlfn.XLOOKUP(HY$7,Finance!$M$6:$BM$6,Finance!$M$8:$BM$8)))</f>
        <v>138.87</v>
      </c>
      <c r="HZ109" s="211">
        <f>IF(HZ$7&gt;$D$3,"",IF($FA108&lt;HZ$7,"OD",_xlfn.XLOOKUP(HZ$7,Finance!$M$6:$BM$6,Finance!$M$8:$BM$8)))</f>
        <v>138.87</v>
      </c>
      <c r="IA109" s="211">
        <f>IF(IA$7&gt;$D$3,"",IF($FA108&lt;IA$7,"OD",_xlfn.XLOOKUP(IA$7,Finance!$M$6:$BM$6,Finance!$M$8:$BM$8)))</f>
        <v>138.87</v>
      </c>
      <c r="IB109" s="211">
        <f>IF(IB$7&gt;$D$3,"",IF($FA108&lt;IB$7,"OD",_xlfn.XLOOKUP(IB$7,Finance!$M$6:$BM$6,Finance!$M$8:$BM$8)))</f>
        <v>138.87</v>
      </c>
      <c r="IC109" s="211">
        <f>IF(IC$7&gt;$D$3,"",IF($FA108&lt;IC$7,"OD",_xlfn.XLOOKUP(IC$7,Finance!$M$6:$BM$6,Finance!$M$8:$BM$8)))</f>
        <v>138.87</v>
      </c>
      <c r="ID109" s="211">
        <f>IF(ID$7&gt;$D$3,"",IF($FA108&lt;ID$7,"OD",_xlfn.XLOOKUP(ID$7,Finance!$M$6:$BM$6,Finance!$M$8:$BM$8)))</f>
        <v>138.87</v>
      </c>
      <c r="IE109" s="211">
        <f>IF(IE$7&gt;$D$3,"",IF($FA108&lt;IE$7,"OD",_xlfn.XLOOKUP(IE$7,Finance!$M$6:$BM$6,Finance!$M$8:$BM$8)))</f>
        <v>138.87</v>
      </c>
      <c r="IF109" s="211">
        <f>IF(IF$7&gt;$D$3,"",IF($FA108&lt;IF$7,"OD",_xlfn.XLOOKUP(IF$7,Finance!$M$6:$BM$6,Finance!$M$8:$BM$8)))</f>
        <v>138.87</v>
      </c>
      <c r="IG109" s="211">
        <f>IF(IG$7&gt;$D$3,"",IF($FA108&lt;IG$7,"OD",_xlfn.XLOOKUP(IG$7,Finance!$M$6:$BM$6,Finance!$M$8:$BM$8)))</f>
        <v>138.87</v>
      </c>
      <c r="IH109" s="211">
        <f>IF(IH$7&gt;$D$3,"",IF($FA108&lt;IH$7,"OD",_xlfn.XLOOKUP(IH$7,Finance!$M$6:$BM$6,Finance!$M$8:$BM$8)))</f>
        <v>138.87</v>
      </c>
      <c r="II109" s="211">
        <f>IF(II$7&gt;$D$3,"",IF($FA108&lt;II$7,"OD",_xlfn.XLOOKUP(II$7,Finance!$M$6:$BM$6,Finance!$M$8:$BM$8)))</f>
        <v>138.87</v>
      </c>
      <c r="IJ109" s="211">
        <f>IF(IJ$7&gt;$D$3,"",IF($FA108&lt;IJ$7,"OD",_xlfn.XLOOKUP(IJ$7,Finance!$M$6:$BM$6,Finance!$M$8:$BM$8)))</f>
        <v>138.87</v>
      </c>
      <c r="IK109" s="211">
        <f>IF(IK$7&gt;$D$3,"",IF($FA108&lt;IK$7,"OD",_xlfn.XLOOKUP(IK$7,Finance!$M$6:$BM$6,Finance!$M$8:$BM$8)))</f>
        <v>138.87</v>
      </c>
      <c r="IL109" s="211">
        <f>IF(IL$7&gt;$D$3,"",IF($FA108&lt;IL$7,"OD",_xlfn.XLOOKUP(IL$7,Finance!$M$6:$BM$6,Finance!$M$8:$BM$8)))</f>
        <v>138.87</v>
      </c>
      <c r="IM109" s="211">
        <f>IF(IM$7&gt;$D$3,"",IF($FA108&lt;IM$7,"OD",_xlfn.XLOOKUP(IM$7,Finance!$M$6:$BM$6,Finance!$M$8:$BM$8)))</f>
        <v>138.87</v>
      </c>
      <c r="IN109" s="211">
        <f>IF(IN$7&gt;$D$3,"",IF($FA108&lt;IN$7,"OD",_xlfn.XLOOKUP(IN$7,Finance!$M$6:$BM$6,Finance!$M$8:$BM$8)))</f>
        <v>138.87</v>
      </c>
      <c r="IO109" s="211">
        <f>IF(IO$7&gt;$D$3,"",IF($FA108&lt;IO$7,"OD",_xlfn.XLOOKUP(IO$7,Finance!$M$6:$BM$6,Finance!$M$8:$BM$8)))</f>
        <v>138.87</v>
      </c>
      <c r="IP109" s="211">
        <f>IF(IP$7&gt;$D$3,"",IF($FA108&lt;IP$7,"OD",_xlfn.XLOOKUP(IP$7,Finance!$M$6:$BM$6,Finance!$M$8:$BM$8)))</f>
        <v>138.87</v>
      </c>
      <c r="IQ109" s="211">
        <f>IF(IQ$7&gt;$D$3,"",IF($FA108&lt;IQ$7,"OD",_xlfn.XLOOKUP(IQ$7,Finance!$M$6:$BM$6,Finance!$M$8:$BM$8)))</f>
        <v>138.87</v>
      </c>
      <c r="IR109" s="211">
        <f>IF(IR$7&gt;$D$3,"",IF($FA108&lt;IR$7,"OD",_xlfn.XLOOKUP(IR$7,Finance!$M$6:$BM$6,Finance!$M$8:$BM$8)))</f>
        <v>138.87</v>
      </c>
      <c r="IS109" s="211">
        <f>IF(IS$7&gt;$D$3,"",IF($FA108&lt;IS$7,"OD",_xlfn.XLOOKUP(IS$7,Finance!$M$6:$BM$6,Finance!$M$8:$BM$8)))</f>
        <v>138.87</v>
      </c>
      <c r="IT109" s="211">
        <f>IF(IT$7&gt;$D$3,"",IF($FA108&lt;IT$7,"OD",_xlfn.XLOOKUP(IT$7,Finance!$M$6:$BM$6,Finance!$M$8:$BM$8)))</f>
        <v>138.87</v>
      </c>
      <c r="IU109" s="211">
        <f>IF(IU$7&gt;$D$3,"",IF($FA108&lt;IU$7,"OD",_xlfn.XLOOKUP(IU$7,Finance!$M$6:$BM$6,Finance!$M$8:$BM$8)))</f>
        <v>138.87</v>
      </c>
      <c r="IV109" s="211">
        <f>IF(IV$7&gt;$D$3,"",IF($FA108&lt;IV$7,"OD",_xlfn.XLOOKUP(IV$7,Finance!$M$6:$BM$6,Finance!$M$8:$BM$8)))</f>
        <v>138.87</v>
      </c>
      <c r="IW109" s="211">
        <f>IF(IW$7&gt;$D$3,"",IF($FA108&lt;IW$7,"OD",_xlfn.XLOOKUP(IW$7,Finance!$M$6:$BM$6,Finance!$M$8:$BM$8)))</f>
        <v>138.87</v>
      </c>
      <c r="IX109" s="211">
        <f>IF(IX$7&gt;$D$3,"",IF($FA108&lt;IX$7,"OD",_xlfn.XLOOKUP(IX$7,Finance!$M$6:$BM$6,Finance!$M$8:$BM$8)))</f>
        <v>138.87</v>
      </c>
      <c r="IY109" s="211">
        <f>IF(IY$7&gt;$D$3,"",IF($FA108&lt;IY$7,"OD",_xlfn.XLOOKUP(IY$7,Finance!$M$6:$BM$6,Finance!$M$8:$BM$8)))</f>
        <v>138.87</v>
      </c>
      <c r="IZ109" s="211" t="str">
        <f>IF(IZ$7&gt;$D$3,"",IF($FA108&lt;IZ$7,"OD",_xlfn.XLOOKUP(IZ$7,Finance!$M$6:$BM$6,Finance!$M$8:$BM$8)))</f>
        <v/>
      </c>
      <c r="JA109" s="211" t="str">
        <f>IF(JA$7&gt;$D$3,"",IF($FA108&lt;JA$7,"OD",_xlfn.XLOOKUP(JA$7,Finance!$M$6:$BM$6,Finance!$M$8:$BM$8)))</f>
        <v/>
      </c>
      <c r="JB109" s="211" t="str">
        <f>IF(JB$7&gt;$D$3,"",IF($FA108&lt;JB$7,"OD",_xlfn.XLOOKUP(JB$7,Finance!$M$6:$BM$6,Finance!$M$8:$BM$8)))</f>
        <v/>
      </c>
      <c r="JC109" s="211" t="str">
        <f>IF(JC$7&gt;$D$3,"",IF($FA108&lt;JC$7,"OD",_xlfn.XLOOKUP(JC$7,Finance!$M$6:$BM$6,Finance!$M$8:$BM$8)))</f>
        <v/>
      </c>
      <c r="JD109" s="211" t="str">
        <f>IF(JD$7&gt;$D$3,"",IF($FA108&lt;JD$7,"OD",_xlfn.XLOOKUP(JD$7,Finance!$M$6:$BM$6,Finance!$M$8:$BM$8)))</f>
        <v/>
      </c>
      <c r="JE109" s="211" t="str">
        <f>IF(JE$7&gt;$D$3,"",IF($FA108&lt;JE$7,"OD",_xlfn.XLOOKUP(JE$7,Finance!$M$6:$BM$6,Finance!$M$8:$BM$8)))</f>
        <v/>
      </c>
      <c r="JF109" s="211" t="str">
        <f>IF(JF$7&gt;$D$3,"",IF($FA108&lt;JF$7,"OD",_xlfn.XLOOKUP(JF$7,Finance!$M$6:$BM$6,Finance!$M$8:$BM$8)))</f>
        <v/>
      </c>
      <c r="JG109" s="211" t="str">
        <f>IF(JG$7&gt;$D$3,"",IF($FA108&lt;JG$7,"OD",_xlfn.XLOOKUP(JG$7,Finance!$M$6:$BM$6,Finance!$M$8:$BM$8)))</f>
        <v/>
      </c>
      <c r="JH109" s="211" t="str">
        <f>IF(JH$7&gt;$D$3,"",IF($FA108&lt;JH$7,"OD",_xlfn.XLOOKUP(JH$7,Finance!$M$6:$BM$6,Finance!$M$8:$BM$8)))</f>
        <v/>
      </c>
      <c r="JI109" s="211" t="str">
        <f>IF(JI$7&gt;$D$3,"",IF($FA108&lt;JI$7,"OD",_xlfn.XLOOKUP(JI$7,Finance!$M$6:$BM$6,Finance!$M$8:$BM$8)))</f>
        <v/>
      </c>
      <c r="JJ109" s="211" t="str">
        <f>IF(JJ$7&gt;$D$3,"",IF($FA108&lt;JJ$7,"OD",_xlfn.XLOOKUP(JJ$7,Finance!$M$6:$BM$6,Finance!$M$8:$BM$8)))</f>
        <v/>
      </c>
      <c r="JM109" s="133" t="str">
        <f>+$C109</f>
        <v>KPI P1</v>
      </c>
      <c r="JN109" s="142" t="str">
        <f>+$D109</f>
        <v>Productivity</v>
      </c>
      <c r="JO109" s="142" t="str">
        <f t="shared" si="366"/>
        <v>purchase ledger invoices posted (Target 2024 avg)</v>
      </c>
      <c r="JP109" s="143" t="str">
        <f t="shared" si="367"/>
        <v>Count</v>
      </c>
      <c r="JQ109" s="143" t="s">
        <v>284</v>
      </c>
      <c r="JR109" s="225">
        <f>IFERROR(AVERAGE(FC109:$FC109),"")</f>
        <v>10.25</v>
      </c>
      <c r="JS109" s="225">
        <f>IFERROR(AVERAGE($FC109:FD109),"")</f>
        <v>69</v>
      </c>
      <c r="JT109" s="225">
        <f>IFERROR(AVERAGE($FC109:FE109),"")</f>
        <v>90</v>
      </c>
      <c r="JU109" s="225">
        <f>IFERROR(AVERAGE($FC109:FF109),"")</f>
        <v>109.16666666666666</v>
      </c>
      <c r="JV109" s="225">
        <f>IFERROR(AVERAGE($FC109:FG109),"")</f>
        <v>119.33333333333333</v>
      </c>
      <c r="JW109" s="225">
        <f>IFERROR(AVERAGE($FC109:FH109),"")</f>
        <v>130.88888888888889</v>
      </c>
      <c r="JX109" s="225">
        <f>IFERROR(AVERAGE($FC109:FI109),"")</f>
        <v>138.85714285714283</v>
      </c>
      <c r="JY109" s="225">
        <f>IFERROR(AVERAGE($FC109:FJ109),"")</f>
        <v>144.58333333333331</v>
      </c>
      <c r="JZ109" s="225">
        <f>IFERROR(AVERAGE($FC109:FK109),"")</f>
        <v>151.11111111111109</v>
      </c>
      <c r="KA109" s="225">
        <f>IFERROR(AVERAGE($FC109:FL109),"")</f>
        <v>156.36666666666665</v>
      </c>
      <c r="KB109" s="225">
        <f>IFERROR(AVERAGE($FC109:FM109),"")</f>
        <v>152.24242424242422</v>
      </c>
      <c r="KC109" s="225">
        <f>IFERROR(AVERAGE($FC109:FN109),"")</f>
        <v>154.16666666666666</v>
      </c>
      <c r="KD109" s="225">
        <f>IFERROR(AVERAGE($FC109:FO109),"")</f>
        <v>158.25641025641022</v>
      </c>
      <c r="KE109" s="225">
        <f>IFERROR(AVERAGE($FC109:FP109),"")</f>
        <v>162.54761904761904</v>
      </c>
      <c r="KF109" s="225">
        <f>IFERROR(AVERAGE($FC109:FQ109),"")</f>
        <v>166.8</v>
      </c>
      <c r="KG109" s="225">
        <f>IFERROR(AVERAGE($FC109:FR109),"")</f>
        <v>164.79166666666666</v>
      </c>
      <c r="KH109" s="225">
        <f>IFERROR(AVERAGE($FC109:FS109),"")</f>
        <v>163.45098039215685</v>
      </c>
      <c r="KI109" s="225">
        <f>IFERROR(AVERAGE($FC109:FT109),"")</f>
        <v>166.83333333333334</v>
      </c>
      <c r="KJ109" s="225">
        <f>IFERROR(AVERAGE($FC109:FU109),"")</f>
        <v>168.33333333333334</v>
      </c>
      <c r="KK109" s="225">
        <f>IFERROR(AVERAGE($FC109:FV109),"")</f>
        <v>168.05</v>
      </c>
      <c r="KL109" s="225">
        <f>IFERROR(AVERAGE($FC109:FW109),"")</f>
        <v>169.34920634920636</v>
      </c>
      <c r="KM109" s="225">
        <f>IFERROR(AVERAGE($FC109:FX109),"")</f>
        <v>166.19696969696972</v>
      </c>
      <c r="KN109" s="225">
        <f>IFERROR(AVERAGE($FC109:FY109),"")</f>
        <v>168.23188405797103</v>
      </c>
      <c r="KO109" s="225">
        <f>IFERROR(AVERAGE($FC109:FZ109),"")</f>
        <v>170.63888888888889</v>
      </c>
      <c r="KP109" s="225">
        <f>IFERROR(AVERAGE($FC109:GA109),"")</f>
        <v>171.65333333333336</v>
      </c>
      <c r="KQ109" s="225">
        <f>IFERROR(AVERAGE($FC109:GB109),"")</f>
        <v>171.23076923076925</v>
      </c>
      <c r="KR109" s="225">
        <f>IFERROR(AVERAGE($FC109:GC109),"")</f>
        <v>172.58024691358028</v>
      </c>
      <c r="KS109" s="225">
        <f>IFERROR(AVERAGE($FC109:GD109),"")</f>
        <v>173.61904761904768</v>
      </c>
      <c r="KT109" s="225">
        <f>IFERROR(AVERAGE($FC109:GE109),"")</f>
        <v>172.43678160919544</v>
      </c>
      <c r="KU109" s="225">
        <f>IFERROR(AVERAGE($FC109:GF109),"")</f>
        <v>170.93333333333337</v>
      </c>
      <c r="KV109" s="225">
        <f>IFERROR(AVERAGE($FC109:GG109),"")</f>
        <v>169.62365591397852</v>
      </c>
      <c r="KW109" s="225">
        <f>IFERROR(AVERAGE($FC109:GH109),"")</f>
        <v>170.10416666666669</v>
      </c>
      <c r="KX109" s="225">
        <f>IFERROR(AVERAGE($FC109:GI109),"")</f>
        <v>173.57575757575759</v>
      </c>
      <c r="KY109" s="225">
        <f>IFERROR(AVERAGE($FC109:GJ109),"")</f>
        <v>176.14705882352945</v>
      </c>
      <c r="KZ109" s="225">
        <f>IFERROR(AVERAGE($FC109:GK109),"")</f>
        <v>174.15238095238098</v>
      </c>
      <c r="LA109" s="225">
        <f>IFERROR(AVERAGE($FC109:GL109),"")</f>
        <v>174.72453703703707</v>
      </c>
      <c r="LB109" s="225">
        <f>IFERROR(AVERAGE($FC109:GM109),"")</f>
        <v>175.3265765765766</v>
      </c>
      <c r="LC109" s="225">
        <f>IFERROR(AVERAGE($FC109:GN109),"")</f>
        <v>177.91447368421055</v>
      </c>
      <c r="LD109" s="225">
        <f>IFERROR(AVERAGE($FC109:GO109),"")</f>
        <v>177.92307692307693</v>
      </c>
      <c r="LE109" s="225">
        <f>IFERROR(AVERAGE($FC109:GP109),"")</f>
        <v>177.44166666666669</v>
      </c>
      <c r="LF109" s="225">
        <f>IFERROR(AVERAGE($FC109:GQ109),"")</f>
        <v>177.69918699186994</v>
      </c>
      <c r="LG109" s="225">
        <f>IFERROR(AVERAGE($FC109:GR109),"")</f>
        <v>178.32539682539687</v>
      </c>
      <c r="LH109" s="225">
        <f>IFERROR(AVERAGE($FC109:GS109),"")</f>
        <v>178.32539682539687</v>
      </c>
      <c r="LI109" s="225">
        <f>IFERROR(AVERAGE($FC109:GT109),"")</f>
        <v>178.32539682539687</v>
      </c>
      <c r="LJ109" s="225">
        <f>IFERROR(AVERAGE($FC109:GU109),"")</f>
        <v>178.32539682539687</v>
      </c>
      <c r="LK109" s="225">
        <f>IFERROR(AVERAGE($FC109:GV109),"")</f>
        <v>178.32539682539687</v>
      </c>
      <c r="LL109" s="225">
        <f>IFERROR(AVERAGE($FC109:GW109),"")</f>
        <v>178.32539682539687</v>
      </c>
      <c r="LM109" s="225">
        <f>IFERROR(AVERAGE($FC109:GX109),"")</f>
        <v>178.32539682539687</v>
      </c>
      <c r="LN109" s="225">
        <f>IFERROR(AVERAGE($FC109:GY109),"")</f>
        <v>178.32539682539687</v>
      </c>
      <c r="LO109" s="225">
        <f>IFERROR(AVERAGE($FC109:GZ109),"")</f>
        <v>178.32539682539687</v>
      </c>
      <c r="LP109" s="225">
        <f>IFERROR(AVERAGE($FC109:HA109),"")</f>
        <v>178.32539682539687</v>
      </c>
      <c r="LQ109" s="225">
        <f>IFERROR(AVERAGE($FC109:HB109),"")</f>
        <v>178.32539682539687</v>
      </c>
      <c r="LR109" s="225">
        <f>IFERROR(AVERAGE($FC109:HC109),"")</f>
        <v>178.32539682539687</v>
      </c>
      <c r="LT109" s="133" t="str">
        <f>+$C109</f>
        <v>KPI P1</v>
      </c>
      <c r="LU109" s="142" t="str">
        <f>+$D109</f>
        <v>Productivity</v>
      </c>
      <c r="LV109" s="142" t="str">
        <f t="shared" si="370"/>
        <v>purchase ledger invoices posted (Target 2024 avg)</v>
      </c>
      <c r="LW109" s="143" t="str">
        <f t="shared" si="371"/>
        <v>Count</v>
      </c>
      <c r="LX109" s="143" t="s">
        <v>285</v>
      </c>
      <c r="LY109" s="211">
        <f>IFERROR(AVERAGE($HJ109:HJ109),"")</f>
        <v>138.87</v>
      </c>
      <c r="LZ109" s="211">
        <f>IFERROR(IF(LAD$7&gt;$D$3,"",AVERAGE($HJ109:HK109)),"")</f>
        <v>138.87</v>
      </c>
      <c r="MA109" s="211">
        <f>IFERROR(IF(MA$7&gt;$D$3,"",AVERAGE($HJ109:HL109)),"")</f>
        <v>138.87</v>
      </c>
      <c r="MB109" s="211">
        <f>IFERROR(IF(MB$7&gt;$D$3,"",AVERAGE($HJ109:HM109)),"")</f>
        <v>138.87</v>
      </c>
      <c r="MC109" s="211">
        <f>IFERROR(IF(MC$7&gt;$D$3,"",AVERAGE($HJ109:HN109)),"")</f>
        <v>138.87</v>
      </c>
      <c r="MD109" s="211">
        <f>IFERROR(IF(MD$7&gt;$D$3,"",AVERAGE($HJ109:HO109)),"")</f>
        <v>138.87</v>
      </c>
      <c r="ME109" s="211">
        <f>IFERROR(IF(ME$7&gt;$D$3,"",AVERAGE($HJ109:HP109)),"")</f>
        <v>138.87</v>
      </c>
      <c r="MF109" s="211">
        <f>IFERROR(IF(MF$7&gt;$D$3,"",AVERAGE($HJ109:HQ109)),"")</f>
        <v>138.87</v>
      </c>
      <c r="MG109" s="211">
        <f>IFERROR(IF(MG$7&gt;$D$3,"",AVERAGE($HJ109:HR109)),"")</f>
        <v>138.87</v>
      </c>
      <c r="MH109" s="211">
        <f>IFERROR(IF(MH$7&gt;$D$3,"",AVERAGE($HJ109:HS109)),"")</f>
        <v>138.86999999999998</v>
      </c>
      <c r="MI109" s="211">
        <f>IFERROR(IF(MI$7&gt;$D$3,"",AVERAGE($HJ109:HT109)),"")</f>
        <v>138.86999999999998</v>
      </c>
      <c r="MJ109" s="211">
        <f>IFERROR(IF(MJ$7&gt;$D$3,"",AVERAGE($HJ109:HU109)),"")</f>
        <v>138.86999999999998</v>
      </c>
      <c r="MK109" s="211">
        <f>IFERROR(IF(MK$7&gt;$D$3,"",AVERAGE($HJ109:HV109)),"")</f>
        <v>138.86999999999995</v>
      </c>
      <c r="ML109" s="211">
        <f>IFERROR(IF(ML$7&gt;$D$3,"",AVERAGE($HJ109:HW109)),"")</f>
        <v>138.86999999999995</v>
      </c>
      <c r="MM109" s="211">
        <f>IFERROR(IF(MM$7&gt;$D$3,"",AVERAGE($HJ109:HX109)),"")</f>
        <v>138.86999999999995</v>
      </c>
      <c r="MN109" s="211">
        <f>IFERROR(IF(MN$7&gt;$D$3,"",AVERAGE($HJ109:HY109)),"")</f>
        <v>138.86999999999995</v>
      </c>
      <c r="MO109" s="211">
        <f>IFERROR(IF(MO$7&gt;$D$3,"",AVERAGE($HJ109:HZ109)),"")</f>
        <v>138.86999999999995</v>
      </c>
      <c r="MP109" s="211">
        <f>IFERROR(IF(MP$7&gt;$D$3,"",AVERAGE($HJ109:IA109)),"")</f>
        <v>138.86999999999995</v>
      </c>
      <c r="MQ109" s="211">
        <f>IFERROR(IF(MQ$7&gt;$D$3,"",AVERAGE($HJ109:IB109)),"")</f>
        <v>138.86999999999995</v>
      </c>
      <c r="MR109" s="211">
        <f>IFERROR(IF(MR$7&gt;$D$3,"",AVERAGE($HJ109:IC109)),"")</f>
        <v>138.86999999999995</v>
      </c>
      <c r="MS109" s="211">
        <f>IFERROR(IF(MS$7&gt;$D$3,"",AVERAGE($HJ109:ID109)),"")</f>
        <v>138.86999999999995</v>
      </c>
      <c r="MT109" s="211">
        <f>IFERROR(IF(MT$7&gt;$D$3,"",AVERAGE($HJ109:IE109)),"")</f>
        <v>138.86999999999992</v>
      </c>
      <c r="MU109" s="211">
        <f>IFERROR(IF(MU$7&gt;$D$3,"",AVERAGE($HJ109:IF109)),"")</f>
        <v>138.86999999999992</v>
      </c>
      <c r="MV109" s="211">
        <f>IFERROR(IF(MV$7&gt;$D$3,"",AVERAGE($HJ109:IG109)),"")</f>
        <v>138.86999999999992</v>
      </c>
      <c r="MW109" s="211">
        <f>IFERROR(IF(MW$7&gt;$D$3,"",AVERAGE($HJ109:IH109)),"")</f>
        <v>138.86999999999992</v>
      </c>
      <c r="MX109" s="211">
        <f>IFERROR(IF(MX$7&gt;$D$3,"",AVERAGE($HJ109:II109)),"")</f>
        <v>138.86999999999992</v>
      </c>
      <c r="MY109" s="211">
        <f>IFERROR(IF(MY$7&gt;$D$3,"",AVERAGE($HJ109:IJ109)),"")</f>
        <v>138.86999999999992</v>
      </c>
      <c r="MZ109" s="211">
        <f>IFERROR(IF(MZ$7&gt;$D$3,"",AVERAGE($HJ109:IK109)),"")</f>
        <v>138.86999999999992</v>
      </c>
      <c r="NA109" s="211">
        <f>IFERROR(IF(NA$7&gt;$D$3,"",AVERAGE($HJ109:IL109)),"")</f>
        <v>138.86999999999992</v>
      </c>
      <c r="NB109" s="211">
        <f>IFERROR(IF(NB$7&gt;$D$3,"",AVERAGE($HJ109:IM109)),"")</f>
        <v>138.86999999999992</v>
      </c>
      <c r="NC109" s="211">
        <f>IFERROR(IF(NC$7&gt;$D$3,"",AVERAGE($HJ109:IN109)),"")</f>
        <v>138.86999999999992</v>
      </c>
      <c r="ND109" s="211">
        <f>IFERROR(IF(ND$7&gt;$D$3,"",AVERAGE($HJ109:IO109)),"")</f>
        <v>138.86999999999992</v>
      </c>
      <c r="NE109" s="211">
        <f>IFERROR(IF(NE$7&gt;$D$3,"",AVERAGE($HJ109:IP109)),"")</f>
        <v>138.86999999999992</v>
      </c>
      <c r="NF109" s="211">
        <f>IFERROR(IF(NF$7&gt;$D$3,"",AVERAGE($HJ109:IQ109)),"")</f>
        <v>138.86999999999992</v>
      </c>
      <c r="NG109" s="211">
        <f>IFERROR(IF(NG$7&gt;$D$3,"",AVERAGE($HJ109:IR109)),"")</f>
        <v>138.86999999999992</v>
      </c>
      <c r="NH109" s="211">
        <f>IFERROR(IF(NH$7&gt;$D$3,"",AVERAGE($HJ109:IS109)),"")</f>
        <v>138.86999999999992</v>
      </c>
      <c r="NI109" s="211">
        <f>IFERROR(IF(NI$7&gt;$D$3,"",AVERAGE($HJ109:IT109)),"")</f>
        <v>138.86999999999992</v>
      </c>
      <c r="NJ109" s="211">
        <f>IFERROR(IF(NJ$7&gt;$D$3,"",AVERAGE($HJ109:IU109)),"")</f>
        <v>138.86999999999992</v>
      </c>
      <c r="NK109" s="211">
        <f>IFERROR(IF(NK$7&gt;$D$3,"",AVERAGE($HJ109:IV109)),"")</f>
        <v>138.86999999999992</v>
      </c>
      <c r="NL109" s="211">
        <f>IFERROR(IF(NL$7&gt;$D$3,"",AVERAGE($HJ109:IW109)),"")</f>
        <v>138.86999999999992</v>
      </c>
      <c r="NM109" s="211">
        <f>IFERROR(IF(NM$7&gt;$D$3,"",AVERAGE($HJ109:IX109)),"")</f>
        <v>138.86999999999992</v>
      </c>
      <c r="NN109" s="211">
        <f>IFERROR(IF(NN$7&gt;$D$3,"",AVERAGE($HJ109:IY109)),"")</f>
        <v>138.86999999999992</v>
      </c>
      <c r="NO109" s="211" t="str">
        <f>IFERROR(IF(NO$7&gt;$D$3,"",AVERAGE($HJ109:IZ109)),"")</f>
        <v/>
      </c>
      <c r="NP109" s="211" t="str">
        <f>IFERROR(IF(NP$7&gt;$D$3,"",AVERAGE($HJ109:JA109)),"")</f>
        <v/>
      </c>
      <c r="NQ109" s="211" t="str">
        <f>IFERROR(IF(NQ$7&gt;$D$3,"",AVERAGE($HJ109:JB109)),"")</f>
        <v/>
      </c>
      <c r="NR109" s="211" t="str">
        <f>IFERROR(IF(NR$7&gt;$D$3,"",AVERAGE($HJ109:JC109)),"")</f>
        <v/>
      </c>
      <c r="NS109" s="211" t="str">
        <f>IFERROR(IF(NS$7&gt;$D$3,"",AVERAGE($HJ109:JD109)),"")</f>
        <v/>
      </c>
      <c r="NT109" s="211" t="str">
        <f>IFERROR(IF(NT$7&gt;$D$3,"",AVERAGE($HJ109:JE109)),"")</f>
        <v/>
      </c>
      <c r="NU109" s="211" t="str">
        <f>IFERROR(IF(NU$7&gt;$D$3,"",AVERAGE($HJ109:JF109)),"")</f>
        <v/>
      </c>
      <c r="NV109" s="211" t="str">
        <f>IFERROR(IF(NV$7&gt;$D$3,"",AVERAGE($HJ109:JG109)),"")</f>
        <v/>
      </c>
      <c r="NW109" s="211" t="str">
        <f>IFERROR(IF(NW$7&gt;$D$3,"",AVERAGE($HJ109:JH109)),"")</f>
        <v/>
      </c>
      <c r="NX109" s="211" t="str">
        <f>IFERROR(IF(NX$7&gt;$D$3,"",AVERAGE($HJ109:JI109)),"")</f>
        <v/>
      </c>
      <c r="NY109" s="211" t="str">
        <f>IFERROR(IF(NY$7&gt;$D$3,"",AVERAGE($HJ109:JJ109)),"")</f>
        <v/>
      </c>
    </row>
    <row r="110" spans="1:389" ht="23.4" customHeight="1" thickBot="1" x14ac:dyDescent="0.35">
      <c r="B110" s="185" t="str">
        <f>+B108</f>
        <v>Finance</v>
      </c>
      <c r="C110" s="133" t="str">
        <f>+'KPI Stats'!C109</f>
        <v>Gethin Davies</v>
      </c>
      <c r="D110" s="134"/>
      <c r="E110" s="141" t="str">
        <f>+'KPI Stats'!E114</f>
        <v>Completed to Month</v>
      </c>
      <c r="F110" s="141">
        <f>+'KPI Stats'!F109</f>
        <v>9</v>
      </c>
      <c r="G110" s="209" t="s">
        <v>212</v>
      </c>
      <c r="J110" s="181" t="str">
        <f>+$B110</f>
        <v>Finance</v>
      </c>
      <c r="K110" s="181"/>
      <c r="L110" s="182"/>
      <c r="M110" s="183"/>
      <c r="P110" s="181" t="str">
        <f>+$B110</f>
        <v>Finance</v>
      </c>
      <c r="Q110" s="181"/>
      <c r="R110" s="181"/>
      <c r="S110" s="183"/>
      <c r="T110" s="183"/>
      <c r="U110" s="291"/>
      <c r="X110" s="181" t="str">
        <f>+$B110</f>
        <v>Finance</v>
      </c>
      <c r="Y110" s="181"/>
      <c r="Z110" s="181"/>
      <c r="AA110" s="183"/>
      <c r="AB110" s="291"/>
      <c r="AC110" s="181" t="str">
        <f>+$B110</f>
        <v>Finance</v>
      </c>
      <c r="AD110" s="181"/>
      <c r="AE110" s="181"/>
      <c r="AF110" s="183"/>
      <c r="AH110" s="465"/>
      <c r="AI110" s="191" t="str">
        <f>+B110</f>
        <v>Finance</v>
      </c>
      <c r="AJ110" s="192"/>
      <c r="AK110" s="141" t="str">
        <f t="shared" ref="AK110" si="377">+E110</f>
        <v>Completed to Month</v>
      </c>
      <c r="AL110" s="141">
        <f t="shared" ref="AL110" si="378">+F110</f>
        <v>9</v>
      </c>
      <c r="AM110" s="181" t="str">
        <f t="shared" ref="AM110:BR110" si="379">+$B110</f>
        <v>Finance</v>
      </c>
      <c r="AN110" s="197" t="str">
        <f t="shared" si="379"/>
        <v>Finance</v>
      </c>
      <c r="AO110" s="181" t="str">
        <f t="shared" si="379"/>
        <v>Finance</v>
      </c>
      <c r="AP110" s="181" t="str">
        <f t="shared" si="379"/>
        <v>Finance</v>
      </c>
      <c r="AQ110" s="181" t="str">
        <f t="shared" si="379"/>
        <v>Finance</v>
      </c>
      <c r="AR110" s="181" t="str">
        <f t="shared" si="379"/>
        <v>Finance</v>
      </c>
      <c r="AS110" s="181" t="str">
        <f t="shared" si="379"/>
        <v>Finance</v>
      </c>
      <c r="AT110" s="181" t="str">
        <f t="shared" si="379"/>
        <v>Finance</v>
      </c>
      <c r="AU110" s="181" t="str">
        <f t="shared" si="379"/>
        <v>Finance</v>
      </c>
      <c r="AV110" s="181" t="str">
        <f t="shared" si="379"/>
        <v>Finance</v>
      </c>
      <c r="AW110" s="181" t="str">
        <f t="shared" si="379"/>
        <v>Finance</v>
      </c>
      <c r="AX110" s="181" t="str">
        <f t="shared" si="379"/>
        <v>Finance</v>
      </c>
      <c r="AY110" s="181" t="str">
        <f t="shared" si="379"/>
        <v>Finance</v>
      </c>
      <c r="AZ110" s="181" t="str">
        <f t="shared" si="379"/>
        <v>Finance</v>
      </c>
      <c r="BA110" s="181" t="str">
        <f t="shared" si="379"/>
        <v>Finance</v>
      </c>
      <c r="BB110" s="181" t="str">
        <f t="shared" si="379"/>
        <v>Finance</v>
      </c>
      <c r="BC110" s="181" t="str">
        <f t="shared" si="379"/>
        <v>Finance</v>
      </c>
      <c r="BD110" s="181" t="str">
        <f t="shared" si="379"/>
        <v>Finance</v>
      </c>
      <c r="BE110" s="181" t="str">
        <f t="shared" si="379"/>
        <v>Finance</v>
      </c>
      <c r="BF110" s="181" t="str">
        <f t="shared" si="379"/>
        <v>Finance</v>
      </c>
      <c r="BG110" s="181" t="str">
        <f t="shared" si="379"/>
        <v>Finance</v>
      </c>
      <c r="BH110" s="181" t="str">
        <f t="shared" si="379"/>
        <v>Finance</v>
      </c>
      <c r="BI110" s="181" t="str">
        <f t="shared" si="379"/>
        <v>Finance</v>
      </c>
      <c r="BJ110" s="181" t="str">
        <f t="shared" si="379"/>
        <v>Finance</v>
      </c>
      <c r="BK110" s="181" t="str">
        <f t="shared" si="379"/>
        <v>Finance</v>
      </c>
      <c r="BL110" s="181" t="str">
        <f t="shared" si="379"/>
        <v>Finance</v>
      </c>
      <c r="BM110" s="181" t="str">
        <f t="shared" si="379"/>
        <v>Finance</v>
      </c>
      <c r="BN110" s="181" t="str">
        <f t="shared" si="379"/>
        <v>Finance</v>
      </c>
      <c r="BO110" s="181" t="str">
        <f t="shared" si="379"/>
        <v>Finance</v>
      </c>
      <c r="BP110" s="181" t="str">
        <f t="shared" si="379"/>
        <v>Finance</v>
      </c>
      <c r="BQ110" s="181" t="str">
        <f t="shared" si="379"/>
        <v>Finance</v>
      </c>
      <c r="BR110" s="181" t="str">
        <f t="shared" si="379"/>
        <v>Finance</v>
      </c>
      <c r="BS110" s="181" t="str">
        <f t="shared" ref="BS110:CM110" si="380">+$B110</f>
        <v>Finance</v>
      </c>
      <c r="BT110" s="181" t="str">
        <f t="shared" si="380"/>
        <v>Finance</v>
      </c>
      <c r="BU110" s="181" t="str">
        <f t="shared" si="380"/>
        <v>Finance</v>
      </c>
      <c r="BV110" s="181" t="str">
        <f t="shared" si="380"/>
        <v>Finance</v>
      </c>
      <c r="BW110" s="181" t="str">
        <f t="shared" si="380"/>
        <v>Finance</v>
      </c>
      <c r="BX110" s="181" t="str">
        <f t="shared" si="380"/>
        <v>Finance</v>
      </c>
      <c r="BY110" s="181" t="str">
        <f t="shared" si="380"/>
        <v>Finance</v>
      </c>
      <c r="BZ110" s="181" t="str">
        <f t="shared" si="380"/>
        <v>Finance</v>
      </c>
      <c r="CA110" s="181" t="str">
        <f t="shared" si="380"/>
        <v>Finance</v>
      </c>
      <c r="CB110" s="181" t="str">
        <f t="shared" si="380"/>
        <v>Finance</v>
      </c>
      <c r="CC110" s="181" t="str">
        <f t="shared" si="380"/>
        <v>Finance</v>
      </c>
      <c r="CD110" s="181" t="str">
        <f t="shared" si="380"/>
        <v>Finance</v>
      </c>
      <c r="CE110" s="181" t="str">
        <f t="shared" si="380"/>
        <v>Finance</v>
      </c>
      <c r="CF110" s="181" t="str">
        <f t="shared" si="380"/>
        <v>Finance</v>
      </c>
      <c r="CG110" s="181" t="str">
        <f t="shared" si="380"/>
        <v>Finance</v>
      </c>
      <c r="CH110" s="181" t="str">
        <f t="shared" si="380"/>
        <v>Finance</v>
      </c>
      <c r="CI110" s="181" t="str">
        <f t="shared" si="380"/>
        <v>Finance</v>
      </c>
      <c r="CJ110" s="181" t="str">
        <f t="shared" si="380"/>
        <v>Finance</v>
      </c>
      <c r="CK110" s="181" t="str">
        <f t="shared" si="380"/>
        <v>Finance</v>
      </c>
      <c r="CL110" s="181" t="str">
        <f t="shared" si="380"/>
        <v>Finance</v>
      </c>
      <c r="CM110" s="181" t="str">
        <f t="shared" si="380"/>
        <v>Finance</v>
      </c>
      <c r="CO110" s="465"/>
      <c r="CP110" s="191">
        <f>+B111</f>
        <v>0</v>
      </c>
      <c r="CQ110" s="192"/>
      <c r="CR110" s="141" t="str">
        <f>+E110</f>
        <v>Completed to Month</v>
      </c>
      <c r="CS110" s="141">
        <f>+F110</f>
        <v>9</v>
      </c>
      <c r="CT110" s="141" t="str">
        <f>+G110</f>
        <v>MONTHLY KPI</v>
      </c>
      <c r="CU110" s="317" t="str">
        <f t="shared" ref="CU110:EU110" si="381">+$B110</f>
        <v>Finance</v>
      </c>
      <c r="CV110" s="317" t="str">
        <f t="shared" si="381"/>
        <v>Finance</v>
      </c>
      <c r="CW110" s="317" t="str">
        <f t="shared" si="381"/>
        <v>Finance</v>
      </c>
      <c r="CX110" s="317" t="str">
        <f t="shared" si="381"/>
        <v>Finance</v>
      </c>
      <c r="CY110" s="317" t="str">
        <f t="shared" si="381"/>
        <v>Finance</v>
      </c>
      <c r="CZ110" s="317" t="str">
        <f t="shared" si="381"/>
        <v>Finance</v>
      </c>
      <c r="DA110" s="317" t="str">
        <f t="shared" si="381"/>
        <v>Finance</v>
      </c>
      <c r="DB110" s="317" t="str">
        <f t="shared" si="381"/>
        <v>Finance</v>
      </c>
      <c r="DC110" s="317" t="str">
        <f t="shared" si="381"/>
        <v>Finance</v>
      </c>
      <c r="DD110" s="317" t="str">
        <f t="shared" si="381"/>
        <v>Finance</v>
      </c>
      <c r="DE110" s="317" t="str">
        <f t="shared" si="381"/>
        <v>Finance</v>
      </c>
      <c r="DF110" s="317" t="str">
        <f t="shared" si="381"/>
        <v>Finance</v>
      </c>
      <c r="DG110" s="317" t="str">
        <f t="shared" si="381"/>
        <v>Finance</v>
      </c>
      <c r="DH110" s="317" t="str">
        <f t="shared" si="381"/>
        <v>Finance</v>
      </c>
      <c r="DI110" s="317" t="str">
        <f t="shared" si="381"/>
        <v>Finance</v>
      </c>
      <c r="DJ110" s="317" t="str">
        <f t="shared" si="381"/>
        <v>Finance</v>
      </c>
      <c r="DK110" s="317" t="str">
        <f t="shared" si="381"/>
        <v>Finance</v>
      </c>
      <c r="DL110" s="317" t="str">
        <f t="shared" si="381"/>
        <v>Finance</v>
      </c>
      <c r="DM110" s="317" t="str">
        <f t="shared" si="381"/>
        <v>Finance</v>
      </c>
      <c r="DN110" s="317" t="str">
        <f t="shared" si="381"/>
        <v>Finance</v>
      </c>
      <c r="DO110" s="317" t="str">
        <f t="shared" si="381"/>
        <v>Finance</v>
      </c>
      <c r="DP110" s="317" t="str">
        <f t="shared" si="381"/>
        <v>Finance</v>
      </c>
      <c r="DQ110" s="317" t="str">
        <f t="shared" si="381"/>
        <v>Finance</v>
      </c>
      <c r="DR110" s="317" t="str">
        <f t="shared" si="381"/>
        <v>Finance</v>
      </c>
      <c r="DS110" s="317" t="str">
        <f t="shared" si="381"/>
        <v>Finance</v>
      </c>
      <c r="DT110" s="317" t="str">
        <f t="shared" si="381"/>
        <v>Finance</v>
      </c>
      <c r="DU110" s="317" t="str">
        <f t="shared" si="381"/>
        <v>Finance</v>
      </c>
      <c r="DV110" s="317" t="str">
        <f t="shared" si="381"/>
        <v>Finance</v>
      </c>
      <c r="DW110" s="317" t="str">
        <f t="shared" si="381"/>
        <v>Finance</v>
      </c>
      <c r="DX110" s="317" t="str">
        <f t="shared" si="381"/>
        <v>Finance</v>
      </c>
      <c r="DY110" s="317" t="str">
        <f t="shared" si="381"/>
        <v>Finance</v>
      </c>
      <c r="DZ110" s="317" t="str">
        <f t="shared" si="381"/>
        <v>Finance</v>
      </c>
      <c r="EA110" s="317" t="str">
        <f t="shared" si="381"/>
        <v>Finance</v>
      </c>
      <c r="EB110" s="317" t="str">
        <f t="shared" si="381"/>
        <v>Finance</v>
      </c>
      <c r="EC110" s="317" t="str">
        <f t="shared" si="381"/>
        <v>Finance</v>
      </c>
      <c r="ED110" s="317" t="str">
        <f t="shared" si="381"/>
        <v>Finance</v>
      </c>
      <c r="EE110" s="317" t="str">
        <f t="shared" si="381"/>
        <v>Finance</v>
      </c>
      <c r="EF110" s="317" t="str">
        <f t="shared" si="381"/>
        <v>Finance</v>
      </c>
      <c r="EG110" s="317" t="str">
        <f t="shared" si="381"/>
        <v>Finance</v>
      </c>
      <c r="EH110" s="317" t="str">
        <f t="shared" si="381"/>
        <v>Finance</v>
      </c>
      <c r="EI110" s="317" t="str">
        <f t="shared" si="381"/>
        <v>Finance</v>
      </c>
      <c r="EJ110" s="317" t="str">
        <f t="shared" si="381"/>
        <v>Finance</v>
      </c>
      <c r="EK110" s="317" t="str">
        <f t="shared" si="381"/>
        <v>Finance</v>
      </c>
      <c r="EL110" s="317" t="str">
        <f t="shared" si="381"/>
        <v>Finance</v>
      </c>
      <c r="EM110" s="317" t="str">
        <f t="shared" si="381"/>
        <v>Finance</v>
      </c>
      <c r="EN110" s="317" t="str">
        <f t="shared" si="381"/>
        <v>Finance</v>
      </c>
      <c r="EO110" s="317" t="str">
        <f t="shared" si="381"/>
        <v>Finance</v>
      </c>
      <c r="EP110" s="317" t="str">
        <f t="shared" si="381"/>
        <v>Finance</v>
      </c>
      <c r="EQ110" s="317" t="str">
        <f t="shared" si="381"/>
        <v>Finance</v>
      </c>
      <c r="ER110" s="317" t="str">
        <f t="shared" si="381"/>
        <v>Finance</v>
      </c>
      <c r="ES110" s="317" t="str">
        <f t="shared" si="381"/>
        <v>Finance</v>
      </c>
      <c r="ET110" s="317" t="str">
        <f t="shared" si="381"/>
        <v>Finance</v>
      </c>
      <c r="EU110" s="317" t="str">
        <f t="shared" si="381"/>
        <v>Finance</v>
      </c>
      <c r="EW110" s="465"/>
      <c r="EX110" s="191" t="str">
        <f>+$B110</f>
        <v>Finance</v>
      </c>
      <c r="EY110" s="192"/>
      <c r="EZ110" s="141" t="str">
        <f t="shared" si="358"/>
        <v>Completed to Month</v>
      </c>
      <c r="FA110" s="141">
        <f t="shared" si="359"/>
        <v>9</v>
      </c>
      <c r="FB110" s="141"/>
      <c r="FC110" s="197" t="str">
        <f t="shared" ref="FC110:GH110" si="382">+$B110</f>
        <v>Finance</v>
      </c>
      <c r="FD110" s="197" t="str">
        <f t="shared" si="382"/>
        <v>Finance</v>
      </c>
      <c r="FE110" s="197" t="str">
        <f t="shared" si="382"/>
        <v>Finance</v>
      </c>
      <c r="FF110" s="197" t="str">
        <f t="shared" si="382"/>
        <v>Finance</v>
      </c>
      <c r="FG110" s="197" t="str">
        <f t="shared" si="382"/>
        <v>Finance</v>
      </c>
      <c r="FH110" s="197" t="str">
        <f t="shared" si="382"/>
        <v>Finance</v>
      </c>
      <c r="FI110" s="197" t="str">
        <f t="shared" si="382"/>
        <v>Finance</v>
      </c>
      <c r="FJ110" s="197" t="str">
        <f t="shared" si="382"/>
        <v>Finance</v>
      </c>
      <c r="FK110" s="197" t="str">
        <f t="shared" si="382"/>
        <v>Finance</v>
      </c>
      <c r="FL110" s="197" t="str">
        <f t="shared" si="382"/>
        <v>Finance</v>
      </c>
      <c r="FM110" s="197" t="str">
        <f t="shared" si="382"/>
        <v>Finance</v>
      </c>
      <c r="FN110" s="197" t="str">
        <f t="shared" si="382"/>
        <v>Finance</v>
      </c>
      <c r="FO110" s="197" t="str">
        <f t="shared" si="382"/>
        <v>Finance</v>
      </c>
      <c r="FP110" s="197" t="str">
        <f t="shared" si="382"/>
        <v>Finance</v>
      </c>
      <c r="FQ110" s="197" t="str">
        <f t="shared" si="382"/>
        <v>Finance</v>
      </c>
      <c r="FR110" s="197" t="str">
        <f t="shared" si="382"/>
        <v>Finance</v>
      </c>
      <c r="FS110" s="197" t="str">
        <f t="shared" si="382"/>
        <v>Finance</v>
      </c>
      <c r="FT110" s="197" t="str">
        <f t="shared" si="382"/>
        <v>Finance</v>
      </c>
      <c r="FU110" s="197" t="str">
        <f t="shared" si="382"/>
        <v>Finance</v>
      </c>
      <c r="FV110" s="197" t="str">
        <f t="shared" si="382"/>
        <v>Finance</v>
      </c>
      <c r="FW110" s="197" t="str">
        <f t="shared" si="382"/>
        <v>Finance</v>
      </c>
      <c r="FX110" s="197" t="str">
        <f t="shared" si="382"/>
        <v>Finance</v>
      </c>
      <c r="FY110" s="197" t="str">
        <f t="shared" si="382"/>
        <v>Finance</v>
      </c>
      <c r="FZ110" s="197" t="str">
        <f t="shared" si="382"/>
        <v>Finance</v>
      </c>
      <c r="GA110" s="197" t="str">
        <f t="shared" si="382"/>
        <v>Finance</v>
      </c>
      <c r="GB110" s="197" t="str">
        <f t="shared" si="382"/>
        <v>Finance</v>
      </c>
      <c r="GC110" s="197" t="str">
        <f t="shared" si="382"/>
        <v>Finance</v>
      </c>
      <c r="GD110" s="197" t="str">
        <f t="shared" si="382"/>
        <v>Finance</v>
      </c>
      <c r="GE110" s="197" t="str">
        <f t="shared" si="382"/>
        <v>Finance</v>
      </c>
      <c r="GF110" s="197" t="str">
        <f t="shared" si="382"/>
        <v>Finance</v>
      </c>
      <c r="GG110" s="197" t="str">
        <f t="shared" si="382"/>
        <v>Finance</v>
      </c>
      <c r="GH110" s="197" t="str">
        <f t="shared" si="382"/>
        <v>Finance</v>
      </c>
      <c r="GI110" s="197" t="str">
        <f t="shared" ref="GI110:HC110" si="383">+$B110</f>
        <v>Finance</v>
      </c>
      <c r="GJ110" s="197" t="str">
        <f t="shared" si="383"/>
        <v>Finance</v>
      </c>
      <c r="GK110" s="197" t="str">
        <f t="shared" si="383"/>
        <v>Finance</v>
      </c>
      <c r="GL110" s="197" t="str">
        <f t="shared" si="383"/>
        <v>Finance</v>
      </c>
      <c r="GM110" s="197" t="str">
        <f t="shared" si="383"/>
        <v>Finance</v>
      </c>
      <c r="GN110" s="197" t="str">
        <f t="shared" si="383"/>
        <v>Finance</v>
      </c>
      <c r="GO110" s="197" t="str">
        <f t="shared" si="383"/>
        <v>Finance</v>
      </c>
      <c r="GP110" s="197" t="str">
        <f t="shared" si="383"/>
        <v>Finance</v>
      </c>
      <c r="GQ110" s="197" t="str">
        <f t="shared" si="383"/>
        <v>Finance</v>
      </c>
      <c r="GR110" s="197" t="str">
        <f t="shared" si="383"/>
        <v>Finance</v>
      </c>
      <c r="GS110" s="197" t="str">
        <f t="shared" si="383"/>
        <v>Finance</v>
      </c>
      <c r="GT110" s="197" t="str">
        <f t="shared" si="383"/>
        <v>Finance</v>
      </c>
      <c r="GU110" s="197" t="str">
        <f t="shared" si="383"/>
        <v>Finance</v>
      </c>
      <c r="GV110" s="197" t="str">
        <f t="shared" si="383"/>
        <v>Finance</v>
      </c>
      <c r="GW110" s="197" t="str">
        <f t="shared" si="383"/>
        <v>Finance</v>
      </c>
      <c r="GX110" s="197" t="str">
        <f t="shared" si="383"/>
        <v>Finance</v>
      </c>
      <c r="GY110" s="197" t="str">
        <f t="shared" si="383"/>
        <v>Finance</v>
      </c>
      <c r="GZ110" s="197" t="str">
        <f t="shared" si="383"/>
        <v>Finance</v>
      </c>
      <c r="HA110" s="197" t="str">
        <f t="shared" si="383"/>
        <v>Finance</v>
      </c>
      <c r="HB110" s="197" t="str">
        <f t="shared" si="383"/>
        <v>Finance</v>
      </c>
      <c r="HC110" s="197" t="str">
        <f t="shared" si="383"/>
        <v>Finance</v>
      </c>
      <c r="HE110" s="191">
        <f>+DV111</f>
        <v>1.3571428571428572</v>
      </c>
      <c r="HF110" s="192" t="str">
        <f>+$B110</f>
        <v>Finance</v>
      </c>
      <c r="HG110" s="141" t="str">
        <f t="shared" si="362"/>
        <v>Completed to Month</v>
      </c>
      <c r="HH110" s="141">
        <f t="shared" si="363"/>
        <v>9</v>
      </c>
      <c r="HI110" s="141" t="str">
        <f>+GJ110</f>
        <v>Finance</v>
      </c>
      <c r="HJ110" s="197" t="str">
        <f t="shared" ref="HJ110:IO110" si="384">+$B110</f>
        <v>Finance</v>
      </c>
      <c r="HK110" s="197" t="str">
        <f t="shared" si="384"/>
        <v>Finance</v>
      </c>
      <c r="HL110" s="250" t="str">
        <f t="shared" si="384"/>
        <v>Finance</v>
      </c>
      <c r="HM110" s="250" t="str">
        <f t="shared" si="384"/>
        <v>Finance</v>
      </c>
      <c r="HN110" s="250" t="str">
        <f t="shared" si="384"/>
        <v>Finance</v>
      </c>
      <c r="HO110" s="250" t="str">
        <f t="shared" si="384"/>
        <v>Finance</v>
      </c>
      <c r="HP110" s="250" t="str">
        <f t="shared" si="384"/>
        <v>Finance</v>
      </c>
      <c r="HQ110" s="250" t="str">
        <f t="shared" si="384"/>
        <v>Finance</v>
      </c>
      <c r="HR110" s="250" t="str">
        <f t="shared" si="384"/>
        <v>Finance</v>
      </c>
      <c r="HS110" s="250" t="str">
        <f t="shared" si="384"/>
        <v>Finance</v>
      </c>
      <c r="HT110" s="250" t="str">
        <f t="shared" si="384"/>
        <v>Finance</v>
      </c>
      <c r="HU110" s="250" t="str">
        <f t="shared" si="384"/>
        <v>Finance</v>
      </c>
      <c r="HV110" s="250" t="str">
        <f t="shared" si="384"/>
        <v>Finance</v>
      </c>
      <c r="HW110" s="250" t="str">
        <f t="shared" si="384"/>
        <v>Finance</v>
      </c>
      <c r="HX110" s="250" t="str">
        <f t="shared" si="384"/>
        <v>Finance</v>
      </c>
      <c r="HY110" s="250" t="str">
        <f t="shared" si="384"/>
        <v>Finance</v>
      </c>
      <c r="HZ110" s="250" t="str">
        <f t="shared" si="384"/>
        <v>Finance</v>
      </c>
      <c r="IA110" s="250" t="str">
        <f t="shared" si="384"/>
        <v>Finance</v>
      </c>
      <c r="IB110" s="250" t="str">
        <f t="shared" si="384"/>
        <v>Finance</v>
      </c>
      <c r="IC110" s="250" t="str">
        <f t="shared" si="384"/>
        <v>Finance</v>
      </c>
      <c r="ID110" s="250" t="str">
        <f t="shared" si="384"/>
        <v>Finance</v>
      </c>
      <c r="IE110" s="250" t="str">
        <f t="shared" si="384"/>
        <v>Finance</v>
      </c>
      <c r="IF110" s="250" t="str">
        <f t="shared" si="384"/>
        <v>Finance</v>
      </c>
      <c r="IG110" s="250" t="str">
        <f t="shared" si="384"/>
        <v>Finance</v>
      </c>
      <c r="IH110" s="250" t="str">
        <f t="shared" si="384"/>
        <v>Finance</v>
      </c>
      <c r="II110" s="250" t="str">
        <f t="shared" si="384"/>
        <v>Finance</v>
      </c>
      <c r="IJ110" s="250" t="str">
        <f t="shared" si="384"/>
        <v>Finance</v>
      </c>
      <c r="IK110" s="250" t="str">
        <f t="shared" si="384"/>
        <v>Finance</v>
      </c>
      <c r="IL110" s="250" t="str">
        <f t="shared" si="384"/>
        <v>Finance</v>
      </c>
      <c r="IM110" s="250" t="str">
        <f t="shared" si="384"/>
        <v>Finance</v>
      </c>
      <c r="IN110" s="250" t="str">
        <f t="shared" si="384"/>
        <v>Finance</v>
      </c>
      <c r="IO110" s="250" t="str">
        <f t="shared" si="384"/>
        <v>Finance</v>
      </c>
      <c r="IP110" s="250" t="str">
        <f t="shared" ref="IP110:JJ110" si="385">+$B110</f>
        <v>Finance</v>
      </c>
      <c r="IQ110" s="250" t="str">
        <f t="shared" si="385"/>
        <v>Finance</v>
      </c>
      <c r="IR110" s="250" t="str">
        <f t="shared" si="385"/>
        <v>Finance</v>
      </c>
      <c r="IS110" s="250" t="str">
        <f t="shared" si="385"/>
        <v>Finance</v>
      </c>
      <c r="IT110" s="250" t="str">
        <f t="shared" si="385"/>
        <v>Finance</v>
      </c>
      <c r="IU110" s="250" t="str">
        <f t="shared" si="385"/>
        <v>Finance</v>
      </c>
      <c r="IV110" s="250" t="str">
        <f t="shared" si="385"/>
        <v>Finance</v>
      </c>
      <c r="IW110" s="250" t="str">
        <f t="shared" si="385"/>
        <v>Finance</v>
      </c>
      <c r="IX110" s="250" t="str">
        <f t="shared" si="385"/>
        <v>Finance</v>
      </c>
      <c r="IY110" s="250" t="str">
        <f t="shared" si="385"/>
        <v>Finance</v>
      </c>
      <c r="IZ110" s="250" t="str">
        <f t="shared" si="385"/>
        <v>Finance</v>
      </c>
      <c r="JA110" s="250" t="str">
        <f t="shared" si="385"/>
        <v>Finance</v>
      </c>
      <c r="JB110" s="250" t="str">
        <f t="shared" si="385"/>
        <v>Finance</v>
      </c>
      <c r="JC110" s="250" t="str">
        <f t="shared" si="385"/>
        <v>Finance</v>
      </c>
      <c r="JD110" s="250" t="str">
        <f t="shared" si="385"/>
        <v>Finance</v>
      </c>
      <c r="JE110" s="250" t="str">
        <f t="shared" si="385"/>
        <v>Finance</v>
      </c>
      <c r="JF110" s="250" t="str">
        <f t="shared" si="385"/>
        <v>Finance</v>
      </c>
      <c r="JG110" s="250" t="str">
        <f t="shared" si="385"/>
        <v>Finance</v>
      </c>
      <c r="JH110" s="250" t="str">
        <f t="shared" si="385"/>
        <v>Finance</v>
      </c>
      <c r="JI110" s="250" t="str">
        <f t="shared" si="385"/>
        <v>Finance</v>
      </c>
      <c r="JJ110" s="425" t="str">
        <f t="shared" si="385"/>
        <v>Finance</v>
      </c>
      <c r="JM110" s="191" t="str">
        <f>+$B110</f>
        <v>Finance</v>
      </c>
      <c r="JN110" s="192"/>
      <c r="JO110" s="141" t="str">
        <f t="shared" si="366"/>
        <v>Completed to Month</v>
      </c>
      <c r="JP110" s="141">
        <f t="shared" si="367"/>
        <v>9</v>
      </c>
      <c r="JQ110" s="141"/>
      <c r="JR110" s="250" t="str">
        <f t="shared" ref="JR110:KW110" si="386">+$B110</f>
        <v>Finance</v>
      </c>
      <c r="JS110" s="250" t="str">
        <f t="shared" si="386"/>
        <v>Finance</v>
      </c>
      <c r="JT110" s="250" t="str">
        <f t="shared" si="386"/>
        <v>Finance</v>
      </c>
      <c r="JU110" s="250" t="str">
        <f t="shared" si="386"/>
        <v>Finance</v>
      </c>
      <c r="JV110" s="250" t="str">
        <f t="shared" si="386"/>
        <v>Finance</v>
      </c>
      <c r="JW110" s="250" t="str">
        <f t="shared" si="386"/>
        <v>Finance</v>
      </c>
      <c r="JX110" s="250" t="str">
        <f t="shared" si="386"/>
        <v>Finance</v>
      </c>
      <c r="JY110" s="250" t="str">
        <f t="shared" si="386"/>
        <v>Finance</v>
      </c>
      <c r="JZ110" s="250" t="str">
        <f t="shared" si="386"/>
        <v>Finance</v>
      </c>
      <c r="KA110" s="250" t="str">
        <f t="shared" si="386"/>
        <v>Finance</v>
      </c>
      <c r="KB110" s="250" t="str">
        <f t="shared" si="386"/>
        <v>Finance</v>
      </c>
      <c r="KC110" s="250" t="str">
        <f t="shared" si="386"/>
        <v>Finance</v>
      </c>
      <c r="KD110" s="250" t="str">
        <f t="shared" si="386"/>
        <v>Finance</v>
      </c>
      <c r="KE110" s="250" t="str">
        <f t="shared" si="386"/>
        <v>Finance</v>
      </c>
      <c r="KF110" s="250" t="str">
        <f t="shared" si="386"/>
        <v>Finance</v>
      </c>
      <c r="KG110" s="250" t="str">
        <f t="shared" si="386"/>
        <v>Finance</v>
      </c>
      <c r="KH110" s="250" t="str">
        <f t="shared" si="386"/>
        <v>Finance</v>
      </c>
      <c r="KI110" s="250" t="str">
        <f t="shared" si="386"/>
        <v>Finance</v>
      </c>
      <c r="KJ110" s="250" t="str">
        <f t="shared" si="386"/>
        <v>Finance</v>
      </c>
      <c r="KK110" s="250" t="str">
        <f t="shared" si="386"/>
        <v>Finance</v>
      </c>
      <c r="KL110" s="250" t="str">
        <f t="shared" si="386"/>
        <v>Finance</v>
      </c>
      <c r="KM110" s="250" t="str">
        <f t="shared" si="386"/>
        <v>Finance</v>
      </c>
      <c r="KN110" s="250" t="str">
        <f t="shared" si="386"/>
        <v>Finance</v>
      </c>
      <c r="KO110" s="250" t="str">
        <f t="shared" si="386"/>
        <v>Finance</v>
      </c>
      <c r="KP110" s="250" t="str">
        <f t="shared" si="386"/>
        <v>Finance</v>
      </c>
      <c r="KQ110" s="250" t="str">
        <f t="shared" si="386"/>
        <v>Finance</v>
      </c>
      <c r="KR110" s="250" t="str">
        <f t="shared" si="386"/>
        <v>Finance</v>
      </c>
      <c r="KS110" s="250" t="str">
        <f t="shared" si="386"/>
        <v>Finance</v>
      </c>
      <c r="KT110" s="250" t="str">
        <f t="shared" si="386"/>
        <v>Finance</v>
      </c>
      <c r="KU110" s="250" t="str">
        <f t="shared" si="386"/>
        <v>Finance</v>
      </c>
      <c r="KV110" s="250" t="str">
        <f t="shared" si="386"/>
        <v>Finance</v>
      </c>
      <c r="KW110" s="250" t="str">
        <f t="shared" si="386"/>
        <v>Finance</v>
      </c>
      <c r="KX110" s="250" t="str">
        <f t="shared" ref="KX110:LR110" si="387">+$B110</f>
        <v>Finance</v>
      </c>
      <c r="KY110" s="250" t="str">
        <f t="shared" si="387"/>
        <v>Finance</v>
      </c>
      <c r="KZ110" s="250" t="str">
        <f t="shared" si="387"/>
        <v>Finance</v>
      </c>
      <c r="LA110" s="250" t="str">
        <f t="shared" si="387"/>
        <v>Finance</v>
      </c>
      <c r="LB110" s="250" t="str">
        <f t="shared" si="387"/>
        <v>Finance</v>
      </c>
      <c r="LC110" s="250" t="str">
        <f t="shared" si="387"/>
        <v>Finance</v>
      </c>
      <c r="LD110" s="250" t="str">
        <f t="shared" si="387"/>
        <v>Finance</v>
      </c>
      <c r="LE110" s="250" t="str">
        <f t="shared" si="387"/>
        <v>Finance</v>
      </c>
      <c r="LF110" s="250" t="str">
        <f t="shared" si="387"/>
        <v>Finance</v>
      </c>
      <c r="LG110" s="250" t="str">
        <f t="shared" si="387"/>
        <v>Finance</v>
      </c>
      <c r="LH110" s="250" t="str">
        <f t="shared" si="387"/>
        <v>Finance</v>
      </c>
      <c r="LI110" s="250" t="str">
        <f t="shared" si="387"/>
        <v>Finance</v>
      </c>
      <c r="LJ110" s="250" t="str">
        <f t="shared" si="387"/>
        <v>Finance</v>
      </c>
      <c r="LK110" s="250" t="str">
        <f t="shared" si="387"/>
        <v>Finance</v>
      </c>
      <c r="LL110" s="250" t="str">
        <f t="shared" si="387"/>
        <v>Finance</v>
      </c>
      <c r="LM110" s="250" t="str">
        <f t="shared" si="387"/>
        <v>Finance</v>
      </c>
      <c r="LN110" s="250" t="str">
        <f t="shared" si="387"/>
        <v>Finance</v>
      </c>
      <c r="LO110" s="250" t="str">
        <f t="shared" si="387"/>
        <v>Finance</v>
      </c>
      <c r="LP110" s="250" t="str">
        <f t="shared" si="387"/>
        <v>Finance</v>
      </c>
      <c r="LQ110" s="250" t="str">
        <f t="shared" si="387"/>
        <v>Finance</v>
      </c>
      <c r="LR110" s="425" t="str">
        <f t="shared" si="387"/>
        <v>Finance</v>
      </c>
      <c r="LT110" s="191" t="str">
        <f>+$B110</f>
        <v>Finance</v>
      </c>
      <c r="LU110" s="192"/>
      <c r="LV110" s="141" t="str">
        <f t="shared" si="370"/>
        <v>Completed to Month</v>
      </c>
      <c r="LW110" s="141">
        <f t="shared" si="371"/>
        <v>9</v>
      </c>
      <c r="LX110" s="141"/>
      <c r="LY110" s="197" t="str">
        <f t="shared" ref="LY110:ND110" si="388">+$B110</f>
        <v>Finance</v>
      </c>
      <c r="LZ110" s="197" t="str">
        <f t="shared" si="388"/>
        <v>Finance</v>
      </c>
      <c r="MA110" s="197" t="str">
        <f t="shared" si="388"/>
        <v>Finance</v>
      </c>
      <c r="MB110" s="197" t="str">
        <f t="shared" si="388"/>
        <v>Finance</v>
      </c>
      <c r="MC110" s="197" t="str">
        <f t="shared" si="388"/>
        <v>Finance</v>
      </c>
      <c r="MD110" s="197" t="str">
        <f t="shared" si="388"/>
        <v>Finance</v>
      </c>
      <c r="ME110" s="197" t="str">
        <f t="shared" si="388"/>
        <v>Finance</v>
      </c>
      <c r="MF110" s="197" t="str">
        <f t="shared" si="388"/>
        <v>Finance</v>
      </c>
      <c r="MG110" s="197" t="str">
        <f t="shared" si="388"/>
        <v>Finance</v>
      </c>
      <c r="MH110" s="197" t="str">
        <f t="shared" si="388"/>
        <v>Finance</v>
      </c>
      <c r="MI110" s="197" t="str">
        <f t="shared" si="388"/>
        <v>Finance</v>
      </c>
      <c r="MJ110" s="197" t="str">
        <f t="shared" si="388"/>
        <v>Finance</v>
      </c>
      <c r="MK110" s="197" t="str">
        <f t="shared" si="388"/>
        <v>Finance</v>
      </c>
      <c r="ML110" s="197" t="str">
        <f t="shared" si="388"/>
        <v>Finance</v>
      </c>
      <c r="MM110" s="197" t="str">
        <f t="shared" si="388"/>
        <v>Finance</v>
      </c>
      <c r="MN110" s="197" t="str">
        <f t="shared" si="388"/>
        <v>Finance</v>
      </c>
      <c r="MO110" s="197" t="str">
        <f t="shared" si="388"/>
        <v>Finance</v>
      </c>
      <c r="MP110" s="197" t="str">
        <f t="shared" si="388"/>
        <v>Finance</v>
      </c>
      <c r="MQ110" s="197" t="str">
        <f t="shared" si="388"/>
        <v>Finance</v>
      </c>
      <c r="MR110" s="197" t="str">
        <f t="shared" si="388"/>
        <v>Finance</v>
      </c>
      <c r="MS110" s="197" t="str">
        <f t="shared" si="388"/>
        <v>Finance</v>
      </c>
      <c r="MT110" s="197" t="str">
        <f t="shared" si="388"/>
        <v>Finance</v>
      </c>
      <c r="MU110" s="197" t="str">
        <f t="shared" si="388"/>
        <v>Finance</v>
      </c>
      <c r="MV110" s="197" t="str">
        <f t="shared" si="388"/>
        <v>Finance</v>
      </c>
      <c r="MW110" s="197" t="str">
        <f t="shared" si="388"/>
        <v>Finance</v>
      </c>
      <c r="MX110" s="197" t="str">
        <f t="shared" si="388"/>
        <v>Finance</v>
      </c>
      <c r="MY110" s="197" t="str">
        <f t="shared" si="388"/>
        <v>Finance</v>
      </c>
      <c r="MZ110" s="197" t="str">
        <f t="shared" si="388"/>
        <v>Finance</v>
      </c>
      <c r="NA110" s="197" t="str">
        <f t="shared" si="388"/>
        <v>Finance</v>
      </c>
      <c r="NB110" s="197" t="str">
        <f t="shared" si="388"/>
        <v>Finance</v>
      </c>
      <c r="NC110" s="197" t="str">
        <f t="shared" si="388"/>
        <v>Finance</v>
      </c>
      <c r="ND110" s="197" t="str">
        <f t="shared" si="388"/>
        <v>Finance</v>
      </c>
      <c r="NE110" s="197" t="str">
        <f t="shared" ref="NE110:NY110" si="389">+$B110</f>
        <v>Finance</v>
      </c>
      <c r="NF110" s="197" t="str">
        <f t="shared" si="389"/>
        <v>Finance</v>
      </c>
      <c r="NG110" s="197" t="str">
        <f t="shared" si="389"/>
        <v>Finance</v>
      </c>
      <c r="NH110" s="197" t="str">
        <f t="shared" si="389"/>
        <v>Finance</v>
      </c>
      <c r="NI110" s="197" t="str">
        <f t="shared" si="389"/>
        <v>Finance</v>
      </c>
      <c r="NJ110" s="197" t="str">
        <f t="shared" si="389"/>
        <v>Finance</v>
      </c>
      <c r="NK110" s="197" t="str">
        <f t="shared" si="389"/>
        <v>Finance</v>
      </c>
      <c r="NL110" s="197" t="str">
        <f t="shared" si="389"/>
        <v>Finance</v>
      </c>
      <c r="NM110" s="197" t="str">
        <f t="shared" si="389"/>
        <v>Finance</v>
      </c>
      <c r="NN110" s="197" t="str">
        <f t="shared" si="389"/>
        <v>Finance</v>
      </c>
      <c r="NO110" s="197" t="str">
        <f t="shared" si="389"/>
        <v>Finance</v>
      </c>
      <c r="NP110" s="197" t="str">
        <f t="shared" si="389"/>
        <v>Finance</v>
      </c>
      <c r="NQ110" s="197" t="str">
        <f t="shared" si="389"/>
        <v>Finance</v>
      </c>
      <c r="NR110" s="197" t="str">
        <f t="shared" si="389"/>
        <v>Finance</v>
      </c>
      <c r="NS110" s="197" t="str">
        <f t="shared" si="389"/>
        <v>Finance</v>
      </c>
      <c r="NT110" s="197" t="str">
        <f t="shared" si="389"/>
        <v>Finance</v>
      </c>
      <c r="NU110" s="197" t="str">
        <f t="shared" si="389"/>
        <v>Finance</v>
      </c>
      <c r="NV110" s="197" t="str">
        <f t="shared" si="389"/>
        <v>Finance</v>
      </c>
      <c r="NW110" s="197" t="str">
        <f t="shared" si="389"/>
        <v>Finance</v>
      </c>
      <c r="NX110" s="197" t="str">
        <f t="shared" si="389"/>
        <v>Finance</v>
      </c>
      <c r="NY110" s="181" t="str">
        <f t="shared" si="389"/>
        <v>Finance</v>
      </c>
    </row>
    <row r="111" spans="1:389" x14ac:dyDescent="0.3">
      <c r="A111" t="str">
        <f>$B$108&amp;"-"&amp;C111</f>
        <v>Finance-KPI D1</v>
      </c>
      <c r="B111" s="421"/>
      <c r="C111" s="133" t="str">
        <f>+'KPI Stats'!C110</f>
        <v>KPI D1</v>
      </c>
      <c r="D111" s="142" t="str">
        <f>+'KPI Stats'!D110</f>
        <v>Delivery</v>
      </c>
      <c r="E111" s="142" t="str">
        <f>+'KPI Stats'!E110</f>
        <v>Creditor Days (Monthly only) - (Fav if paid promptly)</v>
      </c>
      <c r="F111" s="143" t="str">
        <f>+'KPI Stats'!F110</f>
        <v>Days</v>
      </c>
      <c r="G111" s="169" t="s">
        <v>185</v>
      </c>
      <c r="J111" s="159" t="str">
        <f>_xlfn.XLOOKUP(J$8,$AM$8:$CM$8,$AM111:$CM111,,FALSE)</f>
        <v>G</v>
      </c>
      <c r="K111" s="433">
        <f>_xlfn.XLOOKUP(K$8,$FC$8:$HC$8,$FC111:$HC111,,FALSE)</f>
        <v>34.65</v>
      </c>
      <c r="L111" s="434">
        <f>_xlfn.XLOOKUP(L$8,$HJ$8:$JJ$8,$HJ111:$JJ111,,FALSE)</f>
        <v>38</v>
      </c>
      <c r="M111" s="271">
        <f>_xlfn.XLOOKUP(M$8,$CU$8:$EU$8,$CU111:$EU111,,FALSE)</f>
        <v>1.0966810966810967</v>
      </c>
      <c r="P111" s="159" t="str">
        <f>_xlfn.XLOOKUP(P$8,$AM$8:$CM$8,$AM111:$CM111,,FALSE)</f>
        <v>G</v>
      </c>
      <c r="Q111" s="433">
        <f t="shared" ref="Q111:R113" si="390">_xlfn.XLOOKUP(Q$8,$FC$8:$HC$8,$FC111:$HC111,FALSE)</f>
        <v>34.65</v>
      </c>
      <c r="R111" s="434">
        <f t="shared" si="390"/>
        <v>34.65</v>
      </c>
      <c r="S111" s="287">
        <f t="shared" ref="S111:T113" si="391">_xlfn.XLOOKUP(S$8,$CU$8:$EU$8,$CU111:$EU111,,FALSE)</f>
        <v>1.0966810966810967</v>
      </c>
      <c r="T111" s="263">
        <f t="shared" si="391"/>
        <v>1.0966810966810967</v>
      </c>
      <c r="U111" s="294" t="str">
        <f>IF(F110&lt;$Q$4,"Not Complete",IF(Q111=R111,"Same −",IF($G111="Over",IF(Q111&lt;R111,"Better ↑","Worse ↓"),IF($G111="Under",IF(Q111&gt;R111,"Better ↑","Worse ↓"),"err"))))</f>
        <v>Same −</v>
      </c>
      <c r="X111" s="159" t="str">
        <f t="shared" ref="X111" si="392">IF(Y111="","",IF(Y111="Blank","",IF(AND(G111="above zero",Y111&gt;0),"R",IF(AA111&gt;1,"G",IF(AA111&gt;0.95,"A","R")))))</f>
        <v>G</v>
      </c>
      <c r="Y111" s="433">
        <f>_xlfn.XLOOKUP(Y$8,$JR$8:$LR$8,$JR111:$LR111,FALSE)</f>
        <v>34.65</v>
      </c>
      <c r="Z111" s="434">
        <f>_xlfn.XLOOKUP(Z$8,$LY$8:$NY$8,$LY111:$NY111,FALSE)</f>
        <v>38</v>
      </c>
      <c r="AA111" s="271">
        <f t="shared" ref="AA111" si="393">IF(G111="under",Y111/Z111,IF(G111="over",Z111/Y111,"err"))</f>
        <v>1.0966810966810967</v>
      </c>
      <c r="AB111" s="294" t="str">
        <f>IF(F109&lt;$AA$3,"TBC",IF(Y111=Z111,"Same −",IF($G111="Over",IF(Z111&gt;Y111,"Better ↑ ","Worse ↓ "),IF($G111="Under",IF(Y111&lt;Z111,"Better ↑ ","Worse ↓ "),"err"))))</f>
        <v xml:space="preserve">Better ↑ </v>
      </c>
      <c r="AC111" s="159" t="e">
        <f t="shared" ref="AC111:AC113" si="394">IF(AND(G111="above adero",AD111&gt;0),"R",IF(AF111&gt;1,"G",IF(AF111&gt;0.95,"A","R")))</f>
        <v>#DIV/0!</v>
      </c>
      <c r="AD111" s="161" t="b">
        <f>_xlfn.XLOOKUP(AD$8,$JR$8:$LR$8,$JR111:$LR111,FALSE)</f>
        <v>0</v>
      </c>
      <c r="AE111" s="161" t="b">
        <f>_xlfn.XLOOKUP(AE$8,$LY$8:$NY$8,$LY111:$NY111,FALSE)</f>
        <v>0</v>
      </c>
      <c r="AF111" s="162" t="e">
        <f t="shared" ref="AF111:AF113" si="395">IF(G111="under",AD111/AE111,IF(G111="over",AE111/AD111,"err"))</f>
        <v>#DIV/0!</v>
      </c>
      <c r="AH111" s="465" t="str">
        <f>+$A111</f>
        <v>Finance-KPI D1</v>
      </c>
      <c r="AI111" s="133" t="str">
        <f t="shared" si="375"/>
        <v>KPI D1</v>
      </c>
      <c r="AJ111" s="142" t="str">
        <f t="shared" si="375"/>
        <v>Delivery</v>
      </c>
      <c r="AK111" s="142" t="str">
        <f t="shared" si="354"/>
        <v>Creditor Days (Monthly only) - (Fav if paid promptly)</v>
      </c>
      <c r="AL111" s="143" t="str">
        <f t="shared" si="354"/>
        <v>Days</v>
      </c>
      <c r="AM111" s="159"/>
      <c r="AN111" s="198" t="str">
        <f>IF(AN$7&gt;$D$3,"",_xlfn.XLOOKUP(AN$8,Finance!$M$16:$X$16,Finance!$M$21:$X$21))</f>
        <v>G</v>
      </c>
      <c r="AO111" s="198" t="str">
        <f>IF(AO$7&gt;$D$3,"",_xlfn.XLOOKUP(AO$8,Finance!$M$16:$X$16,Finance!$M$21:$X$21))</f>
        <v>G</v>
      </c>
      <c r="AP111" s="198" t="str">
        <f>IF(AP$7&gt;$D$3,"",_xlfn.XLOOKUP(AP$8,Finance!$M$16:$X$16,Finance!$M$21:$X$21))</f>
        <v>G</v>
      </c>
      <c r="AQ111" s="198" t="str">
        <f>IF(AQ$7&gt;$D$3,"",_xlfn.XLOOKUP(AQ$8,Finance!$M$16:$X$16,Finance!$M$21:$X$21))</f>
        <v>G</v>
      </c>
      <c r="AR111" s="198" t="str">
        <f>IF(AR$7&gt;$D$3,"",_xlfn.XLOOKUP(AR$8,Finance!$M$16:$X$16,Finance!$M$21:$X$21))</f>
        <v>R</v>
      </c>
      <c r="AS111" s="198" t="str">
        <f>IF(AS$7&gt;$D$3,"",_xlfn.XLOOKUP(AS$8,Finance!$M$16:$X$16,Finance!$M$21:$X$21))</f>
        <v>R</v>
      </c>
      <c r="AT111" s="198" t="str">
        <f>IF(AT$7&gt;$D$3,"",_xlfn.XLOOKUP(AT$8,Finance!$M$16:$X$16,Finance!$M$21:$X$21))</f>
        <v>R</v>
      </c>
      <c r="AU111" s="198" t="str">
        <f>IF(AU$7&gt;$D$3,"",_xlfn.XLOOKUP(AU$8,Finance!$M$16:$X$16,Finance!$M$21:$X$21))</f>
        <v>R</v>
      </c>
      <c r="AV111" s="198" t="str">
        <f>IF(AV$7&gt;$D$3,"",_xlfn.XLOOKUP(AV$8,Finance!$M$16:$X$16,Finance!$M$21:$X$21))</f>
        <v>G</v>
      </c>
      <c r="AW111" s="198" t="str">
        <f>IF(AW$7&gt;$D$3,"",_xlfn.XLOOKUP(AW$8,Finance!$M$16:$X$16,Finance!$M$21:$X$21))</f>
        <v>G</v>
      </c>
      <c r="AX111" s="198" t="str">
        <f>IF(AX$7&gt;$D$3,"",_xlfn.XLOOKUP(AX$8,Finance!$M$16:$X$16,Finance!$M$21:$X$21))</f>
        <v>G</v>
      </c>
      <c r="AY111" s="198" t="str">
        <f>IF(AY$7&gt;$D$3,"",_xlfn.XLOOKUP(AY$8,Finance!$M$16:$X$16,Finance!$M$21:$X$21))</f>
        <v>G</v>
      </c>
      <c r="AZ111" s="198" t="str">
        <f>IF(AZ$7&gt;$D$3,"",_xlfn.XLOOKUP(AZ$8,Finance!$M$16:$X$16,Finance!$M$21:$X$21))</f>
        <v>G</v>
      </c>
      <c r="BA111" s="198" t="str">
        <f>IF(BA$7&gt;$D$3,"",_xlfn.XLOOKUP(BA$8,Finance!$M$16:$X$16,Finance!$M$21:$X$21))</f>
        <v>G</v>
      </c>
      <c r="BB111" s="198" t="str">
        <f>IF(BB$7&gt;$D$3,"",_xlfn.XLOOKUP(BB$8,Finance!$M$16:$X$16,Finance!$M$21:$X$21))</f>
        <v>G</v>
      </c>
      <c r="BC111" s="198" t="str">
        <f>IF(BC$7&gt;$D$3,"",_xlfn.XLOOKUP(BC$8,Finance!$M$16:$X$16,Finance!$M$21:$X$21))</f>
        <v>G</v>
      </c>
      <c r="BD111" s="198" t="str">
        <f>IF(BD$7&gt;$D$3,"",_xlfn.XLOOKUP(BD$8,Finance!$M$16:$X$16,Finance!$M$21:$X$21))</f>
        <v>R</v>
      </c>
      <c r="BE111" s="198" t="str">
        <f>IF(BE$7&gt;$D$3,"",_xlfn.XLOOKUP(BE$8,Finance!$M$16:$X$16,Finance!$M$21:$X$21))</f>
        <v>R</v>
      </c>
      <c r="BF111" s="198" t="str">
        <f>IF(BF$7&gt;$D$3,"",_xlfn.XLOOKUP(BF$8,Finance!$M$16:$X$16,Finance!$M$21:$X$21))</f>
        <v>R</v>
      </c>
      <c r="BG111" s="198" t="str">
        <f>IF(BG$7&gt;$D$3,"",_xlfn.XLOOKUP(BG$8,Finance!$M$16:$X$16,Finance!$M$21:$X$21))</f>
        <v>R</v>
      </c>
      <c r="BH111" s="198" t="str">
        <f>IF(BH$7&gt;$D$3,"",_xlfn.XLOOKUP(BH$8,Finance!$M$16:$X$16,Finance!$M$21:$X$21))</f>
        <v>R</v>
      </c>
      <c r="BI111" s="198" t="str">
        <f>IF(BI$7&gt;$D$3,"",_xlfn.XLOOKUP(BI$8,Finance!$M$16:$X$16,Finance!$M$21:$X$21))</f>
        <v>G</v>
      </c>
      <c r="BJ111" s="198" t="str">
        <f>IF(BJ$7&gt;$D$3,"",_xlfn.XLOOKUP(BJ$8,Finance!$M$16:$X$16,Finance!$M$21:$X$21))</f>
        <v>G</v>
      </c>
      <c r="BK111" s="198" t="str">
        <f>IF(BK$7&gt;$D$3,"",_xlfn.XLOOKUP(BK$8,Finance!$M$16:$X$16,Finance!$M$21:$X$21))</f>
        <v>G</v>
      </c>
      <c r="BL111" s="198" t="str">
        <f>IF(BL$7&gt;$D$3,"",_xlfn.XLOOKUP(BL$8,Finance!$M$16:$X$16,Finance!$M$21:$X$21))</f>
        <v>G</v>
      </c>
      <c r="BM111" s="198" t="str">
        <f>IF(BM$7&gt;$D$3,"",_xlfn.XLOOKUP(BM$8,Finance!$M$16:$X$16,Finance!$M$21:$X$21))</f>
        <v>G</v>
      </c>
      <c r="BN111" s="198" t="str">
        <f>IF(BN$7&gt;$D$3,"",_xlfn.XLOOKUP(BN$8,Finance!$M$16:$X$16,Finance!$M$21:$X$21))</f>
        <v>G</v>
      </c>
      <c r="BO111" s="198" t="str">
        <f>IF(BO$7&gt;$D$3,"",_xlfn.XLOOKUP(BO$8,Finance!$M$16:$X$16,Finance!$M$21:$X$21))</f>
        <v>G</v>
      </c>
      <c r="BP111" s="198" t="str">
        <f>IF(BP$7&gt;$D$3,"",_xlfn.XLOOKUP(BP$8,Finance!$M$16:$X$16,Finance!$M$21:$X$21))</f>
        <v>G</v>
      </c>
      <c r="BQ111" s="198" t="str">
        <f>IF(BQ$7&gt;$D$3,"",_xlfn.XLOOKUP(BQ$8,Finance!$M$16:$X$16,Finance!$M$21:$X$21))</f>
        <v>G</v>
      </c>
      <c r="BR111" s="198" t="str">
        <f>IF(BR$7&gt;$D$3,"",_xlfn.XLOOKUP(BR$8,Finance!$M$16:$X$16,Finance!$M$21:$X$21))</f>
        <v>G</v>
      </c>
      <c r="BS111" s="198" t="str">
        <f>IF(BS$7&gt;$D$3,"",_xlfn.XLOOKUP(BS$8,Finance!$M$16:$X$16,Finance!$M$21:$X$21))</f>
        <v>G</v>
      </c>
      <c r="BT111" s="198" t="str">
        <f>IF(BT$7&gt;$D$3,"",_xlfn.XLOOKUP(BT$8,Finance!$M$16:$X$16,Finance!$M$21:$X$21))</f>
        <v>G</v>
      </c>
      <c r="BU111" s="198" t="str">
        <f>IF(BU$7&gt;$D$3,"",_xlfn.XLOOKUP(BU$8,Finance!$M$16:$X$16,Finance!$M$21:$X$21))</f>
        <v>G</v>
      </c>
      <c r="BV111" s="198" t="str">
        <f>IF(BV$7&gt;$D$3,"",_xlfn.XLOOKUP(BV$8,Finance!$M$16:$X$16,Finance!$M$21:$X$21))</f>
        <v>G</v>
      </c>
      <c r="BW111" s="198" t="str">
        <f>IF(BW$7&gt;$D$3,"",_xlfn.XLOOKUP(BW$8,Finance!$M$16:$X$16,Finance!$M$21:$X$21))</f>
        <v>G</v>
      </c>
      <c r="BX111" s="198" t="str">
        <f>IF(BX$7&gt;$D$3,"",_xlfn.XLOOKUP(BX$8,Finance!$M$16:$X$16,Finance!$M$21:$X$21))</f>
        <v>G</v>
      </c>
      <c r="BY111" s="198" t="str">
        <f>IF(BY$7&gt;$D$3,"",_xlfn.XLOOKUP(BY$8,Finance!$M$16:$X$16,Finance!$M$21:$X$21))</f>
        <v>G</v>
      </c>
      <c r="BZ111" s="198" t="str">
        <f>IF(BZ$7&gt;$D$3,"",_xlfn.XLOOKUP(BZ$8,Finance!$M$16:$X$16,Finance!$M$21:$X$21))</f>
        <v>G</v>
      </c>
      <c r="CA111" s="198" t="str">
        <f>IF(CA$7&gt;$D$3,"",_xlfn.XLOOKUP(CA$8,Finance!$M$16:$X$16,Finance!$M$21:$X$21))</f>
        <v>G</v>
      </c>
      <c r="CB111" s="198" t="str">
        <f>IF(CB$7&gt;$D$3,"",_xlfn.XLOOKUP(CB$8,Finance!$M$16:$X$16,Finance!$M$21:$X$21))</f>
        <v>G</v>
      </c>
      <c r="CC111" s="198" t="str">
        <f>IF(CC$7&gt;$D$3,"",_xlfn.XLOOKUP(CC$8,Finance!$M$16:$X$16,Finance!$M$21:$X$21))</f>
        <v/>
      </c>
      <c r="CD111" s="198" t="str">
        <f>IF(CD$7&gt;$D$3,"",_xlfn.XLOOKUP(CD$8,Finance!$M$16:$X$16,Finance!$M$21:$X$21))</f>
        <v/>
      </c>
      <c r="CE111" s="198" t="str">
        <f>IF(CE$7&gt;$D$3,"",_xlfn.XLOOKUP(CE$8,Finance!$M$16:$X$16,Finance!$M$21:$X$21))</f>
        <v/>
      </c>
      <c r="CF111" s="198" t="str">
        <f>IF(CF$7&gt;$D$3,"",_xlfn.XLOOKUP(CF$8,Finance!$M$16:$X$16,Finance!$M$21:$X$21))</f>
        <v/>
      </c>
      <c r="CG111" s="198" t="str">
        <f>IF(CG$7&gt;$D$3,"",_xlfn.XLOOKUP(CG$8,Finance!$M$16:$X$16,Finance!$M$21:$X$21))</f>
        <v/>
      </c>
      <c r="CH111" s="198" t="str">
        <f>IF(CH$7&gt;$D$3,"",_xlfn.XLOOKUP(CH$8,Finance!$M$16:$X$16,Finance!$M$21:$X$21))</f>
        <v/>
      </c>
      <c r="CI111" s="198" t="str">
        <f>IF(CI$7&gt;$D$3,"",_xlfn.XLOOKUP(CI$8,Finance!$M$16:$X$16,Finance!$M$21:$X$21))</f>
        <v/>
      </c>
      <c r="CJ111" s="198" t="str">
        <f>IF(CJ$7&gt;$D$3,"",_xlfn.XLOOKUP(CJ$8,Finance!$M$16:$X$16,Finance!$M$21:$X$21))</f>
        <v/>
      </c>
      <c r="CK111" s="198" t="str">
        <f>IF(CK$7&gt;$D$3,"",_xlfn.XLOOKUP(CK$8,Finance!$M$16:$X$16,Finance!$M$21:$X$21))</f>
        <v/>
      </c>
      <c r="CL111" s="198" t="str">
        <f>IF(CL$7&gt;$D$3,"",_xlfn.XLOOKUP(CL$8,Finance!$M$16:$X$16,Finance!$M$21:$X$21))</f>
        <v/>
      </c>
      <c r="CM111" s="198" t="str">
        <f>IF(CM$7&gt;$D$3,"",_xlfn.XLOOKUP(CM$8,Finance!$M$16:$X$16,Finance!$M$21:$X$21))</f>
        <v/>
      </c>
      <c r="CO111" s="465" t="str">
        <f>+$A111</f>
        <v>Finance-KPI D1</v>
      </c>
      <c r="CP111" s="133" t="str">
        <f t="shared" si="376"/>
        <v>KPI D1</v>
      </c>
      <c r="CQ111" s="142" t="str">
        <f t="shared" si="376"/>
        <v>Delivery</v>
      </c>
      <c r="CR111" s="142" t="str">
        <f t="shared" si="376"/>
        <v>Creditor Days (Monthly only) - (Fav if paid promptly)</v>
      </c>
      <c r="CS111" s="143" t="str">
        <f t="shared" si="376"/>
        <v>Days</v>
      </c>
      <c r="CT111" s="206" t="s">
        <v>246</v>
      </c>
      <c r="CU111" s="423" t="s">
        <v>122</v>
      </c>
      <c r="CV111" s="327">
        <f>IF(CV$7&gt;$D$3,"",IF(AN111="OD","OD",IF(AN111="Missed","Missed",IF(AN111="TBC","TBC",IF(AN111="Undefined","Undefined",_xlfn.XLOOKUP(CV$8,Finance!$M$16:$X$16,Finance!$M$19:$X$19)/_xlfn.XLOOKUP(CV$8,Finance!$M$16:$X$16,Finance!$M$20:$X$20))))))</f>
        <v>1.0236729467389492</v>
      </c>
      <c r="CW111" s="327">
        <f>IF(CW$7&gt;$D$3,"",IF(AO111="OD","OD",IF(AO111="Missed","Missed",IF(AO111="TBC","TBC",IF(AO111="Undefined","Undefined",_xlfn.XLOOKUP(CW$8,Finance!$M$16:$X$16,Finance!$M$19:$X$19)/_xlfn.XLOOKUP(CW$8,Finance!$M$16:$X$16,Finance!$M$20:$X$20))))))</f>
        <v>1.0236729467389492</v>
      </c>
      <c r="CX111" s="327">
        <f>IF(CX$7&gt;$D$3,"",IF(AP111="OD","OD",IF(AP111="Missed","Missed",IF(AP111="TBC","TBC",IF(AP111="Undefined","Undefined",_xlfn.XLOOKUP(CX$8,Finance!$M$16:$X$16,Finance!$M$19:$X$19)/_xlfn.XLOOKUP(CX$8,Finance!$M$16:$X$16,Finance!$M$20:$X$20))))))</f>
        <v>1.0236729467389492</v>
      </c>
      <c r="CY111" s="327">
        <f>IF(CY$7&gt;$D$3,"",IF(AQ111="OD","OD",IF(AQ111="Missed","Missed",IF(AQ111="TBC","TBC",IF(AQ111="Undefined","Undefined",_xlfn.XLOOKUP(CY$8,Finance!$M$16:$X$16,Finance!$M$19:$X$19)/_xlfn.XLOOKUP(CY$8,Finance!$M$16:$X$16,Finance!$M$20:$X$20))))))</f>
        <v>1.0236729467389492</v>
      </c>
      <c r="CZ111" s="327">
        <f>IF(CZ$7&gt;$D$3,"",IF(AR111="OD","OD",IF(AR111="Missed","Missed",IF(AR111="TBC","TBC",IF(AR111="Undefined","Undefined",_xlfn.XLOOKUP(CZ$8,Finance!$M$16:$X$16,Finance!$M$19:$X$19)/_xlfn.XLOOKUP(CZ$8,Finance!$M$16:$X$16,Finance!$M$20:$X$20))))))</f>
        <v>0.83925634859748099</v>
      </c>
      <c r="DA111" s="327">
        <f>IF(DA$7&gt;$D$3,"",IF(AS111="OD","OD",IF(AS111="Missed","Missed",IF(AS111="TBC","TBC",IF(AS111="Undefined","Undefined",_xlfn.XLOOKUP(DA$8,Finance!$M$16:$X$16,Finance!$M$19:$X$19)/_xlfn.XLOOKUP(DA$8,Finance!$M$16:$X$16,Finance!$M$20:$X$20))))))</f>
        <v>0.83925634859748099</v>
      </c>
      <c r="DB111" s="327">
        <f>IF(DB$7&gt;$D$3,"",IF(AT111="OD","OD",IF(AT111="Missed","Missed",IF(AT111="TBC","TBC",IF(AT111="Undefined","Undefined",_xlfn.XLOOKUP(DB$8,Finance!$M$16:$X$16,Finance!$M$19:$X$19)/_xlfn.XLOOKUP(DB$8,Finance!$M$16:$X$16,Finance!$M$20:$X$20))))))</f>
        <v>0.83925634859748099</v>
      </c>
      <c r="DC111" s="327">
        <f>IF(DC$7&gt;$D$3,"",IF(AU111="OD","OD",IF(AU111="Missed","Missed",IF(AU111="TBC","TBC",IF(AU111="Undefined","Undefined",_xlfn.XLOOKUP(DC$8,Finance!$M$16:$X$16,Finance!$M$19:$X$19)/_xlfn.XLOOKUP(DC$8,Finance!$M$16:$X$16,Finance!$M$20:$X$20))))))</f>
        <v>0.83925634859748099</v>
      </c>
      <c r="DD111" s="327">
        <f>IF(DD$7&gt;$D$3,"",IF(AV111="OD","OD",IF(AV111="Missed","Missed",IF(AV111="TBC","TBC",IF(AV111="Undefined","Undefined",_xlfn.XLOOKUP(DD$8,Finance!$M$16:$X$16,Finance!$M$19:$X$19)/_xlfn.XLOOKUP(DD$8,Finance!$M$16:$X$16,Finance!$M$20:$X$20))))))</f>
        <v>1.1647312613578034</v>
      </c>
      <c r="DE111" s="327">
        <f>IF(DE$7&gt;$D$3,"",IF(AW111="OD","OD",IF(AW111="Missed","Missed",IF(AW111="TBC","TBC",IF(AW111="Undefined","Undefined",_xlfn.XLOOKUP(DE$8,Finance!$M$16:$X$16,Finance!$M$19:$X$19)/_xlfn.XLOOKUP(DE$8,Finance!$M$16:$X$16,Finance!$M$20:$X$20))))))</f>
        <v>1.1647312613578034</v>
      </c>
      <c r="DF111" s="327">
        <f>IF(DF$7&gt;$D$3,"",IF(AX111="OD","OD",IF(AX111="Missed","Missed",IF(AX111="TBC","TBC",IF(AX111="Undefined","Undefined",_xlfn.XLOOKUP(DF$8,Finance!$M$16:$X$16,Finance!$M$19:$X$19)/_xlfn.XLOOKUP(DF$8,Finance!$M$16:$X$16,Finance!$M$20:$X$20))))))</f>
        <v>1.1647312613578034</v>
      </c>
      <c r="DG111" s="327">
        <f>IF(DG$7&gt;$D$3,"",IF(AY111="OD","OD",IF(AY111="Missed","Missed",IF(AY111="TBC","TBC",IF(AY111="Undefined","Undefined",_xlfn.XLOOKUP(DG$8,Finance!$M$16:$X$16,Finance!$M$19:$X$19)/_xlfn.XLOOKUP(DG$8,Finance!$M$16:$X$16,Finance!$M$20:$X$20))))))</f>
        <v>1.1647312613578034</v>
      </c>
      <c r="DH111" s="327">
        <f>IF(DH$7&gt;$D$3,"",IF(AZ111="OD","OD",IF(AZ111="Missed","Missed",IF(AZ111="TBC","TBC",IF(AZ111="Undefined","Undefined",_xlfn.XLOOKUP(DH$8,Finance!$M$16:$X$16,Finance!$M$19:$X$19)/_xlfn.XLOOKUP(DH$8,Finance!$M$16:$X$16,Finance!$M$20:$X$20))))))</f>
        <v>1.1647312613578034</v>
      </c>
      <c r="DI111" s="327">
        <f>IF(DI$7&gt;$D$3,"",IF(BA111="OD","OD",IF(BA111="Missed","Missed",IF(BA111="TBC","TBC",IF(BA111="Undefined","Undefined",_xlfn.XLOOKUP(DI$8,Finance!$M$16:$X$16,Finance!$M$19:$X$19)/_xlfn.XLOOKUP(DI$8,Finance!$M$16:$X$16,Finance!$M$20:$X$20))))))</f>
        <v>1.1647312613578034</v>
      </c>
      <c r="DJ111" s="327">
        <f>IF(DJ$7&gt;$D$3,"",IF(BB111="OD","OD",IF(BB111="Missed","Missed",IF(BB111="TBC","TBC",IF(BB111="Undefined","Undefined",_xlfn.XLOOKUP(DJ$8,Finance!$M$16:$X$16,Finance!$M$19:$X$19)/_xlfn.XLOOKUP(DJ$8,Finance!$M$16:$X$16,Finance!$M$20:$X$20))))))</f>
        <v>1.1647312613578034</v>
      </c>
      <c r="DK111" s="327">
        <f>IF(DK$7&gt;$D$3,"",IF(BC111="OD","OD",IF(BC111="Missed","Missed",IF(BC111="TBC","TBC",IF(BC111="Undefined","Undefined",_xlfn.XLOOKUP(DK$8,Finance!$M$16:$X$16,Finance!$M$19:$X$19)/_xlfn.XLOOKUP(DK$8,Finance!$M$16:$X$16,Finance!$M$20:$X$20))))))</f>
        <v>1.1647312613578034</v>
      </c>
      <c r="DL111" s="327">
        <f>IF(DL$7&gt;$D$3,"",IF(BD111="OD","OD",IF(BD111="Missed","Missed",IF(BD111="TBC","TBC",IF(BD111="Undefined","Undefined",_xlfn.XLOOKUP(DL$8,Finance!$M$16:$X$16,Finance!$M$19:$X$19)/_xlfn.XLOOKUP(DL$8,Finance!$M$16:$X$16,Finance!$M$20:$X$20))))))</f>
        <v>0.86045638809768787</v>
      </c>
      <c r="DM111" s="327">
        <f>IF(DM$7&gt;$D$3,"",IF(BE111="OD","OD",IF(BE111="Missed","Missed",IF(BE111="TBC","TBC",IF(BE111="Undefined","Undefined",_xlfn.XLOOKUP(DM$8,Finance!$M$16:$X$16,Finance!$M$19:$X$19)/_xlfn.XLOOKUP(DM$8,Finance!$M$16:$X$16,Finance!$M$20:$X$20))))))</f>
        <v>0.86045638809768787</v>
      </c>
      <c r="DN111" s="327">
        <f>IF(DN$7&gt;$D$3,"",IF(BF111="OD","OD",IF(BF111="Missed","Missed",IF(BF111="TBC","TBC",IF(BF111="Undefined","Undefined",_xlfn.XLOOKUP(DN$8,Finance!$M$16:$X$16,Finance!$M$19:$X$19)/_xlfn.XLOOKUP(DN$8,Finance!$M$16:$X$16,Finance!$M$20:$X$20))))))</f>
        <v>0.86045638809768787</v>
      </c>
      <c r="DO111" s="327">
        <f>IF(DO$7&gt;$D$3,"",IF(BG111="OD","OD",IF(BG111="Missed","Missed",IF(BG111="TBC","TBC",IF(BG111="Undefined","Undefined",_xlfn.XLOOKUP(DO$8,Finance!$M$16:$X$16,Finance!$M$19:$X$19)/_xlfn.XLOOKUP(DO$8,Finance!$M$16:$X$16,Finance!$M$20:$X$20))))))</f>
        <v>0.86045638809768787</v>
      </c>
      <c r="DP111" s="327">
        <f>IF(DP$7&gt;$D$3,"",IF(BH111="OD","OD",IF(BH111="Missed","Missed",IF(BH111="TBC","TBC",IF(BH111="Undefined","Undefined",_xlfn.XLOOKUP(DP$8,Finance!$M$16:$X$16,Finance!$M$19:$X$19)/_xlfn.XLOOKUP(DP$8,Finance!$M$16:$X$16,Finance!$M$20:$X$20))))))</f>
        <v>0.86045638809768787</v>
      </c>
      <c r="DQ111" s="327">
        <f>IF(DQ$7&gt;$D$3,"",IF(BI111="OD","OD",IF(BI111="Missed","Missed",IF(BI111="TBC","TBC",IF(BI111="Undefined","Undefined",_xlfn.XLOOKUP(DQ$8,Finance!$M$16:$X$16,Finance!$M$19:$X$19)/_xlfn.XLOOKUP(DQ$8,Finance!$M$16:$X$16,Finance!$M$20:$X$20))))))</f>
        <v>1.2572247329672994</v>
      </c>
      <c r="DR111" s="327">
        <f>IF(DR$7&gt;$D$3,"",IF(BJ111="OD","OD",IF(BJ111="Missed","Missed",IF(BJ111="TBC","TBC",IF(BJ111="Undefined","Undefined",_xlfn.XLOOKUP(DR$8,Finance!$M$16:$X$16,Finance!$M$19:$X$19)/_xlfn.XLOOKUP(DR$8,Finance!$M$16:$X$16,Finance!$M$20:$X$20))))))</f>
        <v>1.2572247329672994</v>
      </c>
      <c r="DS111" s="327">
        <f>IF(DS$7&gt;$D$3,"",IF(BK111="OD","OD",IF(BK111="Missed","Missed",IF(BK111="TBC","TBC",IF(BK111="Undefined","Undefined",_xlfn.XLOOKUP(DS$8,Finance!$M$16:$X$16,Finance!$M$19:$X$19)/_xlfn.XLOOKUP(DS$8,Finance!$M$16:$X$16,Finance!$M$20:$X$20))))))</f>
        <v>1.2572247329672994</v>
      </c>
      <c r="DT111" s="327">
        <f>IF(DT$7&gt;$D$3,"",IF(BL111="OD","OD",IF(BL111="Missed","Missed",IF(BL111="TBC","TBC",IF(BL111="Undefined","Undefined",_xlfn.XLOOKUP(DT$8,Finance!$M$16:$X$16,Finance!$M$19:$X$19)/_xlfn.XLOOKUP(DT$8,Finance!$M$16:$X$16,Finance!$M$20:$X$20))))))</f>
        <v>1.2572247329672994</v>
      </c>
      <c r="DU111" s="327">
        <f>IF(DU$7&gt;$D$3,"",IF(BM111="OD","OD",IF(BM111="Missed","Missed",IF(BM111="TBC","TBC",IF(BM111="Undefined","Undefined",_xlfn.XLOOKUP(DU$8,Finance!$M$16:$X$16,Finance!$M$19:$X$19)/_xlfn.XLOOKUP(DU$8,Finance!$M$16:$X$16,Finance!$M$20:$X$20))))))</f>
        <v>1.3571428571428572</v>
      </c>
      <c r="DV111" s="327">
        <f>IF(DV$7&gt;$D$3,"",IF(BN111="OD","OD",IF(BN111="Missed","Missed",IF(BN111="TBC","TBC",IF(BN111="Undefined","Undefined",_xlfn.XLOOKUP(DV$8,Finance!$M$16:$X$16,Finance!$M$19:$X$19)/_xlfn.XLOOKUP(DV$8,Finance!$M$16:$X$16,Finance!$M$20:$X$20))))))</f>
        <v>1.3571428571428572</v>
      </c>
      <c r="DW111" s="327">
        <f>IF(DW$7&gt;$D$3,"",IF(BO111="OD","OD",IF(BO111="Missed","Missed",IF(BO111="TBC","TBC",IF(BO111="Undefined","Undefined",_xlfn.XLOOKUP(DW$8,Finance!$M$16:$X$16,Finance!$M$19:$X$19)/_xlfn.XLOOKUP(DW$8,Finance!$M$16:$X$16,Finance!$M$20:$X$20))))))</f>
        <v>1.3571428571428572</v>
      </c>
      <c r="DX111" s="327">
        <f>IF(DX$7&gt;$D$3,"",IF(BP111="OD","OD",IF(BP111="Missed","Missed",IF(BP111="TBC","TBC",IF(BP111="Undefined","Undefined",_xlfn.XLOOKUP(DX$8,Finance!$M$16:$X$16,Finance!$M$19:$X$19)/_xlfn.XLOOKUP(DX$8,Finance!$M$16:$X$16,Finance!$M$20:$X$20))))))</f>
        <v>1.3571428571428572</v>
      </c>
      <c r="DY111" s="327">
        <f>IF(DY$7&gt;$D$3,"",IF(BQ111="OD","OD",IF(BQ111="Missed","Missed",IF(BQ111="TBC","TBC",IF(BQ111="Undefined","Undefined",_xlfn.XLOOKUP(DY$8,Finance!$M$16:$X$16,Finance!$M$19:$X$19)/_xlfn.XLOOKUP(DY$8,Finance!$M$16:$X$16,Finance!$M$20:$X$20))))))</f>
        <v>1.3571428571428572</v>
      </c>
      <c r="DZ111" s="327">
        <f>IF(DZ$7&gt;$D$3,"",IF(BR111="OD","OD",IF(BR111="Missed","Missed",IF(BR111="TBC","TBC",IF(BR111="Undefined","Undefined",_xlfn.XLOOKUP(DZ$8,Finance!$M$16:$X$16,Finance!$M$19:$X$19)/_xlfn.XLOOKUP(DZ$8,Finance!$M$16:$X$16,Finance!$M$20:$X$20))))))</f>
        <v>1.0079546163395101</v>
      </c>
      <c r="EA111" s="327">
        <f>IF(EA$7&gt;$D$3,"",IF(BS111="OD","OD",IF(BS111="Missed","Missed",IF(BS111="TBC","TBC",IF(BS111="Undefined","Undefined",_xlfn.XLOOKUP(EA$8,Finance!$M$16:$X$16,Finance!$M$19:$X$19)/_xlfn.XLOOKUP(EA$8,Finance!$M$16:$X$16,Finance!$M$20:$X$20))))))</f>
        <v>1.0079546163395101</v>
      </c>
      <c r="EB111" s="327">
        <f>IF(EB$7&gt;$D$3,"",IF(BT111="OD","OD",IF(BT111="Missed","Missed",IF(BT111="TBC","TBC",IF(BT111="Undefined","Undefined",_xlfn.XLOOKUP(EB$8,Finance!$M$16:$X$16,Finance!$M$19:$X$19)/_xlfn.XLOOKUP(EB$8,Finance!$M$16:$X$16,Finance!$M$20:$X$20))))))</f>
        <v>1.0079546163395101</v>
      </c>
      <c r="EC111" s="327">
        <f>IF(EC$7&gt;$D$3,"",IF(BU111="OD","OD",IF(BU111="Missed","Missed",IF(BU111="TBC","TBC",IF(BU111="Undefined","Undefined",_xlfn.XLOOKUP(EC$8,Finance!$M$16:$X$16,Finance!$M$19:$X$19)/_xlfn.XLOOKUP(EC$8,Finance!$M$16:$X$16,Finance!$M$20:$X$20))))))</f>
        <v>1.0079546163395101</v>
      </c>
      <c r="ED111" s="327">
        <f>IF(ED$7&gt;$D$3,"",IF(BV111="OD","OD",IF(BV111="Missed","Missed",IF(BV111="TBC","TBC",IF(BV111="Undefined","Undefined",_xlfn.XLOOKUP(ED$8,Finance!$M$16:$X$16,Finance!$M$19:$X$19)/_xlfn.XLOOKUP(ED$8,Finance!$M$16:$X$16,Finance!$M$20:$X$20))))))</f>
        <v>1.0699347640676302</v>
      </c>
      <c r="EE111" s="327">
        <f>IF(EE$7&gt;$D$3,"",IF(BW111="OD","OD",IF(BW111="Missed","Missed",IF(BW111="TBC","TBC",IF(BW111="Undefined","Undefined",_xlfn.XLOOKUP(EE$8,Finance!$M$16:$X$16,Finance!$M$19:$X$19)/_xlfn.XLOOKUP(EE$8,Finance!$M$16:$X$16,Finance!$M$20:$X$20))))))</f>
        <v>1.0699347640676302</v>
      </c>
      <c r="EF111" s="327">
        <f>IF(EF$7&gt;$D$3,"",IF(BX111="OD","OD",IF(BX111="Missed","Missed",IF(BX111="TBC","TBC",IF(BX111="Undefined","Undefined",_xlfn.XLOOKUP(EF$8,Finance!$M$16:$X$16,Finance!$M$19:$X$19)/_xlfn.XLOOKUP(EF$8,Finance!$M$16:$X$16,Finance!$M$20:$X$20))))))</f>
        <v>1.0699347640676302</v>
      </c>
      <c r="EG111" s="327">
        <f>IF(EG$7&gt;$D$3,"",IF(BY111="OD","OD",IF(BY111="Missed","Missed",IF(BY111="TBC","TBC",IF(BY111="Undefined","Undefined",_xlfn.XLOOKUP(EG$8,Finance!$M$16:$X$16,Finance!$M$19:$X$19)/_xlfn.XLOOKUP(EG$8,Finance!$M$16:$X$16,Finance!$M$20:$X$20))))))</f>
        <v>1.0699347640676302</v>
      </c>
      <c r="EH111" s="327">
        <f>IF(EH$7&gt;$D$3,"",IF(BZ111="OD","OD",IF(BZ111="Missed","Missed",IF(BZ111="TBC","TBC",IF(BZ111="Undefined","Undefined",_xlfn.XLOOKUP(EH$8,Finance!$M$16:$X$16,Finance!$M$19:$X$19)/_xlfn.XLOOKUP(EH$8,Finance!$M$16:$X$16,Finance!$M$20:$X$20))))))</f>
        <v>1.0966810966810967</v>
      </c>
      <c r="EI111" s="327">
        <f>IF(EI$7&gt;$D$3,"",IF(CA111="OD","OD",IF(CA111="Missed","Missed",IF(CA111="TBC","TBC",IF(CA111="Undefined","Undefined",_xlfn.XLOOKUP(EI$8,Finance!$M$16:$X$16,Finance!$M$19:$X$19)/_xlfn.XLOOKUP(EI$8,Finance!$M$16:$X$16,Finance!$M$20:$X$20))))))</f>
        <v>1.0966810966810967</v>
      </c>
      <c r="EJ111" s="327">
        <f>IF(EJ$7&gt;$D$3,"",IF(CB111="OD","OD",IF(CB111="Missed","Missed",IF(CB111="TBC","TBC",IF(CB111="Undefined","Undefined",_xlfn.XLOOKUP(EJ$8,Finance!$M$16:$X$16,Finance!$M$19:$X$19)/_xlfn.XLOOKUP(EJ$8,Finance!$M$16:$X$16,Finance!$M$20:$X$20))))))</f>
        <v>1.0966810966810967</v>
      </c>
      <c r="EK111" s="327" t="str">
        <f>IF(EK$7&gt;$D$3,"",IF(CC111="OD","OD",IF(CC111="Missed","Missed",IF(CC111="TBC","TBC",IF(CC111="Undefined","Undefined",_xlfn.XLOOKUP(EK$8,Finance!$M$16:$X$16,Finance!$M$19:$X$19)/_xlfn.XLOOKUP(EK$8,Finance!$M$16:$X$16,Finance!$M$20:$X$20))))))</f>
        <v/>
      </c>
      <c r="EL111" s="327" t="str">
        <f>IF(EL$7&gt;$D$3,"",IF(CD111="OD","OD",IF(CD111="Missed","Missed",IF(CD111="TBC","TBC",IF(CD111="Undefined","Undefined",_xlfn.XLOOKUP(EL$8,Finance!$M$16:$X$16,Finance!$M$19:$X$19)/_xlfn.XLOOKUP(EL$8,Finance!$M$16:$X$16,Finance!$M$20:$X$20))))))</f>
        <v/>
      </c>
      <c r="EM111" s="327" t="str">
        <f>IF(EM$7&gt;$D$3,"",IF(CE111="OD","OD",IF(CE111="Missed","Missed",IF(CE111="TBC","TBC",IF(CE111="Undefined","Undefined",_xlfn.XLOOKUP(EM$8,Finance!$M$16:$X$16,Finance!$M$19:$X$19)/_xlfn.XLOOKUP(EM$8,Finance!$M$16:$X$16,Finance!$M$20:$X$20))))))</f>
        <v/>
      </c>
      <c r="EN111" s="327" t="str">
        <f>IF(EN$7&gt;$D$3,"",IF(CF111="OD","OD",IF(CF111="Missed","Missed",IF(CF111="TBC","TBC",IF(CF111="Undefined","Undefined",_xlfn.XLOOKUP(EN$8,Finance!$M$16:$X$16,Finance!$M$19:$X$19)/_xlfn.XLOOKUP(EN$8,Finance!$M$16:$X$16,Finance!$M$20:$X$20))))))</f>
        <v/>
      </c>
      <c r="EO111" s="327" t="str">
        <f>IF(EO$7&gt;$D$3,"",IF(CG111="OD","OD",IF(CG111="Missed","Missed",IF(CG111="TBC","TBC",IF(CG111="Undefined","Undefined",_xlfn.XLOOKUP(EO$8,Finance!$M$16:$X$16,Finance!$M$19:$X$19)/_xlfn.XLOOKUP(EO$8,Finance!$M$16:$X$16,Finance!$M$20:$X$20))))))</f>
        <v/>
      </c>
      <c r="EP111" s="327" t="str">
        <f>IF(EP$7&gt;$D$3,"",IF(CH111="OD","OD",IF(CH111="Missed","Missed",IF(CH111="TBC","TBC",IF(CH111="Undefined","Undefined",_xlfn.XLOOKUP(EP$8,Finance!$M$16:$X$16,Finance!$M$19:$X$19)/_xlfn.XLOOKUP(EP$8,Finance!$M$16:$X$16,Finance!$M$20:$X$20))))))</f>
        <v/>
      </c>
      <c r="EQ111" s="327" t="str">
        <f>IF(EQ$7&gt;$D$3,"",IF(CI111="OD","OD",IF(CI111="Missed","Missed",IF(CI111="TBC","TBC",IF(CI111="Undefined","Undefined",_xlfn.XLOOKUP(EQ$8,Finance!$M$16:$X$16,Finance!$M$19:$X$19)/_xlfn.XLOOKUP(EQ$8,Finance!$M$16:$X$16,Finance!$M$20:$X$20))))))</f>
        <v/>
      </c>
      <c r="ER111" s="327" t="str">
        <f>IF(ER$7&gt;$D$3,"",IF(CJ111="OD","OD",IF(CJ111="Missed","Missed",IF(CJ111="TBC","TBC",IF(CJ111="Undefined","Undefined",_xlfn.XLOOKUP(ER$8,Finance!$M$16:$X$16,Finance!$M$19:$X$19)/_xlfn.XLOOKUP(ER$8,Finance!$M$16:$X$16,Finance!$M$20:$X$20))))))</f>
        <v/>
      </c>
      <c r="ES111" s="327" t="str">
        <f>IF(ES$7&gt;$D$3,"",IF(CK111="OD","OD",IF(CK111="Missed","Missed",IF(CK111="TBC","TBC",IF(CK111="Undefined","Undefined",_xlfn.XLOOKUP(ES$8,Finance!$M$16:$X$16,Finance!$M$19:$X$19)/_xlfn.XLOOKUP(ES$8,Finance!$M$16:$X$16,Finance!$M$20:$X$20))))))</f>
        <v/>
      </c>
      <c r="ET111" s="327" t="str">
        <f>IF(ET$7&gt;$D$3,"",IF(CL111="OD","OD",IF(CL111="Missed","Missed",IF(CL111="TBC","TBC",IF(CL111="Undefined","Undefined",_xlfn.XLOOKUP(ET$8,Finance!$M$16:$X$16,Finance!$M$19:$X$19)/_xlfn.XLOOKUP(ET$8,Finance!$M$16:$X$16,Finance!$M$20:$X$20))))))</f>
        <v/>
      </c>
      <c r="EU111" s="327" t="str">
        <f>IF(EU$7&gt;$D$3,"",IF(CM111="OD","OD",IF(CM111="Missed","Missed",IF(CM111="TBC","TBC",IF(CM111="Undefined","Undefined",_xlfn.XLOOKUP(EU$8,Finance!$M$16:$X$16,Finance!$M$19:$X$19)/_xlfn.XLOOKUP(EU$8,Finance!$M$16:$X$16,Finance!$M$20:$X$20))))))</f>
        <v/>
      </c>
      <c r="EW111" s="465" t="str">
        <f>+$A111</f>
        <v>Finance-KPI D1</v>
      </c>
      <c r="EX111" s="133" t="str">
        <f>+$C111</f>
        <v>KPI D1</v>
      </c>
      <c r="EY111" s="142" t="str">
        <f>+$D111</f>
        <v>Delivery</v>
      </c>
      <c r="EZ111" s="142" t="str">
        <f t="shared" si="358"/>
        <v>Creditor Days (Monthly only) - (Fav if paid promptly)</v>
      </c>
      <c r="FA111" s="143" t="str">
        <f t="shared" si="359"/>
        <v>Days</v>
      </c>
      <c r="FB111" s="143" t="s">
        <v>251</v>
      </c>
      <c r="FC111" s="225"/>
      <c r="FD111" s="426">
        <f>IF(FD$7&gt;$D$3,"",_xlfn.XLOOKUP(FD$8,Finance!$M$16:$X$16,Finance!$M$20:$X$20))</f>
        <v>37.121231073903267</v>
      </c>
      <c r="FE111" s="426">
        <f>IF(FE$7&gt;$D$3,"",_xlfn.XLOOKUP(FE$8,Finance!$M$16:$X$16,Finance!$M$20:$X$20))</f>
        <v>37.121231073903267</v>
      </c>
      <c r="FF111" s="426">
        <f>IF(FF$7&gt;$D$3,"",_xlfn.XLOOKUP(FF$8,Finance!$M$16:$X$16,Finance!$M$20:$X$20))</f>
        <v>37.121231073903267</v>
      </c>
      <c r="FG111" s="426">
        <f>IF(FG$7&gt;$D$3,"",_xlfn.XLOOKUP(FG$8,Finance!$M$16:$X$16,Finance!$M$20:$X$20))</f>
        <v>37.121231073903267</v>
      </c>
      <c r="FH111" s="426">
        <f>IF(FH$7&gt;$D$3,"",_xlfn.XLOOKUP(FH$8,Finance!$M$16:$X$16,Finance!$M$20:$X$20))</f>
        <v>45.278179978624536</v>
      </c>
      <c r="FI111" s="426">
        <f>IF(FI$7&gt;$D$3,"",_xlfn.XLOOKUP(FI$8,Finance!$M$16:$X$16,Finance!$M$20:$X$20))</f>
        <v>45.278179978624536</v>
      </c>
      <c r="FJ111" s="426">
        <f>IF(FJ$7&gt;$D$3,"",_xlfn.XLOOKUP(FJ$8,Finance!$M$16:$X$16,Finance!$M$20:$X$20))</f>
        <v>45.278179978624536</v>
      </c>
      <c r="FK111" s="426">
        <f>IF(FK$7&gt;$D$3,"",_xlfn.XLOOKUP(FK$8,Finance!$M$16:$X$16,Finance!$M$20:$X$20))</f>
        <v>45.278179978624536</v>
      </c>
      <c r="FL111" s="426">
        <f>IF(FL$7&gt;$D$3,"",_xlfn.XLOOKUP(FL$8,Finance!$M$16:$X$16,Finance!$M$20:$X$20))</f>
        <v>32.625551713706834</v>
      </c>
      <c r="FM111" s="426">
        <f>IF(FM$7&gt;$D$3,"",_xlfn.XLOOKUP(FM$8,Finance!$M$16:$X$16,Finance!$M$20:$X$20))</f>
        <v>32.625551713706834</v>
      </c>
      <c r="FN111" s="426">
        <f>IF(FN$7&gt;$D$3,"",_xlfn.XLOOKUP(FN$8,Finance!$M$16:$X$16,Finance!$M$20:$X$20))</f>
        <v>32.625551713706834</v>
      </c>
      <c r="FO111" s="426">
        <f>IF(FO$7&gt;$D$3,"",_xlfn.XLOOKUP(FO$8,Finance!$M$16:$X$16,Finance!$M$20:$X$20))</f>
        <v>32.625551713706834</v>
      </c>
      <c r="FP111" s="426">
        <f>IF(FP$7&gt;$D$3,"",_xlfn.XLOOKUP(FP$8,Finance!$M$16:$X$16,Finance!$M$20:$X$20))</f>
        <v>32.625551713706834</v>
      </c>
      <c r="FQ111" s="426">
        <f>IF(FQ$7&gt;$D$3,"",_xlfn.XLOOKUP(FQ$8,Finance!$M$16:$X$16,Finance!$M$20:$X$20))</f>
        <v>32.625551713706834</v>
      </c>
      <c r="FR111" s="426">
        <f>IF(FR$7&gt;$D$3,"",_xlfn.XLOOKUP(FR$8,Finance!$M$16:$X$16,Finance!$M$20:$X$20))</f>
        <v>32.625551713706834</v>
      </c>
      <c r="FS111" s="426">
        <f>IF(FS$7&gt;$D$3,"",_xlfn.XLOOKUP(FS$8,Finance!$M$16:$X$16,Finance!$M$20:$X$20))</f>
        <v>32.625551713706834</v>
      </c>
      <c r="FT111" s="426">
        <f>IF(FT$7&gt;$D$3,"",_xlfn.XLOOKUP(FT$8,Finance!$M$16:$X$16,Finance!$M$20:$X$20))</f>
        <v>44.16261012834255</v>
      </c>
      <c r="FU111" s="426">
        <f>IF(FU$7&gt;$D$3,"",_xlfn.XLOOKUP(FU$8,Finance!$M$16:$X$16,Finance!$M$20:$X$20))</f>
        <v>44.16261012834255</v>
      </c>
      <c r="FV111" s="426">
        <f>IF(FV$7&gt;$D$3,"",_xlfn.XLOOKUP(FV$8,Finance!$M$16:$X$16,Finance!$M$20:$X$20))</f>
        <v>44.16261012834255</v>
      </c>
      <c r="FW111" s="426">
        <f>IF(FW$7&gt;$D$3,"",_xlfn.XLOOKUP(FW$8,Finance!$M$16:$X$16,Finance!$M$20:$X$20))</f>
        <v>44.16261012834255</v>
      </c>
      <c r="FX111" s="426">
        <f>IF(FX$7&gt;$D$3,"",_xlfn.XLOOKUP(FX$8,Finance!$M$16:$X$16,Finance!$M$20:$X$20))</f>
        <v>44.16261012834255</v>
      </c>
      <c r="FY111" s="426">
        <f>IF(FY$7&gt;$D$3,"",_xlfn.XLOOKUP(FY$8,Finance!$M$16:$X$16,Finance!$M$20:$X$20))</f>
        <v>30.2253041986475</v>
      </c>
      <c r="FZ111" s="426">
        <f>IF(FZ$7&gt;$D$3,"",_xlfn.XLOOKUP(FZ$8,Finance!$M$16:$X$16,Finance!$M$20:$X$20))</f>
        <v>30.2253041986475</v>
      </c>
      <c r="GA111" s="426">
        <f>IF(GA$7&gt;$D$3,"",_xlfn.XLOOKUP(GA$8,Finance!$M$16:$X$16,Finance!$M$20:$X$20))</f>
        <v>30.2253041986475</v>
      </c>
      <c r="GB111" s="426">
        <f>IF(GB$7&gt;$D$3,"",_xlfn.XLOOKUP(GB$8,Finance!$M$16:$X$16,Finance!$M$20:$X$20))</f>
        <v>30.2253041986475</v>
      </c>
      <c r="GC111" s="426">
        <f>IF(GC$7&gt;$D$3,"",_xlfn.XLOOKUP(GC$8,Finance!$M$16:$X$16,Finance!$M$20:$X$20))</f>
        <v>28</v>
      </c>
      <c r="GD111" s="426">
        <f>IF(GD$7&gt;$D$3,"",_xlfn.XLOOKUP(GD$8,Finance!$M$16:$X$16,Finance!$M$20:$X$20))</f>
        <v>28</v>
      </c>
      <c r="GE111" s="426">
        <f>IF(GE$7&gt;$D$3,"",_xlfn.XLOOKUP(GE$8,Finance!$M$16:$X$16,Finance!$M$20:$X$20))</f>
        <v>28</v>
      </c>
      <c r="GF111" s="426">
        <f>IF(GF$7&gt;$D$3,"",_xlfn.XLOOKUP(GF$8,Finance!$M$16:$X$16,Finance!$M$20:$X$20))</f>
        <v>28</v>
      </c>
      <c r="GG111" s="426">
        <f>IF(GG$7&gt;$D$3,"",_xlfn.XLOOKUP(GG$8,Finance!$M$16:$X$16,Finance!$M$20:$X$20))</f>
        <v>28</v>
      </c>
      <c r="GH111" s="426">
        <f>IF(GH$7&gt;$D$3,"",_xlfn.XLOOKUP(GH$8,Finance!$M$16:$X$16,Finance!$M$20:$X$20))</f>
        <v>37.700110088290351</v>
      </c>
      <c r="GI111" s="426">
        <f>IF(GI$7&gt;$D$3,"",_xlfn.XLOOKUP(GI$8,Finance!$M$16:$X$16,Finance!$M$20:$X$20))</f>
        <v>37.700110088290351</v>
      </c>
      <c r="GJ111" s="426">
        <f>IF(GJ$7&gt;$D$3,"",_xlfn.XLOOKUP(GJ$8,Finance!$M$16:$X$16,Finance!$M$20:$X$20))</f>
        <v>37.700110088290351</v>
      </c>
      <c r="GK111" s="426">
        <f>IF(GK$7&gt;$D$3,"",_xlfn.XLOOKUP(GK$8,Finance!$M$16:$X$16,Finance!$M$20:$X$20))</f>
        <v>37.700110088290351</v>
      </c>
      <c r="GL111" s="426">
        <f>IF(GL$7&gt;$D$3,"",_xlfn.XLOOKUP(GL$8,Finance!$M$16:$X$16,Finance!$M$20:$X$20))</f>
        <v>35.516184048019241</v>
      </c>
      <c r="GM111" s="426">
        <f>IF(GM$7&gt;$D$3,"",_xlfn.XLOOKUP(GM$8,Finance!$M$16:$X$16,Finance!$M$20:$X$20))</f>
        <v>35.516184048019241</v>
      </c>
      <c r="GN111" s="426">
        <f>IF(GN$7&gt;$D$3,"",_xlfn.XLOOKUP(GN$8,Finance!$M$16:$X$16,Finance!$M$20:$X$20))</f>
        <v>35.516184048019241</v>
      </c>
      <c r="GO111" s="426">
        <f>IF(GO$7&gt;$D$3,"",_xlfn.XLOOKUP(GO$8,Finance!$M$16:$X$16,Finance!$M$20:$X$20))</f>
        <v>35.516184048019241</v>
      </c>
      <c r="GP111" s="426">
        <f>IF(GP$7&gt;$D$3,"",_xlfn.XLOOKUP(GP$8,Finance!$M$16:$X$16,Finance!$M$20:$X$20))</f>
        <v>34.65</v>
      </c>
      <c r="GQ111" s="426">
        <f>IF(GQ$7&gt;$D$3,"",_xlfn.XLOOKUP(GQ$8,Finance!$M$16:$X$16,Finance!$M$20:$X$20))</f>
        <v>34.65</v>
      </c>
      <c r="GR111" s="426">
        <f>IF(GR$7&gt;$D$3,"",_xlfn.XLOOKUP(GR$8,Finance!$M$16:$X$16,Finance!$M$20:$X$20))</f>
        <v>34.65</v>
      </c>
      <c r="GS111" s="426" t="str">
        <f>IF(GS$7&gt;$D$3,"",_xlfn.XLOOKUP(GS$8,Finance!$M$16:$X$16,Finance!$M$20:$X$20))</f>
        <v/>
      </c>
      <c r="GT111" s="426" t="str">
        <f>IF(GT$7&gt;$D$3,"",_xlfn.XLOOKUP(GT$8,Finance!$M$16:$X$16,Finance!$M$20:$X$20))</f>
        <v/>
      </c>
      <c r="GU111" s="426" t="str">
        <f>IF(GU$7&gt;$D$3,"",_xlfn.XLOOKUP(GU$8,Finance!$M$16:$X$16,Finance!$M$20:$X$20))</f>
        <v/>
      </c>
      <c r="GV111" s="426" t="str">
        <f>IF(GV$7&gt;$D$3,"",_xlfn.XLOOKUP(GV$8,Finance!$M$16:$X$16,Finance!$M$20:$X$20))</f>
        <v/>
      </c>
      <c r="GW111" s="426" t="str">
        <f>IF(GW$7&gt;$D$3,"",_xlfn.XLOOKUP(GW$8,Finance!$M$16:$X$16,Finance!$M$20:$X$20))</f>
        <v/>
      </c>
      <c r="GX111" s="426" t="str">
        <f>IF(GX$7&gt;$D$3,"",_xlfn.XLOOKUP(GX$8,Finance!$M$16:$X$16,Finance!$M$20:$X$20))</f>
        <v/>
      </c>
      <c r="GY111" s="426" t="str">
        <f>IF(GY$7&gt;$D$3,"",_xlfn.XLOOKUP(GY$8,Finance!$M$16:$X$16,Finance!$M$20:$X$20))</f>
        <v/>
      </c>
      <c r="GZ111" s="426" t="str">
        <f>IF(GZ$7&gt;$D$3,"",_xlfn.XLOOKUP(GZ$8,Finance!$M$16:$X$16,Finance!$M$20:$X$20))</f>
        <v/>
      </c>
      <c r="HA111" s="426" t="str">
        <f>IF(HA$7&gt;$D$3,"",_xlfn.XLOOKUP(HA$8,Finance!$M$16:$X$16,Finance!$M$20:$X$20))</f>
        <v/>
      </c>
      <c r="HB111" s="426" t="str">
        <f>IF(HB$7&gt;$D$3,"",_xlfn.XLOOKUP(HB$8,Finance!$M$16:$X$16,Finance!$M$20:$X$20))</f>
        <v/>
      </c>
      <c r="HC111" s="426" t="str">
        <f>IF(HC$7&gt;$D$3,"",_xlfn.XLOOKUP(HC$8,Finance!$M$16:$X$16,Finance!$M$20:$X$20))</f>
        <v/>
      </c>
      <c r="HE111" s="133" t="str">
        <f>+$C111</f>
        <v>KPI D1</v>
      </c>
      <c r="HF111" s="142" t="str">
        <f>+$D111</f>
        <v>Delivery</v>
      </c>
      <c r="HG111" s="142" t="str">
        <f t="shared" si="362"/>
        <v>Creditor Days (Monthly only) - (Fav if paid promptly)</v>
      </c>
      <c r="HH111" s="143" t="str">
        <f t="shared" si="363"/>
        <v>Days</v>
      </c>
      <c r="HI111" s="143" t="s">
        <v>44</v>
      </c>
      <c r="HJ111" s="225" t="s">
        <v>122</v>
      </c>
      <c r="HK111" s="426">
        <f>IF(HK$7&gt;$D$3,"",_xlfn.XLOOKUP(HK$8,Finance!$M$16:$X$16,Finance!$M$19:$X$19))</f>
        <v>38</v>
      </c>
      <c r="HL111" s="426">
        <f>IF(HL$7&gt;$D$3,"",_xlfn.XLOOKUP(HL$8,Finance!$M$16:$X$16,Finance!$M$19:$X$19))</f>
        <v>38</v>
      </c>
      <c r="HM111" s="426">
        <f>IF(HM$7&gt;$D$3,"",_xlfn.XLOOKUP(HM$8,Finance!$M$16:$X$16,Finance!$M$19:$X$19))</f>
        <v>38</v>
      </c>
      <c r="HN111" s="426">
        <f>IF(HN$7&gt;$D$3,"",_xlfn.XLOOKUP(HN$8,Finance!$M$16:$X$16,Finance!$M$19:$X$19))</f>
        <v>38</v>
      </c>
      <c r="HO111" s="426">
        <f>IF(HO$7&gt;$D$3,"",_xlfn.XLOOKUP(HO$8,Finance!$M$16:$X$16,Finance!$M$19:$X$19))</f>
        <v>38</v>
      </c>
      <c r="HP111" s="426">
        <f>IF(HP$7&gt;$D$3,"",_xlfn.XLOOKUP(HP$8,Finance!$M$16:$X$16,Finance!$M$19:$X$19))</f>
        <v>38</v>
      </c>
      <c r="HQ111" s="426">
        <f>IF(HQ$7&gt;$D$3,"",_xlfn.XLOOKUP(HQ$8,Finance!$M$16:$X$16,Finance!$M$19:$X$19))</f>
        <v>38</v>
      </c>
      <c r="HR111" s="426">
        <f>IF(HR$7&gt;$D$3,"",_xlfn.XLOOKUP(HR$8,Finance!$M$16:$X$16,Finance!$M$19:$X$19))</f>
        <v>38</v>
      </c>
      <c r="HS111" s="426">
        <f>IF(HS$7&gt;$D$3,"",_xlfn.XLOOKUP(HS$8,Finance!$M$16:$X$16,Finance!$M$19:$X$19))</f>
        <v>38</v>
      </c>
      <c r="HT111" s="426">
        <f>IF(HT$7&gt;$D$3,"",_xlfn.XLOOKUP(HT$8,Finance!$M$16:$X$16,Finance!$M$19:$X$19))</f>
        <v>38</v>
      </c>
      <c r="HU111" s="426">
        <f>IF(HU$7&gt;$D$3,"",_xlfn.XLOOKUP(HU$8,Finance!$M$16:$X$16,Finance!$M$19:$X$19))</f>
        <v>38</v>
      </c>
      <c r="HV111" s="426">
        <f>IF(HV$7&gt;$D$3,"",_xlfn.XLOOKUP(HV$8,Finance!$M$16:$X$16,Finance!$M$19:$X$19))</f>
        <v>38</v>
      </c>
      <c r="HW111" s="426">
        <f>IF(HW$7&gt;$D$3,"",_xlfn.XLOOKUP(HW$8,Finance!$M$16:$X$16,Finance!$M$19:$X$19))</f>
        <v>38</v>
      </c>
      <c r="HX111" s="426">
        <f>IF(HX$7&gt;$D$3,"",_xlfn.XLOOKUP(HX$8,Finance!$M$16:$X$16,Finance!$M$19:$X$19))</f>
        <v>38</v>
      </c>
      <c r="HY111" s="426">
        <f>IF(HY$7&gt;$D$3,"",_xlfn.XLOOKUP(HY$8,Finance!$M$16:$X$16,Finance!$M$19:$X$19))</f>
        <v>38</v>
      </c>
      <c r="HZ111" s="426">
        <f>IF(HZ$7&gt;$D$3,"",_xlfn.XLOOKUP(HZ$8,Finance!$M$16:$X$16,Finance!$M$19:$X$19))</f>
        <v>38</v>
      </c>
      <c r="IA111" s="426">
        <f>IF(IA$7&gt;$D$3,"",_xlfn.XLOOKUP(IA$8,Finance!$M$16:$X$16,Finance!$M$19:$X$19))</f>
        <v>38</v>
      </c>
      <c r="IB111" s="426">
        <f>IF(IB$7&gt;$D$3,"",_xlfn.XLOOKUP(IB$8,Finance!$M$16:$X$16,Finance!$M$19:$X$19))</f>
        <v>38</v>
      </c>
      <c r="IC111" s="426">
        <f>IF(IC$7&gt;$D$3,"",_xlfn.XLOOKUP(IC$8,Finance!$M$16:$X$16,Finance!$M$19:$X$19))</f>
        <v>38</v>
      </c>
      <c r="ID111" s="426">
        <f>IF(ID$7&gt;$D$3,"",_xlfn.XLOOKUP(ID$8,Finance!$M$16:$X$16,Finance!$M$19:$X$19))</f>
        <v>38</v>
      </c>
      <c r="IE111" s="426">
        <f>IF(IE$7&gt;$D$3,"",_xlfn.XLOOKUP(IE$8,Finance!$M$16:$X$16,Finance!$M$19:$X$19))</f>
        <v>38</v>
      </c>
      <c r="IF111" s="426">
        <f>IF(IF$7&gt;$D$3,"",_xlfn.XLOOKUP(IF$8,Finance!$M$16:$X$16,Finance!$M$19:$X$19))</f>
        <v>38</v>
      </c>
      <c r="IG111" s="426">
        <f>IF(IG$7&gt;$D$3,"",_xlfn.XLOOKUP(IG$8,Finance!$M$16:$X$16,Finance!$M$19:$X$19))</f>
        <v>38</v>
      </c>
      <c r="IH111" s="426">
        <f>IF(IH$7&gt;$D$3,"",_xlfn.XLOOKUP(IH$8,Finance!$M$16:$X$16,Finance!$M$19:$X$19))</f>
        <v>38</v>
      </c>
      <c r="II111" s="426">
        <f>IF(II$7&gt;$D$3,"",_xlfn.XLOOKUP(II$8,Finance!$M$16:$X$16,Finance!$M$19:$X$19))</f>
        <v>38</v>
      </c>
      <c r="IJ111" s="426">
        <f>IF(IJ$7&gt;$D$3,"",_xlfn.XLOOKUP(IJ$8,Finance!$M$16:$X$16,Finance!$M$19:$X$19))</f>
        <v>38</v>
      </c>
      <c r="IK111" s="426">
        <f>IF(IK$7&gt;$D$3,"",_xlfn.XLOOKUP(IK$8,Finance!$M$16:$X$16,Finance!$M$19:$X$19))</f>
        <v>38</v>
      </c>
      <c r="IL111" s="426">
        <f>IF(IL$7&gt;$D$3,"",_xlfn.XLOOKUP(IL$8,Finance!$M$16:$X$16,Finance!$M$19:$X$19))</f>
        <v>38</v>
      </c>
      <c r="IM111" s="426">
        <f>IF(IM$7&gt;$D$3,"",_xlfn.XLOOKUP(IM$8,Finance!$M$16:$X$16,Finance!$M$19:$X$19))</f>
        <v>38</v>
      </c>
      <c r="IN111" s="426">
        <f>IF(IN$7&gt;$D$3,"",_xlfn.XLOOKUP(IN$8,Finance!$M$16:$X$16,Finance!$M$19:$X$19))</f>
        <v>38</v>
      </c>
      <c r="IO111" s="426">
        <f>IF(IO$7&gt;$D$3,"",_xlfn.XLOOKUP(IO$8,Finance!$M$16:$X$16,Finance!$M$19:$X$19))</f>
        <v>38</v>
      </c>
      <c r="IP111" s="426">
        <f>IF(IP$7&gt;$D$3,"",_xlfn.XLOOKUP(IP$8,Finance!$M$16:$X$16,Finance!$M$19:$X$19))</f>
        <v>38</v>
      </c>
      <c r="IQ111" s="426">
        <f>IF(IQ$7&gt;$D$3,"",_xlfn.XLOOKUP(IQ$8,Finance!$M$16:$X$16,Finance!$M$19:$X$19))</f>
        <v>38</v>
      </c>
      <c r="IR111" s="426">
        <f>IF(IR$7&gt;$D$3,"",_xlfn.XLOOKUP(IR$8,Finance!$M$16:$X$16,Finance!$M$19:$X$19))</f>
        <v>38</v>
      </c>
      <c r="IS111" s="426">
        <f>IF(IS$7&gt;$D$3,"",_xlfn.XLOOKUP(IS$8,Finance!$M$16:$X$16,Finance!$M$19:$X$19))</f>
        <v>38</v>
      </c>
      <c r="IT111" s="426">
        <f>IF(IT$7&gt;$D$3,"",_xlfn.XLOOKUP(IT$8,Finance!$M$16:$X$16,Finance!$M$19:$X$19))</f>
        <v>38</v>
      </c>
      <c r="IU111" s="426">
        <f>IF(IU$7&gt;$D$3,"",_xlfn.XLOOKUP(IU$8,Finance!$M$16:$X$16,Finance!$M$19:$X$19))</f>
        <v>38</v>
      </c>
      <c r="IV111" s="426">
        <f>IF(IV$7&gt;$D$3,"",_xlfn.XLOOKUP(IV$8,Finance!$M$16:$X$16,Finance!$M$19:$X$19))</f>
        <v>38</v>
      </c>
      <c r="IW111" s="426">
        <f>IF(IW$7&gt;$D$3,"",_xlfn.XLOOKUP(IW$8,Finance!$M$16:$X$16,Finance!$M$19:$X$19))</f>
        <v>38</v>
      </c>
      <c r="IX111" s="426">
        <f>IF(IX$7&gt;$D$3,"",_xlfn.XLOOKUP(IX$8,Finance!$M$16:$X$16,Finance!$M$19:$X$19))</f>
        <v>38</v>
      </c>
      <c r="IY111" s="426">
        <f>IF(IY$7&gt;$D$3,"",_xlfn.XLOOKUP(IY$8,Finance!$M$16:$X$16,Finance!$M$19:$X$19))</f>
        <v>38</v>
      </c>
      <c r="IZ111" s="426" t="str">
        <f>IF(IZ$7&gt;$D$3,"",_xlfn.XLOOKUP(IZ$8,Finance!$M$16:$X$16,Finance!$M$19:$X$19))</f>
        <v/>
      </c>
      <c r="JA111" s="426" t="str">
        <f>IF(JA$7&gt;$D$3,"",_xlfn.XLOOKUP(JA$8,Finance!$M$16:$X$16,Finance!$M$19:$X$19))</f>
        <v/>
      </c>
      <c r="JB111" s="426" t="str">
        <f>IF(JB$7&gt;$D$3,"",_xlfn.XLOOKUP(JB$8,Finance!$M$16:$X$16,Finance!$M$19:$X$19))</f>
        <v/>
      </c>
      <c r="JC111" s="426" t="str">
        <f>IF(JC$7&gt;$D$3,"",_xlfn.XLOOKUP(JC$8,Finance!$M$16:$X$16,Finance!$M$19:$X$19))</f>
        <v/>
      </c>
      <c r="JD111" s="426" t="str">
        <f>IF(JD$7&gt;$D$3,"",_xlfn.XLOOKUP(JD$8,Finance!$M$16:$X$16,Finance!$M$19:$X$19))</f>
        <v/>
      </c>
      <c r="JE111" s="426" t="str">
        <f>IF(JE$7&gt;$D$3,"",_xlfn.XLOOKUP(JE$8,Finance!$M$16:$X$16,Finance!$M$19:$X$19))</f>
        <v/>
      </c>
      <c r="JF111" s="426" t="str">
        <f>IF(JF$7&gt;$D$3,"",_xlfn.XLOOKUP(JF$8,Finance!$M$16:$X$16,Finance!$M$19:$X$19))</f>
        <v/>
      </c>
      <c r="JG111" s="426" t="str">
        <f>IF(JG$7&gt;$D$3,"",_xlfn.XLOOKUP(JG$8,Finance!$M$16:$X$16,Finance!$M$19:$X$19))</f>
        <v/>
      </c>
      <c r="JH111" s="426" t="str">
        <f>IF(JH$7&gt;$D$3,"",_xlfn.XLOOKUP(JH$8,Finance!$M$16:$X$16,Finance!$M$19:$X$19))</f>
        <v/>
      </c>
      <c r="JI111" s="426" t="str">
        <f>IF(JI$7&gt;$D$3,"",_xlfn.XLOOKUP(JI$8,Finance!$M$16:$X$16,Finance!$M$19:$X$19))</f>
        <v/>
      </c>
      <c r="JJ111" s="426" t="str">
        <f>IF(JJ$7&gt;$D$3,"",_xlfn.XLOOKUP(JJ$8,Finance!$M$16:$X$16,Finance!$M$19:$X$19))</f>
        <v/>
      </c>
      <c r="JM111" s="133" t="str">
        <f>+$C111</f>
        <v>KPI D1</v>
      </c>
      <c r="JN111" s="142" t="str">
        <f>+$D111</f>
        <v>Delivery</v>
      </c>
      <c r="JO111" s="243" t="str">
        <f t="shared" si="366"/>
        <v>Creditor Days (Monthly only) - (Fav if paid promptly)</v>
      </c>
      <c r="JP111" s="143" t="str">
        <f t="shared" si="367"/>
        <v>Days</v>
      </c>
      <c r="JQ111" s="384" t="s">
        <v>45</v>
      </c>
      <c r="JR111" s="225" t="str">
        <f>IFERROR(AVERAGE(FC111:$FC111),"")</f>
        <v/>
      </c>
      <c r="JS111" s="426">
        <f>+FD111</f>
        <v>37.121231073903267</v>
      </c>
      <c r="JT111" s="426">
        <f t="shared" ref="JT111" si="396">+FE111</f>
        <v>37.121231073903267</v>
      </c>
      <c r="JU111" s="426">
        <f t="shared" ref="JU111" si="397">+FF111</f>
        <v>37.121231073903267</v>
      </c>
      <c r="JV111" s="426">
        <f t="shared" ref="JV111" si="398">+FG111</f>
        <v>37.121231073903267</v>
      </c>
      <c r="JW111" s="426">
        <f t="shared" ref="JW111" si="399">+FH111</f>
        <v>45.278179978624536</v>
      </c>
      <c r="JX111" s="426">
        <f t="shared" ref="JX111" si="400">+FI111</f>
        <v>45.278179978624536</v>
      </c>
      <c r="JY111" s="426">
        <f t="shared" ref="JY111" si="401">+FJ111</f>
        <v>45.278179978624536</v>
      </c>
      <c r="JZ111" s="426">
        <f t="shared" ref="JZ111" si="402">+FK111</f>
        <v>45.278179978624536</v>
      </c>
      <c r="KA111" s="426">
        <f t="shared" ref="KA111" si="403">+FL111</f>
        <v>32.625551713706834</v>
      </c>
      <c r="KB111" s="426">
        <f t="shared" ref="KB111" si="404">+FM111</f>
        <v>32.625551713706834</v>
      </c>
      <c r="KC111" s="426">
        <f t="shared" ref="KC111" si="405">+FN111</f>
        <v>32.625551713706834</v>
      </c>
      <c r="KD111" s="426">
        <f t="shared" ref="KD111" si="406">+FO111</f>
        <v>32.625551713706834</v>
      </c>
      <c r="KE111" s="426">
        <f t="shared" ref="KE111" si="407">+FP111</f>
        <v>32.625551713706834</v>
      </c>
      <c r="KF111" s="426">
        <f t="shared" ref="KF111" si="408">+FQ111</f>
        <v>32.625551713706834</v>
      </c>
      <c r="KG111" s="426">
        <f t="shared" ref="KG111" si="409">+FR111</f>
        <v>32.625551713706834</v>
      </c>
      <c r="KH111" s="426">
        <f t="shared" ref="KH111" si="410">+FS111</f>
        <v>32.625551713706834</v>
      </c>
      <c r="KI111" s="426">
        <f t="shared" ref="KI111" si="411">+FT111</f>
        <v>44.16261012834255</v>
      </c>
      <c r="KJ111" s="426">
        <f t="shared" ref="KJ111" si="412">+FU111</f>
        <v>44.16261012834255</v>
      </c>
      <c r="KK111" s="426">
        <f t="shared" ref="KK111" si="413">+FV111</f>
        <v>44.16261012834255</v>
      </c>
      <c r="KL111" s="426">
        <f t="shared" ref="KL111" si="414">+FW111</f>
        <v>44.16261012834255</v>
      </c>
      <c r="KM111" s="426">
        <f t="shared" ref="KM111" si="415">+FX111</f>
        <v>44.16261012834255</v>
      </c>
      <c r="KN111" s="426">
        <f t="shared" ref="KN111" si="416">+FY111</f>
        <v>30.2253041986475</v>
      </c>
      <c r="KO111" s="426">
        <f t="shared" ref="KO111" si="417">+FZ111</f>
        <v>30.2253041986475</v>
      </c>
      <c r="KP111" s="426">
        <f t="shared" ref="KP111" si="418">+GA111</f>
        <v>30.2253041986475</v>
      </c>
      <c r="KQ111" s="426">
        <f t="shared" ref="KQ111" si="419">+GB111</f>
        <v>30.2253041986475</v>
      </c>
      <c r="KR111" s="426">
        <f t="shared" ref="KR111" si="420">+GC111</f>
        <v>28</v>
      </c>
      <c r="KS111" s="426">
        <f t="shared" ref="KS111" si="421">+GD111</f>
        <v>28</v>
      </c>
      <c r="KT111" s="426">
        <f t="shared" ref="KT111" si="422">+GE111</f>
        <v>28</v>
      </c>
      <c r="KU111" s="426">
        <f t="shared" ref="KU111" si="423">+GF111</f>
        <v>28</v>
      </c>
      <c r="KV111" s="426">
        <f t="shared" ref="KV111" si="424">+GG111</f>
        <v>28</v>
      </c>
      <c r="KW111" s="426">
        <f t="shared" ref="KW111" si="425">+GH111</f>
        <v>37.700110088290351</v>
      </c>
      <c r="KX111" s="426">
        <f t="shared" ref="KX111" si="426">+GI111</f>
        <v>37.700110088290351</v>
      </c>
      <c r="KY111" s="426">
        <f t="shared" ref="KY111" si="427">+GJ111</f>
        <v>37.700110088290351</v>
      </c>
      <c r="KZ111" s="426">
        <f t="shared" ref="KZ111" si="428">+GK111</f>
        <v>37.700110088290351</v>
      </c>
      <c r="LA111" s="426">
        <f t="shared" ref="LA111" si="429">+GL111</f>
        <v>35.516184048019241</v>
      </c>
      <c r="LB111" s="426">
        <f t="shared" ref="LB111" si="430">+GM111</f>
        <v>35.516184048019241</v>
      </c>
      <c r="LC111" s="426">
        <f t="shared" ref="LC111" si="431">+GN111</f>
        <v>35.516184048019241</v>
      </c>
      <c r="LD111" s="426">
        <f t="shared" ref="LD111" si="432">+GO111</f>
        <v>35.516184048019241</v>
      </c>
      <c r="LE111" s="426">
        <f t="shared" ref="LE111" si="433">+GP111</f>
        <v>34.65</v>
      </c>
      <c r="LF111" s="426">
        <f t="shared" ref="LF111" si="434">+GQ111</f>
        <v>34.65</v>
      </c>
      <c r="LG111" s="426">
        <f t="shared" ref="LG111" si="435">+GR111</f>
        <v>34.65</v>
      </c>
      <c r="LH111" s="426" t="str">
        <f t="shared" ref="LH111" si="436">+GS111</f>
        <v/>
      </c>
      <c r="LI111" s="426" t="str">
        <f t="shared" ref="LI111" si="437">+GT111</f>
        <v/>
      </c>
      <c r="LJ111" s="426" t="str">
        <f t="shared" ref="LJ111" si="438">+GU111</f>
        <v/>
      </c>
      <c r="LK111" s="426" t="str">
        <f t="shared" ref="LK111" si="439">+GV111</f>
        <v/>
      </c>
      <c r="LL111" s="426" t="str">
        <f t="shared" ref="LL111" si="440">+GW111</f>
        <v/>
      </c>
      <c r="LM111" s="426" t="str">
        <f t="shared" ref="LM111" si="441">+GX111</f>
        <v/>
      </c>
      <c r="LN111" s="426" t="str">
        <f t="shared" ref="LN111" si="442">+GY111</f>
        <v/>
      </c>
      <c r="LO111" s="426" t="str">
        <f t="shared" ref="LO111" si="443">+GZ111</f>
        <v/>
      </c>
      <c r="LP111" s="426" t="str">
        <f t="shared" ref="LP111" si="444">+HA111</f>
        <v/>
      </c>
      <c r="LQ111" s="426" t="str">
        <f t="shared" ref="LQ111" si="445">+HB111</f>
        <v/>
      </c>
      <c r="LR111" s="430" t="str">
        <f t="shared" ref="LR111" si="446">+HC111</f>
        <v/>
      </c>
      <c r="LT111" s="133" t="str">
        <f>+$C111</f>
        <v>KPI D1</v>
      </c>
      <c r="LU111" s="142" t="str">
        <f>+$D111</f>
        <v>Delivery</v>
      </c>
      <c r="LV111" s="142" t="str">
        <f t="shared" si="370"/>
        <v>Creditor Days (Monthly only) - (Fav if paid promptly)</v>
      </c>
      <c r="LW111" s="143" t="str">
        <f t="shared" si="371"/>
        <v>Days</v>
      </c>
      <c r="LX111" s="143" t="s">
        <v>285</v>
      </c>
      <c r="LY111" s="225" t="str">
        <f>IFERROR(AVERAGE($HJ111:HJ111),"")</f>
        <v/>
      </c>
      <c r="LZ111" s="431">
        <f>+HK111</f>
        <v>38</v>
      </c>
      <c r="MA111" s="431">
        <f t="shared" ref="MA111" si="447">+HL111</f>
        <v>38</v>
      </c>
      <c r="MB111" s="431">
        <f t="shared" ref="MB111" si="448">+HM111</f>
        <v>38</v>
      </c>
      <c r="MC111" s="431">
        <f t="shared" ref="MC111" si="449">+HN111</f>
        <v>38</v>
      </c>
      <c r="MD111" s="431">
        <f t="shared" ref="MD111" si="450">+HO111</f>
        <v>38</v>
      </c>
      <c r="ME111" s="431">
        <f t="shared" ref="ME111" si="451">+HP111</f>
        <v>38</v>
      </c>
      <c r="MF111" s="431">
        <f t="shared" ref="MF111" si="452">+HQ111</f>
        <v>38</v>
      </c>
      <c r="MG111" s="431">
        <f t="shared" ref="MG111" si="453">+HR111</f>
        <v>38</v>
      </c>
      <c r="MH111" s="431">
        <f t="shared" ref="MH111" si="454">+HS111</f>
        <v>38</v>
      </c>
      <c r="MI111" s="431">
        <f t="shared" ref="MI111" si="455">+HT111</f>
        <v>38</v>
      </c>
      <c r="MJ111" s="431">
        <f t="shared" ref="MJ111" si="456">+HU111</f>
        <v>38</v>
      </c>
      <c r="MK111" s="431">
        <f t="shared" ref="MK111" si="457">+HV111</f>
        <v>38</v>
      </c>
      <c r="ML111" s="431">
        <f t="shared" ref="ML111" si="458">+HW111</f>
        <v>38</v>
      </c>
      <c r="MM111" s="431">
        <f t="shared" ref="MM111" si="459">+HX111</f>
        <v>38</v>
      </c>
      <c r="MN111" s="431">
        <f t="shared" ref="MN111" si="460">+HY111</f>
        <v>38</v>
      </c>
      <c r="MO111" s="431">
        <f t="shared" ref="MO111" si="461">+HZ111</f>
        <v>38</v>
      </c>
      <c r="MP111" s="431">
        <f t="shared" ref="MP111" si="462">+IA111</f>
        <v>38</v>
      </c>
      <c r="MQ111" s="431">
        <f t="shared" ref="MQ111" si="463">+IB111</f>
        <v>38</v>
      </c>
      <c r="MR111" s="431">
        <f t="shared" ref="MR111" si="464">+IC111</f>
        <v>38</v>
      </c>
      <c r="MS111" s="431">
        <f t="shared" ref="MS111" si="465">+ID111</f>
        <v>38</v>
      </c>
      <c r="MT111" s="431">
        <f t="shared" ref="MT111" si="466">+IE111</f>
        <v>38</v>
      </c>
      <c r="MU111" s="431">
        <f t="shared" ref="MU111" si="467">+IF111</f>
        <v>38</v>
      </c>
      <c r="MV111" s="431">
        <f t="shared" ref="MV111" si="468">+IG111</f>
        <v>38</v>
      </c>
      <c r="MW111" s="431">
        <f t="shared" ref="MW111" si="469">+IH111</f>
        <v>38</v>
      </c>
      <c r="MX111" s="431">
        <f t="shared" ref="MX111" si="470">+II111</f>
        <v>38</v>
      </c>
      <c r="MY111" s="431">
        <f t="shared" ref="MY111" si="471">+IJ111</f>
        <v>38</v>
      </c>
      <c r="MZ111" s="431">
        <f t="shared" ref="MZ111" si="472">+IK111</f>
        <v>38</v>
      </c>
      <c r="NA111" s="431">
        <f t="shared" ref="NA111" si="473">+IL111</f>
        <v>38</v>
      </c>
      <c r="NB111" s="431">
        <f t="shared" ref="NB111" si="474">+IM111</f>
        <v>38</v>
      </c>
      <c r="NC111" s="431">
        <f t="shared" ref="NC111" si="475">+IN111</f>
        <v>38</v>
      </c>
      <c r="ND111" s="431">
        <f t="shared" ref="ND111" si="476">+IO111</f>
        <v>38</v>
      </c>
      <c r="NE111" s="431">
        <f t="shared" ref="NE111" si="477">+IP111</f>
        <v>38</v>
      </c>
      <c r="NF111" s="431">
        <f t="shared" ref="NF111" si="478">+IQ111</f>
        <v>38</v>
      </c>
      <c r="NG111" s="431">
        <f t="shared" ref="NG111" si="479">+IR111</f>
        <v>38</v>
      </c>
      <c r="NH111" s="431">
        <f t="shared" ref="NH111" si="480">+IS111</f>
        <v>38</v>
      </c>
      <c r="NI111" s="431">
        <f t="shared" ref="NI111" si="481">+IT111</f>
        <v>38</v>
      </c>
      <c r="NJ111" s="431">
        <f t="shared" ref="NJ111" si="482">+IU111</f>
        <v>38</v>
      </c>
      <c r="NK111" s="431">
        <f t="shared" ref="NK111" si="483">+IV111</f>
        <v>38</v>
      </c>
      <c r="NL111" s="431">
        <f t="shared" ref="NL111" si="484">+IW111</f>
        <v>38</v>
      </c>
      <c r="NM111" s="431">
        <f t="shared" ref="NM111" si="485">+IX111</f>
        <v>38</v>
      </c>
      <c r="NN111" s="431">
        <f t="shared" ref="NN111" si="486">+IY111</f>
        <v>38</v>
      </c>
      <c r="NO111" s="431" t="str">
        <f t="shared" ref="NO111" si="487">+IZ111</f>
        <v/>
      </c>
      <c r="NP111" s="431" t="str">
        <f t="shared" ref="NP111" si="488">+JA111</f>
        <v/>
      </c>
      <c r="NQ111" s="431" t="str">
        <f t="shared" ref="NQ111" si="489">+JB111</f>
        <v/>
      </c>
      <c r="NR111" s="431" t="str">
        <f t="shared" ref="NR111" si="490">+JC111</f>
        <v/>
      </c>
      <c r="NS111" s="431" t="str">
        <f t="shared" ref="NS111" si="491">+JD111</f>
        <v/>
      </c>
      <c r="NT111" s="431" t="str">
        <f t="shared" ref="NT111" si="492">+JE111</f>
        <v/>
      </c>
      <c r="NU111" s="431" t="str">
        <f t="shared" ref="NU111" si="493">+JF111</f>
        <v/>
      </c>
      <c r="NV111" s="431" t="str">
        <f t="shared" ref="NV111" si="494">+JG111</f>
        <v/>
      </c>
      <c r="NW111" s="431" t="str">
        <f t="shared" ref="NW111" si="495">+JH111</f>
        <v/>
      </c>
      <c r="NX111" s="431" t="str">
        <f t="shared" ref="NX111" si="496">+JI111</f>
        <v/>
      </c>
      <c r="NY111" s="432" t="str">
        <f t="shared" ref="NY111" si="497">+JJ111</f>
        <v/>
      </c>
    </row>
    <row r="112" spans="1:389" x14ac:dyDescent="0.3">
      <c r="A112" t="str">
        <f>$B$108&amp;"-"&amp;C112</f>
        <v>Finance-KPI D2</v>
      </c>
      <c r="B112" s="421"/>
      <c r="C112" s="136" t="str">
        <f>+'KPI Stats'!C111</f>
        <v>KPI D2</v>
      </c>
      <c r="D112" s="144" t="str">
        <f>+'KPI Stats'!D111</f>
        <v>Delivery</v>
      </c>
      <c r="E112" s="144" t="str">
        <f>+'KPI Stats'!E111</f>
        <v>Debtor Days (Monthly only)</v>
      </c>
      <c r="F112" s="145" t="str">
        <f>+'KPI Stats'!F111</f>
        <v>Days</v>
      </c>
      <c r="G112" s="169" t="s">
        <v>185</v>
      </c>
      <c r="J112" s="69" t="str">
        <f>_xlfn.XLOOKUP(J$8,$AM$8:$CM$8,$AM112:$CM112,,FALSE)</f>
        <v>G</v>
      </c>
      <c r="K112" s="435">
        <f>_xlfn.XLOOKUP(K$8,$FC$8:$HC$8,$FC112:$HC112,,FALSE)</f>
        <v>32.51</v>
      </c>
      <c r="L112" s="436">
        <f>_xlfn.XLOOKUP(L$8,$HJ$8:$JJ$8,$HJ112:$JJ112,,FALSE)</f>
        <v>55</v>
      </c>
      <c r="M112" s="444">
        <f>_xlfn.XLOOKUP(M$8,$CU$8:$EU$8,$CU112:$EU112,,FALSE)</f>
        <v>1.6917871424177178</v>
      </c>
      <c r="P112" s="69" t="str">
        <f>_xlfn.XLOOKUP(P$8,$AM$8:$CM$8,$AM112:$CM112,,FALSE)</f>
        <v>G</v>
      </c>
      <c r="Q112" s="435">
        <f t="shared" si="390"/>
        <v>32.51</v>
      </c>
      <c r="R112" s="436">
        <f t="shared" si="390"/>
        <v>32.51</v>
      </c>
      <c r="S112" s="418">
        <f t="shared" si="391"/>
        <v>1.6917871424177178</v>
      </c>
      <c r="T112" s="419">
        <f t="shared" si="391"/>
        <v>1.6917871424177178</v>
      </c>
      <c r="U112" s="295" t="str">
        <f>IF(F110&lt;$Q$4,"Not Complete",IF(Q112=R112,"Same −",IF($G112="Over",IF(Q112&lt;R112,"Better ↑","Worse ↓"),IF($G112="Under",IF(Q112&gt;R112,"Better ↑","Worse ↓"),"err"))))</f>
        <v>Same −</v>
      </c>
      <c r="X112" s="69" t="str">
        <f>IF(Y112="","",IF(Y112="Blank","",IF(Y112="TBC","TBC",IF(AND(G112="above zero",Y112&gt;0),"R",IF(AA112&gt;1,"G",IF(AA112&gt;0.95,"A","R"))))))</f>
        <v>G</v>
      </c>
      <c r="Y112" s="435">
        <f>_xlfn.XLOOKUP(Y$8,$JR$8:$LR$8,$JR112:$LR112,FALSE)</f>
        <v>32.51</v>
      </c>
      <c r="Z112" s="436">
        <f>_xlfn.XLOOKUP(Z$8,$LY$8:$NY$8,$LY112:$NY112,FALSE)</f>
        <v>55</v>
      </c>
      <c r="AA112" s="444">
        <f>IFERROR(IF(G112="under",Y112/Z112,IF(G112="over",Z112/Y112,"err")),"TBC")</f>
        <v>1.6917871424177178</v>
      </c>
      <c r="AB112" s="295" t="str">
        <f>IF(F111&lt;$AA$3,"TBC",IF(Y112=Z112,"Same −",IF($G112="Over",IF(Z112&gt;Y112,"Better ↑ ","Worse ↓ "),IF($G112="Under",IF(Y112&lt;Z112,"Better ↑ ","Worse ↓ "),"err"))))</f>
        <v xml:space="preserve">Better ↑ </v>
      </c>
      <c r="AC112" s="69" t="e">
        <f t="shared" si="394"/>
        <v>#DIV/0!</v>
      </c>
      <c r="AD112" s="114" t="b">
        <f>_xlfn.XLOOKUP(AD$8,$JR$8:$LR$8,$JR112:$LR112,FALSE)</f>
        <v>0</v>
      </c>
      <c r="AE112" s="114" t="b">
        <f>_xlfn.XLOOKUP(AE$8,$LY$8:$NY$8,$LY112:$NY112,FALSE)</f>
        <v>0</v>
      </c>
      <c r="AF112" s="252" t="e">
        <f t="shared" si="395"/>
        <v>#DIV/0!</v>
      </c>
      <c r="AH112" s="465" t="str">
        <f>+$A112</f>
        <v>Finance-KPI D2</v>
      </c>
      <c r="AI112" s="136" t="str">
        <f t="shared" si="375"/>
        <v>KPI D2</v>
      </c>
      <c r="AJ112" s="144" t="str">
        <f t="shared" si="375"/>
        <v>Delivery</v>
      </c>
      <c r="AK112" s="144" t="str">
        <f t="shared" si="354"/>
        <v>Debtor Days (Monthly only)</v>
      </c>
      <c r="AL112" s="145" t="str">
        <f t="shared" si="354"/>
        <v>Days</v>
      </c>
      <c r="AM112" s="69"/>
      <c r="AN112" s="199" t="str">
        <f>IF(AN$7&gt;$D$3,"",_xlfn.XLOOKUP(AN$8,Finance!$M$16:$X$16,Finance!$M$24:$X$24))</f>
        <v>G</v>
      </c>
      <c r="AO112" s="199" t="str">
        <f>IF(AO$7&gt;$D$3,"",_xlfn.XLOOKUP(AO$8,Finance!$M$16:$X$16,Finance!$M$24:$X$24))</f>
        <v>G</v>
      </c>
      <c r="AP112" s="199" t="str">
        <f>IF(AP$7&gt;$D$3,"",_xlfn.XLOOKUP(AP$8,Finance!$M$16:$X$16,Finance!$M$24:$X$24))</f>
        <v>G</v>
      </c>
      <c r="AQ112" s="199" t="str">
        <f>IF(AQ$7&gt;$D$3,"",_xlfn.XLOOKUP(AQ$8,Finance!$M$16:$X$16,Finance!$M$24:$X$24))</f>
        <v>G</v>
      </c>
      <c r="AR112" s="199" t="str">
        <f>IF(AR$7&gt;$D$3,"",_xlfn.XLOOKUP(AR$8,Finance!$M$16:$X$16,Finance!$M$24:$X$24))</f>
        <v>G</v>
      </c>
      <c r="AS112" s="199" t="str">
        <f>IF(AS$7&gt;$D$3,"",_xlfn.XLOOKUP(AS$8,Finance!$M$16:$X$16,Finance!$M$24:$X$24))</f>
        <v>G</v>
      </c>
      <c r="AT112" s="199" t="str">
        <f>IF(AT$7&gt;$D$3,"",_xlfn.XLOOKUP(AT$8,Finance!$M$16:$X$16,Finance!$M$24:$X$24))</f>
        <v>G</v>
      </c>
      <c r="AU112" s="199" t="str">
        <f>IF(AU$7&gt;$D$3,"",_xlfn.XLOOKUP(AU$8,Finance!$M$16:$X$16,Finance!$M$24:$X$24))</f>
        <v>G</v>
      </c>
      <c r="AV112" s="199" t="str">
        <f>IF(AV$7&gt;$D$3,"",_xlfn.XLOOKUP(AV$8,Finance!$M$16:$X$16,Finance!$M$24:$X$24))</f>
        <v>G</v>
      </c>
      <c r="AW112" s="199" t="str">
        <f>IF(AW$7&gt;$D$3,"",_xlfn.XLOOKUP(AW$8,Finance!$M$16:$X$16,Finance!$M$24:$X$24))</f>
        <v>G</v>
      </c>
      <c r="AX112" s="199" t="str">
        <f>IF(AX$7&gt;$D$3,"",_xlfn.XLOOKUP(AX$8,Finance!$M$16:$X$16,Finance!$M$24:$X$24))</f>
        <v>G</v>
      </c>
      <c r="AY112" s="199" t="str">
        <f>IF(AY$7&gt;$D$3,"",_xlfn.XLOOKUP(AY$8,Finance!$M$16:$X$16,Finance!$M$24:$X$24))</f>
        <v>G</v>
      </c>
      <c r="AZ112" s="199" t="str">
        <f>IF(AZ$7&gt;$D$3,"",_xlfn.XLOOKUP(AZ$8,Finance!$M$16:$X$16,Finance!$M$24:$X$24))</f>
        <v>G</v>
      </c>
      <c r="BA112" s="199" t="str">
        <f>IF(BA$7&gt;$D$3,"",_xlfn.XLOOKUP(BA$8,Finance!$M$16:$X$16,Finance!$M$24:$X$24))</f>
        <v>G</v>
      </c>
      <c r="BB112" s="199" t="str">
        <f>IF(BB$7&gt;$D$3,"",_xlfn.XLOOKUP(BB$8,Finance!$M$16:$X$16,Finance!$M$24:$X$24))</f>
        <v>G</v>
      </c>
      <c r="BC112" s="199" t="str">
        <f>IF(BC$7&gt;$D$3,"",_xlfn.XLOOKUP(BC$8,Finance!$M$16:$X$16,Finance!$M$24:$X$24))</f>
        <v>G</v>
      </c>
      <c r="BD112" s="199" t="str">
        <f>IF(BD$7&gt;$D$3,"",_xlfn.XLOOKUP(BD$8,Finance!$M$16:$X$16,Finance!$M$24:$X$24))</f>
        <v>G</v>
      </c>
      <c r="BE112" s="199" t="str">
        <f>IF(BE$7&gt;$D$3,"",_xlfn.XLOOKUP(BE$8,Finance!$M$16:$X$16,Finance!$M$24:$X$24))</f>
        <v>G</v>
      </c>
      <c r="BF112" s="199" t="str">
        <f>IF(BF$7&gt;$D$3,"",_xlfn.XLOOKUP(BF$8,Finance!$M$16:$X$16,Finance!$M$24:$X$24))</f>
        <v>G</v>
      </c>
      <c r="BG112" s="199" t="str">
        <f>IF(BG$7&gt;$D$3,"",_xlfn.XLOOKUP(BG$8,Finance!$M$16:$X$16,Finance!$M$24:$X$24))</f>
        <v>G</v>
      </c>
      <c r="BH112" s="199" t="str">
        <f>IF(BH$7&gt;$D$3,"",_xlfn.XLOOKUP(BH$8,Finance!$M$16:$X$16,Finance!$M$24:$X$24))</f>
        <v>G</v>
      </c>
      <c r="BI112" s="199" t="str">
        <f>IF(BI$7&gt;$D$3,"",_xlfn.XLOOKUP(BI$8,Finance!$M$16:$X$16,Finance!$M$24:$X$24))</f>
        <v>G</v>
      </c>
      <c r="BJ112" s="199" t="str">
        <f>IF(BJ$7&gt;$D$3,"",_xlfn.XLOOKUP(BJ$8,Finance!$M$16:$X$16,Finance!$M$24:$X$24))</f>
        <v>G</v>
      </c>
      <c r="BK112" s="199" t="str">
        <f>IF(BK$7&gt;$D$3,"",_xlfn.XLOOKUP(BK$8,Finance!$M$16:$X$16,Finance!$M$24:$X$24))</f>
        <v>G</v>
      </c>
      <c r="BL112" s="199" t="str">
        <f>IF(BL$7&gt;$D$3,"",_xlfn.XLOOKUP(BL$8,Finance!$M$16:$X$16,Finance!$M$24:$X$24))</f>
        <v>G</v>
      </c>
      <c r="BM112" s="199" t="str">
        <f>IF(BM$7&gt;$D$3,"",_xlfn.XLOOKUP(BM$8,Finance!$M$16:$X$16,Finance!$M$24:$X$24))</f>
        <v>G</v>
      </c>
      <c r="BN112" s="199" t="str">
        <f>IF(BN$7&gt;$D$3,"",_xlfn.XLOOKUP(BN$8,Finance!$M$16:$X$16,Finance!$M$24:$X$24))</f>
        <v>G</v>
      </c>
      <c r="BO112" s="199" t="str">
        <f>IF(BO$7&gt;$D$3,"",_xlfn.XLOOKUP(BO$8,Finance!$M$16:$X$16,Finance!$M$24:$X$24))</f>
        <v>G</v>
      </c>
      <c r="BP112" s="199" t="str">
        <f>IF(BP$7&gt;$D$3,"",_xlfn.XLOOKUP(BP$8,Finance!$M$16:$X$16,Finance!$M$24:$X$24))</f>
        <v>G</v>
      </c>
      <c r="BQ112" s="199" t="str">
        <f>IF(BQ$7&gt;$D$3,"",_xlfn.XLOOKUP(BQ$8,Finance!$M$16:$X$16,Finance!$M$24:$X$24))</f>
        <v>G</v>
      </c>
      <c r="BR112" s="199" t="str">
        <f>IF(BR$7&gt;$D$3,"",_xlfn.XLOOKUP(BR$8,Finance!$M$16:$X$16,Finance!$M$24:$X$24))</f>
        <v>G</v>
      </c>
      <c r="BS112" s="199" t="str">
        <f>IF(BS$7&gt;$D$3,"",_xlfn.XLOOKUP(BS$8,Finance!$M$16:$X$16,Finance!$M$24:$X$24))</f>
        <v>G</v>
      </c>
      <c r="BT112" s="199" t="str">
        <f>IF(BT$7&gt;$D$3,"",_xlfn.XLOOKUP(BT$8,Finance!$M$16:$X$16,Finance!$M$24:$X$24))</f>
        <v>G</v>
      </c>
      <c r="BU112" s="199" t="str">
        <f>IF(BU$7&gt;$D$3,"",_xlfn.XLOOKUP(BU$8,Finance!$M$16:$X$16,Finance!$M$24:$X$24))</f>
        <v>G</v>
      </c>
      <c r="BV112" s="199" t="str">
        <f>IF(BV$7&gt;$D$3,"",_xlfn.XLOOKUP(BV$8,Finance!$M$16:$X$16,Finance!$M$24:$X$24))</f>
        <v>G</v>
      </c>
      <c r="BW112" s="199" t="str">
        <f>IF(BW$7&gt;$D$3,"",_xlfn.XLOOKUP(BW$8,Finance!$M$16:$X$16,Finance!$M$24:$X$24))</f>
        <v>G</v>
      </c>
      <c r="BX112" s="199" t="str">
        <f>IF(BX$7&gt;$D$3,"",_xlfn.XLOOKUP(BX$8,Finance!$M$16:$X$16,Finance!$M$24:$X$24))</f>
        <v>G</v>
      </c>
      <c r="BY112" s="199" t="str">
        <f>IF(BY$7&gt;$D$3,"",_xlfn.XLOOKUP(BY$8,Finance!$M$16:$X$16,Finance!$M$24:$X$24))</f>
        <v>G</v>
      </c>
      <c r="BZ112" s="199" t="str">
        <f>IF(BZ$7&gt;$D$3,"",_xlfn.XLOOKUP(BZ$8,Finance!$M$16:$X$16,Finance!$M$24:$X$24))</f>
        <v>G</v>
      </c>
      <c r="CA112" s="199" t="str">
        <f>IF(CA$7&gt;$D$3,"",_xlfn.XLOOKUP(CA$8,Finance!$M$16:$X$16,Finance!$M$24:$X$24))</f>
        <v>G</v>
      </c>
      <c r="CB112" s="199" t="str">
        <f>IF(CB$7&gt;$D$3,"",_xlfn.XLOOKUP(CB$8,Finance!$M$16:$X$16,Finance!$M$24:$X$24))</f>
        <v>G</v>
      </c>
      <c r="CC112" s="199" t="str">
        <f>IF(CC$7&gt;$D$3,"",_xlfn.XLOOKUP(CC$8,Finance!$M$16:$X$16,Finance!$M$24:$X$24))</f>
        <v/>
      </c>
      <c r="CD112" s="199" t="str">
        <f>IF(CD$7&gt;$D$3,"",_xlfn.XLOOKUP(CD$8,Finance!$M$16:$X$16,Finance!$M$24:$X$24))</f>
        <v/>
      </c>
      <c r="CE112" s="199" t="str">
        <f>IF(CE$7&gt;$D$3,"",_xlfn.XLOOKUP(CE$8,Finance!$M$16:$X$16,Finance!$M$24:$X$24))</f>
        <v/>
      </c>
      <c r="CF112" s="199" t="str">
        <f>IF(CF$7&gt;$D$3,"",_xlfn.XLOOKUP(CF$8,Finance!$M$16:$X$16,Finance!$M$24:$X$24))</f>
        <v/>
      </c>
      <c r="CG112" s="199" t="str">
        <f>IF(CG$7&gt;$D$3,"",_xlfn.XLOOKUP(CG$8,Finance!$M$16:$X$16,Finance!$M$24:$X$24))</f>
        <v/>
      </c>
      <c r="CH112" s="199" t="str">
        <f>IF(CH$7&gt;$D$3,"",_xlfn.XLOOKUP(CH$8,Finance!$M$16:$X$16,Finance!$M$24:$X$24))</f>
        <v/>
      </c>
      <c r="CI112" s="199" t="str">
        <f>IF(CI$7&gt;$D$3,"",_xlfn.XLOOKUP(CI$8,Finance!$M$16:$X$16,Finance!$M$24:$X$24))</f>
        <v/>
      </c>
      <c r="CJ112" s="199" t="str">
        <f>IF(CJ$7&gt;$D$3,"",_xlfn.XLOOKUP(CJ$8,Finance!$M$16:$X$16,Finance!$M$24:$X$24))</f>
        <v/>
      </c>
      <c r="CK112" s="199" t="str">
        <f>IF(CK$7&gt;$D$3,"",_xlfn.XLOOKUP(CK$8,Finance!$M$16:$X$16,Finance!$M$24:$X$24))</f>
        <v/>
      </c>
      <c r="CL112" s="199" t="str">
        <f>IF(CL$7&gt;$D$3,"",_xlfn.XLOOKUP(CL$8,Finance!$M$16:$X$16,Finance!$M$24:$X$24))</f>
        <v/>
      </c>
      <c r="CM112" s="423" t="str">
        <f>IF(CM$7&gt;$D$3,"",_xlfn.XLOOKUP(CM$8,Finance!$M$16:$X$16,Finance!$M$24:$X$24))</f>
        <v/>
      </c>
      <c r="CO112" s="465" t="str">
        <f>+$A112</f>
        <v>Finance-KPI D2</v>
      </c>
      <c r="CP112" s="136" t="str">
        <f t="shared" si="376"/>
        <v>KPI D2</v>
      </c>
      <c r="CQ112" s="144" t="str">
        <f t="shared" si="376"/>
        <v>Delivery</v>
      </c>
      <c r="CR112" s="144" t="str">
        <f t="shared" si="376"/>
        <v>Debtor Days (Monthly only)</v>
      </c>
      <c r="CS112" s="145" t="str">
        <f t="shared" si="376"/>
        <v>Days</v>
      </c>
      <c r="CT112" s="207" t="s">
        <v>246</v>
      </c>
      <c r="CU112" s="423" t="s">
        <v>122</v>
      </c>
      <c r="CV112" s="323">
        <f>IFERROR(IF(CV$7&gt;$D$3,"",IF(AN112="TBC","TBC",IF(AN112="Undefined","Undefined",IF(AN112="Missed","Missed",IF(AN112="OD","OD",_xlfn.XLOOKUP(CV$8,Finance!$M$16:$X$16,Finance!$M$22:$X$22)/_xlfn.XLOOKUP(CV$8,Finance!$M$16:$X$16,Finance!$M$23:$X$23)))))),"OD")</f>
        <v>1.2022158064814996</v>
      </c>
      <c r="CW112" s="323">
        <f>IFERROR(IF(CW$7&gt;$D$3,"",IF(AO112="TBC","TBC",IF(AO112="Undefined","Undefined",IF(AO112="Missed","Missed",IF(AO112="OD","OD",_xlfn.XLOOKUP(CW$8,Finance!$M$16:$X$16,Finance!$M$22:$X$22)/_xlfn.XLOOKUP(CW$8,Finance!$M$16:$X$16,Finance!$M$23:$X$23)))))),"OD")</f>
        <v>1.2022158064814996</v>
      </c>
      <c r="CX112" s="323">
        <f>IFERROR(IF(CX$7&gt;$D$3,"",IF(AP112="TBC","TBC",IF(AP112="Undefined","Undefined",IF(AP112="Missed","Missed",IF(AP112="OD","OD",_xlfn.XLOOKUP(CX$8,Finance!$M$16:$X$16,Finance!$M$22:$X$22)/_xlfn.XLOOKUP(CX$8,Finance!$M$16:$X$16,Finance!$M$23:$X$23)))))),"OD")</f>
        <v>1.2022158064814996</v>
      </c>
      <c r="CY112" s="323">
        <f>IFERROR(IF(CY$7&gt;$D$3,"",IF(AQ112="TBC","TBC",IF(AQ112="Undefined","Undefined",IF(AQ112="Missed","Missed",IF(AQ112="OD","OD",_xlfn.XLOOKUP(CY$8,Finance!$M$16:$X$16,Finance!$M$22:$X$22)/_xlfn.XLOOKUP(CY$8,Finance!$M$16:$X$16,Finance!$M$23:$X$23)))))),"OD")</f>
        <v>1.2022158064814996</v>
      </c>
      <c r="CZ112" s="323">
        <f>IFERROR(IF(CZ$7&gt;$D$3,"",IF(AR112="TBC","TBC",IF(AR112="Undefined","Undefined",IF(AR112="Missed","Missed",IF(AR112="OD","OD",_xlfn.XLOOKUP(CZ$8,Finance!$M$16:$X$16,Finance!$M$22:$X$22)/_xlfn.XLOOKUP(CZ$8,Finance!$M$16:$X$16,Finance!$M$23:$X$23)))))),"OD")</f>
        <v>1.1864240459285895</v>
      </c>
      <c r="DA112" s="323">
        <f>IFERROR(IF(DA$7&gt;$D$3,"",IF(AS112="TBC","TBC",IF(AS112="Undefined","Undefined",IF(AS112="Missed","Missed",IF(AS112="OD","OD",_xlfn.XLOOKUP(DA$8,Finance!$M$16:$X$16,Finance!$M$22:$X$22)/_xlfn.XLOOKUP(DA$8,Finance!$M$16:$X$16,Finance!$M$23:$X$23)))))),"OD")</f>
        <v>1.1864240459285895</v>
      </c>
      <c r="DB112" s="323">
        <f>IFERROR(IF(DB$7&gt;$D$3,"",IF(AT112="TBC","TBC",IF(AT112="Undefined","Undefined",IF(AT112="Missed","Missed",IF(AT112="OD","OD",_xlfn.XLOOKUP(DB$8,Finance!$M$16:$X$16,Finance!$M$22:$X$22)/_xlfn.XLOOKUP(DB$8,Finance!$M$16:$X$16,Finance!$M$23:$X$23)))))),"OD")</f>
        <v>1.1864240459285895</v>
      </c>
      <c r="DC112" s="323">
        <f>IFERROR(IF(DC$7&gt;$D$3,"",IF(AU112="TBC","TBC",IF(AU112="Undefined","Undefined",IF(AU112="Missed","Missed",IF(AU112="OD","OD",_xlfn.XLOOKUP(DC$8,Finance!$M$16:$X$16,Finance!$M$22:$X$22)/_xlfn.XLOOKUP(DC$8,Finance!$M$16:$X$16,Finance!$M$23:$X$23)))))),"OD")</f>
        <v>1.1864240459285895</v>
      </c>
      <c r="DD112" s="323">
        <f>IFERROR(IF(DD$7&gt;$D$3,"",IF(AV112="TBC","TBC",IF(AV112="Undefined","Undefined",IF(AV112="Missed","Missed",IF(AV112="OD","OD",_xlfn.XLOOKUP(DD$8,Finance!$M$16:$X$16,Finance!$M$22:$X$22)/_xlfn.XLOOKUP(DD$8,Finance!$M$16:$X$16,Finance!$M$23:$X$23)))))),"OD")</f>
        <v>1.2581503022986495</v>
      </c>
      <c r="DE112" s="323">
        <f>IFERROR(IF(DE$7&gt;$D$3,"",IF(AW112="TBC","TBC",IF(AW112="Undefined","Undefined",IF(AW112="Missed","Missed",IF(AW112="OD","OD",_xlfn.XLOOKUP(DE$8,Finance!$M$16:$X$16,Finance!$M$22:$X$22)/_xlfn.XLOOKUP(DE$8,Finance!$M$16:$X$16,Finance!$M$23:$X$23)))))),"OD")</f>
        <v>1.2581503022986495</v>
      </c>
      <c r="DF112" s="323">
        <f>IFERROR(IF(DF$7&gt;$D$3,"",IF(AX112="TBC","TBC",IF(AX112="Undefined","Undefined",IF(AX112="Missed","Missed",IF(AX112="OD","OD",_xlfn.XLOOKUP(DF$8,Finance!$M$16:$X$16,Finance!$M$22:$X$22)/_xlfn.XLOOKUP(DF$8,Finance!$M$16:$X$16,Finance!$M$23:$X$23)))))),"OD")</f>
        <v>1.2581503022986495</v>
      </c>
      <c r="DG112" s="323">
        <f>IFERROR(IF(DG$7&gt;$D$3,"",IF(AY112="TBC","TBC",IF(AY112="Undefined","Undefined",IF(AY112="Missed","Missed",IF(AY112="OD","OD",_xlfn.XLOOKUP(DG$8,Finance!$M$16:$X$16,Finance!$M$22:$X$22)/_xlfn.XLOOKUP(DG$8,Finance!$M$16:$X$16,Finance!$M$23:$X$23)))))),"OD")</f>
        <v>1.2581503022986495</v>
      </c>
      <c r="DH112" s="323">
        <f>IFERROR(IF(DH$7&gt;$D$3,"",IF(AZ112="TBC","TBC",IF(AZ112="Undefined","Undefined",IF(AZ112="Missed","Missed",IF(AZ112="OD","OD",_xlfn.XLOOKUP(DH$8,Finance!$M$16:$X$16,Finance!$M$22:$X$22)/_xlfn.XLOOKUP(DH$8,Finance!$M$16:$X$16,Finance!$M$23:$X$23)))))),"OD")</f>
        <v>1.2581503022986495</v>
      </c>
      <c r="DI112" s="323">
        <f>IFERROR(IF(DI$7&gt;$D$3,"",IF(BA112="TBC","TBC",IF(BA112="Undefined","Undefined",IF(BA112="Missed","Missed",IF(BA112="OD","OD",_xlfn.XLOOKUP(DI$8,Finance!$M$16:$X$16,Finance!$M$22:$X$22)/_xlfn.XLOOKUP(DI$8,Finance!$M$16:$X$16,Finance!$M$23:$X$23)))))),"OD")</f>
        <v>1.2581503022986495</v>
      </c>
      <c r="DJ112" s="323">
        <f>IFERROR(IF(DJ$7&gt;$D$3,"",IF(BB112="TBC","TBC",IF(BB112="Undefined","Undefined",IF(BB112="Missed","Missed",IF(BB112="OD","OD",_xlfn.XLOOKUP(DJ$8,Finance!$M$16:$X$16,Finance!$M$22:$X$22)/_xlfn.XLOOKUP(DJ$8,Finance!$M$16:$X$16,Finance!$M$23:$X$23)))))),"OD")</f>
        <v>1.2581503022986495</v>
      </c>
      <c r="DK112" s="323">
        <f>IFERROR(IF(DK$7&gt;$D$3,"",IF(BC112="TBC","TBC",IF(BC112="Undefined","Undefined",IF(BC112="Missed","Missed",IF(BC112="OD","OD",_xlfn.XLOOKUP(DK$8,Finance!$M$16:$X$16,Finance!$M$22:$X$22)/_xlfn.XLOOKUP(DK$8,Finance!$M$16:$X$16,Finance!$M$23:$X$23)))))),"OD")</f>
        <v>1.2581503022986495</v>
      </c>
      <c r="DL112" s="323">
        <f>IFERROR(IF(DL$7&gt;$D$3,"",IF(BD112="TBC","TBC",IF(BD112="Undefined","Undefined",IF(BD112="Missed","Missed",IF(BD112="OD","OD",_xlfn.XLOOKUP(DL$8,Finance!$M$16:$X$16,Finance!$M$22:$X$22)/_xlfn.XLOOKUP(DL$8,Finance!$M$16:$X$16,Finance!$M$23:$X$23)))))),"OD")</f>
        <v>1.3286749344788884</v>
      </c>
      <c r="DM112" s="323">
        <f>IFERROR(IF(DM$7&gt;$D$3,"",IF(BE112="TBC","TBC",IF(BE112="Undefined","Undefined",IF(BE112="Missed","Missed",IF(BE112="OD","OD",_xlfn.XLOOKUP(DM$8,Finance!$M$16:$X$16,Finance!$M$22:$X$22)/_xlfn.XLOOKUP(DM$8,Finance!$M$16:$X$16,Finance!$M$23:$X$23)))))),"OD")</f>
        <v>1.3286749344788884</v>
      </c>
      <c r="DN112" s="323">
        <f>IFERROR(IF(DN$7&gt;$D$3,"",IF(BF112="TBC","TBC",IF(BF112="Undefined","Undefined",IF(BF112="Missed","Missed",IF(BF112="OD","OD",_xlfn.XLOOKUP(DN$8,Finance!$M$16:$X$16,Finance!$M$22:$X$22)/_xlfn.XLOOKUP(DN$8,Finance!$M$16:$X$16,Finance!$M$23:$X$23)))))),"OD")</f>
        <v>1.3286749344788884</v>
      </c>
      <c r="DO112" s="323">
        <f>IFERROR(IF(DO$7&gt;$D$3,"",IF(BG112="TBC","TBC",IF(BG112="Undefined","Undefined",IF(BG112="Missed","Missed",IF(BG112="OD","OD",_xlfn.XLOOKUP(DO$8,Finance!$M$16:$X$16,Finance!$M$22:$X$22)/_xlfn.XLOOKUP(DO$8,Finance!$M$16:$X$16,Finance!$M$23:$X$23)))))),"OD")</f>
        <v>1.3286749344788884</v>
      </c>
      <c r="DP112" s="323">
        <f>IFERROR(IF(DP$7&gt;$D$3,"",IF(BH112="TBC","TBC",IF(BH112="Undefined","Undefined",IF(BH112="Missed","Missed",IF(BH112="OD","OD",_xlfn.XLOOKUP(DP$8,Finance!$M$16:$X$16,Finance!$M$22:$X$22)/_xlfn.XLOOKUP(DP$8,Finance!$M$16:$X$16,Finance!$M$23:$X$23)))))),"OD")</f>
        <v>1.3286749344788884</v>
      </c>
      <c r="DQ112" s="323">
        <f>IFERROR(IF(DQ$7&gt;$D$3,"",IF(BI112="TBC","TBC",IF(BI112="Undefined","Undefined",IF(BI112="Missed","Missed",IF(BI112="OD","OD",_xlfn.XLOOKUP(DQ$8,Finance!$M$16:$X$16,Finance!$M$22:$X$22)/_xlfn.XLOOKUP(DQ$8,Finance!$M$16:$X$16,Finance!$M$23:$X$23)))))),"OD")</f>
        <v>1.2571428571428571</v>
      </c>
      <c r="DR112" s="323">
        <f>IFERROR(IF(DR$7&gt;$D$3,"",IF(BJ112="TBC","TBC",IF(BJ112="Undefined","Undefined",IF(BJ112="Missed","Missed",IF(BJ112="OD","OD",_xlfn.XLOOKUP(DR$8,Finance!$M$16:$X$16,Finance!$M$22:$X$22)/_xlfn.XLOOKUP(DR$8,Finance!$M$16:$X$16,Finance!$M$23:$X$23)))))),"OD")</f>
        <v>1.2571428571428571</v>
      </c>
      <c r="DS112" s="323">
        <f>IFERROR(IF(DS$7&gt;$D$3,"",IF(BK112="TBC","TBC",IF(BK112="Undefined","Undefined",IF(BK112="Missed","Missed",IF(BK112="OD","OD",_xlfn.XLOOKUP(DS$8,Finance!$M$16:$X$16,Finance!$M$22:$X$22)/_xlfn.XLOOKUP(DS$8,Finance!$M$16:$X$16,Finance!$M$23:$X$23)))))),"OD")</f>
        <v>1.2571428571428571</v>
      </c>
      <c r="DT112" s="323">
        <f>IFERROR(IF(DT$7&gt;$D$3,"",IF(BL112="TBC","TBC",IF(BL112="Undefined","Undefined",IF(BL112="Missed","Missed",IF(BL112="OD","OD",_xlfn.XLOOKUP(DT$8,Finance!$M$16:$X$16,Finance!$M$22:$X$22)/_xlfn.XLOOKUP(DT$8,Finance!$M$16:$X$16,Finance!$M$23:$X$23)))))),"OD")</f>
        <v>1.2571428571428571</v>
      </c>
      <c r="DU112" s="323">
        <f>IFERROR(IF(DU$7&gt;$D$3,"",IF(BM112="TBC","TBC",IF(BM112="Undefined","Undefined",IF(BM112="Missed","Missed",IF(BM112="OD","OD",_xlfn.XLOOKUP(DU$8,Finance!$M$16:$X$16,Finance!$M$22:$X$22)/_xlfn.XLOOKUP(DU$8,Finance!$M$16:$X$16,Finance!$M$23:$X$23)))))),"OD")</f>
        <v>1.1805108392358874</v>
      </c>
      <c r="DV112" s="323">
        <f>IFERROR(IF(DV$7&gt;$D$3,"",IF(BN112="TBC","TBC",IF(BN112="Undefined","Undefined",IF(BN112="Missed","Missed",IF(BN112="OD","OD",_xlfn.XLOOKUP(DV$8,Finance!$M$16:$X$16,Finance!$M$22:$X$22)/_xlfn.XLOOKUP(DV$8,Finance!$M$16:$X$16,Finance!$M$23:$X$23)))))),"OD")</f>
        <v>1.1805108392358874</v>
      </c>
      <c r="DW112" s="323">
        <f>IFERROR(IF(DW$7&gt;$D$3,"",IF(BO112="TBC","TBC",IF(BO112="Undefined","Undefined",IF(BO112="Missed","Missed",IF(BO112="OD","OD",_xlfn.XLOOKUP(DW$8,Finance!$M$16:$X$16,Finance!$M$22:$X$22)/_xlfn.XLOOKUP(DW$8,Finance!$M$16:$X$16,Finance!$M$23:$X$23)))))),"OD")</f>
        <v>1.1805108392358874</v>
      </c>
      <c r="DX112" s="323">
        <f>IFERROR(IF(DX$7&gt;$D$3,"",IF(BP112="TBC","TBC",IF(BP112="Undefined","Undefined",IF(BP112="Missed","Missed",IF(BP112="OD","OD",_xlfn.XLOOKUP(DX$8,Finance!$M$16:$X$16,Finance!$M$22:$X$22)/_xlfn.XLOOKUP(DX$8,Finance!$M$16:$X$16,Finance!$M$23:$X$23)))))),"OD")</f>
        <v>1.1805108392358874</v>
      </c>
      <c r="DY112" s="323">
        <f>IFERROR(IF(DY$7&gt;$D$3,"",IF(BQ112="TBC","TBC",IF(BQ112="Undefined","Undefined",IF(BQ112="Missed","Missed",IF(BQ112="OD","OD",_xlfn.XLOOKUP(DY$8,Finance!$M$16:$X$16,Finance!$M$22:$X$22)/_xlfn.XLOOKUP(DY$8,Finance!$M$16:$X$16,Finance!$M$23:$X$23)))))),"OD")</f>
        <v>1.1805108392358874</v>
      </c>
      <c r="DZ112" s="323">
        <f>IFERROR(IF(DZ$7&gt;$D$3,"",IF(BR112="TBC","TBC",IF(BR112="Undefined","Undefined",IF(BR112="Missed","Missed",IF(BR112="OD","OD",_xlfn.XLOOKUP(DZ$8,Finance!$M$16:$X$16,Finance!$M$22:$X$22)/_xlfn.XLOOKUP(DZ$8,Finance!$M$16:$X$16,Finance!$M$23:$X$23)))))),"OD")</f>
        <v>1.3593672763222937</v>
      </c>
      <c r="EA112" s="323">
        <f>IFERROR(IF(EA$7&gt;$D$3,"",IF(BS112="TBC","TBC",IF(BS112="Undefined","Undefined",IF(BS112="Missed","Missed",IF(BS112="OD","OD",_xlfn.XLOOKUP(EA$8,Finance!$M$16:$X$16,Finance!$M$22:$X$22)/_xlfn.XLOOKUP(EA$8,Finance!$M$16:$X$16,Finance!$M$23:$X$23)))))),"OD")</f>
        <v>1.3593672763222937</v>
      </c>
      <c r="EB112" s="323">
        <f>IFERROR(IF(EB$7&gt;$D$3,"",IF(BT112="TBC","TBC",IF(BT112="Undefined","Undefined",IF(BT112="Missed","Missed",IF(BT112="OD","OD",_xlfn.XLOOKUP(EB$8,Finance!$M$16:$X$16,Finance!$M$22:$X$22)/_xlfn.XLOOKUP(EB$8,Finance!$M$16:$X$16,Finance!$M$23:$X$23)))))),"OD")</f>
        <v>1.3593672763222937</v>
      </c>
      <c r="EC112" s="323">
        <f>IFERROR(IF(EC$7&gt;$D$3,"",IF(BU112="TBC","TBC",IF(BU112="Undefined","Undefined",IF(BU112="Missed","Missed",IF(BU112="OD","OD",_xlfn.XLOOKUP(EC$8,Finance!$M$16:$X$16,Finance!$M$22:$X$22)/_xlfn.XLOOKUP(EC$8,Finance!$M$16:$X$16,Finance!$M$23:$X$23)))))),"OD")</f>
        <v>1.3593672763222937</v>
      </c>
      <c r="ED112" s="323">
        <f>IFERROR(IF(ED$7&gt;$D$3,"",IF(BV112="TBC","TBC",IF(BV112="Undefined","Undefined",IF(BV112="Missed","Missed",IF(BV112="OD","OD",_xlfn.XLOOKUP(ED$8,Finance!$M$16:$X$16,Finance!$M$22:$X$22)/_xlfn.XLOOKUP(ED$8,Finance!$M$16:$X$16,Finance!$M$23:$X$23)))))),"OD")</f>
        <v>1.4902479396614565</v>
      </c>
      <c r="EE112" s="323">
        <f>IFERROR(IF(EE$7&gt;$D$3,"",IF(BW112="TBC","TBC",IF(BW112="Undefined","Undefined",IF(BW112="Missed","Missed",IF(BW112="OD","OD",_xlfn.XLOOKUP(EE$8,Finance!$M$16:$X$16,Finance!$M$22:$X$22)/_xlfn.XLOOKUP(EE$8,Finance!$M$16:$X$16,Finance!$M$23:$X$23)))))),"OD")</f>
        <v>1.4902479396614565</v>
      </c>
      <c r="EF112" s="323">
        <f>IFERROR(IF(EF$7&gt;$D$3,"",IF(BX112="TBC","TBC",IF(BX112="Undefined","Undefined",IF(BX112="Missed","Missed",IF(BX112="OD","OD",_xlfn.XLOOKUP(EF$8,Finance!$M$16:$X$16,Finance!$M$22:$X$22)/_xlfn.XLOOKUP(EF$8,Finance!$M$16:$X$16,Finance!$M$23:$X$23)))))),"OD")</f>
        <v>1.4902479396614565</v>
      </c>
      <c r="EG112" s="323">
        <f>IFERROR(IF(EG$7&gt;$D$3,"",IF(BY112="TBC","TBC",IF(BY112="Undefined","Undefined",IF(BY112="Missed","Missed",IF(BY112="OD","OD",_xlfn.XLOOKUP(EG$8,Finance!$M$16:$X$16,Finance!$M$22:$X$22)/_xlfn.XLOOKUP(EG$8,Finance!$M$16:$X$16,Finance!$M$23:$X$23)))))),"OD")</f>
        <v>1.4902479396614565</v>
      </c>
      <c r="EH112" s="323">
        <f>IFERROR(IF(EH$7&gt;$D$3,"",IF(BZ112="TBC","TBC",IF(BZ112="Undefined","Undefined",IF(BZ112="Missed","Missed",IF(BZ112="OD","OD",_xlfn.XLOOKUP(EH$8,Finance!$M$16:$X$16,Finance!$M$22:$X$22)/_xlfn.XLOOKUP(EH$8,Finance!$M$16:$X$16,Finance!$M$23:$X$23)))))),"OD")</f>
        <v>1.6917871424177178</v>
      </c>
      <c r="EI112" s="323">
        <f>IFERROR(IF(EI$7&gt;$D$3,"",IF(CA112="TBC","TBC",IF(CA112="Undefined","Undefined",IF(CA112="Missed","Missed",IF(CA112="OD","OD",_xlfn.XLOOKUP(EI$8,Finance!$M$16:$X$16,Finance!$M$22:$X$22)/_xlfn.XLOOKUP(EI$8,Finance!$M$16:$X$16,Finance!$M$23:$X$23)))))),"OD")</f>
        <v>1.6917871424177178</v>
      </c>
      <c r="EJ112" s="323">
        <f>IFERROR(IF(EJ$7&gt;$D$3,"",IF(CB112="TBC","TBC",IF(CB112="Undefined","Undefined",IF(CB112="Missed","Missed",IF(CB112="OD","OD",_xlfn.XLOOKUP(EJ$8,Finance!$M$16:$X$16,Finance!$M$22:$X$22)/_xlfn.XLOOKUP(EJ$8,Finance!$M$16:$X$16,Finance!$M$23:$X$23)))))),"OD")</f>
        <v>1.6917871424177178</v>
      </c>
      <c r="EK112" s="323" t="str">
        <f>IFERROR(IF(EK$7&gt;$D$3,"",IF(CC112="TBC","TBC",IF(CC112="Undefined","Undefined",IF(CC112="Missed","Missed",IF(CC112="OD","OD",_xlfn.XLOOKUP(EK$8,Finance!$M$16:$X$16,Finance!$M$22:$X$22)/_xlfn.XLOOKUP(EK$8,Finance!$M$16:$X$16,Finance!$M$23:$X$23)))))),"OD")</f>
        <v/>
      </c>
      <c r="EL112" s="323" t="str">
        <f>IFERROR(IF(EL$7&gt;$D$3,"",IF(CD112="TBC","TBC",IF(CD112="Undefined","Undefined",IF(CD112="Missed","Missed",IF(CD112="OD","OD",_xlfn.XLOOKUP(EL$8,Finance!$M$16:$X$16,Finance!$M$22:$X$22)/_xlfn.XLOOKUP(EL$8,Finance!$M$16:$X$16,Finance!$M$23:$X$23)))))),"OD")</f>
        <v/>
      </c>
      <c r="EM112" s="323" t="str">
        <f>IFERROR(IF(EM$7&gt;$D$3,"",IF(CE112="TBC","TBC",IF(CE112="Undefined","Undefined",IF(CE112="Missed","Missed",IF(CE112="OD","OD",_xlfn.XLOOKUP(EM$8,Finance!$M$16:$X$16,Finance!$M$22:$X$22)/_xlfn.XLOOKUP(EM$8,Finance!$M$16:$X$16,Finance!$M$23:$X$23)))))),"OD")</f>
        <v/>
      </c>
      <c r="EN112" s="323" t="str">
        <f>IFERROR(IF(EN$7&gt;$D$3,"",IF(CF112="TBC","TBC",IF(CF112="Undefined","Undefined",IF(CF112="Missed","Missed",IF(CF112="OD","OD",_xlfn.XLOOKUP(EN$8,Finance!$M$16:$X$16,Finance!$M$22:$X$22)/_xlfn.XLOOKUP(EN$8,Finance!$M$16:$X$16,Finance!$M$23:$X$23)))))),"OD")</f>
        <v/>
      </c>
      <c r="EO112" s="323" t="str">
        <f>IFERROR(IF(EO$7&gt;$D$3,"",IF(CG112="TBC","TBC",IF(CG112="Undefined","Undefined",IF(CG112="Missed","Missed",IF(CG112="OD","OD",_xlfn.XLOOKUP(EO$8,Finance!$M$16:$X$16,Finance!$M$22:$X$22)/_xlfn.XLOOKUP(EO$8,Finance!$M$16:$X$16,Finance!$M$23:$X$23)))))),"OD")</f>
        <v/>
      </c>
      <c r="EP112" s="323" t="str">
        <f>IFERROR(IF(EP$7&gt;$D$3,"",IF(CH112="TBC","TBC",IF(CH112="Undefined","Undefined",IF(CH112="Missed","Missed",IF(CH112="OD","OD",_xlfn.XLOOKUP(EP$8,Finance!$M$16:$X$16,Finance!$M$22:$X$22)/_xlfn.XLOOKUP(EP$8,Finance!$M$16:$X$16,Finance!$M$23:$X$23)))))),"OD")</f>
        <v/>
      </c>
      <c r="EQ112" s="323" t="str">
        <f>IFERROR(IF(EQ$7&gt;$D$3,"",IF(CI112="TBC","TBC",IF(CI112="Undefined","Undefined",IF(CI112="Missed","Missed",IF(CI112="OD","OD",_xlfn.XLOOKUP(EQ$8,Finance!$M$16:$X$16,Finance!$M$22:$X$22)/_xlfn.XLOOKUP(EQ$8,Finance!$M$16:$X$16,Finance!$M$23:$X$23)))))),"OD")</f>
        <v/>
      </c>
      <c r="ER112" s="323" t="str">
        <f>IFERROR(IF(ER$7&gt;$D$3,"",IF(CJ112="TBC","TBC",IF(CJ112="Undefined","Undefined",IF(CJ112="Missed","Missed",IF(CJ112="OD","OD",_xlfn.XLOOKUP(ER$8,Finance!$M$16:$X$16,Finance!$M$22:$X$22)/_xlfn.XLOOKUP(ER$8,Finance!$M$16:$X$16,Finance!$M$23:$X$23)))))),"OD")</f>
        <v/>
      </c>
      <c r="ES112" s="323" t="str">
        <f>IFERROR(IF(ES$7&gt;$D$3,"",IF(CK112="TBC","TBC",IF(CK112="Undefined","Undefined",IF(CK112="Missed","Missed",IF(CK112="OD","OD",_xlfn.XLOOKUP(ES$8,Finance!$M$16:$X$16,Finance!$M$22:$X$22)/_xlfn.XLOOKUP(ES$8,Finance!$M$16:$X$16,Finance!$M$23:$X$23)))))),"OD")</f>
        <v/>
      </c>
      <c r="ET112" s="323" t="str">
        <f>IFERROR(IF(ET$7&gt;$D$3,"",IF(CL112="TBC","TBC",IF(CL112="Undefined","Undefined",IF(CL112="Missed","Missed",IF(CL112="OD","OD",_xlfn.XLOOKUP(ET$8,Finance!$M$16:$X$16,Finance!$M$22:$X$22)/_xlfn.XLOOKUP(ET$8,Finance!$M$16:$X$16,Finance!$M$23:$X$23)))))),"OD")</f>
        <v/>
      </c>
      <c r="EU112" s="323" t="str">
        <f>IFERROR(IF(EU$7&gt;$D$3,"",IF(CM112="TBC","TBC",IF(CM112="Undefined","Undefined",IF(CM112="Missed","Missed",IF(CM112="OD","OD",_xlfn.XLOOKUP(EU$8,Finance!$M$16:$X$16,Finance!$M$22:$X$22)/_xlfn.XLOOKUP(EU$8,Finance!$M$16:$X$16,Finance!$M$23:$X$23)))))),"OD")</f>
        <v/>
      </c>
      <c r="EW112" s="465" t="str">
        <f>+$A112</f>
        <v>Finance-KPI D2</v>
      </c>
      <c r="EX112" s="136" t="str">
        <f>+$C112</f>
        <v>KPI D2</v>
      </c>
      <c r="EY112" s="144" t="str">
        <f>+$D112</f>
        <v>Delivery</v>
      </c>
      <c r="EZ112" s="144" t="str">
        <f t="shared" si="358"/>
        <v>Debtor Days (Monthly only)</v>
      </c>
      <c r="FA112" s="145" t="str">
        <f t="shared" si="359"/>
        <v>Days</v>
      </c>
      <c r="FB112" s="145" t="s">
        <v>251</v>
      </c>
      <c r="FC112" s="226"/>
      <c r="FD112" s="332">
        <f>IF(FD$7&gt;$D$3,"",_xlfn.XLOOKUP(FD$8,Finance!$M$16:$X$16,Finance!$M$23:$X$23))</f>
        <v>45.748857820267204</v>
      </c>
      <c r="FE112" s="332">
        <f>IF(FE$7&gt;$D$3,"",_xlfn.XLOOKUP(FE$8,Finance!$M$16:$X$16,Finance!$M$23:$X$23))</f>
        <v>45.748857820267204</v>
      </c>
      <c r="FF112" s="332">
        <f>IF(FF$7&gt;$D$3,"",_xlfn.XLOOKUP(FF$8,Finance!$M$16:$X$16,Finance!$M$23:$X$23))</f>
        <v>45.748857820267204</v>
      </c>
      <c r="FG112" s="332">
        <f>IF(FG$7&gt;$D$3,"",_xlfn.XLOOKUP(FG$8,Finance!$M$16:$X$16,Finance!$M$23:$X$23))</f>
        <v>45.748857820267204</v>
      </c>
      <c r="FH112" s="332">
        <f>IF(FH$7&gt;$D$3,"",_xlfn.XLOOKUP(FH$8,Finance!$M$16:$X$16,Finance!$M$23:$X$23))</f>
        <v>46.35779272069005</v>
      </c>
      <c r="FI112" s="332">
        <f>IF(FI$7&gt;$D$3,"",_xlfn.XLOOKUP(FI$8,Finance!$M$16:$X$16,Finance!$M$23:$X$23))</f>
        <v>46.35779272069005</v>
      </c>
      <c r="FJ112" s="332">
        <f>IF(FJ$7&gt;$D$3,"",_xlfn.XLOOKUP(FJ$8,Finance!$M$16:$X$16,Finance!$M$23:$X$23))</f>
        <v>46.35779272069005</v>
      </c>
      <c r="FK112" s="332">
        <f>IF(FK$7&gt;$D$3,"",_xlfn.XLOOKUP(FK$8,Finance!$M$16:$X$16,Finance!$M$23:$X$23))</f>
        <v>46.35779272069005</v>
      </c>
      <c r="FL112" s="332">
        <f>IF(FL$7&gt;$D$3,"",_xlfn.XLOOKUP(FL$8,Finance!$M$16:$X$16,Finance!$M$23:$X$23))</f>
        <v>43.714967837717488</v>
      </c>
      <c r="FM112" s="332">
        <f>IF(FM$7&gt;$D$3,"",_xlfn.XLOOKUP(FM$8,Finance!$M$16:$X$16,Finance!$M$23:$X$23))</f>
        <v>43.714967837717488</v>
      </c>
      <c r="FN112" s="332">
        <f>IF(FN$7&gt;$D$3,"",_xlfn.XLOOKUP(FN$8,Finance!$M$16:$X$16,Finance!$M$23:$X$23))</f>
        <v>43.714967837717488</v>
      </c>
      <c r="FO112" s="332">
        <f>IF(FO$7&gt;$D$3,"",_xlfn.XLOOKUP(FO$8,Finance!$M$16:$X$16,Finance!$M$23:$X$23))</f>
        <v>43.714967837717488</v>
      </c>
      <c r="FP112" s="332">
        <f>IF(FP$7&gt;$D$3,"",_xlfn.XLOOKUP(FP$8,Finance!$M$16:$X$16,Finance!$M$23:$X$23))</f>
        <v>43.714967837717488</v>
      </c>
      <c r="FQ112" s="332">
        <f>IF(FQ$7&gt;$D$3,"",_xlfn.XLOOKUP(FQ$8,Finance!$M$16:$X$16,Finance!$M$23:$X$23))</f>
        <v>43.714967837717488</v>
      </c>
      <c r="FR112" s="332">
        <f>IF(FR$7&gt;$D$3,"",_xlfn.XLOOKUP(FR$8,Finance!$M$16:$X$16,Finance!$M$23:$X$23))</f>
        <v>43.714967837717488</v>
      </c>
      <c r="FS112" s="332">
        <f>IF(FS$7&gt;$D$3,"",_xlfn.XLOOKUP(FS$8,Finance!$M$16:$X$16,Finance!$M$23:$X$23))</f>
        <v>43.714967837717488</v>
      </c>
      <c r="FT112" s="332">
        <f>IF(FT$7&gt;$D$3,"",_xlfn.XLOOKUP(FT$8,Finance!$M$16:$X$16,Finance!$M$23:$X$23))</f>
        <v>41.394624503525549</v>
      </c>
      <c r="FU112" s="332">
        <f>IF(FU$7&gt;$D$3,"",_xlfn.XLOOKUP(FU$8,Finance!$M$16:$X$16,Finance!$M$23:$X$23))</f>
        <v>41.394624503525549</v>
      </c>
      <c r="FV112" s="332">
        <f>IF(FV$7&gt;$D$3,"",_xlfn.XLOOKUP(FV$8,Finance!$M$16:$X$16,Finance!$M$23:$X$23))</f>
        <v>41.394624503525549</v>
      </c>
      <c r="FW112" s="332">
        <f>IF(FW$7&gt;$D$3,"",_xlfn.XLOOKUP(FW$8,Finance!$M$16:$X$16,Finance!$M$23:$X$23))</f>
        <v>41.394624503525549</v>
      </c>
      <c r="FX112" s="332">
        <f>IF(FX$7&gt;$D$3,"",_xlfn.XLOOKUP(FX$8,Finance!$M$16:$X$16,Finance!$M$23:$X$23))</f>
        <v>41.394624503525549</v>
      </c>
      <c r="FY112" s="332">
        <f>IF(FY$7&gt;$D$3,"",_xlfn.XLOOKUP(FY$8,Finance!$M$16:$X$16,Finance!$M$23:$X$23))</f>
        <v>43.75</v>
      </c>
      <c r="FZ112" s="332">
        <f>IF(FZ$7&gt;$D$3,"",_xlfn.XLOOKUP(FZ$8,Finance!$M$16:$X$16,Finance!$M$23:$X$23))</f>
        <v>43.75</v>
      </c>
      <c r="GA112" s="332">
        <f>IF(GA$7&gt;$D$3,"",_xlfn.XLOOKUP(GA$8,Finance!$M$16:$X$16,Finance!$M$23:$X$23))</f>
        <v>43.75</v>
      </c>
      <c r="GB112" s="332">
        <f>IF(GB$7&gt;$D$3,"",_xlfn.XLOOKUP(GB$8,Finance!$M$16:$X$16,Finance!$M$23:$X$23))</f>
        <v>43.75</v>
      </c>
      <c r="GC112" s="332">
        <f>IF(GC$7&gt;$D$3,"",_xlfn.XLOOKUP(GC$8,Finance!$M$16:$X$16,Finance!$M$23:$X$23))</f>
        <v>46.59</v>
      </c>
      <c r="GD112" s="332">
        <f>IF(GD$7&gt;$D$3,"",_xlfn.XLOOKUP(GD$8,Finance!$M$16:$X$16,Finance!$M$23:$X$23))</f>
        <v>46.59</v>
      </c>
      <c r="GE112" s="332">
        <f>IF(GE$7&gt;$D$3,"",_xlfn.XLOOKUP(GE$8,Finance!$M$16:$X$16,Finance!$M$23:$X$23))</f>
        <v>46.59</v>
      </c>
      <c r="GF112" s="332">
        <f>IF(GF$7&gt;$D$3,"",_xlfn.XLOOKUP(GF$8,Finance!$M$16:$X$16,Finance!$M$23:$X$23))</f>
        <v>46.59</v>
      </c>
      <c r="GG112" s="332">
        <f>IF(GG$7&gt;$D$3,"",_xlfn.XLOOKUP(GG$8,Finance!$M$16:$X$16,Finance!$M$23:$X$23))</f>
        <v>46.59</v>
      </c>
      <c r="GH112" s="332">
        <f>IF(GH$7&gt;$D$3,"",_xlfn.XLOOKUP(GH$8,Finance!$M$16:$X$16,Finance!$M$23:$X$23))</f>
        <v>40.46</v>
      </c>
      <c r="GI112" s="332">
        <f>IF(GI$7&gt;$D$3,"",_xlfn.XLOOKUP(GI$8,Finance!$M$16:$X$16,Finance!$M$23:$X$23))</f>
        <v>40.46</v>
      </c>
      <c r="GJ112" s="332">
        <f>IF(GJ$7&gt;$D$3,"",_xlfn.XLOOKUP(GJ$8,Finance!$M$16:$X$16,Finance!$M$23:$X$23))</f>
        <v>40.46</v>
      </c>
      <c r="GK112" s="332">
        <f>IF(GK$7&gt;$D$3,"",_xlfn.XLOOKUP(GK$8,Finance!$M$16:$X$16,Finance!$M$23:$X$23))</f>
        <v>40.46</v>
      </c>
      <c r="GL112" s="332">
        <f>IF(GL$7&gt;$D$3,"",_xlfn.XLOOKUP(GL$8,Finance!$M$16:$X$16,Finance!$M$23:$X$23))</f>
        <v>36.906610327201321</v>
      </c>
      <c r="GM112" s="332">
        <f>IF(GM$7&gt;$D$3,"",_xlfn.XLOOKUP(GM$8,Finance!$M$16:$X$16,Finance!$M$23:$X$23))</f>
        <v>36.906610327201321</v>
      </c>
      <c r="GN112" s="332">
        <f>IF(GN$7&gt;$D$3,"",_xlfn.XLOOKUP(GN$8,Finance!$M$16:$X$16,Finance!$M$23:$X$23))</f>
        <v>36.906610327201321</v>
      </c>
      <c r="GO112" s="332">
        <f>IF(GO$7&gt;$D$3,"",_xlfn.XLOOKUP(GO$8,Finance!$M$16:$X$16,Finance!$M$23:$X$23))</f>
        <v>36.906610327201321</v>
      </c>
      <c r="GP112" s="332">
        <f>IF(GP$7&gt;$D$3,"",_xlfn.XLOOKUP(GP$8,Finance!$M$16:$X$16,Finance!$M$23:$X$23))</f>
        <v>32.51</v>
      </c>
      <c r="GQ112" s="332">
        <f>IF(GQ$7&gt;$D$3,"",_xlfn.XLOOKUP(GQ$8,Finance!$M$16:$X$16,Finance!$M$23:$X$23))</f>
        <v>32.51</v>
      </c>
      <c r="GR112" s="332">
        <f>IF(GR$7&gt;$D$3,"",_xlfn.XLOOKUP(GR$8,Finance!$M$16:$X$16,Finance!$M$23:$X$23))</f>
        <v>32.51</v>
      </c>
      <c r="GS112" s="332" t="str">
        <f>IF(GS$7&gt;$D$3,"",_xlfn.XLOOKUP(GS$8,Finance!$M$16:$X$16,Finance!$M$23:$X$23))</f>
        <v/>
      </c>
      <c r="GT112" s="332" t="str">
        <f>IF(GT$7&gt;$D$3,"",_xlfn.XLOOKUP(GT$8,Finance!$M$16:$X$16,Finance!$M$23:$X$23))</f>
        <v/>
      </c>
      <c r="GU112" s="332" t="str">
        <f>IF(GU$7&gt;$D$3,"",_xlfn.XLOOKUP(GU$8,Finance!$M$16:$X$16,Finance!$M$23:$X$23))</f>
        <v/>
      </c>
      <c r="GV112" s="332" t="str">
        <f>IF(GV$7&gt;$D$3,"",_xlfn.XLOOKUP(GV$8,Finance!$M$16:$X$16,Finance!$M$23:$X$23))</f>
        <v/>
      </c>
      <c r="GW112" s="332" t="str">
        <f>IF(GW$7&gt;$D$3,"",_xlfn.XLOOKUP(GW$8,Finance!$M$16:$X$16,Finance!$M$23:$X$23))</f>
        <v/>
      </c>
      <c r="GX112" s="332" t="str">
        <f>IF(GX$7&gt;$D$3,"",_xlfn.XLOOKUP(GX$8,Finance!$M$16:$X$16,Finance!$M$23:$X$23))</f>
        <v/>
      </c>
      <c r="GY112" s="332" t="str">
        <f>IF(GY$7&gt;$D$3,"",_xlfn.XLOOKUP(GY$8,Finance!$M$16:$X$16,Finance!$M$23:$X$23))</f>
        <v/>
      </c>
      <c r="GZ112" s="332" t="str">
        <f>IF(GZ$7&gt;$D$3,"",_xlfn.XLOOKUP(GZ$8,Finance!$M$16:$X$16,Finance!$M$23:$X$23))</f>
        <v/>
      </c>
      <c r="HA112" s="332" t="str">
        <f>IF(HA$7&gt;$D$3,"",_xlfn.XLOOKUP(HA$8,Finance!$M$16:$X$16,Finance!$M$23:$X$23))</f>
        <v/>
      </c>
      <c r="HB112" s="332" t="str">
        <f>IF(HB$7&gt;$D$3,"",_xlfn.XLOOKUP(HB$8,Finance!$M$16:$X$16,Finance!$M$23:$X$23))</f>
        <v/>
      </c>
      <c r="HC112" s="427" t="str">
        <f>IF(HC$7&gt;$D$3,"",_xlfn.XLOOKUP(HC$8,Finance!$M$16:$X$16,Finance!$M$23:$X$23))</f>
        <v/>
      </c>
      <c r="HE112" s="136" t="str">
        <f>+$C112</f>
        <v>KPI D2</v>
      </c>
      <c r="HF112" s="144" t="str">
        <f>+$D112</f>
        <v>Delivery</v>
      </c>
      <c r="HG112" s="144" t="str">
        <f t="shared" si="362"/>
        <v>Debtor Days (Monthly only)</v>
      </c>
      <c r="HH112" s="145" t="str">
        <f t="shared" si="363"/>
        <v>Days</v>
      </c>
      <c r="HI112" s="145" t="s">
        <v>44</v>
      </c>
      <c r="HJ112" s="226" t="s">
        <v>122</v>
      </c>
      <c r="HK112" s="332">
        <f>IF(HK$7&gt;$D$3,"",_xlfn.XLOOKUP(HK$8,Finance!$M$16:$X$16,Finance!$M$22:$X$22))</f>
        <v>55</v>
      </c>
      <c r="HL112" s="332">
        <f>IF(HL$7&gt;$D$3,"",_xlfn.XLOOKUP(HL$8,Finance!$M$16:$X$16,Finance!$M$22:$X$22))</f>
        <v>55</v>
      </c>
      <c r="HM112" s="332">
        <f>IF(HM$7&gt;$D$3,"",_xlfn.XLOOKUP(HM$8,Finance!$M$16:$X$16,Finance!$M$22:$X$22))</f>
        <v>55</v>
      </c>
      <c r="HN112" s="332">
        <f>IF(HN$7&gt;$D$3,"",_xlfn.XLOOKUP(HN$8,Finance!$M$16:$X$16,Finance!$M$22:$X$22))</f>
        <v>55</v>
      </c>
      <c r="HO112" s="332">
        <f>IF(HO$7&gt;$D$3,"",_xlfn.XLOOKUP(HO$8,Finance!$M$16:$X$16,Finance!$M$22:$X$22))</f>
        <v>55</v>
      </c>
      <c r="HP112" s="332">
        <f>IF(HP$7&gt;$D$3,"",_xlfn.XLOOKUP(HP$8,Finance!$M$16:$X$16,Finance!$M$22:$X$22))</f>
        <v>55</v>
      </c>
      <c r="HQ112" s="332">
        <f>IF(HQ$7&gt;$D$3,"",_xlfn.XLOOKUP(HQ$8,Finance!$M$16:$X$16,Finance!$M$22:$X$22))</f>
        <v>55</v>
      </c>
      <c r="HR112" s="332">
        <f>IF(HR$7&gt;$D$3,"",_xlfn.XLOOKUP(HR$8,Finance!$M$16:$X$16,Finance!$M$22:$X$22))</f>
        <v>55</v>
      </c>
      <c r="HS112" s="332">
        <f>IF(HS$7&gt;$D$3,"",_xlfn.XLOOKUP(HS$8,Finance!$M$16:$X$16,Finance!$M$22:$X$22))</f>
        <v>55</v>
      </c>
      <c r="HT112" s="332">
        <f>IF(HT$7&gt;$D$3,"",_xlfn.XLOOKUP(HT$8,Finance!$M$16:$X$16,Finance!$M$22:$X$22))</f>
        <v>55</v>
      </c>
      <c r="HU112" s="332">
        <f>IF(HU$7&gt;$D$3,"",_xlfn.XLOOKUP(HU$8,Finance!$M$16:$X$16,Finance!$M$22:$X$22))</f>
        <v>55</v>
      </c>
      <c r="HV112" s="332">
        <f>IF(HV$7&gt;$D$3,"",_xlfn.XLOOKUP(HV$8,Finance!$M$16:$X$16,Finance!$M$22:$X$22))</f>
        <v>55</v>
      </c>
      <c r="HW112" s="332">
        <f>IF(HW$7&gt;$D$3,"",_xlfn.XLOOKUP(HW$8,Finance!$M$16:$X$16,Finance!$M$22:$X$22))</f>
        <v>55</v>
      </c>
      <c r="HX112" s="332">
        <f>IF(HX$7&gt;$D$3,"",_xlfn.XLOOKUP(HX$8,Finance!$M$16:$X$16,Finance!$M$22:$X$22))</f>
        <v>55</v>
      </c>
      <c r="HY112" s="332">
        <f>IF(HY$7&gt;$D$3,"",_xlfn.XLOOKUP(HY$8,Finance!$M$16:$X$16,Finance!$M$22:$X$22))</f>
        <v>55</v>
      </c>
      <c r="HZ112" s="332">
        <f>IF(HZ$7&gt;$D$3,"",_xlfn.XLOOKUP(HZ$8,Finance!$M$16:$X$16,Finance!$M$22:$X$22))</f>
        <v>55</v>
      </c>
      <c r="IA112" s="332">
        <f>IF(IA$7&gt;$D$3,"",_xlfn.XLOOKUP(IA$8,Finance!$M$16:$X$16,Finance!$M$22:$X$22))</f>
        <v>55</v>
      </c>
      <c r="IB112" s="332">
        <f>IF(IB$7&gt;$D$3,"",_xlfn.XLOOKUP(IB$8,Finance!$M$16:$X$16,Finance!$M$22:$X$22))</f>
        <v>55</v>
      </c>
      <c r="IC112" s="332">
        <f>IF(IC$7&gt;$D$3,"",_xlfn.XLOOKUP(IC$8,Finance!$M$16:$X$16,Finance!$M$22:$X$22))</f>
        <v>55</v>
      </c>
      <c r="ID112" s="332">
        <f>IF(ID$7&gt;$D$3,"",_xlfn.XLOOKUP(ID$8,Finance!$M$16:$X$16,Finance!$M$22:$X$22))</f>
        <v>55</v>
      </c>
      <c r="IE112" s="332">
        <f>IF(IE$7&gt;$D$3,"",_xlfn.XLOOKUP(IE$8,Finance!$M$16:$X$16,Finance!$M$22:$X$22))</f>
        <v>55</v>
      </c>
      <c r="IF112" s="332">
        <f>IF(IF$7&gt;$D$3,"",_xlfn.XLOOKUP(IF$8,Finance!$M$16:$X$16,Finance!$M$22:$X$22))</f>
        <v>55</v>
      </c>
      <c r="IG112" s="332">
        <f>IF(IG$7&gt;$D$3,"",_xlfn.XLOOKUP(IG$8,Finance!$M$16:$X$16,Finance!$M$22:$X$22))</f>
        <v>55</v>
      </c>
      <c r="IH112" s="332">
        <f>IF(IH$7&gt;$D$3,"",_xlfn.XLOOKUP(IH$8,Finance!$M$16:$X$16,Finance!$M$22:$X$22))</f>
        <v>55</v>
      </c>
      <c r="II112" s="332">
        <f>IF(II$7&gt;$D$3,"",_xlfn.XLOOKUP(II$8,Finance!$M$16:$X$16,Finance!$M$22:$X$22))</f>
        <v>55</v>
      </c>
      <c r="IJ112" s="332">
        <f>IF(IJ$7&gt;$D$3,"",_xlfn.XLOOKUP(IJ$8,Finance!$M$16:$X$16,Finance!$M$22:$X$22))</f>
        <v>55</v>
      </c>
      <c r="IK112" s="332">
        <f>IF(IK$7&gt;$D$3,"",_xlfn.XLOOKUP(IK$8,Finance!$M$16:$X$16,Finance!$M$22:$X$22))</f>
        <v>55</v>
      </c>
      <c r="IL112" s="332">
        <f>IF(IL$7&gt;$D$3,"",_xlfn.XLOOKUP(IL$8,Finance!$M$16:$X$16,Finance!$M$22:$X$22))</f>
        <v>55</v>
      </c>
      <c r="IM112" s="332">
        <f>IF(IM$7&gt;$D$3,"",_xlfn.XLOOKUP(IM$8,Finance!$M$16:$X$16,Finance!$M$22:$X$22))</f>
        <v>55</v>
      </c>
      <c r="IN112" s="332">
        <f>IF(IN$7&gt;$D$3,"",_xlfn.XLOOKUP(IN$8,Finance!$M$16:$X$16,Finance!$M$22:$X$22))</f>
        <v>55</v>
      </c>
      <c r="IO112" s="332">
        <f>IF(IO$7&gt;$D$3,"",_xlfn.XLOOKUP(IO$8,Finance!$M$16:$X$16,Finance!$M$22:$X$22))</f>
        <v>55</v>
      </c>
      <c r="IP112" s="332">
        <f>IF(IP$7&gt;$D$3,"",_xlfn.XLOOKUP(IP$8,Finance!$M$16:$X$16,Finance!$M$22:$X$22))</f>
        <v>55</v>
      </c>
      <c r="IQ112" s="332">
        <f>IF(IQ$7&gt;$D$3,"",_xlfn.XLOOKUP(IQ$8,Finance!$M$16:$X$16,Finance!$M$22:$X$22))</f>
        <v>55</v>
      </c>
      <c r="IR112" s="332">
        <f>IF(IR$7&gt;$D$3,"",_xlfn.XLOOKUP(IR$8,Finance!$M$16:$X$16,Finance!$M$22:$X$22))</f>
        <v>55</v>
      </c>
      <c r="IS112" s="332">
        <f>IF(IS$7&gt;$D$3,"",_xlfn.XLOOKUP(IS$8,Finance!$M$16:$X$16,Finance!$M$22:$X$22))</f>
        <v>55</v>
      </c>
      <c r="IT112" s="332">
        <f>IF(IT$7&gt;$D$3,"",_xlfn.XLOOKUP(IT$8,Finance!$M$16:$X$16,Finance!$M$22:$X$22))</f>
        <v>55</v>
      </c>
      <c r="IU112" s="332">
        <f>IF(IU$7&gt;$D$3,"",_xlfn.XLOOKUP(IU$8,Finance!$M$16:$X$16,Finance!$M$22:$X$22))</f>
        <v>55</v>
      </c>
      <c r="IV112" s="332">
        <f>IF(IV$7&gt;$D$3,"",_xlfn.XLOOKUP(IV$8,Finance!$M$16:$X$16,Finance!$M$22:$X$22))</f>
        <v>55</v>
      </c>
      <c r="IW112" s="332">
        <f>IF(IW$7&gt;$D$3,"",_xlfn.XLOOKUP(IW$8,Finance!$M$16:$X$16,Finance!$M$22:$X$22))</f>
        <v>55</v>
      </c>
      <c r="IX112" s="332">
        <f>IF(IX$7&gt;$D$3,"",_xlfn.XLOOKUP(IX$8,Finance!$M$16:$X$16,Finance!$M$22:$X$22))</f>
        <v>55</v>
      </c>
      <c r="IY112" s="332">
        <f>IF(IY$7&gt;$D$3,"",_xlfn.XLOOKUP(IY$8,Finance!$M$16:$X$16,Finance!$M$22:$X$22))</f>
        <v>55</v>
      </c>
      <c r="IZ112" s="332" t="str">
        <f>IF(IZ$7&gt;$D$3,"",_xlfn.XLOOKUP(IZ$8,Finance!$M$16:$X$16,Finance!$M$22:$X$22))</f>
        <v/>
      </c>
      <c r="JA112" s="332" t="str">
        <f>IF(JA$7&gt;$D$3,"",_xlfn.XLOOKUP(JA$8,Finance!$M$16:$X$16,Finance!$M$22:$X$22))</f>
        <v/>
      </c>
      <c r="JB112" s="332" t="str">
        <f>IF(JB$7&gt;$D$3,"",_xlfn.XLOOKUP(JB$8,Finance!$M$16:$X$16,Finance!$M$22:$X$22))</f>
        <v/>
      </c>
      <c r="JC112" s="332" t="str">
        <f>IF(JC$7&gt;$D$3,"",_xlfn.XLOOKUP(JC$8,Finance!$M$16:$X$16,Finance!$M$22:$X$22))</f>
        <v/>
      </c>
      <c r="JD112" s="332" t="str">
        <f>IF(JD$7&gt;$D$3,"",_xlfn.XLOOKUP(JD$8,Finance!$M$16:$X$16,Finance!$M$22:$X$22))</f>
        <v/>
      </c>
      <c r="JE112" s="332" t="str">
        <f>IF(JE$7&gt;$D$3,"",_xlfn.XLOOKUP(JE$8,Finance!$M$16:$X$16,Finance!$M$22:$X$22))</f>
        <v/>
      </c>
      <c r="JF112" s="332" t="str">
        <f>IF(JF$7&gt;$D$3,"",_xlfn.XLOOKUP(JF$8,Finance!$M$16:$X$16,Finance!$M$22:$X$22))</f>
        <v/>
      </c>
      <c r="JG112" s="332" t="str">
        <f>IF(JG$7&gt;$D$3,"",_xlfn.XLOOKUP(JG$8,Finance!$M$16:$X$16,Finance!$M$22:$X$22))</f>
        <v/>
      </c>
      <c r="JH112" s="332" t="str">
        <f>IF(JH$7&gt;$D$3,"",_xlfn.XLOOKUP(JH$8,Finance!$M$16:$X$16,Finance!$M$22:$X$22))</f>
        <v/>
      </c>
      <c r="JI112" s="332" t="str">
        <f>IF(JI$7&gt;$D$3,"",_xlfn.XLOOKUP(JI$8,Finance!$M$16:$X$16,Finance!$M$22:$X$22))</f>
        <v/>
      </c>
      <c r="JJ112" s="332" t="str">
        <f>IF(JJ$7&gt;$D$3,"",_xlfn.XLOOKUP(JJ$8,Finance!$M$16:$X$16,Finance!$M$22:$X$22))</f>
        <v/>
      </c>
      <c r="JM112" s="136" t="str">
        <f>+$C112</f>
        <v>KPI D2</v>
      </c>
      <c r="JN112" s="144" t="str">
        <f>+$D112</f>
        <v>Delivery</v>
      </c>
      <c r="JO112" s="244" t="str">
        <f t="shared" si="366"/>
        <v>Debtor Days (Monthly only)</v>
      </c>
      <c r="JP112" s="145" t="str">
        <f t="shared" si="367"/>
        <v>Days</v>
      </c>
      <c r="JQ112" s="145" t="s">
        <v>284</v>
      </c>
      <c r="JR112" s="226" t="str">
        <f>IFERROR(AVERAGE(FC112:$FC112),"")</f>
        <v/>
      </c>
      <c r="JS112" s="332">
        <f t="shared" ref="JS112:JS113" si="498">+FD112</f>
        <v>45.748857820267204</v>
      </c>
      <c r="JT112" s="332">
        <f t="shared" ref="JT112:JT113" si="499">+FE112</f>
        <v>45.748857820267204</v>
      </c>
      <c r="JU112" s="332">
        <f t="shared" ref="JU112:JU113" si="500">+FF112</f>
        <v>45.748857820267204</v>
      </c>
      <c r="JV112" s="332">
        <f t="shared" ref="JV112:JV113" si="501">+FG112</f>
        <v>45.748857820267204</v>
      </c>
      <c r="JW112" s="332">
        <f t="shared" ref="JW112:JW113" si="502">+FH112</f>
        <v>46.35779272069005</v>
      </c>
      <c r="JX112" s="332">
        <f t="shared" ref="JX112:JX113" si="503">+FI112</f>
        <v>46.35779272069005</v>
      </c>
      <c r="JY112" s="332">
        <f t="shared" ref="JY112:JY113" si="504">+FJ112</f>
        <v>46.35779272069005</v>
      </c>
      <c r="JZ112" s="332">
        <f t="shared" ref="JZ112:JZ113" si="505">+FK112</f>
        <v>46.35779272069005</v>
      </c>
      <c r="KA112" s="332">
        <f t="shared" ref="KA112:KA113" si="506">+FL112</f>
        <v>43.714967837717488</v>
      </c>
      <c r="KB112" s="332">
        <f t="shared" ref="KB112:KB113" si="507">+FM112</f>
        <v>43.714967837717488</v>
      </c>
      <c r="KC112" s="332">
        <f t="shared" ref="KC112:KC113" si="508">+FN112</f>
        <v>43.714967837717488</v>
      </c>
      <c r="KD112" s="332">
        <f t="shared" ref="KD112:KD113" si="509">+FO112</f>
        <v>43.714967837717488</v>
      </c>
      <c r="KE112" s="332">
        <f t="shared" ref="KE112:KE113" si="510">+FP112</f>
        <v>43.714967837717488</v>
      </c>
      <c r="KF112" s="332">
        <f t="shared" ref="KF112:KF113" si="511">+FQ112</f>
        <v>43.714967837717488</v>
      </c>
      <c r="KG112" s="332">
        <f t="shared" ref="KG112:KG113" si="512">+FR112</f>
        <v>43.714967837717488</v>
      </c>
      <c r="KH112" s="332">
        <f t="shared" ref="KH112:KH113" si="513">+FS112</f>
        <v>43.714967837717488</v>
      </c>
      <c r="KI112" s="332">
        <f t="shared" ref="KI112:KI113" si="514">+FT112</f>
        <v>41.394624503525549</v>
      </c>
      <c r="KJ112" s="332">
        <f t="shared" ref="KJ112:KJ113" si="515">+FU112</f>
        <v>41.394624503525549</v>
      </c>
      <c r="KK112" s="332">
        <f t="shared" ref="KK112:KK113" si="516">+FV112</f>
        <v>41.394624503525549</v>
      </c>
      <c r="KL112" s="332">
        <f t="shared" ref="KL112:KL113" si="517">+FW112</f>
        <v>41.394624503525549</v>
      </c>
      <c r="KM112" s="332">
        <f t="shared" ref="KM112:KM113" si="518">+FX112</f>
        <v>41.394624503525549</v>
      </c>
      <c r="KN112" s="332">
        <f t="shared" ref="KN112:KN113" si="519">+FY112</f>
        <v>43.75</v>
      </c>
      <c r="KO112" s="332">
        <f t="shared" ref="KO112:KO113" si="520">+FZ112</f>
        <v>43.75</v>
      </c>
      <c r="KP112" s="332">
        <f t="shared" ref="KP112:KP113" si="521">+GA112</f>
        <v>43.75</v>
      </c>
      <c r="KQ112" s="332">
        <f t="shared" ref="KQ112:KQ113" si="522">+GB112</f>
        <v>43.75</v>
      </c>
      <c r="KR112" s="332">
        <f t="shared" ref="KR112:KR113" si="523">+GC112</f>
        <v>46.59</v>
      </c>
      <c r="KS112" s="332">
        <f t="shared" ref="KS112:KS113" si="524">+GD112</f>
        <v>46.59</v>
      </c>
      <c r="KT112" s="332">
        <f t="shared" ref="KT112:KT113" si="525">+GE112</f>
        <v>46.59</v>
      </c>
      <c r="KU112" s="332">
        <f t="shared" ref="KU112:KU113" si="526">+GF112</f>
        <v>46.59</v>
      </c>
      <c r="KV112" s="332">
        <f t="shared" ref="KV112:KV113" si="527">+GG112</f>
        <v>46.59</v>
      </c>
      <c r="KW112" s="332">
        <f t="shared" ref="KW112:KW113" si="528">+GH112</f>
        <v>40.46</v>
      </c>
      <c r="KX112" s="332">
        <f t="shared" ref="KX112:KX113" si="529">+GI112</f>
        <v>40.46</v>
      </c>
      <c r="KY112" s="332">
        <f t="shared" ref="KY112:KY113" si="530">+GJ112</f>
        <v>40.46</v>
      </c>
      <c r="KZ112" s="332">
        <f t="shared" ref="KZ112:KZ113" si="531">+GK112</f>
        <v>40.46</v>
      </c>
      <c r="LA112" s="332">
        <f t="shared" ref="LA112:LA113" si="532">+GL112</f>
        <v>36.906610327201321</v>
      </c>
      <c r="LB112" s="332">
        <f t="shared" ref="LB112:LB113" si="533">+GM112</f>
        <v>36.906610327201321</v>
      </c>
      <c r="LC112" s="332">
        <f t="shared" ref="LC112:LC113" si="534">+GN112</f>
        <v>36.906610327201321</v>
      </c>
      <c r="LD112" s="332">
        <f t="shared" ref="LD112:LD113" si="535">+GO112</f>
        <v>36.906610327201321</v>
      </c>
      <c r="LE112" s="332">
        <f t="shared" ref="LE112:LE113" si="536">+GP112</f>
        <v>32.51</v>
      </c>
      <c r="LF112" s="332">
        <f t="shared" ref="LF112:LF113" si="537">+GQ112</f>
        <v>32.51</v>
      </c>
      <c r="LG112" s="332">
        <f t="shared" ref="LG112:LG113" si="538">+GR112</f>
        <v>32.51</v>
      </c>
      <c r="LH112" s="332" t="str">
        <f t="shared" ref="LH112:LH113" si="539">+GS112</f>
        <v/>
      </c>
      <c r="LI112" s="332" t="str">
        <f t="shared" ref="LI112:LI113" si="540">+GT112</f>
        <v/>
      </c>
      <c r="LJ112" s="332" t="str">
        <f t="shared" ref="LJ112:LJ113" si="541">+GU112</f>
        <v/>
      </c>
      <c r="LK112" s="332" t="str">
        <f t="shared" ref="LK112:LK113" si="542">+GV112</f>
        <v/>
      </c>
      <c r="LL112" s="332" t="str">
        <f t="shared" ref="LL112:LL113" si="543">+GW112</f>
        <v/>
      </c>
      <c r="LM112" s="332" t="str">
        <f t="shared" ref="LM112:LM113" si="544">+GX112</f>
        <v/>
      </c>
      <c r="LN112" s="332" t="str">
        <f t="shared" ref="LN112:LN113" si="545">+GY112</f>
        <v/>
      </c>
      <c r="LO112" s="332" t="str">
        <f t="shared" ref="LO112:LO113" si="546">+GZ112</f>
        <v/>
      </c>
      <c r="LP112" s="332" t="str">
        <f t="shared" ref="LP112:LP113" si="547">+HA112</f>
        <v/>
      </c>
      <c r="LQ112" s="332" t="str">
        <f t="shared" ref="LQ112:LQ113" si="548">+HB112</f>
        <v/>
      </c>
      <c r="LR112" s="427" t="str">
        <f t="shared" ref="LR112:LR113" si="549">+HC112</f>
        <v/>
      </c>
      <c r="LT112" s="136" t="str">
        <f>+$C112</f>
        <v>KPI D2</v>
      </c>
      <c r="LU112" s="144" t="str">
        <f>+$D112</f>
        <v>Delivery</v>
      </c>
      <c r="LV112" s="144" t="str">
        <f t="shared" si="370"/>
        <v>Debtor Days (Monthly only)</v>
      </c>
      <c r="LW112" s="145" t="str">
        <f t="shared" si="371"/>
        <v>Days</v>
      </c>
      <c r="LX112" s="145" t="s">
        <v>285</v>
      </c>
      <c r="LY112" s="226" t="str">
        <f>IFERROR(AVERAGE($HJ112:HJ112),"")</f>
        <v/>
      </c>
      <c r="LZ112" s="332">
        <f t="shared" ref="LZ112:LZ113" si="550">+HK112</f>
        <v>55</v>
      </c>
      <c r="MA112" s="332">
        <f t="shared" ref="MA112:MA113" si="551">+HL112</f>
        <v>55</v>
      </c>
      <c r="MB112" s="332">
        <f t="shared" ref="MB112:MB113" si="552">+HM112</f>
        <v>55</v>
      </c>
      <c r="MC112" s="332">
        <f t="shared" ref="MC112:MC113" si="553">+HN112</f>
        <v>55</v>
      </c>
      <c r="MD112" s="332">
        <f t="shared" ref="MD112:MD113" si="554">+HO112</f>
        <v>55</v>
      </c>
      <c r="ME112" s="332">
        <f t="shared" ref="ME112:ME113" si="555">+HP112</f>
        <v>55</v>
      </c>
      <c r="MF112" s="332">
        <f t="shared" ref="MF112:MF113" si="556">+HQ112</f>
        <v>55</v>
      </c>
      <c r="MG112" s="332">
        <f t="shared" ref="MG112:MG113" si="557">+HR112</f>
        <v>55</v>
      </c>
      <c r="MH112" s="332">
        <f t="shared" ref="MH112:MH113" si="558">+HS112</f>
        <v>55</v>
      </c>
      <c r="MI112" s="332">
        <f t="shared" ref="MI112:MI113" si="559">+HT112</f>
        <v>55</v>
      </c>
      <c r="MJ112" s="332">
        <f t="shared" ref="MJ112:MJ113" si="560">+HU112</f>
        <v>55</v>
      </c>
      <c r="MK112" s="332">
        <f t="shared" ref="MK112:MK113" si="561">+HV112</f>
        <v>55</v>
      </c>
      <c r="ML112" s="332">
        <f t="shared" ref="ML112:ML113" si="562">+HW112</f>
        <v>55</v>
      </c>
      <c r="MM112" s="332">
        <f t="shared" ref="MM112:MM113" si="563">+HX112</f>
        <v>55</v>
      </c>
      <c r="MN112" s="332">
        <f t="shared" ref="MN112:MN113" si="564">+HY112</f>
        <v>55</v>
      </c>
      <c r="MO112" s="332">
        <f t="shared" ref="MO112:MO113" si="565">+HZ112</f>
        <v>55</v>
      </c>
      <c r="MP112" s="332">
        <f t="shared" ref="MP112:MP113" si="566">+IA112</f>
        <v>55</v>
      </c>
      <c r="MQ112" s="332">
        <f t="shared" ref="MQ112:MQ113" si="567">+IB112</f>
        <v>55</v>
      </c>
      <c r="MR112" s="332">
        <f t="shared" ref="MR112:MR113" si="568">+IC112</f>
        <v>55</v>
      </c>
      <c r="MS112" s="332">
        <f t="shared" ref="MS112:MS113" si="569">+ID112</f>
        <v>55</v>
      </c>
      <c r="MT112" s="332">
        <f t="shared" ref="MT112:MT113" si="570">+IE112</f>
        <v>55</v>
      </c>
      <c r="MU112" s="332">
        <f t="shared" ref="MU112:MU113" si="571">+IF112</f>
        <v>55</v>
      </c>
      <c r="MV112" s="332">
        <f t="shared" ref="MV112:MV113" si="572">+IG112</f>
        <v>55</v>
      </c>
      <c r="MW112" s="332">
        <f t="shared" ref="MW112:MW113" si="573">+IH112</f>
        <v>55</v>
      </c>
      <c r="MX112" s="332">
        <f t="shared" ref="MX112:MX113" si="574">+II112</f>
        <v>55</v>
      </c>
      <c r="MY112" s="332">
        <f t="shared" ref="MY112:MY113" si="575">+IJ112</f>
        <v>55</v>
      </c>
      <c r="MZ112" s="332">
        <f t="shared" ref="MZ112:MZ113" si="576">+IK112</f>
        <v>55</v>
      </c>
      <c r="NA112" s="332">
        <f t="shared" ref="NA112:NA113" si="577">+IL112</f>
        <v>55</v>
      </c>
      <c r="NB112" s="332">
        <f t="shared" ref="NB112:NB113" si="578">+IM112</f>
        <v>55</v>
      </c>
      <c r="NC112" s="332">
        <f t="shared" ref="NC112:NC113" si="579">+IN112</f>
        <v>55</v>
      </c>
      <c r="ND112" s="332">
        <f t="shared" ref="ND112:ND113" si="580">+IO112</f>
        <v>55</v>
      </c>
      <c r="NE112" s="332">
        <f t="shared" ref="NE112:NE113" si="581">+IP112</f>
        <v>55</v>
      </c>
      <c r="NF112" s="332">
        <f t="shared" ref="NF112:NF113" si="582">+IQ112</f>
        <v>55</v>
      </c>
      <c r="NG112" s="332">
        <f t="shared" ref="NG112:NG113" si="583">+IR112</f>
        <v>55</v>
      </c>
      <c r="NH112" s="332">
        <f t="shared" ref="NH112:NH113" si="584">+IS112</f>
        <v>55</v>
      </c>
      <c r="NI112" s="332">
        <f t="shared" ref="NI112:NI113" si="585">+IT112</f>
        <v>55</v>
      </c>
      <c r="NJ112" s="332">
        <f t="shared" ref="NJ112:NJ113" si="586">+IU112</f>
        <v>55</v>
      </c>
      <c r="NK112" s="332">
        <f t="shared" ref="NK112:NK113" si="587">+IV112</f>
        <v>55</v>
      </c>
      <c r="NL112" s="332">
        <f t="shared" ref="NL112:NL113" si="588">+IW112</f>
        <v>55</v>
      </c>
      <c r="NM112" s="332">
        <f t="shared" ref="NM112:NM113" si="589">+IX112</f>
        <v>55</v>
      </c>
      <c r="NN112" s="332">
        <f t="shared" ref="NN112:NN113" si="590">+IY112</f>
        <v>55</v>
      </c>
      <c r="NO112" s="332" t="str">
        <f t="shared" ref="NO112:NO113" si="591">+IZ112</f>
        <v/>
      </c>
      <c r="NP112" s="332" t="str">
        <f t="shared" ref="NP112:NP113" si="592">+JA112</f>
        <v/>
      </c>
      <c r="NQ112" s="332" t="str">
        <f t="shared" ref="NQ112:NQ113" si="593">+JB112</f>
        <v/>
      </c>
      <c r="NR112" s="332" t="str">
        <f t="shared" ref="NR112:NR113" si="594">+JC112</f>
        <v/>
      </c>
      <c r="NS112" s="332" t="str">
        <f t="shared" ref="NS112:NS113" si="595">+JD112</f>
        <v/>
      </c>
      <c r="NT112" s="332" t="str">
        <f t="shared" ref="NT112:NT113" si="596">+JE112</f>
        <v/>
      </c>
      <c r="NU112" s="332" t="str">
        <f t="shared" ref="NU112:NU113" si="597">+JF112</f>
        <v/>
      </c>
      <c r="NV112" s="332" t="str">
        <f t="shared" ref="NV112:NV113" si="598">+JG112</f>
        <v/>
      </c>
      <c r="NW112" s="332" t="str">
        <f t="shared" ref="NW112:NW113" si="599">+JH112</f>
        <v/>
      </c>
      <c r="NX112" s="332" t="str">
        <f t="shared" ref="NX112:NX113" si="600">+JI112</f>
        <v/>
      </c>
      <c r="NY112" s="427" t="str">
        <f t="shared" ref="NY112:NY113" si="601">+JJ112</f>
        <v/>
      </c>
    </row>
    <row r="113" spans="1:389" ht="15" thickBot="1" x14ac:dyDescent="0.35">
      <c r="A113" t="str">
        <f>$B$108&amp;"-"&amp;C113</f>
        <v>Finance-KPI C1</v>
      </c>
      <c r="B113" s="422"/>
      <c r="C113" s="138" t="str">
        <f>+'KPI Stats'!C112</f>
        <v>KPI C1</v>
      </c>
      <c r="D113" s="146" t="str">
        <f>+'KPI Stats'!D112</f>
        <v>Cost</v>
      </c>
      <c r="E113" s="146" t="str">
        <f>+'KPI Stats'!E112</f>
        <v>Group Turnover per employee</v>
      </c>
      <c r="F113" s="147" t="str">
        <f>+'KPI Stats'!F112</f>
        <v>£'s</v>
      </c>
      <c r="G113" s="170" t="s">
        <v>186</v>
      </c>
      <c r="J113" s="160" t="str">
        <f>_xlfn.XLOOKUP(J$8,$AM$8:$CM$8,$AM113:$CM113,,FALSE)</f>
        <v>R</v>
      </c>
      <c r="K113" s="437">
        <f>_xlfn.XLOOKUP(K$8,$FC$8:$HC$8,$FC113:$HC113,,FALSE)</f>
        <v>145.30000000000001</v>
      </c>
      <c r="L113" s="438">
        <f>_xlfn.XLOOKUP(L$8,$HJ$8:$JJ$8,$HJ113:$JJ113,,FALSE)</f>
        <v>157.19999999999999</v>
      </c>
      <c r="M113" s="443">
        <f>_xlfn.XLOOKUP(M$8,$CU$8:$EU$8,$CU113:$EU113,,FALSE)</f>
        <v>0.9243002544529263</v>
      </c>
      <c r="P113" s="160" t="str">
        <f>_xlfn.XLOOKUP(P$8,$AM$8:$CM$8,$AM113:$CM113,,FALSE)</f>
        <v>R</v>
      </c>
      <c r="Q113" s="437">
        <f t="shared" si="390"/>
        <v>145.30000000000001</v>
      </c>
      <c r="R113" s="438">
        <f t="shared" si="390"/>
        <v>145.30000000000001</v>
      </c>
      <c r="S113" s="445">
        <f t="shared" si="391"/>
        <v>0.9243002544529263</v>
      </c>
      <c r="T113" s="446">
        <f t="shared" si="391"/>
        <v>0.9243002544529263</v>
      </c>
      <c r="U113" s="296" t="str">
        <f>IF(F110&lt;$Q$4,"Not Complete",IF(Q113=R113,"Same −",IF($G113="Over",IF(Q113&lt;R113,"Better ↑","Worse ↓"),IF($G113="Under",IF(Q113&gt;R113,"Better ↑","Worse ↓"),"err"))))</f>
        <v>Same −</v>
      </c>
      <c r="X113" s="160" t="str">
        <f>IF(Y113="","",IF(Y113="Blank","",IF(Y113="TBC","TBC",IF(AND(G113="above zero",Y113&gt;0),"R",IF(AA113&gt;1,"G",IF(AA113&gt;0.95,"A","R"))))))</f>
        <v>R</v>
      </c>
      <c r="Y113" s="437">
        <f>_xlfn.XLOOKUP(Y$8,$JR$8:$LR$8,$JR113:$LR113,FALSE)</f>
        <v>145.30000000000001</v>
      </c>
      <c r="Z113" s="438">
        <f>_xlfn.XLOOKUP(Z$8,$LY$8:$NY$8,$LY113:$NY113,FALSE)</f>
        <v>157.19999999999999</v>
      </c>
      <c r="AA113" s="443">
        <f>IFERROR(IF(G113="under",Y113/Z113,IF(G113="over",Z113/Y113,"err")),"TBC")</f>
        <v>0.9243002544529263</v>
      </c>
      <c r="AB113" s="296" t="str">
        <f>IF(F112&lt;$AA$3,"TBC",IF(Y113=Z113,"Same −",IF($G113="Over",IF(Z113&lt;Y113,"Better ↑ ","Worse ↓ "),IF($G113="Under",IF(Y113&gt;Z113,"Better ↑ ","Worse ↓ "),"err"))))</f>
        <v xml:space="preserve">Worse ↓ </v>
      </c>
      <c r="AC113" s="69" t="e">
        <f t="shared" si="394"/>
        <v>#DIV/0!</v>
      </c>
      <c r="AD113" s="114" t="b">
        <f>_xlfn.XLOOKUP(AD$8,$JR$8:$LR$8,$JR113:$LR113,FALSE)</f>
        <v>0</v>
      </c>
      <c r="AE113" s="114" t="b">
        <f>_xlfn.XLOOKUP(AE$8,$LY$8:$NY$8,$LY113:$NY113,FALSE)</f>
        <v>0</v>
      </c>
      <c r="AF113" s="252" t="e">
        <f t="shared" si="395"/>
        <v>#DIV/0!</v>
      </c>
      <c r="AH113" s="465" t="str">
        <f>+$A113</f>
        <v>Finance-KPI C1</v>
      </c>
      <c r="AI113" s="138" t="str">
        <f t="shared" si="375"/>
        <v>KPI C1</v>
      </c>
      <c r="AJ113" s="146" t="str">
        <f t="shared" si="375"/>
        <v>Cost</v>
      </c>
      <c r="AK113" s="146" t="str">
        <f t="shared" si="354"/>
        <v>Group Turnover per employee</v>
      </c>
      <c r="AL113" s="147" t="str">
        <f t="shared" si="354"/>
        <v>£'s</v>
      </c>
      <c r="AM113" s="160"/>
      <c r="AN113" s="200" t="str">
        <f>IF(AN$7&gt;$D$3,"",_xlfn.XLOOKUP(AN$8,Finance!$M$16:$X$16,Finance!$M$27:$X$27))</f>
        <v>G</v>
      </c>
      <c r="AO113" s="200" t="str">
        <f>IF(AO$7&gt;$D$3,"",_xlfn.XLOOKUP(AO$8,Finance!$M$16:$X$16,Finance!$M$27:$X$27))</f>
        <v>G</v>
      </c>
      <c r="AP113" s="200" t="str">
        <f>IF(AP$7&gt;$D$3,"",_xlfn.XLOOKUP(AP$8,Finance!$M$16:$X$16,Finance!$M$27:$X$27))</f>
        <v>G</v>
      </c>
      <c r="AQ113" s="200" t="str">
        <f>IF(AQ$7&gt;$D$3,"",_xlfn.XLOOKUP(AQ$8,Finance!$M$16:$X$16,Finance!$M$27:$X$27))</f>
        <v>G</v>
      </c>
      <c r="AR113" s="200" t="str">
        <f>IF(AR$7&gt;$D$3,"",_xlfn.XLOOKUP(AR$8,Finance!$M$16:$X$16,Finance!$M$27:$X$27))</f>
        <v>A</v>
      </c>
      <c r="AS113" s="200" t="str">
        <f>IF(AS$7&gt;$D$3,"",_xlfn.XLOOKUP(AS$8,Finance!$M$16:$X$16,Finance!$M$27:$X$27))</f>
        <v>A</v>
      </c>
      <c r="AT113" s="200" t="str">
        <f>IF(AT$7&gt;$D$3,"",_xlfn.XLOOKUP(AT$8,Finance!$M$16:$X$16,Finance!$M$27:$X$27))</f>
        <v>A</v>
      </c>
      <c r="AU113" s="200" t="str">
        <f>IF(AU$7&gt;$D$3,"",_xlfn.XLOOKUP(AU$8,Finance!$M$16:$X$16,Finance!$M$27:$X$27))</f>
        <v>A</v>
      </c>
      <c r="AV113" s="200" t="str">
        <f>IF(AV$7&gt;$D$3,"",_xlfn.XLOOKUP(AV$8,Finance!$M$16:$X$16,Finance!$M$27:$X$27))</f>
        <v>R</v>
      </c>
      <c r="AW113" s="200" t="str">
        <f>IF(AW$7&gt;$D$3,"",_xlfn.XLOOKUP(AW$8,Finance!$M$16:$X$16,Finance!$M$27:$X$27))</f>
        <v>R</v>
      </c>
      <c r="AX113" s="200" t="str">
        <f>IF(AX$7&gt;$D$3,"",_xlfn.XLOOKUP(AX$8,Finance!$M$16:$X$16,Finance!$M$27:$X$27))</f>
        <v>R</v>
      </c>
      <c r="AY113" s="200" t="str">
        <f>IF(AY$7&gt;$D$3,"",_xlfn.XLOOKUP(AY$8,Finance!$M$16:$X$16,Finance!$M$27:$X$27))</f>
        <v>R</v>
      </c>
      <c r="AZ113" s="200" t="str">
        <f>IF(AZ$7&gt;$D$3,"",_xlfn.XLOOKUP(AZ$8,Finance!$M$16:$X$16,Finance!$M$27:$X$27))</f>
        <v>R</v>
      </c>
      <c r="BA113" s="200" t="str">
        <f>IF(BA$7&gt;$D$3,"",_xlfn.XLOOKUP(BA$8,Finance!$M$16:$X$16,Finance!$M$27:$X$27))</f>
        <v>R</v>
      </c>
      <c r="BB113" s="200" t="str">
        <f>IF(BB$7&gt;$D$3,"",_xlfn.XLOOKUP(BB$8,Finance!$M$16:$X$16,Finance!$M$27:$X$27))</f>
        <v>R</v>
      </c>
      <c r="BC113" s="200" t="str">
        <f>IF(BC$7&gt;$D$3,"",_xlfn.XLOOKUP(BC$8,Finance!$M$16:$X$16,Finance!$M$27:$X$27))</f>
        <v>R</v>
      </c>
      <c r="BD113" s="200" t="str">
        <f>IF(BD$7&gt;$D$3,"",_xlfn.XLOOKUP(BD$8,Finance!$M$16:$X$16,Finance!$M$27:$X$27))</f>
        <v>R</v>
      </c>
      <c r="BE113" s="200" t="str">
        <f>IF(BE$7&gt;$D$3,"",_xlfn.XLOOKUP(BE$8,Finance!$M$16:$X$16,Finance!$M$27:$X$27))</f>
        <v>R</v>
      </c>
      <c r="BF113" s="200" t="str">
        <f>IF(BF$7&gt;$D$3,"",_xlfn.XLOOKUP(BF$8,Finance!$M$16:$X$16,Finance!$M$27:$X$27))</f>
        <v>R</v>
      </c>
      <c r="BG113" s="200" t="str">
        <f>IF(BG$7&gt;$D$3,"",_xlfn.XLOOKUP(BG$8,Finance!$M$16:$X$16,Finance!$M$27:$X$27))</f>
        <v>R</v>
      </c>
      <c r="BH113" s="200" t="str">
        <f>IF(BH$7&gt;$D$3,"",_xlfn.XLOOKUP(BH$8,Finance!$M$16:$X$16,Finance!$M$27:$X$27))</f>
        <v>R</v>
      </c>
      <c r="BI113" s="200" t="str">
        <f>IF(BI$7&gt;$D$3,"",_xlfn.XLOOKUP(BI$8,Finance!$M$16:$X$16,Finance!$M$27:$X$27))</f>
        <v>G</v>
      </c>
      <c r="BJ113" s="200" t="str">
        <f>IF(BJ$7&gt;$D$3,"",_xlfn.XLOOKUP(BJ$8,Finance!$M$16:$X$16,Finance!$M$27:$X$27))</f>
        <v>G</v>
      </c>
      <c r="BK113" s="200" t="str">
        <f>IF(BK$7&gt;$D$3,"",_xlfn.XLOOKUP(BK$8,Finance!$M$16:$X$16,Finance!$M$27:$X$27))</f>
        <v>G</v>
      </c>
      <c r="BL113" s="200" t="str">
        <f>IF(BL$7&gt;$D$3,"",_xlfn.XLOOKUP(BL$8,Finance!$M$16:$X$16,Finance!$M$27:$X$27))</f>
        <v>G</v>
      </c>
      <c r="BM113" s="200" t="str">
        <f>IF(BM$7&gt;$D$3,"",_xlfn.XLOOKUP(BM$8,Finance!$M$16:$X$16,Finance!$M$27:$X$27))</f>
        <v>R</v>
      </c>
      <c r="BN113" s="200" t="str">
        <f>IF(BN$7&gt;$D$3,"",_xlfn.XLOOKUP(BN$8,Finance!$M$16:$X$16,Finance!$M$27:$X$27))</f>
        <v>R</v>
      </c>
      <c r="BO113" s="200" t="str">
        <f>IF(BO$7&gt;$D$3,"",_xlfn.XLOOKUP(BO$8,Finance!$M$16:$X$16,Finance!$M$27:$X$27))</f>
        <v>R</v>
      </c>
      <c r="BP113" s="200" t="str">
        <f>IF(BP$7&gt;$D$3,"",_xlfn.XLOOKUP(BP$8,Finance!$M$16:$X$16,Finance!$M$27:$X$27))</f>
        <v>R</v>
      </c>
      <c r="BQ113" s="200" t="str">
        <f>IF(BQ$7&gt;$D$3,"",_xlfn.XLOOKUP(BQ$8,Finance!$M$16:$X$16,Finance!$M$27:$X$27))</f>
        <v>R</v>
      </c>
      <c r="BR113" s="200" t="str">
        <f>IF(BR$7&gt;$D$3,"",_xlfn.XLOOKUP(BR$8,Finance!$M$16:$X$16,Finance!$M$27:$X$27))</f>
        <v>R</v>
      </c>
      <c r="BS113" s="200" t="str">
        <f>IF(BS$7&gt;$D$3,"",_xlfn.XLOOKUP(BS$8,Finance!$M$16:$X$16,Finance!$M$27:$X$27))</f>
        <v>R</v>
      </c>
      <c r="BT113" s="200" t="str">
        <f>IF(BT$7&gt;$D$3,"",_xlfn.XLOOKUP(BT$8,Finance!$M$16:$X$16,Finance!$M$27:$X$27))</f>
        <v>R</v>
      </c>
      <c r="BU113" s="200" t="str">
        <f>IF(BU$7&gt;$D$3,"",_xlfn.XLOOKUP(BU$8,Finance!$M$16:$X$16,Finance!$M$27:$X$27))</f>
        <v>R</v>
      </c>
      <c r="BV113" s="200" t="str">
        <f>IF(BV$7&gt;$D$3,"",_xlfn.XLOOKUP(BV$8,Finance!$M$16:$X$16,Finance!$M$27:$X$27))</f>
        <v>R</v>
      </c>
      <c r="BW113" s="200" t="str">
        <f>IF(BW$7&gt;$D$3,"",_xlfn.XLOOKUP(BW$8,Finance!$M$16:$X$16,Finance!$M$27:$X$27))</f>
        <v>R</v>
      </c>
      <c r="BX113" s="200" t="str">
        <f>IF(BX$7&gt;$D$3,"",_xlfn.XLOOKUP(BX$8,Finance!$M$16:$X$16,Finance!$M$27:$X$27))</f>
        <v>R</v>
      </c>
      <c r="BY113" s="200" t="str">
        <f>IF(BY$7&gt;$D$3,"",_xlfn.XLOOKUP(BY$8,Finance!$M$16:$X$16,Finance!$M$27:$X$27))</f>
        <v>R</v>
      </c>
      <c r="BZ113" s="200" t="str">
        <f>IF(BZ$7&gt;$D$3,"",_xlfn.XLOOKUP(BZ$8,Finance!$M$16:$X$16,Finance!$M$27:$X$27))</f>
        <v>R</v>
      </c>
      <c r="CA113" s="200" t="str">
        <f>IF(CA$7&gt;$D$3,"",_xlfn.XLOOKUP(CA$8,Finance!$M$16:$X$16,Finance!$M$27:$X$27))</f>
        <v>R</v>
      </c>
      <c r="CB113" s="200" t="str">
        <f>IF(CB$7&gt;$D$3,"",_xlfn.XLOOKUP(CB$8,Finance!$M$16:$X$16,Finance!$M$27:$X$27))</f>
        <v>R</v>
      </c>
      <c r="CC113" s="200" t="str">
        <f>IF(CC$7&gt;$D$3,"",_xlfn.XLOOKUP(CC$8,Finance!$M$16:$X$16,Finance!$M$27:$X$27))</f>
        <v/>
      </c>
      <c r="CD113" s="200" t="str">
        <f>IF(CD$7&gt;$D$3,"",_xlfn.XLOOKUP(CD$8,Finance!$M$16:$X$16,Finance!$M$27:$X$27))</f>
        <v/>
      </c>
      <c r="CE113" s="200" t="str">
        <f>IF(CE$7&gt;$D$3,"",_xlfn.XLOOKUP(CE$8,Finance!$M$16:$X$16,Finance!$M$27:$X$27))</f>
        <v/>
      </c>
      <c r="CF113" s="200" t="str">
        <f>IF(CF$7&gt;$D$3,"",_xlfn.XLOOKUP(CF$8,Finance!$M$16:$X$16,Finance!$M$27:$X$27))</f>
        <v/>
      </c>
      <c r="CG113" s="200" t="str">
        <f>IF(CG$7&gt;$D$3,"",_xlfn.XLOOKUP(CG$8,Finance!$M$16:$X$16,Finance!$M$27:$X$27))</f>
        <v/>
      </c>
      <c r="CH113" s="200" t="str">
        <f>IF(CH$7&gt;$D$3,"",_xlfn.XLOOKUP(CH$8,Finance!$M$16:$X$16,Finance!$M$27:$X$27))</f>
        <v/>
      </c>
      <c r="CI113" s="200" t="str">
        <f>IF(CI$7&gt;$D$3,"",_xlfn.XLOOKUP(CI$8,Finance!$M$16:$X$16,Finance!$M$27:$X$27))</f>
        <v/>
      </c>
      <c r="CJ113" s="200" t="str">
        <f>IF(CJ$7&gt;$D$3,"",_xlfn.XLOOKUP(CJ$8,Finance!$M$16:$X$16,Finance!$M$27:$X$27))</f>
        <v/>
      </c>
      <c r="CK113" s="200" t="str">
        <f>IF(CK$7&gt;$D$3,"",_xlfn.XLOOKUP(CK$8,Finance!$M$16:$X$16,Finance!$M$27:$X$27))</f>
        <v/>
      </c>
      <c r="CL113" s="200" t="str">
        <f>IF(CL$7&gt;$D$3,"",_xlfn.XLOOKUP(CL$8,Finance!$M$16:$X$16,Finance!$M$27:$X$27))</f>
        <v/>
      </c>
      <c r="CM113" s="424" t="str">
        <f>IF(CM$7&gt;$D$3,"",_xlfn.XLOOKUP(CM$8,Finance!$M$16:$X$16,Finance!$M$27:$X$27))</f>
        <v/>
      </c>
      <c r="CO113" s="465" t="str">
        <f>+$A113</f>
        <v>Finance-KPI C1</v>
      </c>
      <c r="CP113" s="138" t="str">
        <f t="shared" si="376"/>
        <v>KPI C1</v>
      </c>
      <c r="CQ113" s="146" t="str">
        <f t="shared" si="376"/>
        <v>Cost</v>
      </c>
      <c r="CR113" s="146" t="str">
        <f t="shared" si="376"/>
        <v>Group Turnover per employee</v>
      </c>
      <c r="CS113" s="147" t="str">
        <f t="shared" si="376"/>
        <v>£'s</v>
      </c>
      <c r="CT113" s="208" t="s">
        <v>246</v>
      </c>
      <c r="CU113" s="424" t="s">
        <v>122</v>
      </c>
      <c r="CV113" s="324">
        <f>IFERROR(IF(CV$7&gt;$D$3,"",IF(AN113="TBC","TBC",IF(AN113="Undefined","Undefined",IF(AN113="Missed","Missed",IF(AN113="OD","OD",_xlfn.XLOOKUP(CV$8,Finance!$M$16:$X$16,Finance!$M$26:$X$26)/_xlfn.XLOOKUP(CV$8,Finance!$M$16:$X$16,Finance!$M$25:$X$25)))))),"OD")</f>
        <v>1.0454294720469632</v>
      </c>
      <c r="CW113" s="324">
        <f>IFERROR(IF(CW$7&gt;$D$3,"",IF(AO113="TBC","TBC",IF(AO113="Undefined","Undefined",IF(AO113="Missed","Missed",IF(AO113="OD","OD",_xlfn.XLOOKUP(CW$8,Finance!$M$16:$X$16,Finance!$M$26:$X$26)/_xlfn.XLOOKUP(CW$8,Finance!$M$16:$X$16,Finance!$M$25:$X$25)))))),"OD")</f>
        <v>1.0454294720469632</v>
      </c>
      <c r="CX113" s="324">
        <f>IFERROR(IF(CX$7&gt;$D$3,"",IF(AP113="TBC","TBC",IF(AP113="Undefined","Undefined",IF(AP113="Missed","Missed",IF(AP113="OD","OD",_xlfn.XLOOKUP(CX$8,Finance!$M$16:$X$16,Finance!$M$26:$X$26)/_xlfn.XLOOKUP(CX$8,Finance!$M$16:$X$16,Finance!$M$25:$X$25)))))),"OD")</f>
        <v>1.0454294720469632</v>
      </c>
      <c r="CY113" s="324">
        <f>IFERROR(IF(CY$7&gt;$D$3,"",IF(AQ113="TBC","TBC",IF(AQ113="Undefined","Undefined",IF(AQ113="Missed","Missed",IF(AQ113="OD","OD",_xlfn.XLOOKUP(CY$8,Finance!$M$16:$X$16,Finance!$M$26:$X$26)/_xlfn.XLOOKUP(CY$8,Finance!$M$16:$X$16,Finance!$M$25:$X$25)))))),"OD")</f>
        <v>1.0454294720469632</v>
      </c>
      <c r="CZ113" s="324">
        <f>IFERROR(IF(CZ$7&gt;$D$3,"",IF(AR113="TBC","TBC",IF(AR113="Undefined","Undefined",IF(AR113="Missed","Missed",IF(AR113="OD","OD",_xlfn.XLOOKUP(CZ$8,Finance!$M$16:$X$16,Finance!$M$26:$X$26)/_xlfn.XLOOKUP(CZ$8,Finance!$M$16:$X$16,Finance!$M$25:$X$25)))))),"OD")</f>
        <v>0.99605101708723376</v>
      </c>
      <c r="DA113" s="324">
        <f>IFERROR(IF(DA$7&gt;$D$3,"",IF(AS113="TBC","TBC",IF(AS113="Undefined","Undefined",IF(AS113="Missed","Missed",IF(AS113="OD","OD",_xlfn.XLOOKUP(DA$8,Finance!$M$16:$X$16,Finance!$M$26:$X$26)/_xlfn.XLOOKUP(DA$8,Finance!$M$16:$X$16,Finance!$M$25:$X$25)))))),"OD")</f>
        <v>0.99605101708723376</v>
      </c>
      <c r="DB113" s="324">
        <f>IFERROR(IF(DB$7&gt;$D$3,"",IF(AT113="TBC","TBC",IF(AT113="Undefined","Undefined",IF(AT113="Missed","Missed",IF(AT113="OD","OD",_xlfn.XLOOKUP(DB$8,Finance!$M$16:$X$16,Finance!$M$26:$X$26)/_xlfn.XLOOKUP(DB$8,Finance!$M$16:$X$16,Finance!$M$25:$X$25)))))),"OD")</f>
        <v>0.99605101708723376</v>
      </c>
      <c r="DC113" s="324">
        <f>IFERROR(IF(DC$7&gt;$D$3,"",IF(AU113="TBC","TBC",IF(AU113="Undefined","Undefined",IF(AU113="Missed","Missed",IF(AU113="OD","OD",_xlfn.XLOOKUP(DC$8,Finance!$M$16:$X$16,Finance!$M$26:$X$26)/_xlfn.XLOOKUP(DC$8,Finance!$M$16:$X$16,Finance!$M$25:$X$25)))))),"OD")</f>
        <v>0.99605101708723376</v>
      </c>
      <c r="DD113" s="324">
        <f>IFERROR(IF(DD$7&gt;$D$3,"",IF(AV113="TBC","TBC",IF(AV113="Undefined","Undefined",IF(AV113="Missed","Missed",IF(AV113="OD","OD",_xlfn.XLOOKUP(DD$8,Finance!$M$16:$X$16,Finance!$M$26:$X$26)/_xlfn.XLOOKUP(DD$8,Finance!$M$16:$X$16,Finance!$M$25:$X$25)))))),"OD")</f>
        <v>0.93493733463302309</v>
      </c>
      <c r="DE113" s="324">
        <f>IFERROR(IF(DE$7&gt;$D$3,"",IF(AW113="TBC","TBC",IF(AW113="Undefined","Undefined",IF(AW113="Missed","Missed",IF(AW113="OD","OD",_xlfn.XLOOKUP(DE$8,Finance!$M$16:$X$16,Finance!$M$26:$X$26)/_xlfn.XLOOKUP(DE$8,Finance!$M$16:$X$16,Finance!$M$25:$X$25)))))),"OD")</f>
        <v>0.93493733463302309</v>
      </c>
      <c r="DF113" s="324">
        <f>IFERROR(IF(DF$7&gt;$D$3,"",IF(AX113="TBC","TBC",IF(AX113="Undefined","Undefined",IF(AX113="Missed","Missed",IF(AX113="OD","OD",_xlfn.XLOOKUP(DF$8,Finance!$M$16:$X$16,Finance!$M$26:$X$26)/_xlfn.XLOOKUP(DF$8,Finance!$M$16:$X$16,Finance!$M$25:$X$25)))))),"OD")</f>
        <v>0.93493733463302309</v>
      </c>
      <c r="DG113" s="324">
        <f>IFERROR(IF(DG$7&gt;$D$3,"",IF(AY113="TBC","TBC",IF(AY113="Undefined","Undefined",IF(AY113="Missed","Missed",IF(AY113="OD","OD",_xlfn.XLOOKUP(DG$8,Finance!$M$16:$X$16,Finance!$M$26:$X$26)/_xlfn.XLOOKUP(DG$8,Finance!$M$16:$X$16,Finance!$M$25:$X$25)))))),"OD")</f>
        <v>0.93493733463302309</v>
      </c>
      <c r="DH113" s="324">
        <f>IFERROR(IF(DH$7&gt;$D$3,"",IF(AZ113="TBC","TBC",IF(AZ113="Undefined","Undefined",IF(AZ113="Missed","Missed",IF(AZ113="OD","OD",_xlfn.XLOOKUP(DH$8,Finance!$M$16:$X$16,Finance!$M$26:$X$26)/_xlfn.XLOOKUP(DH$8,Finance!$M$16:$X$16,Finance!$M$25:$X$25)))))),"OD")</f>
        <v>0.93493733463302309</v>
      </c>
      <c r="DI113" s="324">
        <f>IFERROR(IF(DI$7&gt;$D$3,"",IF(BA113="TBC","TBC",IF(BA113="Undefined","Undefined",IF(BA113="Missed","Missed",IF(BA113="OD","OD",_xlfn.XLOOKUP(DI$8,Finance!$M$16:$X$16,Finance!$M$26:$X$26)/_xlfn.XLOOKUP(DI$8,Finance!$M$16:$X$16,Finance!$M$25:$X$25)))))),"OD")</f>
        <v>0.93493733463302309</v>
      </c>
      <c r="DJ113" s="324">
        <f>IFERROR(IF(DJ$7&gt;$D$3,"",IF(BB113="TBC","TBC",IF(BB113="Undefined","Undefined",IF(BB113="Missed","Missed",IF(BB113="OD","OD",_xlfn.XLOOKUP(DJ$8,Finance!$M$16:$X$16,Finance!$M$26:$X$26)/_xlfn.XLOOKUP(DJ$8,Finance!$M$16:$X$16,Finance!$M$25:$X$25)))))),"OD")</f>
        <v>0.93493733463302309</v>
      </c>
      <c r="DK113" s="324">
        <f>IFERROR(IF(DK$7&gt;$D$3,"",IF(BC113="TBC","TBC",IF(BC113="Undefined","Undefined",IF(BC113="Missed","Missed",IF(BC113="OD","OD",_xlfn.XLOOKUP(DK$8,Finance!$M$16:$X$16,Finance!$M$26:$X$26)/_xlfn.XLOOKUP(DK$8,Finance!$M$16:$X$16,Finance!$M$25:$X$25)))))),"OD")</f>
        <v>0.93493733463302309</v>
      </c>
      <c r="DL113" s="324">
        <f>IFERROR(IF(DL$7&gt;$D$3,"",IF(BD113="TBC","TBC",IF(BD113="Undefined","Undefined",IF(BD113="Missed","Missed",IF(BD113="OD","OD",_xlfn.XLOOKUP(DL$8,Finance!$M$16:$X$16,Finance!$M$26:$X$26)/_xlfn.XLOOKUP(DL$8,Finance!$M$16:$X$16,Finance!$M$25:$X$25)))))),"OD")</f>
        <v>0.87321429571474019</v>
      </c>
      <c r="DM113" s="324">
        <f>IFERROR(IF(DM$7&gt;$D$3,"",IF(BE113="TBC","TBC",IF(BE113="Undefined","Undefined",IF(BE113="Missed","Missed",IF(BE113="OD","OD",_xlfn.XLOOKUP(DM$8,Finance!$M$16:$X$16,Finance!$M$26:$X$26)/_xlfn.XLOOKUP(DM$8,Finance!$M$16:$X$16,Finance!$M$25:$X$25)))))),"OD")</f>
        <v>0.87321429571474019</v>
      </c>
      <c r="DN113" s="324">
        <f>IFERROR(IF(DN$7&gt;$D$3,"",IF(BF113="TBC","TBC",IF(BF113="Undefined","Undefined",IF(BF113="Missed","Missed",IF(BF113="OD","OD",_xlfn.XLOOKUP(DN$8,Finance!$M$16:$X$16,Finance!$M$26:$X$26)/_xlfn.XLOOKUP(DN$8,Finance!$M$16:$X$16,Finance!$M$25:$X$25)))))),"OD")</f>
        <v>0.87321429571474019</v>
      </c>
      <c r="DO113" s="324">
        <f>IFERROR(IF(DO$7&gt;$D$3,"",IF(BG113="TBC","TBC",IF(BG113="Undefined","Undefined",IF(BG113="Missed","Missed",IF(BG113="OD","OD",_xlfn.XLOOKUP(DO$8,Finance!$M$16:$X$16,Finance!$M$26:$X$26)/_xlfn.XLOOKUP(DO$8,Finance!$M$16:$X$16,Finance!$M$25:$X$25)))))),"OD")</f>
        <v>0.87321429571474019</v>
      </c>
      <c r="DP113" s="324">
        <f>IFERROR(IF(DP$7&gt;$D$3,"",IF(BH113="TBC","TBC",IF(BH113="Undefined","Undefined",IF(BH113="Missed","Missed",IF(BH113="OD","OD",_xlfn.XLOOKUP(DP$8,Finance!$M$16:$X$16,Finance!$M$26:$X$26)/_xlfn.XLOOKUP(DP$8,Finance!$M$16:$X$16,Finance!$M$25:$X$25)))))),"OD")</f>
        <v>0.87321429571474019</v>
      </c>
      <c r="DQ113" s="324">
        <f>IFERROR(IF(DQ$7&gt;$D$3,"",IF(BI113="TBC","TBC",IF(BI113="Undefined","Undefined",IF(BI113="Missed","Missed",IF(BI113="OD","OD",_xlfn.XLOOKUP(DQ$8,Finance!$M$16:$X$16,Finance!$M$26:$X$26)/_xlfn.XLOOKUP(DQ$8,Finance!$M$16:$X$16,Finance!$M$25:$X$25)))))),"OD")</f>
        <v>1.0192433392814779</v>
      </c>
      <c r="DR113" s="324">
        <f>IFERROR(IF(DR$7&gt;$D$3,"",IF(BJ113="TBC","TBC",IF(BJ113="Undefined","Undefined",IF(BJ113="Missed","Missed",IF(BJ113="OD","OD",_xlfn.XLOOKUP(DR$8,Finance!$M$16:$X$16,Finance!$M$26:$X$26)/_xlfn.XLOOKUP(DR$8,Finance!$M$16:$X$16,Finance!$M$25:$X$25)))))),"OD")</f>
        <v>1.0192433392814779</v>
      </c>
      <c r="DS113" s="324">
        <f>IFERROR(IF(DS$7&gt;$D$3,"",IF(BK113="TBC","TBC",IF(BK113="Undefined","Undefined",IF(BK113="Missed","Missed",IF(BK113="OD","OD",_xlfn.XLOOKUP(DS$8,Finance!$M$16:$X$16,Finance!$M$26:$X$26)/_xlfn.XLOOKUP(DS$8,Finance!$M$16:$X$16,Finance!$M$25:$X$25)))))),"OD")</f>
        <v>1.0192433392814779</v>
      </c>
      <c r="DT113" s="324">
        <f>IFERROR(IF(DT$7&gt;$D$3,"",IF(BL113="TBC","TBC",IF(BL113="Undefined","Undefined",IF(BL113="Missed","Missed",IF(BL113="OD","OD",_xlfn.XLOOKUP(DT$8,Finance!$M$16:$X$16,Finance!$M$26:$X$26)/_xlfn.XLOOKUP(DT$8,Finance!$M$16:$X$16,Finance!$M$25:$X$25)))))),"OD")</f>
        <v>1.0192433392814779</v>
      </c>
      <c r="DU113" s="324">
        <f>IFERROR(IF(DU$7&gt;$D$3,"",IF(BM113="TBC","TBC",IF(BM113="Undefined","Undefined",IF(BM113="Missed","Missed",IF(BM113="OD","OD",_xlfn.XLOOKUP(DU$8,Finance!$M$16:$X$16,Finance!$M$26:$X$26)/_xlfn.XLOOKUP(DU$8,Finance!$M$16:$X$16,Finance!$M$25:$X$25)))))),"OD")</f>
        <v>0.81750129861716891</v>
      </c>
      <c r="DV113" s="324">
        <f>IFERROR(IF(DV$7&gt;$D$3,"",IF(BN113="TBC","TBC",IF(BN113="Undefined","Undefined",IF(BN113="Missed","Missed",IF(BN113="OD","OD",_xlfn.XLOOKUP(DV$8,Finance!$M$16:$X$16,Finance!$M$26:$X$26)/_xlfn.XLOOKUP(DV$8,Finance!$M$16:$X$16,Finance!$M$25:$X$25)))))),"OD")</f>
        <v>0.81750129861716891</v>
      </c>
      <c r="DW113" s="324">
        <f>IFERROR(IF(DW$7&gt;$D$3,"",IF(BO113="TBC","TBC",IF(BO113="Undefined","Undefined",IF(BO113="Missed","Missed",IF(BO113="OD","OD",_xlfn.XLOOKUP(DW$8,Finance!$M$16:$X$16,Finance!$M$26:$X$26)/_xlfn.XLOOKUP(DW$8,Finance!$M$16:$X$16,Finance!$M$25:$X$25)))))),"OD")</f>
        <v>0.81750129861716891</v>
      </c>
      <c r="DX113" s="324">
        <f>IFERROR(IF(DX$7&gt;$D$3,"",IF(BP113="TBC","TBC",IF(BP113="Undefined","Undefined",IF(BP113="Missed","Missed",IF(BP113="OD","OD",_xlfn.XLOOKUP(DX$8,Finance!$M$16:$X$16,Finance!$M$26:$X$26)/_xlfn.XLOOKUP(DX$8,Finance!$M$16:$X$16,Finance!$M$25:$X$25)))))),"OD")</f>
        <v>0.81750129861716891</v>
      </c>
      <c r="DY113" s="324">
        <f>IFERROR(IF(DY$7&gt;$D$3,"",IF(BQ113="TBC","TBC",IF(BQ113="Undefined","Undefined",IF(BQ113="Missed","Missed",IF(BQ113="OD","OD",_xlfn.XLOOKUP(DY$8,Finance!$M$16:$X$16,Finance!$M$26:$X$26)/_xlfn.XLOOKUP(DY$8,Finance!$M$16:$X$16,Finance!$M$25:$X$25)))))),"OD")</f>
        <v>0.81750129861716891</v>
      </c>
      <c r="DZ113" s="324">
        <f>IFERROR(IF(DZ$7&gt;$D$3,"",IF(BR113="TBC","TBC",IF(BR113="Undefined","Undefined",IF(BR113="Missed","Missed",IF(BR113="OD","OD",_xlfn.XLOOKUP(DZ$8,Finance!$M$16:$X$16,Finance!$M$26:$X$26)/_xlfn.XLOOKUP(DZ$8,Finance!$M$16:$X$16,Finance!$M$25:$X$25)))))),"OD")</f>
        <v>0.78796174019666543</v>
      </c>
      <c r="EA113" s="324">
        <f>IFERROR(IF(EA$7&gt;$D$3,"",IF(BS113="TBC","TBC",IF(BS113="Undefined","Undefined",IF(BS113="Missed","Missed",IF(BS113="OD","OD",_xlfn.XLOOKUP(EA$8,Finance!$M$16:$X$16,Finance!$M$26:$X$26)/_xlfn.XLOOKUP(EA$8,Finance!$M$16:$X$16,Finance!$M$25:$X$25)))))),"OD")</f>
        <v>0.78796174019666543</v>
      </c>
      <c r="EB113" s="324">
        <f>IFERROR(IF(EB$7&gt;$D$3,"",IF(BT113="TBC","TBC",IF(BT113="Undefined","Undefined",IF(BT113="Missed","Missed",IF(BT113="OD","OD",_xlfn.XLOOKUP(EB$8,Finance!$M$16:$X$16,Finance!$M$26:$X$26)/_xlfn.XLOOKUP(EB$8,Finance!$M$16:$X$16,Finance!$M$25:$X$25)))))),"OD")</f>
        <v>0.78796174019666543</v>
      </c>
      <c r="EC113" s="324">
        <f>IFERROR(IF(EC$7&gt;$D$3,"",IF(BU113="TBC","TBC",IF(BU113="Undefined","Undefined",IF(BU113="Missed","Missed",IF(BU113="OD","OD",_xlfn.XLOOKUP(EC$8,Finance!$M$16:$X$16,Finance!$M$26:$X$26)/_xlfn.XLOOKUP(EC$8,Finance!$M$16:$X$16,Finance!$M$25:$X$25)))))),"OD")</f>
        <v>0.78796174019666543</v>
      </c>
      <c r="ED113" s="324">
        <f>IFERROR(IF(ED$7&gt;$D$3,"",IF(BV113="TBC","TBC",IF(BV113="Undefined","Undefined",IF(BV113="Missed","Missed",IF(BV113="OD","OD",_xlfn.XLOOKUP(ED$8,Finance!$M$16:$X$16,Finance!$M$26:$X$26)/_xlfn.XLOOKUP(ED$8,Finance!$M$16:$X$16,Finance!$M$25:$X$25)))))),"OD")</f>
        <v>0.8827992119778032</v>
      </c>
      <c r="EE113" s="324">
        <f>IFERROR(IF(EE$7&gt;$D$3,"",IF(BW113="TBC","TBC",IF(BW113="Undefined","Undefined",IF(BW113="Missed","Missed",IF(BW113="OD","OD",_xlfn.XLOOKUP(EE$8,Finance!$M$16:$X$16,Finance!$M$26:$X$26)/_xlfn.XLOOKUP(EE$8,Finance!$M$16:$X$16,Finance!$M$25:$X$25)))))),"OD")</f>
        <v>0.8827992119778032</v>
      </c>
      <c r="EF113" s="324">
        <f>IFERROR(IF(EF$7&gt;$D$3,"",IF(BX113="TBC","TBC",IF(BX113="Undefined","Undefined",IF(BX113="Missed","Missed",IF(BX113="OD","OD",_xlfn.XLOOKUP(EF$8,Finance!$M$16:$X$16,Finance!$M$26:$X$26)/_xlfn.XLOOKUP(EF$8,Finance!$M$16:$X$16,Finance!$M$25:$X$25)))))),"OD")</f>
        <v>0.8827992119778032</v>
      </c>
      <c r="EG113" s="324">
        <f>IFERROR(IF(EG$7&gt;$D$3,"",IF(BY113="TBC","TBC",IF(BY113="Undefined","Undefined",IF(BY113="Missed","Missed",IF(BY113="OD","OD",_xlfn.XLOOKUP(EG$8,Finance!$M$16:$X$16,Finance!$M$26:$X$26)/_xlfn.XLOOKUP(EG$8,Finance!$M$16:$X$16,Finance!$M$25:$X$25)))))),"OD")</f>
        <v>0.8827992119778032</v>
      </c>
      <c r="EH113" s="324">
        <f>IFERROR(IF(EH$7&gt;$D$3,"",IF(BZ113="TBC","TBC",IF(BZ113="Undefined","Undefined",IF(BZ113="Missed","Missed",IF(BZ113="OD","OD",_xlfn.XLOOKUP(EH$8,Finance!$M$16:$X$16,Finance!$M$26:$X$26)/_xlfn.XLOOKUP(EH$8,Finance!$M$16:$X$16,Finance!$M$25:$X$25)))))),"OD")</f>
        <v>0.9243002544529263</v>
      </c>
      <c r="EI113" s="324">
        <f>IFERROR(IF(EI$7&gt;$D$3,"",IF(CA113="TBC","TBC",IF(CA113="Undefined","Undefined",IF(CA113="Missed","Missed",IF(CA113="OD","OD",_xlfn.XLOOKUP(EI$8,Finance!$M$16:$X$16,Finance!$M$26:$X$26)/_xlfn.XLOOKUP(EI$8,Finance!$M$16:$X$16,Finance!$M$25:$X$25)))))),"OD")</f>
        <v>0.9243002544529263</v>
      </c>
      <c r="EJ113" s="324">
        <f>IFERROR(IF(EJ$7&gt;$D$3,"",IF(CB113="TBC","TBC",IF(CB113="Undefined","Undefined",IF(CB113="Missed","Missed",IF(CB113="OD","OD",_xlfn.XLOOKUP(EJ$8,Finance!$M$16:$X$16,Finance!$M$26:$X$26)/_xlfn.XLOOKUP(EJ$8,Finance!$M$16:$X$16,Finance!$M$25:$X$25)))))),"OD")</f>
        <v>0.9243002544529263</v>
      </c>
      <c r="EK113" s="324" t="str">
        <f>IFERROR(IF(EK$7&gt;$D$3,"",IF(CC113="TBC","TBC",IF(CC113="Undefined","Undefined",IF(CC113="Missed","Missed",IF(CC113="OD","OD",_xlfn.XLOOKUP(EK$8,Finance!$M$16:$X$16,Finance!$M$26:$X$26)/_xlfn.XLOOKUP(EK$8,Finance!$M$16:$X$16,Finance!$M$25:$X$25)))))),"OD")</f>
        <v/>
      </c>
      <c r="EL113" s="324" t="str">
        <f>IFERROR(IF(EL$7&gt;$D$3,"",IF(CD113="TBC","TBC",IF(CD113="Undefined","Undefined",IF(CD113="Missed","Missed",IF(CD113="OD","OD",_xlfn.XLOOKUP(EL$8,Finance!$M$16:$X$16,Finance!$M$26:$X$26)/_xlfn.XLOOKUP(EL$8,Finance!$M$16:$X$16,Finance!$M$25:$X$25)))))),"OD")</f>
        <v/>
      </c>
      <c r="EM113" s="324" t="str">
        <f>IFERROR(IF(EM$7&gt;$D$3,"",IF(CE113="TBC","TBC",IF(CE113="Undefined","Undefined",IF(CE113="Missed","Missed",IF(CE113="OD","OD",_xlfn.XLOOKUP(EM$8,Finance!$M$16:$X$16,Finance!$M$26:$X$26)/_xlfn.XLOOKUP(EM$8,Finance!$M$16:$X$16,Finance!$M$25:$X$25)))))),"OD")</f>
        <v/>
      </c>
      <c r="EN113" s="324" t="str">
        <f>IFERROR(IF(EN$7&gt;$D$3,"",IF(CF113="TBC","TBC",IF(CF113="Undefined","Undefined",IF(CF113="Missed","Missed",IF(CF113="OD","OD",_xlfn.XLOOKUP(EN$8,Finance!$M$16:$X$16,Finance!$M$26:$X$26)/_xlfn.XLOOKUP(EN$8,Finance!$M$16:$X$16,Finance!$M$25:$X$25)))))),"OD")</f>
        <v/>
      </c>
      <c r="EO113" s="324" t="str">
        <f>IFERROR(IF(EO$7&gt;$D$3,"",IF(CG113="TBC","TBC",IF(CG113="Undefined","Undefined",IF(CG113="Missed","Missed",IF(CG113="OD","OD",_xlfn.XLOOKUP(EO$8,Finance!$M$16:$X$16,Finance!$M$26:$X$26)/_xlfn.XLOOKUP(EO$8,Finance!$M$16:$X$16,Finance!$M$25:$X$25)))))),"OD")</f>
        <v/>
      </c>
      <c r="EP113" s="324" t="str">
        <f>IFERROR(IF(EP$7&gt;$D$3,"",IF(CH113="TBC","TBC",IF(CH113="Undefined","Undefined",IF(CH113="Missed","Missed",IF(CH113="OD","OD",_xlfn.XLOOKUP(EP$8,Finance!$M$16:$X$16,Finance!$M$26:$X$26)/_xlfn.XLOOKUP(EP$8,Finance!$M$16:$X$16,Finance!$M$25:$X$25)))))),"OD")</f>
        <v/>
      </c>
      <c r="EQ113" s="324" t="str">
        <f>IFERROR(IF(EQ$7&gt;$D$3,"",IF(CI113="TBC","TBC",IF(CI113="Undefined","Undefined",IF(CI113="Missed","Missed",IF(CI113="OD","OD",_xlfn.XLOOKUP(EQ$8,Finance!$M$16:$X$16,Finance!$M$26:$X$26)/_xlfn.XLOOKUP(EQ$8,Finance!$M$16:$X$16,Finance!$M$25:$X$25)))))),"OD")</f>
        <v/>
      </c>
      <c r="ER113" s="324" t="str">
        <f>IFERROR(IF(ER$7&gt;$D$3,"",IF(CJ113="TBC","TBC",IF(CJ113="Undefined","Undefined",IF(CJ113="Missed","Missed",IF(CJ113="OD","OD",_xlfn.XLOOKUP(ER$8,Finance!$M$16:$X$16,Finance!$M$26:$X$26)/_xlfn.XLOOKUP(ER$8,Finance!$M$16:$X$16,Finance!$M$25:$X$25)))))),"OD")</f>
        <v/>
      </c>
      <c r="ES113" s="324" t="str">
        <f>IFERROR(IF(ES$7&gt;$D$3,"",IF(CK113="TBC","TBC",IF(CK113="Undefined","Undefined",IF(CK113="Missed","Missed",IF(CK113="OD","OD",_xlfn.XLOOKUP(ES$8,Finance!$M$16:$X$16,Finance!$M$26:$X$26)/_xlfn.XLOOKUP(ES$8,Finance!$M$16:$X$16,Finance!$M$25:$X$25)))))),"OD")</f>
        <v/>
      </c>
      <c r="ET113" s="324" t="str">
        <f>IFERROR(IF(ET$7&gt;$D$3,"",IF(CL113="TBC","TBC",IF(CL113="Undefined","Undefined",IF(CL113="Missed","Missed",IF(CL113="OD","OD",_xlfn.XLOOKUP(ET$8,Finance!$M$16:$X$16,Finance!$M$26:$X$26)/_xlfn.XLOOKUP(ET$8,Finance!$M$16:$X$16,Finance!$M$25:$X$25)))))),"OD")</f>
        <v/>
      </c>
      <c r="EU113" s="324" t="str">
        <f>IFERROR(IF(EU$7&gt;$D$3,"",IF(CM113="TBC","TBC",IF(CM113="Undefined","Undefined",IF(CM113="Missed","Missed",IF(CM113="OD","OD",_xlfn.XLOOKUP(EU$8,Finance!$M$16:$X$16,Finance!$M$26:$X$26)/_xlfn.XLOOKUP(EU$8,Finance!$M$16:$X$16,Finance!$M$25:$X$25)))))),"OD")</f>
        <v/>
      </c>
      <c r="EW113" s="465" t="str">
        <f>+$A113</f>
        <v>Finance-KPI C1</v>
      </c>
      <c r="EX113" s="138" t="str">
        <f>+$C113</f>
        <v>KPI C1</v>
      </c>
      <c r="EY113" s="146" t="str">
        <f>+$D113</f>
        <v>Cost</v>
      </c>
      <c r="EZ113" s="146" t="str">
        <f t="shared" si="358"/>
        <v>Group Turnover per employee</v>
      </c>
      <c r="FA113" s="147" t="str">
        <f t="shared" si="359"/>
        <v>£'s</v>
      </c>
      <c r="FB113" s="147" t="s">
        <v>251</v>
      </c>
      <c r="FC113" s="227"/>
      <c r="FD113" s="428">
        <f>IF(FD$7&gt;$D$3,"",_xlfn.XLOOKUP(FD$8,Finance!$M$16:$X$16,Finance!$M$26:$X$26))</f>
        <v>112.53889989389918</v>
      </c>
      <c r="FE113" s="428">
        <f>IF(FE$7&gt;$D$3,"",_xlfn.XLOOKUP(FE$8,Finance!$M$16:$X$16,Finance!$M$26:$X$26))</f>
        <v>112.53889989389918</v>
      </c>
      <c r="FF113" s="428">
        <f>IF(FF$7&gt;$D$3,"",_xlfn.XLOOKUP(FF$8,Finance!$M$16:$X$16,Finance!$M$26:$X$26))</f>
        <v>112.53889989389918</v>
      </c>
      <c r="FG113" s="428">
        <f>IF(FG$7&gt;$D$3,"",_xlfn.XLOOKUP(FG$8,Finance!$M$16:$X$16,Finance!$M$26:$X$26))</f>
        <v>112.53889989389918</v>
      </c>
      <c r="FH113" s="428">
        <f>IF(FH$7&gt;$D$3,"",_xlfn.XLOOKUP(FH$8,Finance!$M$16:$X$16,Finance!$M$26:$X$26))</f>
        <v>112.66394848806365</v>
      </c>
      <c r="FI113" s="428">
        <f>IF(FI$7&gt;$D$3,"",_xlfn.XLOOKUP(FI$8,Finance!$M$16:$X$16,Finance!$M$26:$X$26))</f>
        <v>112.66394848806365</v>
      </c>
      <c r="FJ113" s="428">
        <f>IF(FJ$7&gt;$D$3,"",_xlfn.XLOOKUP(FJ$8,Finance!$M$16:$X$16,Finance!$M$26:$X$26))</f>
        <v>112.66394848806365</v>
      </c>
      <c r="FK113" s="428">
        <f>IF(FK$7&gt;$D$3,"",_xlfn.XLOOKUP(FK$8,Finance!$M$16:$X$16,Finance!$M$26:$X$26))</f>
        <v>112.66394848806365</v>
      </c>
      <c r="FL113" s="428">
        <f>IF(FL$7&gt;$D$3,"",_xlfn.XLOOKUP(FL$8,Finance!$M$16:$X$16,Finance!$M$26:$X$26))</f>
        <v>125.08746447058823</v>
      </c>
      <c r="FM113" s="428">
        <f>IF(FM$7&gt;$D$3,"",_xlfn.XLOOKUP(FM$8,Finance!$M$16:$X$16,Finance!$M$26:$X$26))</f>
        <v>125.08746447058823</v>
      </c>
      <c r="FN113" s="428">
        <f>IF(FN$7&gt;$D$3,"",_xlfn.XLOOKUP(FN$8,Finance!$M$16:$X$16,Finance!$M$26:$X$26))</f>
        <v>125.08746447058823</v>
      </c>
      <c r="FO113" s="428">
        <f>IF(FO$7&gt;$D$3,"",_xlfn.XLOOKUP(FO$8,Finance!$M$16:$X$16,Finance!$M$26:$X$26))</f>
        <v>125.08746447058823</v>
      </c>
      <c r="FP113" s="428">
        <f>IF(FP$7&gt;$D$3,"",_xlfn.XLOOKUP(FP$8,Finance!$M$16:$X$16,Finance!$M$26:$X$26))</f>
        <v>125.08746447058823</v>
      </c>
      <c r="FQ113" s="428">
        <f>IF(FQ$7&gt;$D$3,"",_xlfn.XLOOKUP(FQ$8,Finance!$M$16:$X$16,Finance!$M$26:$X$26))</f>
        <v>125.08746447058823</v>
      </c>
      <c r="FR113" s="428">
        <f>IF(FR$7&gt;$D$3,"",_xlfn.XLOOKUP(FR$8,Finance!$M$16:$X$16,Finance!$M$26:$X$26))</f>
        <v>125.08746447058823</v>
      </c>
      <c r="FS113" s="428">
        <f>IF(FS$7&gt;$D$3,"",_xlfn.XLOOKUP(FS$8,Finance!$M$16:$X$16,Finance!$M$26:$X$26))</f>
        <v>125.08746447058823</v>
      </c>
      <c r="FT113" s="428">
        <f>IF(FT$7&gt;$D$3,"",_xlfn.XLOOKUP(FT$8,Finance!$M$16:$X$16,Finance!$M$26:$X$26))</f>
        <v>110.99748918367348</v>
      </c>
      <c r="FU113" s="428">
        <f>IF(FU$7&gt;$D$3,"",_xlfn.XLOOKUP(FU$8,Finance!$M$16:$X$16,Finance!$M$26:$X$26))</f>
        <v>110.99748918367348</v>
      </c>
      <c r="FV113" s="428">
        <f>IF(FV$7&gt;$D$3,"",_xlfn.XLOOKUP(FV$8,Finance!$M$16:$X$16,Finance!$M$26:$X$26))</f>
        <v>110.99748918367348</v>
      </c>
      <c r="FW113" s="428">
        <f>IF(FW$7&gt;$D$3,"",_xlfn.XLOOKUP(FW$8,Finance!$M$16:$X$16,Finance!$M$26:$X$26))</f>
        <v>110.99748918367348</v>
      </c>
      <c r="FX113" s="428">
        <f>IF(FX$7&gt;$D$3,"",_xlfn.XLOOKUP(FX$8,Finance!$M$16:$X$16,Finance!$M$26:$X$26))</f>
        <v>110.99748918367348</v>
      </c>
      <c r="FY113" s="428">
        <f>IF(FY$7&gt;$D$3,"",_xlfn.XLOOKUP(FY$8,Finance!$M$16:$X$16,Finance!$M$26:$X$26))</f>
        <v>133.4257975928297</v>
      </c>
      <c r="FZ113" s="428">
        <f>IF(FZ$7&gt;$D$3,"",_xlfn.XLOOKUP(FZ$8,Finance!$M$16:$X$16,Finance!$M$26:$X$26))</f>
        <v>133.4257975928297</v>
      </c>
      <c r="GA113" s="428">
        <f>IF(GA$7&gt;$D$3,"",_xlfn.XLOOKUP(GA$8,Finance!$M$16:$X$16,Finance!$M$26:$X$26))</f>
        <v>133.4257975928297</v>
      </c>
      <c r="GB113" s="428">
        <f>IF(GB$7&gt;$D$3,"",_xlfn.XLOOKUP(GB$8,Finance!$M$16:$X$16,Finance!$M$26:$X$26))</f>
        <v>133.4257975928297</v>
      </c>
      <c r="GC113" s="428">
        <f>IF(GC$7&gt;$D$3,"",_xlfn.XLOOKUP(GC$8,Finance!$M$16:$X$16,Finance!$M$26:$X$26))</f>
        <v>114.87345011553273</v>
      </c>
      <c r="GD113" s="428">
        <f>IF(GD$7&gt;$D$3,"",_xlfn.XLOOKUP(GD$8,Finance!$M$16:$X$16,Finance!$M$26:$X$26))</f>
        <v>114.87345011553273</v>
      </c>
      <c r="GE113" s="428">
        <f>IF(GE$7&gt;$D$3,"",_xlfn.XLOOKUP(GE$8,Finance!$M$16:$X$16,Finance!$M$26:$X$26))</f>
        <v>114.87345011553273</v>
      </c>
      <c r="GF113" s="428">
        <f>IF(GF$7&gt;$D$3,"",_xlfn.XLOOKUP(GF$8,Finance!$M$16:$X$16,Finance!$M$26:$X$26))</f>
        <v>114.87345011553273</v>
      </c>
      <c r="GG113" s="428">
        <f>IF(GG$7&gt;$D$3,"",_xlfn.XLOOKUP(GG$8,Finance!$M$16:$X$16,Finance!$M$26:$X$26))</f>
        <v>114.87345011553273</v>
      </c>
      <c r="GH113" s="428">
        <f>IF(GH$7&gt;$D$3,"",_xlfn.XLOOKUP(GH$8,Finance!$M$16:$X$16,Finance!$M$26:$X$26))</f>
        <v>119.62735775510204</v>
      </c>
      <c r="GI113" s="428">
        <f>IF(GI$7&gt;$D$3,"",_xlfn.XLOOKUP(GI$8,Finance!$M$16:$X$16,Finance!$M$26:$X$26))</f>
        <v>119.62735775510204</v>
      </c>
      <c r="GJ113" s="428">
        <f>IF(GJ$7&gt;$D$3,"",_xlfn.XLOOKUP(GJ$8,Finance!$M$16:$X$16,Finance!$M$26:$X$26))</f>
        <v>119.62735775510204</v>
      </c>
      <c r="GK113" s="428">
        <f>IF(GK$7&gt;$D$3,"",_xlfn.XLOOKUP(GK$8,Finance!$M$16:$X$16,Finance!$M$26:$X$26))</f>
        <v>119.62735775510204</v>
      </c>
      <c r="GL113" s="428">
        <f>IF(GL$7&gt;$D$3,"",_xlfn.XLOOKUP(GL$8,Finance!$M$16:$X$16,Finance!$M$26:$X$26))</f>
        <v>134.38181490494296</v>
      </c>
      <c r="GM113" s="428">
        <f>IF(GM$7&gt;$D$3,"",_xlfn.XLOOKUP(GM$8,Finance!$M$16:$X$16,Finance!$M$26:$X$26))</f>
        <v>134.38181490494296</v>
      </c>
      <c r="GN113" s="428">
        <f>IF(GN$7&gt;$D$3,"",_xlfn.XLOOKUP(GN$8,Finance!$M$16:$X$16,Finance!$M$26:$X$26))</f>
        <v>134.38181490494296</v>
      </c>
      <c r="GO113" s="428">
        <f>IF(GO$7&gt;$D$3,"",_xlfn.XLOOKUP(GO$8,Finance!$M$16:$X$16,Finance!$M$26:$X$26))</f>
        <v>134.38181490494296</v>
      </c>
      <c r="GP113" s="428">
        <f>IF(GP$7&gt;$D$3,"",_xlfn.XLOOKUP(GP$8,Finance!$M$16:$X$16,Finance!$M$26:$X$26))</f>
        <v>145.30000000000001</v>
      </c>
      <c r="GQ113" s="428">
        <f>IF(GQ$7&gt;$D$3,"",_xlfn.XLOOKUP(GQ$8,Finance!$M$16:$X$16,Finance!$M$26:$X$26))</f>
        <v>145.30000000000001</v>
      </c>
      <c r="GR113" s="428">
        <f>IF(GR$7&gt;$D$3,"",_xlfn.XLOOKUP(GR$8,Finance!$M$16:$X$16,Finance!$M$26:$X$26))</f>
        <v>145.30000000000001</v>
      </c>
      <c r="GS113" s="428" t="str">
        <f>IF(GS$7&gt;$D$3,"",_xlfn.XLOOKUP(GS$8,Finance!$M$16:$X$16,Finance!$M$26:$X$26))</f>
        <v/>
      </c>
      <c r="GT113" s="428" t="str">
        <f>IF(GT$7&gt;$D$3,"",_xlfn.XLOOKUP(GT$8,Finance!$M$16:$X$16,Finance!$M$26:$X$26))</f>
        <v/>
      </c>
      <c r="GU113" s="428" t="str">
        <f>IF(GU$7&gt;$D$3,"",_xlfn.XLOOKUP(GU$8,Finance!$M$16:$X$16,Finance!$M$26:$X$26))</f>
        <v/>
      </c>
      <c r="GV113" s="428" t="str">
        <f>IF(GV$7&gt;$D$3,"",_xlfn.XLOOKUP(GV$8,Finance!$M$16:$X$16,Finance!$M$26:$X$26))</f>
        <v/>
      </c>
      <c r="GW113" s="428" t="str">
        <f>IF(GW$7&gt;$D$3,"",_xlfn.XLOOKUP(GW$8,Finance!$M$16:$X$16,Finance!$M$26:$X$26))</f>
        <v/>
      </c>
      <c r="GX113" s="428" t="str">
        <f>IF(GX$7&gt;$D$3,"",_xlfn.XLOOKUP(GX$8,Finance!$M$16:$X$16,Finance!$M$26:$X$26))</f>
        <v/>
      </c>
      <c r="GY113" s="428" t="str">
        <f>IF(GY$7&gt;$D$3,"",_xlfn.XLOOKUP(GY$8,Finance!$M$16:$X$16,Finance!$M$26:$X$26))</f>
        <v/>
      </c>
      <c r="GZ113" s="428" t="str">
        <f>IF(GZ$7&gt;$D$3,"",_xlfn.XLOOKUP(GZ$8,Finance!$M$16:$X$16,Finance!$M$26:$X$26))</f>
        <v/>
      </c>
      <c r="HA113" s="428" t="str">
        <f>IF(HA$7&gt;$D$3,"",_xlfn.XLOOKUP(HA$8,Finance!$M$16:$X$16,Finance!$M$26:$X$26))</f>
        <v/>
      </c>
      <c r="HB113" s="428" t="str">
        <f>IF(HB$7&gt;$D$3,"",_xlfn.XLOOKUP(HB$8,Finance!$M$16:$X$16,Finance!$M$26:$X$26))</f>
        <v/>
      </c>
      <c r="HC113" s="429" t="str">
        <f>IF(HC$7&gt;$D$3,"",_xlfn.XLOOKUP(HC$8,Finance!$M$16:$X$16,Finance!$M$26:$X$26))</f>
        <v/>
      </c>
      <c r="HE113" s="138" t="str">
        <f>+$C113</f>
        <v>KPI C1</v>
      </c>
      <c r="HF113" s="146" t="str">
        <f>+$D113</f>
        <v>Cost</v>
      </c>
      <c r="HG113" s="146" t="str">
        <f t="shared" si="362"/>
        <v>Group Turnover per employee</v>
      </c>
      <c r="HH113" s="147" t="str">
        <f t="shared" si="363"/>
        <v>£'s</v>
      </c>
      <c r="HI113" s="147" t="s">
        <v>44</v>
      </c>
      <c r="HJ113" s="227" t="s">
        <v>122</v>
      </c>
      <c r="HK113" s="428">
        <f>IF(HK$7&gt;$D$3,"",_xlfn.XLOOKUP(HK$8,Finance!$M$16:$X$16,Finance!$M$25:$X$25))</f>
        <v>107.64848600790515</v>
      </c>
      <c r="HL113" s="428">
        <f>IF(HL$7&gt;$D$3,"",_xlfn.XLOOKUP(HL$8,Finance!$M$16:$X$16,Finance!$M$25:$X$25))</f>
        <v>107.64848600790515</v>
      </c>
      <c r="HM113" s="428">
        <f>IF(HM$7&gt;$D$3,"",_xlfn.XLOOKUP(HM$8,Finance!$M$16:$X$16,Finance!$M$25:$X$25))</f>
        <v>107.64848600790515</v>
      </c>
      <c r="HN113" s="428">
        <f>IF(HN$7&gt;$D$3,"",_xlfn.XLOOKUP(HN$8,Finance!$M$16:$X$16,Finance!$M$25:$X$25))</f>
        <v>107.64848600790515</v>
      </c>
      <c r="HO113" s="428">
        <f>IF(HO$7&gt;$D$3,"",_xlfn.XLOOKUP(HO$8,Finance!$M$16:$X$16,Finance!$M$25:$X$25))</f>
        <v>113.11062039525692</v>
      </c>
      <c r="HP113" s="428">
        <f>IF(HP$7&gt;$D$3,"",_xlfn.XLOOKUP(HP$8,Finance!$M$16:$X$16,Finance!$M$25:$X$25))</f>
        <v>113.11062039525692</v>
      </c>
      <c r="HQ113" s="428">
        <f>IF(HQ$7&gt;$D$3,"",_xlfn.XLOOKUP(HQ$8,Finance!$M$16:$X$16,Finance!$M$25:$X$25))</f>
        <v>113.11062039525692</v>
      </c>
      <c r="HR113" s="428">
        <f>IF(HR$7&gt;$D$3,"",_xlfn.XLOOKUP(HR$8,Finance!$M$16:$X$16,Finance!$M$25:$X$25))</f>
        <v>113.11062039525692</v>
      </c>
      <c r="HS113" s="428">
        <f>IF(HS$7&gt;$D$3,"",_xlfn.XLOOKUP(HS$8,Finance!$M$16:$X$16,Finance!$M$25:$X$25))</f>
        <v>133.79235146245063</v>
      </c>
      <c r="HT113" s="428">
        <f>IF(HT$7&gt;$D$3,"",_xlfn.XLOOKUP(HT$8,Finance!$M$16:$X$16,Finance!$M$25:$X$25))</f>
        <v>133.79235146245063</v>
      </c>
      <c r="HU113" s="428">
        <f>IF(HU$7&gt;$D$3,"",_xlfn.XLOOKUP(HU$8,Finance!$M$16:$X$16,Finance!$M$25:$X$25))</f>
        <v>133.79235146245063</v>
      </c>
      <c r="HV113" s="428">
        <f>IF(HV$7&gt;$D$3,"",_xlfn.XLOOKUP(HV$8,Finance!$M$16:$X$16,Finance!$M$25:$X$25))</f>
        <v>133.79235146245063</v>
      </c>
      <c r="HW113" s="428">
        <f>IF(HW$7&gt;$D$3,"",_xlfn.XLOOKUP(HW$8,Finance!$M$16:$X$16,Finance!$M$25:$X$25))</f>
        <v>133.79235146245063</v>
      </c>
      <c r="HX113" s="428">
        <f>IF(HX$7&gt;$D$3,"",_xlfn.XLOOKUP(HX$8,Finance!$M$16:$X$16,Finance!$M$25:$X$25))</f>
        <v>133.79235146245063</v>
      </c>
      <c r="HY113" s="428">
        <f>IF(HY$7&gt;$D$3,"",_xlfn.XLOOKUP(HY$8,Finance!$M$16:$X$16,Finance!$M$25:$X$25))</f>
        <v>133.79235146245063</v>
      </c>
      <c r="HZ113" s="428">
        <f>IF(HZ$7&gt;$D$3,"",_xlfn.XLOOKUP(HZ$8,Finance!$M$16:$X$16,Finance!$M$25:$X$25))</f>
        <v>133.79235146245063</v>
      </c>
      <c r="IA113" s="428">
        <f>IF(IA$7&gt;$D$3,"",_xlfn.XLOOKUP(IA$8,Finance!$M$16:$X$16,Finance!$M$25:$X$25))</f>
        <v>127.11368758893282</v>
      </c>
      <c r="IB113" s="428">
        <f>IF(IB$7&gt;$D$3,"",_xlfn.XLOOKUP(IB$8,Finance!$M$16:$X$16,Finance!$M$25:$X$25))</f>
        <v>127.11368758893282</v>
      </c>
      <c r="IC113" s="428">
        <f>IF(IC$7&gt;$D$3,"",_xlfn.XLOOKUP(IC$8,Finance!$M$16:$X$16,Finance!$M$25:$X$25))</f>
        <v>127.11368758893282</v>
      </c>
      <c r="ID113" s="428">
        <f>IF(ID$7&gt;$D$3,"",_xlfn.XLOOKUP(ID$8,Finance!$M$16:$X$16,Finance!$M$25:$X$25))</f>
        <v>127.11368758893282</v>
      </c>
      <c r="IE113" s="428">
        <f>IF(IE$7&gt;$D$3,"",_xlfn.XLOOKUP(IE$8,Finance!$M$16:$X$16,Finance!$M$25:$X$25))</f>
        <v>127.11368758893282</v>
      </c>
      <c r="IF113" s="428">
        <f>IF(IF$7&gt;$D$3,"",_xlfn.XLOOKUP(IF$8,Finance!$M$16:$X$16,Finance!$M$25:$X$25))</f>
        <v>130.90671525691701</v>
      </c>
      <c r="IG113" s="428">
        <f>IF(IG$7&gt;$D$3,"",_xlfn.XLOOKUP(IG$8,Finance!$M$16:$X$16,Finance!$M$25:$X$25))</f>
        <v>130.90671525691701</v>
      </c>
      <c r="IH113" s="428">
        <f>IF(IH$7&gt;$D$3,"",_xlfn.XLOOKUP(IH$8,Finance!$M$16:$X$16,Finance!$M$25:$X$25))</f>
        <v>130.90671525691701</v>
      </c>
      <c r="II113" s="428">
        <f>IF(II$7&gt;$D$3,"",_xlfn.XLOOKUP(II$8,Finance!$M$16:$X$16,Finance!$M$25:$X$25))</f>
        <v>130.90671525691701</v>
      </c>
      <c r="IJ113" s="428">
        <f>IF(IJ$7&gt;$D$3,"",_xlfn.XLOOKUP(IJ$8,Finance!$M$16:$X$16,Finance!$M$25:$X$25))</f>
        <v>140.51775857707511</v>
      </c>
      <c r="IK113" s="428">
        <f>IF(IK$7&gt;$D$3,"",_xlfn.XLOOKUP(IK$8,Finance!$M$16:$X$16,Finance!$M$25:$X$25))</f>
        <v>140.51775857707511</v>
      </c>
      <c r="IL113" s="428">
        <f>IF(IL$7&gt;$D$3,"",_xlfn.XLOOKUP(IL$8,Finance!$M$16:$X$16,Finance!$M$25:$X$25))</f>
        <v>140.51775857707511</v>
      </c>
      <c r="IM113" s="428">
        <f>IF(IM$7&gt;$D$3,"",_xlfn.XLOOKUP(IM$8,Finance!$M$16:$X$16,Finance!$M$25:$X$25))</f>
        <v>140.51775857707511</v>
      </c>
      <c r="IN113" s="428">
        <f>IF(IN$7&gt;$D$3,"",_xlfn.XLOOKUP(IN$8,Finance!$M$16:$X$16,Finance!$M$25:$X$25))</f>
        <v>140.51775857707511</v>
      </c>
      <c r="IO113" s="428">
        <f>IF(IO$7&gt;$D$3,"",_xlfn.XLOOKUP(IO$8,Finance!$M$16:$X$16,Finance!$M$25:$X$25))</f>
        <v>151.818738972332</v>
      </c>
      <c r="IP113" s="428">
        <f>IF(IP$7&gt;$D$3,"",_xlfn.XLOOKUP(IP$8,Finance!$M$16:$X$16,Finance!$M$25:$X$25))</f>
        <v>151.818738972332</v>
      </c>
      <c r="IQ113" s="428">
        <f>IF(IQ$7&gt;$D$3,"",_xlfn.XLOOKUP(IQ$8,Finance!$M$16:$X$16,Finance!$M$25:$X$25))</f>
        <v>151.818738972332</v>
      </c>
      <c r="IR113" s="428">
        <f>IF(IR$7&gt;$D$3,"",_xlfn.XLOOKUP(IR$8,Finance!$M$16:$X$16,Finance!$M$25:$X$25))</f>
        <v>151.818738972332</v>
      </c>
      <c r="IS113" s="428">
        <f>IF(IS$7&gt;$D$3,"",_xlfn.XLOOKUP(IS$8,Finance!$M$16:$X$16,Finance!$M$25:$X$25))</f>
        <v>152.22240015810277</v>
      </c>
      <c r="IT113" s="428">
        <f>IF(IT$7&gt;$D$3,"",_xlfn.XLOOKUP(IT$8,Finance!$M$16:$X$16,Finance!$M$25:$X$25))</f>
        <v>152.22240015810277</v>
      </c>
      <c r="IU113" s="428">
        <f>IF(IU$7&gt;$D$3,"",_xlfn.XLOOKUP(IU$8,Finance!$M$16:$X$16,Finance!$M$25:$X$25))</f>
        <v>152.22240015810277</v>
      </c>
      <c r="IV113" s="428">
        <f>IF(IV$7&gt;$D$3,"",_xlfn.XLOOKUP(IV$8,Finance!$M$16:$X$16,Finance!$M$25:$X$25))</f>
        <v>152.22240015810277</v>
      </c>
      <c r="IW113" s="428">
        <f>IF(IW$7&gt;$D$3,"",_xlfn.XLOOKUP(IW$8,Finance!$M$16:$X$16,Finance!$M$25:$X$25))</f>
        <v>157.19999999999999</v>
      </c>
      <c r="IX113" s="428">
        <f>IF(IX$7&gt;$D$3,"",_xlfn.XLOOKUP(IX$8,Finance!$M$16:$X$16,Finance!$M$25:$X$25))</f>
        <v>157.19999999999999</v>
      </c>
      <c r="IY113" s="428">
        <f>IF(IY$7&gt;$D$3,"",_xlfn.XLOOKUP(IY$8,Finance!$M$16:$X$16,Finance!$M$25:$X$25))</f>
        <v>157.19999999999999</v>
      </c>
      <c r="IZ113" s="428" t="str">
        <f>IF(IZ$7&gt;$D$3,"",_xlfn.XLOOKUP(IZ$8,Finance!$M$16:$X$16,Finance!$M$25:$X$25))</f>
        <v/>
      </c>
      <c r="JA113" s="428" t="str">
        <f>IF(JA$7&gt;$D$3,"",_xlfn.XLOOKUP(JA$8,Finance!$M$16:$X$16,Finance!$M$25:$X$25))</f>
        <v/>
      </c>
      <c r="JB113" s="428" t="str">
        <f>IF(JB$7&gt;$D$3,"",_xlfn.XLOOKUP(JB$8,Finance!$M$16:$X$16,Finance!$M$25:$X$25))</f>
        <v/>
      </c>
      <c r="JC113" s="428" t="str">
        <f>IF(JC$7&gt;$D$3,"",_xlfn.XLOOKUP(JC$8,Finance!$M$16:$X$16,Finance!$M$25:$X$25))</f>
        <v/>
      </c>
      <c r="JD113" s="428" t="str">
        <f>IF(JD$7&gt;$D$3,"",_xlfn.XLOOKUP(JD$8,Finance!$M$16:$X$16,Finance!$M$25:$X$25))</f>
        <v/>
      </c>
      <c r="JE113" s="428" t="str">
        <f>IF(JE$7&gt;$D$3,"",_xlfn.XLOOKUP(JE$8,Finance!$M$16:$X$16,Finance!$M$25:$X$25))</f>
        <v/>
      </c>
      <c r="JF113" s="428" t="str">
        <f>IF(JF$7&gt;$D$3,"",_xlfn.XLOOKUP(JF$8,Finance!$M$16:$X$16,Finance!$M$25:$X$25))</f>
        <v/>
      </c>
      <c r="JG113" s="428" t="str">
        <f>IF(JG$7&gt;$D$3,"",_xlfn.XLOOKUP(JG$8,Finance!$M$16:$X$16,Finance!$M$25:$X$25))</f>
        <v/>
      </c>
      <c r="JH113" s="428" t="str">
        <f>IF(JH$7&gt;$D$3,"",_xlfn.XLOOKUP(JH$8,Finance!$M$16:$X$16,Finance!$M$25:$X$25))</f>
        <v/>
      </c>
      <c r="JI113" s="428" t="str">
        <f>IF(JI$7&gt;$D$3,"",_xlfn.XLOOKUP(JI$8,Finance!$M$16:$X$16,Finance!$M$25:$X$25))</f>
        <v/>
      </c>
      <c r="JJ113" s="428" t="str">
        <f>IF(JJ$7&gt;$D$3,"",_xlfn.XLOOKUP(JJ$8,Finance!$M$16:$X$16,Finance!$M$25:$X$25))</f>
        <v/>
      </c>
      <c r="JM113" s="138" t="str">
        <f>+$C113</f>
        <v>KPI C1</v>
      </c>
      <c r="JN113" s="146" t="str">
        <f>+$D113</f>
        <v>Cost</v>
      </c>
      <c r="JO113" s="245" t="str">
        <f t="shared" si="366"/>
        <v>Group Turnover per employee</v>
      </c>
      <c r="JP113" s="147" t="str">
        <f t="shared" si="367"/>
        <v>£'s</v>
      </c>
      <c r="JQ113" s="147" t="s">
        <v>284</v>
      </c>
      <c r="JR113" s="227" t="str">
        <f>IFERROR(AVERAGE(FC113:$FC113),"")</f>
        <v/>
      </c>
      <c r="JS113" s="428">
        <f t="shared" si="498"/>
        <v>112.53889989389918</v>
      </c>
      <c r="JT113" s="428">
        <f t="shared" si="499"/>
        <v>112.53889989389918</v>
      </c>
      <c r="JU113" s="428">
        <f t="shared" si="500"/>
        <v>112.53889989389918</v>
      </c>
      <c r="JV113" s="428">
        <f t="shared" si="501"/>
        <v>112.53889989389918</v>
      </c>
      <c r="JW113" s="428">
        <f t="shared" si="502"/>
        <v>112.66394848806365</v>
      </c>
      <c r="JX113" s="428">
        <f t="shared" si="503"/>
        <v>112.66394848806365</v>
      </c>
      <c r="JY113" s="428">
        <f t="shared" si="504"/>
        <v>112.66394848806365</v>
      </c>
      <c r="JZ113" s="428">
        <f t="shared" si="505"/>
        <v>112.66394848806365</v>
      </c>
      <c r="KA113" s="428">
        <f t="shared" si="506"/>
        <v>125.08746447058823</v>
      </c>
      <c r="KB113" s="428">
        <f t="shared" si="507"/>
        <v>125.08746447058823</v>
      </c>
      <c r="KC113" s="428">
        <f t="shared" si="508"/>
        <v>125.08746447058823</v>
      </c>
      <c r="KD113" s="428">
        <f t="shared" si="509"/>
        <v>125.08746447058823</v>
      </c>
      <c r="KE113" s="428">
        <f t="shared" si="510"/>
        <v>125.08746447058823</v>
      </c>
      <c r="KF113" s="428">
        <f t="shared" si="511"/>
        <v>125.08746447058823</v>
      </c>
      <c r="KG113" s="428">
        <f t="shared" si="512"/>
        <v>125.08746447058823</v>
      </c>
      <c r="KH113" s="428">
        <f t="shared" si="513"/>
        <v>125.08746447058823</v>
      </c>
      <c r="KI113" s="428">
        <f t="shared" si="514"/>
        <v>110.99748918367348</v>
      </c>
      <c r="KJ113" s="428">
        <f t="shared" si="515"/>
        <v>110.99748918367348</v>
      </c>
      <c r="KK113" s="428">
        <f t="shared" si="516"/>
        <v>110.99748918367348</v>
      </c>
      <c r="KL113" s="428">
        <f t="shared" si="517"/>
        <v>110.99748918367348</v>
      </c>
      <c r="KM113" s="428">
        <f t="shared" si="518"/>
        <v>110.99748918367348</v>
      </c>
      <c r="KN113" s="428">
        <f t="shared" si="519"/>
        <v>133.4257975928297</v>
      </c>
      <c r="KO113" s="428">
        <f t="shared" si="520"/>
        <v>133.4257975928297</v>
      </c>
      <c r="KP113" s="428">
        <f t="shared" si="521"/>
        <v>133.4257975928297</v>
      </c>
      <c r="KQ113" s="428">
        <f t="shared" si="522"/>
        <v>133.4257975928297</v>
      </c>
      <c r="KR113" s="428">
        <f t="shared" si="523"/>
        <v>114.87345011553273</v>
      </c>
      <c r="KS113" s="428">
        <f t="shared" si="524"/>
        <v>114.87345011553273</v>
      </c>
      <c r="KT113" s="428">
        <f t="shared" si="525"/>
        <v>114.87345011553273</v>
      </c>
      <c r="KU113" s="428">
        <f t="shared" si="526"/>
        <v>114.87345011553273</v>
      </c>
      <c r="KV113" s="428">
        <f t="shared" si="527"/>
        <v>114.87345011553273</v>
      </c>
      <c r="KW113" s="428">
        <f t="shared" si="528"/>
        <v>119.62735775510204</v>
      </c>
      <c r="KX113" s="428">
        <f t="shared" si="529"/>
        <v>119.62735775510204</v>
      </c>
      <c r="KY113" s="428">
        <f t="shared" si="530"/>
        <v>119.62735775510204</v>
      </c>
      <c r="KZ113" s="428">
        <f t="shared" si="531"/>
        <v>119.62735775510204</v>
      </c>
      <c r="LA113" s="428">
        <f t="shared" si="532"/>
        <v>134.38181490494296</v>
      </c>
      <c r="LB113" s="428">
        <f t="shared" si="533"/>
        <v>134.38181490494296</v>
      </c>
      <c r="LC113" s="428">
        <f t="shared" si="534"/>
        <v>134.38181490494296</v>
      </c>
      <c r="LD113" s="428">
        <f t="shared" si="535"/>
        <v>134.38181490494296</v>
      </c>
      <c r="LE113" s="428">
        <f t="shared" si="536"/>
        <v>145.30000000000001</v>
      </c>
      <c r="LF113" s="428">
        <f t="shared" si="537"/>
        <v>145.30000000000001</v>
      </c>
      <c r="LG113" s="428">
        <f t="shared" si="538"/>
        <v>145.30000000000001</v>
      </c>
      <c r="LH113" s="428" t="str">
        <f t="shared" si="539"/>
        <v/>
      </c>
      <c r="LI113" s="428" t="str">
        <f t="shared" si="540"/>
        <v/>
      </c>
      <c r="LJ113" s="428" t="str">
        <f t="shared" si="541"/>
        <v/>
      </c>
      <c r="LK113" s="428" t="str">
        <f t="shared" si="542"/>
        <v/>
      </c>
      <c r="LL113" s="428" t="str">
        <f t="shared" si="543"/>
        <v/>
      </c>
      <c r="LM113" s="428" t="str">
        <f t="shared" si="544"/>
        <v/>
      </c>
      <c r="LN113" s="428" t="str">
        <f t="shared" si="545"/>
        <v/>
      </c>
      <c r="LO113" s="428" t="str">
        <f t="shared" si="546"/>
        <v/>
      </c>
      <c r="LP113" s="428" t="str">
        <f t="shared" si="547"/>
        <v/>
      </c>
      <c r="LQ113" s="428" t="str">
        <f t="shared" si="548"/>
        <v/>
      </c>
      <c r="LR113" s="429" t="str">
        <f t="shared" si="549"/>
        <v/>
      </c>
      <c r="LT113" s="138" t="str">
        <f>+$C113</f>
        <v>KPI C1</v>
      </c>
      <c r="LU113" s="146" t="str">
        <f>+$D113</f>
        <v>Cost</v>
      </c>
      <c r="LV113" s="146" t="str">
        <f t="shared" si="370"/>
        <v>Group Turnover per employee</v>
      </c>
      <c r="LW113" s="147" t="str">
        <f t="shared" si="371"/>
        <v>£'s</v>
      </c>
      <c r="LX113" s="147" t="s">
        <v>285</v>
      </c>
      <c r="LY113" s="227" t="str">
        <f>IFERROR(AVERAGE($HJ113:HJ113),"")</f>
        <v/>
      </c>
      <c r="LZ113" s="428">
        <f t="shared" si="550"/>
        <v>107.64848600790515</v>
      </c>
      <c r="MA113" s="428">
        <f t="shared" si="551"/>
        <v>107.64848600790515</v>
      </c>
      <c r="MB113" s="428">
        <f t="shared" si="552"/>
        <v>107.64848600790515</v>
      </c>
      <c r="MC113" s="428">
        <f t="shared" si="553"/>
        <v>107.64848600790515</v>
      </c>
      <c r="MD113" s="428">
        <f t="shared" si="554"/>
        <v>113.11062039525692</v>
      </c>
      <c r="ME113" s="428">
        <f t="shared" si="555"/>
        <v>113.11062039525692</v>
      </c>
      <c r="MF113" s="428">
        <f t="shared" si="556"/>
        <v>113.11062039525692</v>
      </c>
      <c r="MG113" s="428">
        <f t="shared" si="557"/>
        <v>113.11062039525692</v>
      </c>
      <c r="MH113" s="428">
        <f t="shared" si="558"/>
        <v>133.79235146245063</v>
      </c>
      <c r="MI113" s="428">
        <f t="shared" si="559"/>
        <v>133.79235146245063</v>
      </c>
      <c r="MJ113" s="428">
        <f t="shared" si="560"/>
        <v>133.79235146245063</v>
      </c>
      <c r="MK113" s="428">
        <f t="shared" si="561"/>
        <v>133.79235146245063</v>
      </c>
      <c r="ML113" s="428">
        <f t="shared" si="562"/>
        <v>133.79235146245063</v>
      </c>
      <c r="MM113" s="428">
        <f t="shared" si="563"/>
        <v>133.79235146245063</v>
      </c>
      <c r="MN113" s="428">
        <f t="shared" si="564"/>
        <v>133.79235146245063</v>
      </c>
      <c r="MO113" s="428">
        <f t="shared" si="565"/>
        <v>133.79235146245063</v>
      </c>
      <c r="MP113" s="428">
        <f t="shared" si="566"/>
        <v>127.11368758893282</v>
      </c>
      <c r="MQ113" s="428">
        <f t="shared" si="567"/>
        <v>127.11368758893282</v>
      </c>
      <c r="MR113" s="428">
        <f t="shared" si="568"/>
        <v>127.11368758893282</v>
      </c>
      <c r="MS113" s="428">
        <f t="shared" si="569"/>
        <v>127.11368758893282</v>
      </c>
      <c r="MT113" s="428">
        <f t="shared" si="570"/>
        <v>127.11368758893282</v>
      </c>
      <c r="MU113" s="428">
        <f t="shared" si="571"/>
        <v>130.90671525691701</v>
      </c>
      <c r="MV113" s="428">
        <f t="shared" si="572"/>
        <v>130.90671525691701</v>
      </c>
      <c r="MW113" s="428">
        <f t="shared" si="573"/>
        <v>130.90671525691701</v>
      </c>
      <c r="MX113" s="428">
        <f t="shared" si="574"/>
        <v>130.90671525691701</v>
      </c>
      <c r="MY113" s="428">
        <f t="shared" si="575"/>
        <v>140.51775857707511</v>
      </c>
      <c r="MZ113" s="428">
        <f t="shared" si="576"/>
        <v>140.51775857707511</v>
      </c>
      <c r="NA113" s="428">
        <f t="shared" si="577"/>
        <v>140.51775857707511</v>
      </c>
      <c r="NB113" s="428">
        <f t="shared" si="578"/>
        <v>140.51775857707511</v>
      </c>
      <c r="NC113" s="428">
        <f t="shared" si="579"/>
        <v>140.51775857707511</v>
      </c>
      <c r="ND113" s="428">
        <f t="shared" si="580"/>
        <v>151.818738972332</v>
      </c>
      <c r="NE113" s="428">
        <f t="shared" si="581"/>
        <v>151.818738972332</v>
      </c>
      <c r="NF113" s="428">
        <f t="shared" si="582"/>
        <v>151.818738972332</v>
      </c>
      <c r="NG113" s="428">
        <f t="shared" si="583"/>
        <v>151.818738972332</v>
      </c>
      <c r="NH113" s="428">
        <f t="shared" si="584"/>
        <v>152.22240015810277</v>
      </c>
      <c r="NI113" s="428">
        <f t="shared" si="585"/>
        <v>152.22240015810277</v>
      </c>
      <c r="NJ113" s="428">
        <f t="shared" si="586"/>
        <v>152.22240015810277</v>
      </c>
      <c r="NK113" s="428">
        <f t="shared" si="587"/>
        <v>152.22240015810277</v>
      </c>
      <c r="NL113" s="428">
        <f t="shared" si="588"/>
        <v>157.19999999999999</v>
      </c>
      <c r="NM113" s="428">
        <f t="shared" si="589"/>
        <v>157.19999999999999</v>
      </c>
      <c r="NN113" s="428">
        <f t="shared" si="590"/>
        <v>157.19999999999999</v>
      </c>
      <c r="NO113" s="428" t="str">
        <f t="shared" si="591"/>
        <v/>
      </c>
      <c r="NP113" s="428" t="str">
        <f t="shared" si="592"/>
        <v/>
      </c>
      <c r="NQ113" s="428" t="str">
        <f t="shared" si="593"/>
        <v/>
      </c>
      <c r="NR113" s="428" t="str">
        <f t="shared" si="594"/>
        <v/>
      </c>
      <c r="NS113" s="428" t="str">
        <f t="shared" si="595"/>
        <v/>
      </c>
      <c r="NT113" s="428" t="str">
        <f t="shared" si="596"/>
        <v/>
      </c>
      <c r="NU113" s="428" t="str">
        <f t="shared" si="597"/>
        <v/>
      </c>
      <c r="NV113" s="428" t="str">
        <f t="shared" si="598"/>
        <v/>
      </c>
      <c r="NW113" s="428" t="str">
        <f t="shared" si="599"/>
        <v/>
      </c>
      <c r="NX113" s="428" t="str">
        <f t="shared" si="600"/>
        <v/>
      </c>
      <c r="NY113" s="429" t="str">
        <f t="shared" si="601"/>
        <v/>
      </c>
    </row>
    <row r="114" spans="1:389" ht="15" thickBot="1" x14ac:dyDescent="0.35">
      <c r="AB114" s="292"/>
      <c r="AH114" s="465"/>
      <c r="AN114" s="201"/>
      <c r="CO114" s="465"/>
      <c r="CV114" s="316"/>
      <c r="CW114" s="316"/>
      <c r="CX114" s="316"/>
      <c r="CY114" s="316"/>
      <c r="CZ114" s="316"/>
      <c r="DA114" s="316"/>
      <c r="DB114" s="316"/>
      <c r="DC114" s="316"/>
      <c r="DD114" s="316"/>
      <c r="DE114" s="316"/>
      <c r="DF114" s="316"/>
      <c r="DG114" s="316"/>
      <c r="DH114" s="316"/>
      <c r="DI114" s="316"/>
      <c r="DJ114" s="316"/>
      <c r="DK114" s="316"/>
      <c r="DL114" s="316"/>
      <c r="DM114" s="316"/>
      <c r="DN114" s="316"/>
      <c r="DO114" s="316"/>
      <c r="DP114" s="316"/>
      <c r="DQ114" s="316"/>
      <c r="DR114" s="316"/>
      <c r="DS114" s="316"/>
      <c r="DT114" s="316"/>
      <c r="DU114" s="316"/>
      <c r="DV114" s="316"/>
      <c r="DW114" s="316"/>
      <c r="DX114" s="316"/>
      <c r="DY114" s="316"/>
      <c r="DZ114" s="316"/>
      <c r="EA114" s="316"/>
      <c r="EB114" s="316"/>
      <c r="EC114" s="316"/>
      <c r="ED114" s="316"/>
      <c r="EE114" s="316"/>
      <c r="EF114" s="316"/>
      <c r="EG114" s="316"/>
      <c r="EH114" s="316"/>
      <c r="EI114" s="316"/>
      <c r="EJ114" s="316"/>
      <c r="EK114" s="316"/>
      <c r="EL114" s="316"/>
      <c r="EM114" s="316"/>
      <c r="EN114" s="316"/>
      <c r="EO114" s="316"/>
      <c r="EP114" s="316"/>
      <c r="EQ114" s="316"/>
      <c r="ER114" s="316"/>
      <c r="ES114" s="316"/>
      <c r="ET114" s="316"/>
      <c r="EU114" s="316"/>
      <c r="EW114" s="465"/>
      <c r="FC114" s="201"/>
      <c r="FD114" s="201"/>
      <c r="FE114" s="201"/>
      <c r="FF114" s="201"/>
      <c r="FG114" s="201"/>
      <c r="FH114" s="201"/>
      <c r="FI114" s="201"/>
      <c r="FJ114" s="201"/>
      <c r="FK114" s="201"/>
      <c r="FL114" s="201"/>
      <c r="FM114" s="201"/>
      <c r="FN114" s="201"/>
      <c r="FO114" s="201"/>
      <c r="FP114" s="201"/>
      <c r="FQ114" s="201"/>
      <c r="FR114" s="201"/>
      <c r="FS114" s="201"/>
      <c r="FT114" s="201"/>
      <c r="FU114" s="201"/>
      <c r="FV114" s="201"/>
      <c r="FW114" s="201"/>
      <c r="FX114" s="201"/>
      <c r="FY114" s="201"/>
      <c r="FZ114" s="201"/>
      <c r="GA114" s="201"/>
      <c r="GB114" s="201"/>
      <c r="GC114" s="201"/>
      <c r="GD114" s="201"/>
      <c r="GE114" s="201"/>
      <c r="GF114" s="201"/>
      <c r="GG114" s="201"/>
      <c r="GH114" s="201"/>
      <c r="GI114" s="201"/>
      <c r="GJ114" s="201"/>
      <c r="GK114" s="201"/>
      <c r="GL114" s="201"/>
      <c r="GM114" s="201"/>
      <c r="GN114" s="201"/>
      <c r="GO114" s="201"/>
      <c r="GP114" s="201"/>
      <c r="GQ114" s="201"/>
      <c r="GR114" s="201"/>
      <c r="GS114" s="201"/>
      <c r="GT114" s="201"/>
      <c r="GU114" s="201"/>
      <c r="GV114" s="201"/>
      <c r="GW114" s="201"/>
      <c r="GX114" s="201"/>
      <c r="GY114" s="201"/>
      <c r="GZ114" s="201"/>
      <c r="HA114" s="201"/>
      <c r="HB114" s="201"/>
      <c r="HC114" s="201"/>
      <c r="HJ114" s="201"/>
      <c r="HK114" s="201"/>
      <c r="HL114" s="249"/>
      <c r="HM114" s="249"/>
      <c r="HN114" s="249"/>
      <c r="HO114" s="249"/>
      <c r="HP114" s="249"/>
      <c r="HQ114" s="249"/>
      <c r="HR114" s="249"/>
      <c r="HS114" s="249"/>
      <c r="HT114" s="249"/>
      <c r="HU114" s="249"/>
      <c r="HV114" s="249"/>
      <c r="HW114" s="249"/>
      <c r="HX114" s="249"/>
      <c r="HY114" s="249"/>
      <c r="HZ114" s="249"/>
      <c r="IA114" s="249"/>
      <c r="IB114" s="249"/>
      <c r="IC114" s="249"/>
      <c r="ID114" s="249"/>
      <c r="IE114" s="249"/>
      <c r="IF114" s="249"/>
      <c r="IG114" s="249"/>
      <c r="IH114" s="249"/>
      <c r="II114" s="249"/>
      <c r="IJ114" s="249"/>
      <c r="IK114" s="249"/>
      <c r="IL114" s="249"/>
      <c r="IM114" s="249"/>
      <c r="IN114" s="249"/>
      <c r="IO114" s="249"/>
      <c r="IP114" s="249"/>
      <c r="IQ114" s="249"/>
      <c r="IR114" s="249"/>
      <c r="IS114" s="249"/>
      <c r="IT114" s="249"/>
      <c r="IU114" s="249"/>
      <c r="IV114" s="249"/>
      <c r="IW114" s="249"/>
      <c r="IX114" s="249"/>
      <c r="IY114" s="249"/>
      <c r="IZ114" s="249"/>
      <c r="JA114" s="249"/>
      <c r="JB114" s="249"/>
      <c r="JC114" s="249"/>
      <c r="JD114" s="249"/>
      <c r="JE114" s="249"/>
      <c r="JF114" s="249"/>
      <c r="JG114" s="249"/>
      <c r="JH114" s="249"/>
      <c r="JI114" s="249"/>
      <c r="JJ114" s="249"/>
      <c r="JR114" s="249"/>
      <c r="JS114" s="249"/>
      <c r="JT114" s="249"/>
      <c r="JU114" s="249"/>
      <c r="JV114" s="249"/>
      <c r="JW114" s="249"/>
      <c r="JX114" s="249"/>
      <c r="JY114" s="249"/>
      <c r="JZ114" s="249"/>
      <c r="KA114" s="249"/>
      <c r="KB114" s="249"/>
      <c r="KC114" s="249"/>
      <c r="KD114" s="249"/>
      <c r="KE114" s="249"/>
      <c r="KF114" s="249"/>
      <c r="KG114" s="249"/>
      <c r="KH114" s="249"/>
      <c r="KI114" s="249"/>
      <c r="KJ114" s="249"/>
      <c r="KK114" s="249"/>
      <c r="KL114" s="249"/>
      <c r="KM114" s="249"/>
      <c r="KN114" s="249"/>
      <c r="KO114" s="249"/>
      <c r="KP114" s="249"/>
      <c r="KQ114" s="249"/>
      <c r="KR114" s="249"/>
      <c r="KS114" s="249"/>
      <c r="KT114" s="249"/>
      <c r="KU114" s="249"/>
      <c r="KV114" s="249"/>
      <c r="KW114" s="249"/>
      <c r="KX114" s="249"/>
      <c r="KY114" s="249"/>
      <c r="KZ114" s="249"/>
      <c r="LA114" s="249"/>
      <c r="LB114" s="249"/>
      <c r="LC114" s="249"/>
      <c r="LD114" s="249"/>
      <c r="LE114" s="249"/>
      <c r="LF114" s="249"/>
      <c r="LG114" s="249"/>
      <c r="LH114" s="249"/>
      <c r="LI114" s="249"/>
      <c r="LJ114" s="249"/>
      <c r="LK114" s="249"/>
      <c r="LL114" s="249"/>
      <c r="LM114" s="249"/>
      <c r="LN114" s="249"/>
      <c r="LO114" s="249"/>
      <c r="LP114" s="249"/>
      <c r="LQ114" s="249"/>
      <c r="LR114" s="249"/>
      <c r="LY114" s="201" t="str">
        <f>IFERROR(AVERAGE($HJ114:HJ114),"")</f>
        <v/>
      </c>
      <c r="LZ114" s="201"/>
      <c r="MA114" s="201"/>
      <c r="MB114" s="201"/>
      <c r="MC114" s="201"/>
      <c r="MD114" s="201"/>
      <c r="ME114" s="201"/>
      <c r="MF114" s="201"/>
      <c r="MG114" s="201"/>
      <c r="MH114" s="201"/>
      <c r="MI114" s="201"/>
      <c r="MJ114" s="201"/>
      <c r="MK114" s="201"/>
      <c r="ML114" s="201"/>
      <c r="MM114" s="201"/>
      <c r="MN114" s="201"/>
      <c r="MO114" s="201"/>
      <c r="MP114" s="201"/>
      <c r="MQ114" s="201"/>
      <c r="MR114" s="201"/>
      <c r="MS114" s="201"/>
      <c r="MT114" s="201"/>
      <c r="MU114" s="201"/>
      <c r="MV114" s="201"/>
      <c r="MW114" s="201"/>
      <c r="MX114" s="201"/>
      <c r="MY114" s="201"/>
      <c r="MZ114" s="201"/>
      <c r="NA114" s="201"/>
      <c r="NB114" s="201"/>
      <c r="NC114" s="201"/>
      <c r="ND114" s="201"/>
      <c r="NE114" s="201"/>
      <c r="NF114" s="201"/>
      <c r="NG114" s="201"/>
      <c r="NH114" s="201"/>
      <c r="NI114" s="201"/>
      <c r="NJ114" s="201"/>
      <c r="NK114" s="201"/>
      <c r="NL114" s="201"/>
      <c r="NM114" s="201"/>
      <c r="NN114" s="201"/>
      <c r="NO114" s="201"/>
      <c r="NP114" s="201"/>
      <c r="NQ114" s="201"/>
      <c r="NR114" s="201"/>
      <c r="NS114" s="201"/>
      <c r="NT114" s="201"/>
      <c r="NU114" s="201"/>
      <c r="NV114" s="201"/>
      <c r="NW114" s="201"/>
      <c r="NX114" s="201"/>
      <c r="NY114" s="201"/>
    </row>
    <row r="115" spans="1:389" ht="29.4" customHeight="1" thickBot="1" x14ac:dyDescent="0.35">
      <c r="B115" s="185" t="str">
        <f>+'KPI Stats'!B114</f>
        <v>HR</v>
      </c>
      <c r="C115" s="133" t="str">
        <f>+'KPI Stats'!C114</f>
        <v>Bethan Grant</v>
      </c>
      <c r="D115" s="134"/>
      <c r="E115" s="141" t="str">
        <f>+'KPI Stats'!E114</f>
        <v>Completed to Month</v>
      </c>
      <c r="F115" s="141">
        <f>+'KPI Stats'!F114</f>
        <v>9</v>
      </c>
      <c r="G115" s="209" t="s">
        <v>212</v>
      </c>
      <c r="J115" s="181" t="str">
        <f>+$B115</f>
        <v>HR</v>
      </c>
      <c r="K115" s="181"/>
      <c r="L115" s="182"/>
      <c r="M115" s="183"/>
      <c r="P115" s="181" t="str">
        <f>+$B115</f>
        <v>HR</v>
      </c>
      <c r="Q115" s="181"/>
      <c r="R115" s="181"/>
      <c r="S115" s="183"/>
      <c r="T115" s="183"/>
      <c r="U115" s="291"/>
      <c r="X115" s="181" t="str">
        <f>+$B115</f>
        <v>HR</v>
      </c>
      <c r="Y115" s="181"/>
      <c r="Z115" s="181"/>
      <c r="AA115" s="183"/>
      <c r="AB115" s="291"/>
      <c r="AC115" s="181" t="str">
        <f>+$B115</f>
        <v>HR</v>
      </c>
      <c r="AD115" s="181"/>
      <c r="AE115" s="181"/>
      <c r="AF115" s="183"/>
      <c r="AH115" s="465"/>
      <c r="AI115" s="191" t="str">
        <f>+B116</f>
        <v>Human Resources</v>
      </c>
      <c r="AJ115" s="192"/>
      <c r="AK115" s="141" t="str">
        <f t="shared" ref="AK115:AL123" si="602">+E115</f>
        <v>Completed to Month</v>
      </c>
      <c r="AL115" s="141">
        <f t="shared" si="602"/>
        <v>9</v>
      </c>
      <c r="AM115" s="181" t="str">
        <f t="shared" ref="AM115:BR115" si="603">+$B115</f>
        <v>HR</v>
      </c>
      <c r="AN115" s="197" t="str">
        <f t="shared" si="603"/>
        <v>HR</v>
      </c>
      <c r="AO115" s="181" t="str">
        <f t="shared" si="603"/>
        <v>HR</v>
      </c>
      <c r="AP115" s="181" t="str">
        <f t="shared" si="603"/>
        <v>HR</v>
      </c>
      <c r="AQ115" s="181" t="str">
        <f t="shared" si="603"/>
        <v>HR</v>
      </c>
      <c r="AR115" s="181" t="str">
        <f t="shared" si="603"/>
        <v>HR</v>
      </c>
      <c r="AS115" s="181" t="str">
        <f t="shared" si="603"/>
        <v>HR</v>
      </c>
      <c r="AT115" s="181" t="str">
        <f t="shared" si="603"/>
        <v>HR</v>
      </c>
      <c r="AU115" s="181" t="str">
        <f t="shared" si="603"/>
        <v>HR</v>
      </c>
      <c r="AV115" s="181" t="str">
        <f t="shared" si="603"/>
        <v>HR</v>
      </c>
      <c r="AW115" s="181" t="str">
        <f t="shared" si="603"/>
        <v>HR</v>
      </c>
      <c r="AX115" s="181" t="str">
        <f t="shared" si="603"/>
        <v>HR</v>
      </c>
      <c r="AY115" s="181" t="str">
        <f t="shared" si="603"/>
        <v>HR</v>
      </c>
      <c r="AZ115" s="181" t="str">
        <f t="shared" si="603"/>
        <v>HR</v>
      </c>
      <c r="BA115" s="181" t="str">
        <f t="shared" si="603"/>
        <v>HR</v>
      </c>
      <c r="BB115" s="181" t="str">
        <f t="shared" si="603"/>
        <v>HR</v>
      </c>
      <c r="BC115" s="181" t="str">
        <f t="shared" si="603"/>
        <v>HR</v>
      </c>
      <c r="BD115" s="181" t="str">
        <f t="shared" si="603"/>
        <v>HR</v>
      </c>
      <c r="BE115" s="181" t="str">
        <f t="shared" si="603"/>
        <v>HR</v>
      </c>
      <c r="BF115" s="181" t="str">
        <f t="shared" si="603"/>
        <v>HR</v>
      </c>
      <c r="BG115" s="181" t="str">
        <f t="shared" si="603"/>
        <v>HR</v>
      </c>
      <c r="BH115" s="181" t="str">
        <f t="shared" si="603"/>
        <v>HR</v>
      </c>
      <c r="BI115" s="181" t="str">
        <f t="shared" si="603"/>
        <v>HR</v>
      </c>
      <c r="BJ115" s="181" t="str">
        <f t="shared" si="603"/>
        <v>HR</v>
      </c>
      <c r="BK115" s="181" t="str">
        <f t="shared" si="603"/>
        <v>HR</v>
      </c>
      <c r="BL115" s="181" t="str">
        <f t="shared" si="603"/>
        <v>HR</v>
      </c>
      <c r="BM115" s="181" t="str">
        <f t="shared" si="603"/>
        <v>HR</v>
      </c>
      <c r="BN115" s="181" t="str">
        <f t="shared" si="603"/>
        <v>HR</v>
      </c>
      <c r="BO115" s="181" t="str">
        <f t="shared" si="603"/>
        <v>HR</v>
      </c>
      <c r="BP115" s="181" t="str">
        <f t="shared" si="603"/>
        <v>HR</v>
      </c>
      <c r="BQ115" s="181" t="str">
        <f t="shared" si="603"/>
        <v>HR</v>
      </c>
      <c r="BR115" s="181" t="str">
        <f t="shared" si="603"/>
        <v>HR</v>
      </c>
      <c r="BS115" s="181" t="str">
        <f t="shared" ref="BS115:CM115" si="604">+$B115</f>
        <v>HR</v>
      </c>
      <c r="BT115" s="181" t="str">
        <f t="shared" si="604"/>
        <v>HR</v>
      </c>
      <c r="BU115" s="181" t="str">
        <f t="shared" si="604"/>
        <v>HR</v>
      </c>
      <c r="BV115" s="181" t="str">
        <f t="shared" si="604"/>
        <v>HR</v>
      </c>
      <c r="BW115" s="181" t="str">
        <f t="shared" si="604"/>
        <v>HR</v>
      </c>
      <c r="BX115" s="181" t="str">
        <f t="shared" si="604"/>
        <v>HR</v>
      </c>
      <c r="BY115" s="181" t="str">
        <f t="shared" si="604"/>
        <v>HR</v>
      </c>
      <c r="BZ115" s="181" t="str">
        <f t="shared" si="604"/>
        <v>HR</v>
      </c>
      <c r="CA115" s="181" t="str">
        <f t="shared" si="604"/>
        <v>HR</v>
      </c>
      <c r="CB115" s="181" t="str">
        <f t="shared" si="604"/>
        <v>HR</v>
      </c>
      <c r="CC115" s="181" t="str">
        <f t="shared" si="604"/>
        <v>HR</v>
      </c>
      <c r="CD115" s="181" t="str">
        <f t="shared" si="604"/>
        <v>HR</v>
      </c>
      <c r="CE115" s="181" t="str">
        <f t="shared" si="604"/>
        <v>HR</v>
      </c>
      <c r="CF115" s="181" t="str">
        <f t="shared" si="604"/>
        <v>HR</v>
      </c>
      <c r="CG115" s="181" t="str">
        <f t="shared" si="604"/>
        <v>HR</v>
      </c>
      <c r="CH115" s="181" t="str">
        <f t="shared" si="604"/>
        <v>HR</v>
      </c>
      <c r="CI115" s="181" t="str">
        <f t="shared" si="604"/>
        <v>HR</v>
      </c>
      <c r="CJ115" s="181" t="str">
        <f t="shared" si="604"/>
        <v>HR</v>
      </c>
      <c r="CK115" s="181" t="str">
        <f t="shared" si="604"/>
        <v>HR</v>
      </c>
      <c r="CL115" s="181" t="str">
        <f t="shared" si="604"/>
        <v>HR</v>
      </c>
      <c r="CM115" s="181" t="str">
        <f t="shared" si="604"/>
        <v>HR</v>
      </c>
      <c r="CO115" s="465"/>
      <c r="CP115" s="191" t="str">
        <f>+B116</f>
        <v>Human Resources</v>
      </c>
      <c r="CQ115" s="192"/>
      <c r="CR115" s="141" t="str">
        <f t="shared" ref="CR115:CS123" si="605">+E115</f>
        <v>Completed to Month</v>
      </c>
      <c r="CS115" s="141">
        <f t="shared" si="605"/>
        <v>9</v>
      </c>
      <c r="CT115" s="141" t="str">
        <f>+G115</f>
        <v>MONTHLY KPI</v>
      </c>
      <c r="CU115" s="181" t="str">
        <f t="shared" ref="CU115:EU115" si="606">+$B115</f>
        <v>HR</v>
      </c>
      <c r="CV115" s="317" t="str">
        <f t="shared" si="606"/>
        <v>HR</v>
      </c>
      <c r="CW115" s="317" t="str">
        <f t="shared" si="606"/>
        <v>HR</v>
      </c>
      <c r="CX115" s="317" t="str">
        <f t="shared" si="606"/>
        <v>HR</v>
      </c>
      <c r="CY115" s="317" t="str">
        <f t="shared" si="606"/>
        <v>HR</v>
      </c>
      <c r="CZ115" s="317" t="str">
        <f t="shared" si="606"/>
        <v>HR</v>
      </c>
      <c r="DA115" s="317" t="str">
        <f t="shared" si="606"/>
        <v>HR</v>
      </c>
      <c r="DB115" s="317" t="str">
        <f t="shared" si="606"/>
        <v>HR</v>
      </c>
      <c r="DC115" s="317" t="str">
        <f t="shared" si="606"/>
        <v>HR</v>
      </c>
      <c r="DD115" s="317" t="str">
        <f t="shared" si="606"/>
        <v>HR</v>
      </c>
      <c r="DE115" s="317" t="str">
        <f t="shared" si="606"/>
        <v>HR</v>
      </c>
      <c r="DF115" s="317" t="str">
        <f t="shared" si="606"/>
        <v>HR</v>
      </c>
      <c r="DG115" s="317" t="str">
        <f t="shared" si="606"/>
        <v>HR</v>
      </c>
      <c r="DH115" s="317" t="str">
        <f t="shared" si="606"/>
        <v>HR</v>
      </c>
      <c r="DI115" s="317" t="str">
        <f t="shared" si="606"/>
        <v>HR</v>
      </c>
      <c r="DJ115" s="317" t="str">
        <f t="shared" si="606"/>
        <v>HR</v>
      </c>
      <c r="DK115" s="317" t="str">
        <f t="shared" si="606"/>
        <v>HR</v>
      </c>
      <c r="DL115" s="317" t="str">
        <f t="shared" si="606"/>
        <v>HR</v>
      </c>
      <c r="DM115" s="317" t="str">
        <f t="shared" si="606"/>
        <v>HR</v>
      </c>
      <c r="DN115" s="317" t="str">
        <f t="shared" si="606"/>
        <v>HR</v>
      </c>
      <c r="DO115" s="317" t="str">
        <f t="shared" si="606"/>
        <v>HR</v>
      </c>
      <c r="DP115" s="317" t="str">
        <f t="shared" si="606"/>
        <v>HR</v>
      </c>
      <c r="DQ115" s="317" t="str">
        <f t="shared" si="606"/>
        <v>HR</v>
      </c>
      <c r="DR115" s="317" t="str">
        <f t="shared" si="606"/>
        <v>HR</v>
      </c>
      <c r="DS115" s="317" t="str">
        <f t="shared" si="606"/>
        <v>HR</v>
      </c>
      <c r="DT115" s="317" t="str">
        <f t="shared" si="606"/>
        <v>HR</v>
      </c>
      <c r="DU115" s="317" t="str">
        <f t="shared" si="606"/>
        <v>HR</v>
      </c>
      <c r="DV115" s="317" t="str">
        <f t="shared" si="606"/>
        <v>HR</v>
      </c>
      <c r="DW115" s="317" t="str">
        <f t="shared" si="606"/>
        <v>HR</v>
      </c>
      <c r="DX115" s="317" t="str">
        <f t="shared" si="606"/>
        <v>HR</v>
      </c>
      <c r="DY115" s="317" t="str">
        <f t="shared" si="606"/>
        <v>HR</v>
      </c>
      <c r="DZ115" s="317" t="str">
        <f t="shared" si="606"/>
        <v>HR</v>
      </c>
      <c r="EA115" s="317" t="str">
        <f t="shared" si="606"/>
        <v>HR</v>
      </c>
      <c r="EB115" s="317" t="str">
        <f t="shared" si="606"/>
        <v>HR</v>
      </c>
      <c r="EC115" s="317" t="str">
        <f t="shared" si="606"/>
        <v>HR</v>
      </c>
      <c r="ED115" s="317" t="str">
        <f t="shared" si="606"/>
        <v>HR</v>
      </c>
      <c r="EE115" s="317" t="str">
        <f t="shared" si="606"/>
        <v>HR</v>
      </c>
      <c r="EF115" s="317" t="str">
        <f t="shared" si="606"/>
        <v>HR</v>
      </c>
      <c r="EG115" s="317" t="str">
        <f t="shared" si="606"/>
        <v>HR</v>
      </c>
      <c r="EH115" s="317" t="str">
        <f t="shared" si="606"/>
        <v>HR</v>
      </c>
      <c r="EI115" s="317" t="str">
        <f t="shared" si="606"/>
        <v>HR</v>
      </c>
      <c r="EJ115" s="317" t="str">
        <f t="shared" si="606"/>
        <v>HR</v>
      </c>
      <c r="EK115" s="317" t="str">
        <f t="shared" si="606"/>
        <v>HR</v>
      </c>
      <c r="EL115" s="317" t="str">
        <f t="shared" si="606"/>
        <v>HR</v>
      </c>
      <c r="EM115" s="317" t="str">
        <f t="shared" si="606"/>
        <v>HR</v>
      </c>
      <c r="EN115" s="317" t="str">
        <f t="shared" si="606"/>
        <v>HR</v>
      </c>
      <c r="EO115" s="317" t="str">
        <f t="shared" si="606"/>
        <v>HR</v>
      </c>
      <c r="EP115" s="317" t="str">
        <f t="shared" si="606"/>
        <v>HR</v>
      </c>
      <c r="EQ115" s="317" t="str">
        <f t="shared" si="606"/>
        <v>HR</v>
      </c>
      <c r="ER115" s="317" t="str">
        <f t="shared" si="606"/>
        <v>HR</v>
      </c>
      <c r="ES115" s="317" t="str">
        <f t="shared" si="606"/>
        <v>HR</v>
      </c>
      <c r="ET115" s="317" t="str">
        <f t="shared" si="606"/>
        <v>HR</v>
      </c>
      <c r="EU115" s="317" t="str">
        <f t="shared" si="606"/>
        <v>HR</v>
      </c>
      <c r="EW115" s="465"/>
      <c r="EX115" s="191" t="str">
        <f>+$B115</f>
        <v>HR</v>
      </c>
      <c r="EY115" s="192"/>
      <c r="EZ115" s="141" t="str">
        <f t="shared" ref="EZ115:EZ123" si="607">+$E115</f>
        <v>Completed to Month</v>
      </c>
      <c r="FA115" s="141">
        <f t="shared" ref="FA115:FA123" si="608">+$F115</f>
        <v>9</v>
      </c>
      <c r="FB115" s="141"/>
      <c r="FC115" s="197" t="str">
        <f t="shared" ref="FC115:GH115" si="609">+$B115</f>
        <v>HR</v>
      </c>
      <c r="FD115" s="197" t="str">
        <f t="shared" si="609"/>
        <v>HR</v>
      </c>
      <c r="FE115" s="197" t="str">
        <f t="shared" si="609"/>
        <v>HR</v>
      </c>
      <c r="FF115" s="197" t="str">
        <f t="shared" si="609"/>
        <v>HR</v>
      </c>
      <c r="FG115" s="197" t="str">
        <f t="shared" si="609"/>
        <v>HR</v>
      </c>
      <c r="FH115" s="197" t="str">
        <f t="shared" si="609"/>
        <v>HR</v>
      </c>
      <c r="FI115" s="197" t="str">
        <f t="shared" si="609"/>
        <v>HR</v>
      </c>
      <c r="FJ115" s="197" t="str">
        <f t="shared" si="609"/>
        <v>HR</v>
      </c>
      <c r="FK115" s="197" t="str">
        <f t="shared" si="609"/>
        <v>HR</v>
      </c>
      <c r="FL115" s="197" t="str">
        <f t="shared" si="609"/>
        <v>HR</v>
      </c>
      <c r="FM115" s="197" t="str">
        <f t="shared" si="609"/>
        <v>HR</v>
      </c>
      <c r="FN115" s="197" t="str">
        <f t="shared" si="609"/>
        <v>HR</v>
      </c>
      <c r="FO115" s="197" t="str">
        <f t="shared" si="609"/>
        <v>HR</v>
      </c>
      <c r="FP115" s="197" t="str">
        <f t="shared" si="609"/>
        <v>HR</v>
      </c>
      <c r="FQ115" s="197" t="str">
        <f t="shared" si="609"/>
        <v>HR</v>
      </c>
      <c r="FR115" s="197" t="str">
        <f t="shared" si="609"/>
        <v>HR</v>
      </c>
      <c r="FS115" s="197" t="str">
        <f t="shared" si="609"/>
        <v>HR</v>
      </c>
      <c r="FT115" s="197" t="str">
        <f t="shared" si="609"/>
        <v>HR</v>
      </c>
      <c r="FU115" s="197" t="str">
        <f t="shared" si="609"/>
        <v>HR</v>
      </c>
      <c r="FV115" s="197" t="str">
        <f t="shared" si="609"/>
        <v>HR</v>
      </c>
      <c r="FW115" s="197" t="str">
        <f t="shared" si="609"/>
        <v>HR</v>
      </c>
      <c r="FX115" s="197" t="str">
        <f t="shared" si="609"/>
        <v>HR</v>
      </c>
      <c r="FY115" s="197" t="str">
        <f t="shared" si="609"/>
        <v>HR</v>
      </c>
      <c r="FZ115" s="197" t="str">
        <f t="shared" si="609"/>
        <v>HR</v>
      </c>
      <c r="GA115" s="197" t="str">
        <f t="shared" si="609"/>
        <v>HR</v>
      </c>
      <c r="GB115" s="197" t="str">
        <f t="shared" si="609"/>
        <v>HR</v>
      </c>
      <c r="GC115" s="197" t="str">
        <f t="shared" si="609"/>
        <v>HR</v>
      </c>
      <c r="GD115" s="197" t="str">
        <f t="shared" si="609"/>
        <v>HR</v>
      </c>
      <c r="GE115" s="197" t="str">
        <f t="shared" si="609"/>
        <v>HR</v>
      </c>
      <c r="GF115" s="197" t="str">
        <f t="shared" si="609"/>
        <v>HR</v>
      </c>
      <c r="GG115" s="197" t="str">
        <f t="shared" si="609"/>
        <v>HR</v>
      </c>
      <c r="GH115" s="197" t="str">
        <f t="shared" si="609"/>
        <v>HR</v>
      </c>
      <c r="GI115" s="197" t="str">
        <f t="shared" ref="GI115:HC115" si="610">+$B115</f>
        <v>HR</v>
      </c>
      <c r="GJ115" s="197" t="str">
        <f t="shared" si="610"/>
        <v>HR</v>
      </c>
      <c r="GK115" s="197" t="str">
        <f t="shared" si="610"/>
        <v>HR</v>
      </c>
      <c r="GL115" s="197" t="str">
        <f t="shared" si="610"/>
        <v>HR</v>
      </c>
      <c r="GM115" s="197" t="str">
        <f t="shared" si="610"/>
        <v>HR</v>
      </c>
      <c r="GN115" s="197" t="str">
        <f t="shared" si="610"/>
        <v>HR</v>
      </c>
      <c r="GO115" s="197" t="str">
        <f t="shared" si="610"/>
        <v>HR</v>
      </c>
      <c r="GP115" s="197" t="str">
        <f t="shared" si="610"/>
        <v>HR</v>
      </c>
      <c r="GQ115" s="197" t="str">
        <f t="shared" si="610"/>
        <v>HR</v>
      </c>
      <c r="GR115" s="197" t="str">
        <f t="shared" si="610"/>
        <v>HR</v>
      </c>
      <c r="GS115" s="197" t="str">
        <f t="shared" si="610"/>
        <v>HR</v>
      </c>
      <c r="GT115" s="197" t="str">
        <f t="shared" si="610"/>
        <v>HR</v>
      </c>
      <c r="GU115" s="197" t="str">
        <f t="shared" si="610"/>
        <v>HR</v>
      </c>
      <c r="GV115" s="197" t="str">
        <f t="shared" si="610"/>
        <v>HR</v>
      </c>
      <c r="GW115" s="197" t="str">
        <f t="shared" si="610"/>
        <v>HR</v>
      </c>
      <c r="GX115" s="197" t="str">
        <f t="shared" si="610"/>
        <v>HR</v>
      </c>
      <c r="GY115" s="197" t="str">
        <f t="shared" si="610"/>
        <v>HR</v>
      </c>
      <c r="GZ115" s="197" t="str">
        <f t="shared" si="610"/>
        <v>HR</v>
      </c>
      <c r="HA115" s="197" t="str">
        <f t="shared" si="610"/>
        <v>HR</v>
      </c>
      <c r="HB115" s="197" t="str">
        <f t="shared" si="610"/>
        <v>HR</v>
      </c>
      <c r="HC115" s="197" t="str">
        <f t="shared" si="610"/>
        <v>HR</v>
      </c>
      <c r="HE115" s="191" t="str">
        <f>+$B115</f>
        <v>HR</v>
      </c>
      <c r="HF115" s="192"/>
      <c r="HG115" s="141" t="str">
        <f t="shared" ref="HG115:HG123" si="611">+$E115</f>
        <v>Completed to Month</v>
      </c>
      <c r="HH115" s="141">
        <f t="shared" ref="HH115:HH123" si="612">+$F115</f>
        <v>9</v>
      </c>
      <c r="HI115" s="141"/>
      <c r="HJ115" s="197" t="str">
        <f t="shared" ref="HJ115:IO115" si="613">+$B115</f>
        <v>HR</v>
      </c>
      <c r="HK115" s="197" t="str">
        <f t="shared" si="613"/>
        <v>HR</v>
      </c>
      <c r="HL115" s="250" t="str">
        <f t="shared" si="613"/>
        <v>HR</v>
      </c>
      <c r="HM115" s="250" t="str">
        <f t="shared" si="613"/>
        <v>HR</v>
      </c>
      <c r="HN115" s="250" t="str">
        <f t="shared" si="613"/>
        <v>HR</v>
      </c>
      <c r="HO115" s="250" t="str">
        <f t="shared" si="613"/>
        <v>HR</v>
      </c>
      <c r="HP115" s="250" t="str">
        <f t="shared" si="613"/>
        <v>HR</v>
      </c>
      <c r="HQ115" s="250" t="str">
        <f t="shared" si="613"/>
        <v>HR</v>
      </c>
      <c r="HR115" s="250" t="str">
        <f t="shared" si="613"/>
        <v>HR</v>
      </c>
      <c r="HS115" s="250" t="str">
        <f t="shared" si="613"/>
        <v>HR</v>
      </c>
      <c r="HT115" s="250" t="str">
        <f t="shared" si="613"/>
        <v>HR</v>
      </c>
      <c r="HU115" s="250" t="str">
        <f t="shared" si="613"/>
        <v>HR</v>
      </c>
      <c r="HV115" s="250" t="str">
        <f t="shared" si="613"/>
        <v>HR</v>
      </c>
      <c r="HW115" s="250" t="str">
        <f t="shared" si="613"/>
        <v>HR</v>
      </c>
      <c r="HX115" s="250" t="str">
        <f t="shared" si="613"/>
        <v>HR</v>
      </c>
      <c r="HY115" s="250" t="str">
        <f t="shared" si="613"/>
        <v>HR</v>
      </c>
      <c r="HZ115" s="250" t="str">
        <f t="shared" si="613"/>
        <v>HR</v>
      </c>
      <c r="IA115" s="250" t="str">
        <f t="shared" si="613"/>
        <v>HR</v>
      </c>
      <c r="IB115" s="250" t="str">
        <f t="shared" si="613"/>
        <v>HR</v>
      </c>
      <c r="IC115" s="250" t="str">
        <f t="shared" si="613"/>
        <v>HR</v>
      </c>
      <c r="ID115" s="250" t="str">
        <f t="shared" si="613"/>
        <v>HR</v>
      </c>
      <c r="IE115" s="250" t="str">
        <f t="shared" si="613"/>
        <v>HR</v>
      </c>
      <c r="IF115" s="250" t="str">
        <f t="shared" si="613"/>
        <v>HR</v>
      </c>
      <c r="IG115" s="250" t="str">
        <f t="shared" si="613"/>
        <v>HR</v>
      </c>
      <c r="IH115" s="250" t="str">
        <f t="shared" si="613"/>
        <v>HR</v>
      </c>
      <c r="II115" s="250" t="str">
        <f t="shared" si="613"/>
        <v>HR</v>
      </c>
      <c r="IJ115" s="250" t="str">
        <f t="shared" si="613"/>
        <v>HR</v>
      </c>
      <c r="IK115" s="250" t="str">
        <f t="shared" si="613"/>
        <v>HR</v>
      </c>
      <c r="IL115" s="250" t="str">
        <f t="shared" si="613"/>
        <v>HR</v>
      </c>
      <c r="IM115" s="250" t="str">
        <f t="shared" si="613"/>
        <v>HR</v>
      </c>
      <c r="IN115" s="250" t="str">
        <f t="shared" si="613"/>
        <v>HR</v>
      </c>
      <c r="IO115" s="250" t="str">
        <f t="shared" si="613"/>
        <v>HR</v>
      </c>
      <c r="IP115" s="250" t="str">
        <f t="shared" ref="IP115:JJ115" si="614">+$B115</f>
        <v>HR</v>
      </c>
      <c r="IQ115" s="250" t="str">
        <f t="shared" si="614"/>
        <v>HR</v>
      </c>
      <c r="IR115" s="250" t="str">
        <f t="shared" si="614"/>
        <v>HR</v>
      </c>
      <c r="IS115" s="250" t="str">
        <f t="shared" si="614"/>
        <v>HR</v>
      </c>
      <c r="IT115" s="250" t="str">
        <f t="shared" si="614"/>
        <v>HR</v>
      </c>
      <c r="IU115" s="250" t="str">
        <f t="shared" si="614"/>
        <v>HR</v>
      </c>
      <c r="IV115" s="250" t="str">
        <f t="shared" si="614"/>
        <v>HR</v>
      </c>
      <c r="IW115" s="250" t="str">
        <f t="shared" si="614"/>
        <v>HR</v>
      </c>
      <c r="IX115" s="250" t="str">
        <f t="shared" si="614"/>
        <v>HR</v>
      </c>
      <c r="IY115" s="250" t="str">
        <f t="shared" si="614"/>
        <v>HR</v>
      </c>
      <c r="IZ115" s="250" t="str">
        <f t="shared" si="614"/>
        <v>HR</v>
      </c>
      <c r="JA115" s="250" t="str">
        <f t="shared" si="614"/>
        <v>HR</v>
      </c>
      <c r="JB115" s="250" t="str">
        <f t="shared" si="614"/>
        <v>HR</v>
      </c>
      <c r="JC115" s="250" t="str">
        <f t="shared" si="614"/>
        <v>HR</v>
      </c>
      <c r="JD115" s="250" t="str">
        <f t="shared" si="614"/>
        <v>HR</v>
      </c>
      <c r="JE115" s="250" t="str">
        <f t="shared" si="614"/>
        <v>HR</v>
      </c>
      <c r="JF115" s="250" t="str">
        <f t="shared" si="614"/>
        <v>HR</v>
      </c>
      <c r="JG115" s="250" t="str">
        <f t="shared" si="614"/>
        <v>HR</v>
      </c>
      <c r="JH115" s="250" t="str">
        <f t="shared" si="614"/>
        <v>HR</v>
      </c>
      <c r="JI115" s="250" t="str">
        <f t="shared" si="614"/>
        <v>HR</v>
      </c>
      <c r="JJ115" s="250" t="str">
        <f t="shared" si="614"/>
        <v>HR</v>
      </c>
      <c r="JM115" s="191" t="str">
        <f>+$B115</f>
        <v>HR</v>
      </c>
      <c r="JN115" s="192"/>
      <c r="JO115" s="242" t="str">
        <f t="shared" ref="JO115:JO123" si="615">+$E115</f>
        <v>Completed to Month</v>
      </c>
      <c r="JP115" s="141">
        <f t="shared" ref="JP115:JP123" si="616">+$F115</f>
        <v>9</v>
      </c>
      <c r="JQ115" s="141"/>
      <c r="JR115" s="250" t="str">
        <f t="shared" ref="JR115:KW115" si="617">+$B115</f>
        <v>HR</v>
      </c>
      <c r="JS115" s="250" t="str">
        <f t="shared" si="617"/>
        <v>HR</v>
      </c>
      <c r="JT115" s="250" t="str">
        <f t="shared" si="617"/>
        <v>HR</v>
      </c>
      <c r="JU115" s="250" t="str">
        <f t="shared" si="617"/>
        <v>HR</v>
      </c>
      <c r="JV115" s="250" t="str">
        <f t="shared" si="617"/>
        <v>HR</v>
      </c>
      <c r="JW115" s="250" t="str">
        <f t="shared" si="617"/>
        <v>HR</v>
      </c>
      <c r="JX115" s="250" t="str">
        <f t="shared" si="617"/>
        <v>HR</v>
      </c>
      <c r="JY115" s="250" t="str">
        <f t="shared" si="617"/>
        <v>HR</v>
      </c>
      <c r="JZ115" s="250" t="str">
        <f t="shared" si="617"/>
        <v>HR</v>
      </c>
      <c r="KA115" s="250" t="str">
        <f t="shared" si="617"/>
        <v>HR</v>
      </c>
      <c r="KB115" s="250" t="str">
        <f t="shared" si="617"/>
        <v>HR</v>
      </c>
      <c r="KC115" s="250" t="str">
        <f t="shared" si="617"/>
        <v>HR</v>
      </c>
      <c r="KD115" s="250" t="str">
        <f t="shared" si="617"/>
        <v>HR</v>
      </c>
      <c r="KE115" s="250" t="str">
        <f t="shared" si="617"/>
        <v>HR</v>
      </c>
      <c r="KF115" s="250" t="str">
        <f t="shared" si="617"/>
        <v>HR</v>
      </c>
      <c r="KG115" s="250" t="str">
        <f t="shared" si="617"/>
        <v>HR</v>
      </c>
      <c r="KH115" s="250" t="str">
        <f t="shared" si="617"/>
        <v>HR</v>
      </c>
      <c r="KI115" s="250" t="str">
        <f t="shared" si="617"/>
        <v>HR</v>
      </c>
      <c r="KJ115" s="250" t="str">
        <f t="shared" si="617"/>
        <v>HR</v>
      </c>
      <c r="KK115" s="250" t="str">
        <f t="shared" si="617"/>
        <v>HR</v>
      </c>
      <c r="KL115" s="250" t="str">
        <f t="shared" si="617"/>
        <v>HR</v>
      </c>
      <c r="KM115" s="250" t="str">
        <f t="shared" si="617"/>
        <v>HR</v>
      </c>
      <c r="KN115" s="250" t="str">
        <f t="shared" si="617"/>
        <v>HR</v>
      </c>
      <c r="KO115" s="250" t="str">
        <f t="shared" si="617"/>
        <v>HR</v>
      </c>
      <c r="KP115" s="250" t="str">
        <f t="shared" si="617"/>
        <v>HR</v>
      </c>
      <c r="KQ115" s="250" t="str">
        <f t="shared" si="617"/>
        <v>HR</v>
      </c>
      <c r="KR115" s="250" t="str">
        <f t="shared" si="617"/>
        <v>HR</v>
      </c>
      <c r="KS115" s="250" t="str">
        <f t="shared" si="617"/>
        <v>HR</v>
      </c>
      <c r="KT115" s="250" t="str">
        <f t="shared" si="617"/>
        <v>HR</v>
      </c>
      <c r="KU115" s="250" t="str">
        <f t="shared" si="617"/>
        <v>HR</v>
      </c>
      <c r="KV115" s="250" t="str">
        <f t="shared" si="617"/>
        <v>HR</v>
      </c>
      <c r="KW115" s="250" t="str">
        <f t="shared" si="617"/>
        <v>HR</v>
      </c>
      <c r="KX115" s="250" t="str">
        <f t="shared" ref="KX115:LR115" si="618">+$B115</f>
        <v>HR</v>
      </c>
      <c r="KY115" s="250" t="str">
        <f t="shared" si="618"/>
        <v>HR</v>
      </c>
      <c r="KZ115" s="250" t="str">
        <f t="shared" si="618"/>
        <v>HR</v>
      </c>
      <c r="LA115" s="250" t="str">
        <f t="shared" si="618"/>
        <v>HR</v>
      </c>
      <c r="LB115" s="250" t="str">
        <f t="shared" si="618"/>
        <v>HR</v>
      </c>
      <c r="LC115" s="250" t="str">
        <f t="shared" si="618"/>
        <v>HR</v>
      </c>
      <c r="LD115" s="250" t="str">
        <f t="shared" si="618"/>
        <v>HR</v>
      </c>
      <c r="LE115" s="250" t="str">
        <f t="shared" si="618"/>
        <v>HR</v>
      </c>
      <c r="LF115" s="250" t="str">
        <f t="shared" si="618"/>
        <v>HR</v>
      </c>
      <c r="LG115" s="250" t="str">
        <f t="shared" si="618"/>
        <v>HR</v>
      </c>
      <c r="LH115" s="250" t="str">
        <f t="shared" si="618"/>
        <v>HR</v>
      </c>
      <c r="LI115" s="250" t="str">
        <f t="shared" si="618"/>
        <v>HR</v>
      </c>
      <c r="LJ115" s="250" t="str">
        <f t="shared" si="618"/>
        <v>HR</v>
      </c>
      <c r="LK115" s="250" t="str">
        <f t="shared" si="618"/>
        <v>HR</v>
      </c>
      <c r="LL115" s="250" t="str">
        <f t="shared" si="618"/>
        <v>HR</v>
      </c>
      <c r="LM115" s="250" t="str">
        <f t="shared" si="618"/>
        <v>HR</v>
      </c>
      <c r="LN115" s="250" t="str">
        <f t="shared" si="618"/>
        <v>HR</v>
      </c>
      <c r="LO115" s="250" t="str">
        <f t="shared" si="618"/>
        <v>HR</v>
      </c>
      <c r="LP115" s="250" t="str">
        <f t="shared" si="618"/>
        <v>HR</v>
      </c>
      <c r="LQ115" s="250" t="str">
        <f t="shared" si="618"/>
        <v>HR</v>
      </c>
      <c r="LR115" s="250" t="str">
        <f t="shared" si="618"/>
        <v>HR</v>
      </c>
      <c r="LT115" s="191" t="str">
        <f>+$B115</f>
        <v>HR</v>
      </c>
      <c r="LU115" s="192"/>
      <c r="LV115" s="141" t="str">
        <f t="shared" ref="LV115:LV123" si="619">+$E115</f>
        <v>Completed to Month</v>
      </c>
      <c r="LW115" s="141">
        <f t="shared" ref="LW115:LW123" si="620">+$F115</f>
        <v>9</v>
      </c>
      <c r="LX115" s="141"/>
      <c r="LY115" s="197" t="str">
        <f t="shared" ref="LY115:ND115" si="621">+$B115</f>
        <v>HR</v>
      </c>
      <c r="LZ115" s="197" t="str">
        <f t="shared" si="621"/>
        <v>HR</v>
      </c>
      <c r="MA115" s="197" t="str">
        <f t="shared" si="621"/>
        <v>HR</v>
      </c>
      <c r="MB115" s="197" t="str">
        <f t="shared" si="621"/>
        <v>HR</v>
      </c>
      <c r="MC115" s="197" t="str">
        <f t="shared" si="621"/>
        <v>HR</v>
      </c>
      <c r="MD115" s="197" t="str">
        <f t="shared" si="621"/>
        <v>HR</v>
      </c>
      <c r="ME115" s="197" t="str">
        <f t="shared" si="621"/>
        <v>HR</v>
      </c>
      <c r="MF115" s="197" t="str">
        <f t="shared" si="621"/>
        <v>HR</v>
      </c>
      <c r="MG115" s="197" t="str">
        <f t="shared" si="621"/>
        <v>HR</v>
      </c>
      <c r="MH115" s="197" t="str">
        <f t="shared" si="621"/>
        <v>HR</v>
      </c>
      <c r="MI115" s="197" t="str">
        <f t="shared" si="621"/>
        <v>HR</v>
      </c>
      <c r="MJ115" s="197" t="str">
        <f t="shared" si="621"/>
        <v>HR</v>
      </c>
      <c r="MK115" s="197" t="str">
        <f t="shared" si="621"/>
        <v>HR</v>
      </c>
      <c r="ML115" s="197" t="str">
        <f t="shared" si="621"/>
        <v>HR</v>
      </c>
      <c r="MM115" s="197" t="str">
        <f t="shared" si="621"/>
        <v>HR</v>
      </c>
      <c r="MN115" s="197" t="str">
        <f t="shared" si="621"/>
        <v>HR</v>
      </c>
      <c r="MO115" s="197" t="str">
        <f t="shared" si="621"/>
        <v>HR</v>
      </c>
      <c r="MP115" s="197" t="str">
        <f t="shared" si="621"/>
        <v>HR</v>
      </c>
      <c r="MQ115" s="197" t="str">
        <f t="shared" si="621"/>
        <v>HR</v>
      </c>
      <c r="MR115" s="197" t="str">
        <f t="shared" si="621"/>
        <v>HR</v>
      </c>
      <c r="MS115" s="197" t="str">
        <f t="shared" si="621"/>
        <v>HR</v>
      </c>
      <c r="MT115" s="197" t="str">
        <f t="shared" si="621"/>
        <v>HR</v>
      </c>
      <c r="MU115" s="197" t="str">
        <f t="shared" si="621"/>
        <v>HR</v>
      </c>
      <c r="MV115" s="197" t="str">
        <f t="shared" si="621"/>
        <v>HR</v>
      </c>
      <c r="MW115" s="197" t="str">
        <f t="shared" si="621"/>
        <v>HR</v>
      </c>
      <c r="MX115" s="197" t="str">
        <f t="shared" si="621"/>
        <v>HR</v>
      </c>
      <c r="MY115" s="197" t="str">
        <f t="shared" si="621"/>
        <v>HR</v>
      </c>
      <c r="MZ115" s="197" t="str">
        <f t="shared" si="621"/>
        <v>HR</v>
      </c>
      <c r="NA115" s="197" t="str">
        <f t="shared" si="621"/>
        <v>HR</v>
      </c>
      <c r="NB115" s="197" t="str">
        <f t="shared" si="621"/>
        <v>HR</v>
      </c>
      <c r="NC115" s="197" t="str">
        <f t="shared" si="621"/>
        <v>HR</v>
      </c>
      <c r="ND115" s="197" t="str">
        <f t="shared" si="621"/>
        <v>HR</v>
      </c>
      <c r="NE115" s="197" t="str">
        <f t="shared" ref="NE115:NY115" si="622">+$B115</f>
        <v>HR</v>
      </c>
      <c r="NF115" s="197" t="str">
        <f t="shared" si="622"/>
        <v>HR</v>
      </c>
      <c r="NG115" s="197" t="str">
        <f t="shared" si="622"/>
        <v>HR</v>
      </c>
      <c r="NH115" s="197" t="str">
        <f t="shared" si="622"/>
        <v>HR</v>
      </c>
      <c r="NI115" s="197" t="str">
        <f t="shared" si="622"/>
        <v>HR</v>
      </c>
      <c r="NJ115" s="197" t="str">
        <f t="shared" si="622"/>
        <v>HR</v>
      </c>
      <c r="NK115" s="197" t="str">
        <f t="shared" si="622"/>
        <v>HR</v>
      </c>
      <c r="NL115" s="197" t="str">
        <f t="shared" si="622"/>
        <v>HR</v>
      </c>
      <c r="NM115" s="197" t="str">
        <f t="shared" si="622"/>
        <v>HR</v>
      </c>
      <c r="NN115" s="197" t="str">
        <f t="shared" si="622"/>
        <v>HR</v>
      </c>
      <c r="NO115" s="197" t="str">
        <f t="shared" si="622"/>
        <v>HR</v>
      </c>
      <c r="NP115" s="197" t="str">
        <f t="shared" si="622"/>
        <v>HR</v>
      </c>
      <c r="NQ115" s="197" t="str">
        <f t="shared" si="622"/>
        <v>HR</v>
      </c>
      <c r="NR115" s="197" t="str">
        <f t="shared" si="622"/>
        <v>HR</v>
      </c>
      <c r="NS115" s="197" t="str">
        <f t="shared" si="622"/>
        <v>HR</v>
      </c>
      <c r="NT115" s="197" t="str">
        <f t="shared" si="622"/>
        <v>HR</v>
      </c>
      <c r="NU115" s="197" t="str">
        <f t="shared" si="622"/>
        <v>HR</v>
      </c>
      <c r="NV115" s="197" t="str">
        <f t="shared" si="622"/>
        <v>HR</v>
      </c>
      <c r="NW115" s="197" t="str">
        <f t="shared" si="622"/>
        <v>HR</v>
      </c>
      <c r="NX115" s="197" t="str">
        <f t="shared" si="622"/>
        <v>HR</v>
      </c>
      <c r="NY115" s="197" t="str">
        <f t="shared" si="622"/>
        <v>HR</v>
      </c>
    </row>
    <row r="116" spans="1:389" x14ac:dyDescent="0.3">
      <c r="A116" t="str">
        <f t="shared" ref="A116:A123" si="623">$B$115&amp;"-"&amp;C116</f>
        <v>HR-KPI P1</v>
      </c>
      <c r="B116" s="917" t="str">
        <f>+'KPI Stats'!B115</f>
        <v>Human Resources</v>
      </c>
      <c r="C116" s="133" t="str">
        <f>+'KPI Stats'!C115</f>
        <v>KPI P1</v>
      </c>
      <c r="D116" s="142" t="str">
        <f>+'KPI Stats'!D115</f>
        <v>Productivity</v>
      </c>
      <c r="E116" s="142" t="str">
        <f>+'KPI Stats'!E115</f>
        <v>Employee Turnover %</v>
      </c>
      <c r="F116" s="143" t="str">
        <f>+'KPI Stats'!F115</f>
        <v>Percentage</v>
      </c>
      <c r="G116" s="168" t="str">
        <f>+'KPI Stats'!G115</f>
        <v>Over</v>
      </c>
      <c r="J116" s="159" t="str">
        <f t="shared" ref="J116:J123" si="624">_xlfn.XLOOKUP(J$8,$AM$8:$CM$8,$AM116:$CM116,,FALSE)</f>
        <v>G</v>
      </c>
      <c r="K116" s="334">
        <f t="shared" ref="K116:K123" si="625">_xlfn.XLOOKUP(K$8,$FC$8:$HC$8,$FC116:$HC116,,FALSE)</f>
        <v>5.8700000000000002E-2</v>
      </c>
      <c r="L116" s="335">
        <f t="shared" ref="L116:L123" si="626">_xlfn.XLOOKUP(L$8,$HJ$8:$JJ$8,$HJ116:$JJ116,,FALSE)</f>
        <v>0.09</v>
      </c>
      <c r="M116" s="271">
        <f t="shared" ref="M116:M123" si="627">_xlfn.XLOOKUP(M$8,$CU$8:$EU$8,$CU116:$EU116,,FALSE)</f>
        <v>1.5332197614991481</v>
      </c>
      <c r="P116" s="159" t="str">
        <f t="shared" ref="P116:P123" si="628">_xlfn.XLOOKUP(P$8,$AM$8:$CM$8,$AM116:$CM116,,FALSE)</f>
        <v>G</v>
      </c>
      <c r="Q116" s="334">
        <f t="shared" ref="Q116:R123" si="629">_xlfn.XLOOKUP(Q$8,$FC$8:$HC$8,$FC116:$HC116,FALSE)</f>
        <v>5.8700000000000002E-2</v>
      </c>
      <c r="R116" s="335">
        <f t="shared" si="629"/>
        <v>5.8700000000000002E-2</v>
      </c>
      <c r="S116" s="287">
        <f t="shared" ref="S116:T123" si="630">_xlfn.XLOOKUP(S$8,$CU$8:$EU$8,$CU116:$EU116,,FALSE)</f>
        <v>1.5332197614991481</v>
      </c>
      <c r="T116" s="263">
        <f t="shared" si="630"/>
        <v>1.5332197614991481</v>
      </c>
      <c r="U116" s="294" t="str">
        <f>IF(F115&lt;$Q$4,"Not Complete",IF(Q116=R116,"Same −",IF($G116="Over",IF(Q116&lt;R116,"Better ↑","Worse ↓"),IF($G116="Under",IF(Q116&gt;R116,"Better ↑","Worse ↓"),"err"))))</f>
        <v>Same −</v>
      </c>
      <c r="X116" s="159" t="str">
        <f t="shared" ref="X116:X123" si="631">IF(Y116="","",IF(Y116="Blank","",IF(AND(G116="above zero",Y116&gt;0),"R",IF(AA116&gt;1,"G",IF(AA116&gt;0.95,"A","R")))))</f>
        <v>G</v>
      </c>
      <c r="Y116" s="334">
        <f t="shared" ref="Y116:Y123" si="632">_xlfn.XLOOKUP(Y$8,$JR$8:$LR$8,$JR116:$LR116,FALSE)</f>
        <v>5.8700000000000002E-2</v>
      </c>
      <c r="Z116" s="335">
        <f t="shared" ref="Z116:Z123" si="633">_xlfn.XLOOKUP(Z$8,$LY$8:$NY$8,$LY116:$NY116,FALSE)</f>
        <v>0.09</v>
      </c>
      <c r="AA116" s="271">
        <f t="shared" ref="AA116:AA123" si="634">IF(G116="under",Y116/Z116,IF(G116="over",Z116/Y116,"err"))</f>
        <v>1.5332197614991481</v>
      </c>
      <c r="AB116" s="294" t="str">
        <f>IF(F115&lt;$AA$3,"TBC",IF(Y116=Z116,"Same −",IF($G116="Over",IF(Z116&gt;Y116,"Better ↑ ","Worse ↓ "),IF($G116="Under",IF(Y116&lt;Z116,"Better ↑ ","Worse ↓ "),"err"))))</f>
        <v xml:space="preserve">Better ↑ </v>
      </c>
      <c r="AC116" s="159" t="e">
        <f t="shared" ref="AC116:AC123" si="635">IF(AND(G116="above adero",AD116&gt;0),"R",IF(AF116&gt;1,"G",IF(AF116&gt;0.95,"A","R")))</f>
        <v>#DIV/0!</v>
      </c>
      <c r="AD116" s="161" t="b">
        <f t="shared" ref="AD116:AD123" si="636">_xlfn.XLOOKUP(AD$8,$JR$8:$LR$8,$JR116:$LR116,FALSE)</f>
        <v>0</v>
      </c>
      <c r="AE116" s="161" t="b">
        <f t="shared" ref="AE116:AE123" si="637">_xlfn.XLOOKUP(AE$8,$LY$8:$NY$8,$LY116:$NY116,FALSE)</f>
        <v>0</v>
      </c>
      <c r="AF116" s="162" t="e">
        <f t="shared" ref="AF116:AF123" si="638">IF(G116="under",AD116/AE116,IF(G116="over",AE116/AD116,"err"))</f>
        <v>#DIV/0!</v>
      </c>
      <c r="AH116" s="465" t="str">
        <f t="shared" ref="AH116:AH123" si="639">+$A116</f>
        <v>HR-KPI P1</v>
      </c>
      <c r="AI116" s="133" t="str">
        <f t="shared" ref="AI116:AJ123" si="640">+C116</f>
        <v>KPI P1</v>
      </c>
      <c r="AJ116" s="142" t="str">
        <f t="shared" si="640"/>
        <v>Productivity</v>
      </c>
      <c r="AK116" s="142" t="str">
        <f t="shared" si="602"/>
        <v>Employee Turnover %</v>
      </c>
      <c r="AL116" s="143" t="str">
        <f t="shared" si="602"/>
        <v>Percentage</v>
      </c>
      <c r="AM116" s="198" t="str">
        <f>IF(AM$7&gt;$D$3,"",_xlfn.XLOOKUP(AM$8,'HR mthly'!$I$6:$T$6,'HR mthly'!$I$11:$T$11))</f>
        <v>G</v>
      </c>
      <c r="AN116" s="198" t="str">
        <f>IF(AN$7&gt;$D$3,"",_xlfn.XLOOKUP(AN$8,'HR mthly'!$I$6:$T$6,'HR mthly'!$I$11:$T$11))</f>
        <v>G</v>
      </c>
      <c r="AO116" s="198" t="str">
        <f>IF(AO$7&gt;$D$3,"",_xlfn.XLOOKUP(AO$8,'HR mthly'!$I$6:$T$6,'HR mthly'!$I$11:$T$11))</f>
        <v>G</v>
      </c>
      <c r="AP116" s="198" t="str">
        <f>IF(AP$7&gt;$D$3,"",_xlfn.XLOOKUP(AP$8,'HR mthly'!$I$6:$T$6,'HR mthly'!$I$11:$T$11))</f>
        <v>G</v>
      </c>
      <c r="AQ116" s="198" t="str">
        <f>IF(AQ$7&gt;$D$3,"",_xlfn.XLOOKUP(AQ$8,'HR mthly'!$I$6:$T$6,'HR mthly'!$I$11:$T$11))</f>
        <v>G</v>
      </c>
      <c r="AR116" s="198" t="str">
        <f>IF(AR$7&gt;$D$3,"",_xlfn.XLOOKUP(AR$8,'HR mthly'!$I$6:$T$6,'HR mthly'!$I$11:$T$11))</f>
        <v>G</v>
      </c>
      <c r="AS116" s="198" t="str">
        <f>IF(AS$7&gt;$D$3,"",_xlfn.XLOOKUP(AS$8,'HR mthly'!$I$6:$T$6,'HR mthly'!$I$11:$T$11))</f>
        <v>G</v>
      </c>
      <c r="AT116" s="198" t="str">
        <f>IF(AT$7&gt;$D$3,"",_xlfn.XLOOKUP(AT$8,'HR mthly'!$I$6:$T$6,'HR mthly'!$I$11:$T$11))</f>
        <v>G</v>
      </c>
      <c r="AU116" s="198" t="str">
        <f>IF(AU$7&gt;$D$3,"",_xlfn.XLOOKUP(AU$8,'HR mthly'!$I$6:$T$6,'HR mthly'!$I$11:$T$11))</f>
        <v>G</v>
      </c>
      <c r="AV116" s="198" t="str">
        <f>IF(AV$7&gt;$D$3,"",_xlfn.XLOOKUP(AV$8,'HR mthly'!$I$6:$T$6,'HR mthly'!$I$11:$T$11))</f>
        <v>G</v>
      </c>
      <c r="AW116" s="198" t="str">
        <f>IF(AW$7&gt;$D$3,"",_xlfn.XLOOKUP(AW$8,'HR mthly'!$I$6:$T$6,'HR mthly'!$I$11:$T$11))</f>
        <v>G</v>
      </c>
      <c r="AX116" s="198" t="str">
        <f>IF(AX$7&gt;$D$3,"",_xlfn.XLOOKUP(AX$8,'HR mthly'!$I$6:$T$6,'HR mthly'!$I$11:$T$11))</f>
        <v>G</v>
      </c>
      <c r="AY116" s="198" t="str">
        <f>IF(AY$7&gt;$D$3,"",_xlfn.XLOOKUP(AY$8,'HR mthly'!$I$6:$T$6,'HR mthly'!$I$11:$T$11))</f>
        <v>G</v>
      </c>
      <c r="AZ116" s="198" t="str">
        <f>IF(AZ$7&gt;$D$3,"",_xlfn.XLOOKUP(AZ$8,'HR mthly'!$I$6:$T$6,'HR mthly'!$I$11:$T$11))</f>
        <v>G</v>
      </c>
      <c r="BA116" s="198" t="str">
        <f>IF(BA$7&gt;$D$3,"",_xlfn.XLOOKUP(BA$8,'HR mthly'!$I$6:$T$6,'HR mthly'!$I$11:$T$11))</f>
        <v>G</v>
      </c>
      <c r="BB116" s="198" t="str">
        <f>IF(BB$7&gt;$D$3,"",_xlfn.XLOOKUP(BB$8,'HR mthly'!$I$6:$T$6,'HR mthly'!$I$11:$T$11))</f>
        <v>G</v>
      </c>
      <c r="BC116" s="198" t="str">
        <f>IF(BC$7&gt;$D$3,"",_xlfn.XLOOKUP(BC$8,'HR mthly'!$I$6:$T$6,'HR mthly'!$I$11:$T$11))</f>
        <v>G</v>
      </c>
      <c r="BD116" s="198" t="str">
        <f>IF(BD$7&gt;$D$3,"",_xlfn.XLOOKUP(BD$8,'HR mthly'!$I$6:$T$6,'HR mthly'!$I$11:$T$11))</f>
        <v>G</v>
      </c>
      <c r="BE116" s="198" t="str">
        <f>IF(BE$7&gt;$D$3,"",_xlfn.XLOOKUP(BE$8,'HR mthly'!$I$6:$T$6,'HR mthly'!$I$11:$T$11))</f>
        <v>G</v>
      </c>
      <c r="BF116" s="198" t="str">
        <f>IF(BF$7&gt;$D$3,"",_xlfn.XLOOKUP(BF$8,'HR mthly'!$I$6:$T$6,'HR mthly'!$I$11:$T$11))</f>
        <v>G</v>
      </c>
      <c r="BG116" s="198" t="str">
        <f>IF(BG$7&gt;$D$3,"",_xlfn.XLOOKUP(BG$8,'HR mthly'!$I$6:$T$6,'HR mthly'!$I$11:$T$11))</f>
        <v>G</v>
      </c>
      <c r="BH116" s="198" t="str">
        <f>IF(BH$7&gt;$D$3,"",_xlfn.XLOOKUP(BH$8,'HR mthly'!$I$6:$T$6,'HR mthly'!$I$11:$T$11))</f>
        <v>G</v>
      </c>
      <c r="BI116" s="198" t="str">
        <f>IF(BI$7&gt;$D$3,"",_xlfn.XLOOKUP(BI$8,'HR mthly'!$I$6:$T$6,'HR mthly'!$I$11:$T$11))</f>
        <v>G</v>
      </c>
      <c r="BJ116" s="198" t="str">
        <f>IF(BJ$7&gt;$D$3,"",_xlfn.XLOOKUP(BJ$8,'HR mthly'!$I$6:$T$6,'HR mthly'!$I$11:$T$11))</f>
        <v>G</v>
      </c>
      <c r="BK116" s="198" t="str">
        <f>IF(BK$7&gt;$D$3,"",_xlfn.XLOOKUP(BK$8,'HR mthly'!$I$6:$T$6,'HR mthly'!$I$11:$T$11))</f>
        <v>G</v>
      </c>
      <c r="BL116" s="198" t="str">
        <f>IF(BL$7&gt;$D$3,"",_xlfn.XLOOKUP(BL$8,'HR mthly'!$I$6:$T$6,'HR mthly'!$I$11:$T$11))</f>
        <v>G</v>
      </c>
      <c r="BM116" s="198" t="str">
        <f>IF(BM$7&gt;$D$3,"",_xlfn.XLOOKUP(BM$8,'HR mthly'!$I$6:$T$6,'HR mthly'!$I$11:$T$11))</f>
        <v>G</v>
      </c>
      <c r="BN116" s="198" t="str">
        <f>IF(BN$7&gt;$D$3,"",_xlfn.XLOOKUP(BN$8,'HR mthly'!$I$6:$T$6,'HR mthly'!$I$11:$T$11))</f>
        <v>G</v>
      </c>
      <c r="BO116" s="198" t="str">
        <f>IF(BO$7&gt;$D$3,"",_xlfn.XLOOKUP(BO$8,'HR mthly'!$I$6:$T$6,'HR mthly'!$I$11:$T$11))</f>
        <v>G</v>
      </c>
      <c r="BP116" s="198" t="str">
        <f>IF(BP$7&gt;$D$3,"",_xlfn.XLOOKUP(BP$8,'HR mthly'!$I$6:$T$6,'HR mthly'!$I$11:$T$11))</f>
        <v>G</v>
      </c>
      <c r="BQ116" s="198" t="str">
        <f>IF(BQ$7&gt;$D$3,"",_xlfn.XLOOKUP(BQ$8,'HR mthly'!$I$6:$T$6,'HR mthly'!$I$11:$T$11))</f>
        <v>G</v>
      </c>
      <c r="BR116" s="198" t="str">
        <f>IF(BR$7&gt;$D$3,"",_xlfn.XLOOKUP(BR$8,'HR mthly'!$I$6:$T$6,'HR mthly'!$I$11:$T$11))</f>
        <v>G</v>
      </c>
      <c r="BS116" s="198" t="str">
        <f>IF(BS$7&gt;$D$3,"",_xlfn.XLOOKUP(BS$8,'HR mthly'!$I$6:$T$6,'HR mthly'!$I$11:$T$11))</f>
        <v>G</v>
      </c>
      <c r="BT116" s="198" t="str">
        <f>IF(BT$7&gt;$D$3,"",_xlfn.XLOOKUP(BT$8,'HR mthly'!$I$6:$T$6,'HR mthly'!$I$11:$T$11))</f>
        <v>G</v>
      </c>
      <c r="BU116" s="198" t="str">
        <f>IF(BU$7&gt;$D$3,"",_xlfn.XLOOKUP(BU$8,'HR mthly'!$I$6:$T$6,'HR mthly'!$I$11:$T$11))</f>
        <v>G</v>
      </c>
      <c r="BV116" s="198" t="str">
        <f>IF(BV$7&gt;$D$3,"",_xlfn.XLOOKUP(BV$8,'HR mthly'!$I$6:$T$6,'HR mthly'!$I$11:$T$11))</f>
        <v>G</v>
      </c>
      <c r="BW116" s="198" t="str">
        <f>IF(BW$7&gt;$D$3,"",_xlfn.XLOOKUP(BW$8,'HR mthly'!$I$6:$T$6,'HR mthly'!$I$11:$T$11))</f>
        <v>G</v>
      </c>
      <c r="BX116" s="198" t="str">
        <f>IF(BX$7&gt;$D$3,"",_xlfn.XLOOKUP(BX$8,'HR mthly'!$I$6:$T$6,'HR mthly'!$I$11:$T$11))</f>
        <v>G</v>
      </c>
      <c r="BY116" s="198" t="str">
        <f>IF(BY$7&gt;$D$3,"",_xlfn.XLOOKUP(BY$8,'HR mthly'!$I$6:$T$6,'HR mthly'!$I$11:$T$11))</f>
        <v>G</v>
      </c>
      <c r="BZ116" s="198" t="str">
        <f>IF(BZ$7&gt;$D$3,"",_xlfn.XLOOKUP(BZ$8,'HR mthly'!$I$6:$T$6,'HR mthly'!$I$11:$T$11))</f>
        <v>G</v>
      </c>
      <c r="CA116" s="198" t="str">
        <f>IF(CA$7&gt;$D$3,"",_xlfn.XLOOKUP(CA$8,'HR mthly'!$I$6:$T$6,'HR mthly'!$I$11:$T$11))</f>
        <v>G</v>
      </c>
      <c r="CB116" s="198" t="str">
        <f>IF(CB$7&gt;$D$3,"",_xlfn.XLOOKUP(CB$8,'HR mthly'!$I$6:$T$6,'HR mthly'!$I$11:$T$11))</f>
        <v>G</v>
      </c>
      <c r="CC116" s="198" t="str">
        <f>IF(CC$7&gt;$D$3,"",_xlfn.XLOOKUP(CC$8,'HR mthly'!$I$6:$T$6,'HR mthly'!$I$11:$T$11))</f>
        <v/>
      </c>
      <c r="CD116" s="198" t="str">
        <f>IF(CD$7&gt;$D$3,"",_xlfn.XLOOKUP(CD$8,'HR mthly'!$I$6:$T$6,'HR mthly'!$I$11:$T$11))</f>
        <v/>
      </c>
      <c r="CE116" s="198" t="str">
        <f>IF(CE$7&gt;$D$3,"",_xlfn.XLOOKUP(CE$8,'HR mthly'!$I$6:$T$6,'HR mthly'!$I$11:$T$11))</f>
        <v/>
      </c>
      <c r="CF116" s="198" t="str">
        <f>IF(CF$7&gt;$D$3,"",_xlfn.XLOOKUP(CF$8,'HR mthly'!$I$6:$T$6,'HR mthly'!$I$11:$T$11))</f>
        <v/>
      </c>
      <c r="CG116" s="198" t="str">
        <f>IF(CG$7&gt;$D$3,"",_xlfn.XLOOKUP(CG$8,'HR mthly'!$I$6:$T$6,'HR mthly'!$I$11:$T$11))</f>
        <v/>
      </c>
      <c r="CH116" s="198" t="str">
        <f>IF(CH$7&gt;$D$3,"",_xlfn.XLOOKUP(CH$8,'HR mthly'!$I$6:$T$6,'HR mthly'!$I$11:$T$11))</f>
        <v/>
      </c>
      <c r="CI116" s="198" t="str">
        <f>IF(CI$7&gt;$D$3,"",_xlfn.XLOOKUP(CI$8,'HR mthly'!$I$6:$T$6,'HR mthly'!$I$11:$T$11))</f>
        <v/>
      </c>
      <c r="CJ116" s="198" t="str">
        <f>IF(CJ$7&gt;$D$3,"",_xlfn.XLOOKUP(CJ$8,'HR mthly'!$I$6:$T$6,'HR mthly'!$I$11:$T$11))</f>
        <v/>
      </c>
      <c r="CK116" s="198" t="str">
        <f>IF(CK$7&gt;$D$3,"",_xlfn.XLOOKUP(CK$8,'HR mthly'!$I$6:$T$6,'HR mthly'!$I$11:$T$11))</f>
        <v/>
      </c>
      <c r="CL116" s="198" t="str">
        <f>IF(CL$7&gt;$D$3,"",_xlfn.XLOOKUP(CL$8,'HR mthly'!$I$6:$T$6,'HR mthly'!$I$11:$T$11))</f>
        <v/>
      </c>
      <c r="CM116" s="198" t="str">
        <f>IF(CM$7&gt;$D$3,"",_xlfn.XLOOKUP(CM$8,'HR mthly'!$I$6:$T$6,'HR mthly'!$I$11:$T$11))</f>
        <v/>
      </c>
      <c r="CO116" s="465" t="str">
        <f t="shared" ref="CO116:CO123" si="641">+$A116</f>
        <v>HR-KPI P1</v>
      </c>
      <c r="CP116" s="133" t="str">
        <f t="shared" ref="CP116:CQ123" si="642">+C116</f>
        <v>KPI P1</v>
      </c>
      <c r="CQ116" s="142" t="str">
        <f t="shared" si="642"/>
        <v>Productivity</v>
      </c>
      <c r="CR116" s="142" t="str">
        <f t="shared" si="605"/>
        <v>Employee Turnover %</v>
      </c>
      <c r="CS116" s="143" t="str">
        <f t="shared" si="605"/>
        <v>Percentage</v>
      </c>
      <c r="CT116" s="206" t="s">
        <v>246</v>
      </c>
      <c r="CU116" s="624" t="str">
        <f>IF(CU$7&gt;$D$3,"",_xlfn.XLOOKUP(CU$7,IT!$M$6:$BM$6,IT!$M$16:$BM$16))</f>
        <v>Blank</v>
      </c>
      <c r="CV116" s="327">
        <f>IF(CV$7&gt;$D$3,"",IF(AN116="OD","OD",IF(AN116="Missed","Missed",IF(AN116="TBC","TBC",IF(AN116="Undefined","Undefined",_xlfn.XLOOKUP(CV$8,'HR mthly'!$I$6:$T$6,'HR mthly'!$I$9:$T$9)/_xlfn.XLOOKUP(CV$8,'HR mthly'!$I$6:$T$6,'HR mthly'!$I$10:$T$10))))))</f>
        <v>2.2727272727272725</v>
      </c>
      <c r="CW116" s="327">
        <f>IF(CW$7&gt;$D$3,"",IF(AO116="OD","OD",IF(AO116="Missed","Missed",IF(AO116="TBC","TBC",IF(AO116="Undefined","Undefined",_xlfn.XLOOKUP(CW$8,'HR mthly'!$I$6:$T$6,'HR mthly'!$I$9:$T$9)/_xlfn.XLOOKUP(CW$8,'HR mthly'!$I$6:$T$6,'HR mthly'!$I$10:$T$10))))))</f>
        <v>2.2727272727272725</v>
      </c>
      <c r="CX116" s="327">
        <f>IF(CX$7&gt;$D$3,"",IF(AP116="OD","OD",IF(AP116="Missed","Missed",IF(AP116="TBC","TBC",IF(AP116="Undefined","Undefined",_xlfn.XLOOKUP(CX$8,'HR mthly'!$I$6:$T$6,'HR mthly'!$I$9:$T$9)/_xlfn.XLOOKUP(CX$8,'HR mthly'!$I$6:$T$6,'HR mthly'!$I$10:$T$10))))))</f>
        <v>2.2727272727272725</v>
      </c>
      <c r="CY116" s="327">
        <f>IF(CY$7&gt;$D$3,"",IF(AQ116="OD","OD",IF(AQ116="Missed","Missed",IF(AQ116="TBC","TBC",IF(AQ116="Undefined","Undefined",_xlfn.XLOOKUP(CY$8,'HR mthly'!$I$6:$T$6,'HR mthly'!$I$9:$T$9)/_xlfn.XLOOKUP(CY$8,'HR mthly'!$I$6:$T$6,'HR mthly'!$I$10:$T$10))))))</f>
        <v>2.2727272727272725</v>
      </c>
      <c r="CZ116" s="327">
        <f>IF(CZ$7&gt;$D$3,"",IF(AR116="OD","OD",IF(AR116="Missed","Missed",IF(AR116="TBC","TBC",IF(AR116="Undefined","Undefined",_xlfn.XLOOKUP(CZ$8,'HR mthly'!$I$6:$T$6,'HR mthly'!$I$9:$T$9)/_xlfn.XLOOKUP(CZ$8,'HR mthly'!$I$6:$T$6,'HR mthly'!$I$10:$T$10))))))</f>
        <v>2.2222222222222223</v>
      </c>
      <c r="DA116" s="327">
        <f>IF(DA$7&gt;$D$3,"",IF(AS116="OD","OD",IF(AS116="Missed","Missed",IF(AS116="TBC","TBC",IF(AS116="Undefined","Undefined",_xlfn.XLOOKUP(DA$8,'HR mthly'!$I$6:$T$6,'HR mthly'!$I$9:$T$9)/_xlfn.XLOOKUP(DA$8,'HR mthly'!$I$6:$T$6,'HR mthly'!$I$10:$T$10))))))</f>
        <v>2.2222222222222223</v>
      </c>
      <c r="DB116" s="327">
        <f>IF(DB$7&gt;$D$3,"",IF(AT116="OD","OD",IF(AT116="Missed","Missed",IF(AT116="TBC","TBC",IF(AT116="Undefined","Undefined",_xlfn.XLOOKUP(DB$8,'HR mthly'!$I$6:$T$6,'HR mthly'!$I$9:$T$9)/_xlfn.XLOOKUP(DB$8,'HR mthly'!$I$6:$T$6,'HR mthly'!$I$10:$T$10))))))</f>
        <v>2.2222222222222223</v>
      </c>
      <c r="DC116" s="327">
        <f>IF(DC$7&gt;$D$3,"",IF(AU116="OD","OD",IF(AU116="Missed","Missed",IF(AU116="TBC","TBC",IF(AU116="Undefined","Undefined",_xlfn.XLOOKUP(DC$8,'HR mthly'!$I$6:$T$6,'HR mthly'!$I$9:$T$9)/_xlfn.XLOOKUP(DC$8,'HR mthly'!$I$6:$T$6,'HR mthly'!$I$10:$T$10))))))</f>
        <v>2.2222222222222223</v>
      </c>
      <c r="DD116" s="327">
        <f>IF(DD$7&gt;$D$3,"",IF(AV116="OD","OD",IF(AV116="Missed","Missed",IF(AV116="TBC","TBC",IF(AV116="Undefined","Undefined",_xlfn.XLOOKUP(DD$8,'HR mthly'!$I$6:$T$6,'HR mthly'!$I$9:$T$9)/_xlfn.XLOOKUP(DD$8,'HR mthly'!$I$6:$T$6,'HR mthly'!$I$10:$T$10))))))</f>
        <v>2.054794520547945</v>
      </c>
      <c r="DE116" s="327">
        <f>IF(DE$7&gt;$D$3,"",IF(AW116="OD","OD",IF(AW116="Missed","Missed",IF(AW116="TBC","TBC",IF(AW116="Undefined","Undefined",_xlfn.XLOOKUP(DE$8,'HR mthly'!$I$6:$T$6,'HR mthly'!$I$9:$T$9)/_xlfn.XLOOKUP(DE$8,'HR mthly'!$I$6:$T$6,'HR mthly'!$I$10:$T$10))))))</f>
        <v>2.054794520547945</v>
      </c>
      <c r="DF116" s="327">
        <f>IF(DF$7&gt;$D$3,"",IF(AX116="OD","OD",IF(AX116="Missed","Missed",IF(AX116="TBC","TBC",IF(AX116="Undefined","Undefined",_xlfn.XLOOKUP(DF$8,'HR mthly'!$I$6:$T$6,'HR mthly'!$I$9:$T$9)/_xlfn.XLOOKUP(DF$8,'HR mthly'!$I$6:$T$6,'HR mthly'!$I$10:$T$10))))))</f>
        <v>2.054794520547945</v>
      </c>
      <c r="DG116" s="327">
        <f>IF(DG$7&gt;$D$3,"",IF(AY116="OD","OD",IF(AY116="Missed","Missed",IF(AY116="TBC","TBC",IF(AY116="Undefined","Undefined",_xlfn.XLOOKUP(DG$8,'HR mthly'!$I$6:$T$6,'HR mthly'!$I$9:$T$9)/_xlfn.XLOOKUP(DG$8,'HR mthly'!$I$6:$T$6,'HR mthly'!$I$10:$T$10))))))</f>
        <v>2.054794520547945</v>
      </c>
      <c r="DH116" s="327">
        <f>IF(DH$7&gt;$D$3,"",IF(AZ116="OD","OD",IF(AZ116="Missed","Missed",IF(AZ116="TBC","TBC",IF(AZ116="Undefined","Undefined",_xlfn.XLOOKUP(DH$8,'HR mthly'!$I$6:$T$6,'HR mthly'!$I$9:$T$9)/_xlfn.XLOOKUP(DH$8,'HR mthly'!$I$6:$T$6,'HR mthly'!$I$10:$T$10))))))</f>
        <v>2.054794520547945</v>
      </c>
      <c r="DI116" s="327">
        <f>IF(DI$7&gt;$D$3,"",IF(BA116="OD","OD",IF(BA116="Missed","Missed",IF(BA116="TBC","TBC",IF(BA116="Undefined","Undefined",_xlfn.XLOOKUP(DI$8,'HR mthly'!$I$6:$T$6,'HR mthly'!$I$9:$T$9)/_xlfn.XLOOKUP(DI$8,'HR mthly'!$I$6:$T$6,'HR mthly'!$I$10:$T$10))))))</f>
        <v>2.054794520547945</v>
      </c>
      <c r="DJ116" s="327">
        <f>IF(DJ$7&gt;$D$3,"",IF(BB116="OD","OD",IF(BB116="Missed","Missed",IF(BB116="TBC","TBC",IF(BB116="Undefined","Undefined",_xlfn.XLOOKUP(DJ$8,'HR mthly'!$I$6:$T$6,'HR mthly'!$I$9:$T$9)/_xlfn.XLOOKUP(DJ$8,'HR mthly'!$I$6:$T$6,'HR mthly'!$I$10:$T$10))))))</f>
        <v>2.054794520547945</v>
      </c>
      <c r="DK116" s="327">
        <f>IF(DK$7&gt;$D$3,"",IF(BC116="OD","OD",IF(BC116="Missed","Missed",IF(BC116="TBC","TBC",IF(BC116="Undefined","Undefined",_xlfn.XLOOKUP(DK$8,'HR mthly'!$I$6:$T$6,'HR mthly'!$I$9:$T$9)/_xlfn.XLOOKUP(DK$8,'HR mthly'!$I$6:$T$6,'HR mthly'!$I$10:$T$10))))))</f>
        <v>2.054794520547945</v>
      </c>
      <c r="DL116" s="327">
        <f>IF(DL$7&gt;$D$3,"",IF(BD116="OD","OD",IF(BD116="Missed","Missed",IF(BD116="TBC","TBC",IF(BD116="Undefined","Undefined",_xlfn.XLOOKUP(DL$8,'HR mthly'!$I$6:$T$6,'HR mthly'!$I$9:$T$9)/_xlfn.XLOOKUP(DL$8,'HR mthly'!$I$6:$T$6,'HR mthly'!$I$10:$T$10))))))</f>
        <v>1.5503875968992249</v>
      </c>
      <c r="DM116" s="327">
        <f>IF(DM$7&gt;$D$3,"",IF(BE116="OD","OD",IF(BE116="Missed","Missed",IF(BE116="TBC","TBC",IF(BE116="Undefined","Undefined",_xlfn.XLOOKUP(DM$8,'HR mthly'!$I$6:$T$6,'HR mthly'!$I$9:$T$9)/_xlfn.XLOOKUP(DM$8,'HR mthly'!$I$6:$T$6,'HR mthly'!$I$10:$T$10))))))</f>
        <v>1.5503875968992249</v>
      </c>
      <c r="DN116" s="327">
        <f>IF(DN$7&gt;$D$3,"",IF(BF116="OD","OD",IF(BF116="Missed","Missed",IF(BF116="TBC","TBC",IF(BF116="Undefined","Undefined",_xlfn.XLOOKUP(DN$8,'HR mthly'!$I$6:$T$6,'HR mthly'!$I$9:$T$9)/_xlfn.XLOOKUP(DN$8,'HR mthly'!$I$6:$T$6,'HR mthly'!$I$10:$T$10))))))</f>
        <v>1.5503875968992249</v>
      </c>
      <c r="DO116" s="327">
        <f>IF(DO$7&gt;$D$3,"",IF(BG116="OD","OD",IF(BG116="Missed","Missed",IF(BG116="TBC","TBC",IF(BG116="Undefined","Undefined",_xlfn.XLOOKUP(DO$8,'HR mthly'!$I$6:$T$6,'HR mthly'!$I$9:$T$9)/_xlfn.XLOOKUP(DO$8,'HR mthly'!$I$6:$T$6,'HR mthly'!$I$10:$T$10))))))</f>
        <v>1.5503875968992249</v>
      </c>
      <c r="DP116" s="327">
        <f>IF(DP$7&gt;$D$3,"",IF(BH116="OD","OD",IF(BH116="Missed","Missed",IF(BH116="TBC","TBC",IF(BH116="Undefined","Undefined",_xlfn.XLOOKUP(DP$8,'HR mthly'!$I$6:$T$6,'HR mthly'!$I$9:$T$9)/_xlfn.XLOOKUP(DP$8,'HR mthly'!$I$6:$T$6,'HR mthly'!$I$10:$T$10))))))</f>
        <v>1.5503875968992249</v>
      </c>
      <c r="DQ116" s="327">
        <f>IF(DQ$7&gt;$D$3,"",IF(BI116="OD","OD",IF(BI116="Missed","Missed",IF(BI116="TBC","TBC",IF(BI116="Undefined","Undefined",_xlfn.XLOOKUP(DQ$8,'HR mthly'!$I$6:$T$6,'HR mthly'!$I$9:$T$9)/_xlfn.XLOOKUP(DQ$8,'HR mthly'!$I$6:$T$6,'HR mthly'!$I$10:$T$10))))))</f>
        <v>1.6666666666666667</v>
      </c>
      <c r="DR116" s="327">
        <f>IF(DR$7&gt;$D$3,"",IF(BJ116="OD","OD",IF(BJ116="Missed","Missed",IF(BJ116="TBC","TBC",IF(BJ116="Undefined","Undefined",_xlfn.XLOOKUP(DR$8,'HR mthly'!$I$6:$T$6,'HR mthly'!$I$9:$T$9)/_xlfn.XLOOKUP(DR$8,'HR mthly'!$I$6:$T$6,'HR mthly'!$I$10:$T$10))))))</f>
        <v>1.6666666666666667</v>
      </c>
      <c r="DS116" s="327">
        <f>IF(DS$7&gt;$D$3,"",IF(BK116="OD","OD",IF(BK116="Missed","Missed",IF(BK116="TBC","TBC",IF(BK116="Undefined","Undefined",_xlfn.XLOOKUP(DS$8,'HR mthly'!$I$6:$T$6,'HR mthly'!$I$9:$T$9)/_xlfn.XLOOKUP(DS$8,'HR mthly'!$I$6:$T$6,'HR mthly'!$I$10:$T$10))))))</f>
        <v>1.6666666666666667</v>
      </c>
      <c r="DT116" s="327">
        <f>IF(DT$7&gt;$D$3,"",IF(BL116="OD","OD",IF(BL116="Missed","Missed",IF(BL116="TBC","TBC",IF(BL116="Undefined","Undefined",_xlfn.XLOOKUP(DT$8,'HR mthly'!$I$6:$T$6,'HR mthly'!$I$9:$T$9)/_xlfn.XLOOKUP(DT$8,'HR mthly'!$I$6:$T$6,'HR mthly'!$I$10:$T$10))))))</f>
        <v>1.6666666666666667</v>
      </c>
      <c r="DU116" s="327">
        <f>IF(DU$7&gt;$D$3,"",IF(BM116="OD","OD",IF(BM116="Missed","Missed",IF(BM116="TBC","TBC",IF(BM116="Undefined","Undefined",_xlfn.XLOOKUP(DU$8,'HR mthly'!$I$6:$T$6,'HR mthly'!$I$9:$T$9)/_xlfn.XLOOKUP(DU$8,'HR mthly'!$I$6:$T$6,'HR mthly'!$I$10:$T$10))))))</f>
        <v>1.910828025477707</v>
      </c>
      <c r="DV116" s="327">
        <f>IF(DV$7&gt;$D$3,"",IF(BN116="OD","OD",IF(BN116="Missed","Missed",IF(BN116="TBC","TBC",IF(BN116="Undefined","Undefined",_xlfn.XLOOKUP(DV$8,'HR mthly'!$I$6:$T$6,'HR mthly'!$I$9:$T$9)/_xlfn.XLOOKUP(DV$8,'HR mthly'!$I$6:$T$6,'HR mthly'!$I$10:$T$10))))))</f>
        <v>1.910828025477707</v>
      </c>
      <c r="DW116" s="327">
        <f>IF(DW$7&gt;$D$3,"",IF(BO116="OD","OD",IF(BO116="Missed","Missed",IF(BO116="TBC","TBC",IF(BO116="Undefined","Undefined",_xlfn.XLOOKUP(DW$8,'HR mthly'!$I$6:$T$6,'HR mthly'!$I$9:$T$9)/_xlfn.XLOOKUP(DW$8,'HR mthly'!$I$6:$T$6,'HR mthly'!$I$10:$T$10))))))</f>
        <v>1.910828025477707</v>
      </c>
      <c r="DX116" s="327">
        <f>IF(DX$7&gt;$D$3,"",IF(BP116="OD","OD",IF(BP116="Missed","Missed",IF(BP116="TBC","TBC",IF(BP116="Undefined","Undefined",_xlfn.XLOOKUP(DX$8,'HR mthly'!$I$6:$T$6,'HR mthly'!$I$9:$T$9)/_xlfn.XLOOKUP(DX$8,'HR mthly'!$I$6:$T$6,'HR mthly'!$I$10:$T$10))))))</f>
        <v>1.910828025477707</v>
      </c>
      <c r="DY116" s="327">
        <f>IF(DY$7&gt;$D$3,"",IF(BQ116="OD","OD",IF(BQ116="Missed","Missed",IF(BQ116="TBC","TBC",IF(BQ116="Undefined","Undefined",_xlfn.XLOOKUP(DY$8,'HR mthly'!$I$6:$T$6,'HR mthly'!$I$9:$T$9)/_xlfn.XLOOKUP(DY$8,'HR mthly'!$I$6:$T$6,'HR mthly'!$I$10:$T$10))))))</f>
        <v>1.910828025477707</v>
      </c>
      <c r="DZ116" s="327">
        <f>IF(DZ$7&gt;$D$3,"",IF(BR116="OD","OD",IF(BR116="Missed","Missed",IF(BR116="TBC","TBC",IF(BR116="Undefined","Undefined",_xlfn.XLOOKUP(DZ$8,'HR mthly'!$I$6:$T$6,'HR mthly'!$I$9:$T$9)/_xlfn.XLOOKUP(DZ$8,'HR mthly'!$I$6:$T$6,'HR mthly'!$I$10:$T$10))))))</f>
        <v>1.5184381778741867</v>
      </c>
      <c r="EA116" s="327">
        <f>IF(EA$7&gt;$D$3,"",IF(BS116="OD","OD",IF(BS116="Missed","Missed",IF(BS116="TBC","TBC",IF(BS116="Undefined","Undefined",_xlfn.XLOOKUP(EA$8,'HR mthly'!$I$6:$T$6,'HR mthly'!$I$9:$T$9)/_xlfn.XLOOKUP(EA$8,'HR mthly'!$I$6:$T$6,'HR mthly'!$I$10:$T$10))))))</f>
        <v>1.5184381778741867</v>
      </c>
      <c r="EB116" s="327">
        <f>IF(EB$7&gt;$D$3,"",IF(BT116="OD","OD",IF(BT116="Missed","Missed",IF(BT116="TBC","TBC",IF(BT116="Undefined","Undefined",_xlfn.XLOOKUP(EB$8,'HR mthly'!$I$6:$T$6,'HR mthly'!$I$9:$T$9)/_xlfn.XLOOKUP(EB$8,'HR mthly'!$I$6:$T$6,'HR mthly'!$I$10:$T$10))))))</f>
        <v>1.5184381778741867</v>
      </c>
      <c r="EC116" s="327">
        <f>IF(EC$7&gt;$D$3,"",IF(BU116="OD","OD",IF(BU116="Missed","Missed",IF(BU116="TBC","TBC",IF(BU116="Undefined","Undefined",_xlfn.XLOOKUP(EC$8,'HR mthly'!$I$6:$T$6,'HR mthly'!$I$9:$T$9)/_xlfn.XLOOKUP(EC$8,'HR mthly'!$I$6:$T$6,'HR mthly'!$I$10:$T$10))))))</f>
        <v>1.5184381778741867</v>
      </c>
      <c r="ED116" s="327">
        <f>IF(ED$7&gt;$D$3,"",IF(BV116="OD","OD",IF(BV116="Missed","Missed",IF(BV116="TBC","TBC",IF(BV116="Undefined","Undefined",_xlfn.XLOOKUP(ED$8,'HR mthly'!$I$6:$T$6,'HR mthly'!$I$9:$T$9)/_xlfn.XLOOKUP(ED$8,'HR mthly'!$I$6:$T$6,'HR mthly'!$I$10:$T$10))))))</f>
        <v>1.5238095238095239</v>
      </c>
      <c r="EE116" s="327">
        <f>IF(EE$7&gt;$D$3,"",IF(BW116="OD","OD",IF(BW116="Missed","Missed",IF(BW116="TBC","TBC",IF(BW116="Undefined","Undefined",_xlfn.XLOOKUP(EE$8,'HR mthly'!$I$6:$T$6,'HR mthly'!$I$9:$T$9)/_xlfn.XLOOKUP(EE$8,'HR mthly'!$I$6:$T$6,'HR mthly'!$I$10:$T$10))))))</f>
        <v>1.5238095238095239</v>
      </c>
      <c r="EF116" s="327">
        <f>IF(EF$7&gt;$D$3,"",IF(BX116="OD","OD",IF(BX116="Missed","Missed",IF(BX116="TBC","TBC",IF(BX116="Undefined","Undefined",_xlfn.XLOOKUP(EF$8,'HR mthly'!$I$6:$T$6,'HR mthly'!$I$9:$T$9)/_xlfn.XLOOKUP(EF$8,'HR mthly'!$I$6:$T$6,'HR mthly'!$I$10:$T$10))))))</f>
        <v>1.5238095238095239</v>
      </c>
      <c r="EG116" s="327">
        <f>IF(EG$7&gt;$D$3,"",IF(BY116="OD","OD",IF(BY116="Missed","Missed",IF(BY116="TBC","TBC",IF(BY116="Undefined","Undefined",_xlfn.XLOOKUP(EG$8,'HR mthly'!$I$6:$T$6,'HR mthly'!$I$9:$T$9)/_xlfn.XLOOKUP(EG$8,'HR mthly'!$I$6:$T$6,'HR mthly'!$I$10:$T$10))))))</f>
        <v>1.5238095238095239</v>
      </c>
      <c r="EH116" s="327">
        <f>IF(EH$7&gt;$D$3,"",IF(BZ116="OD","OD",IF(BZ116="Missed","Missed",IF(BZ116="TBC","TBC",IF(BZ116="Undefined","Undefined",_xlfn.XLOOKUP(EH$8,'HR mthly'!$I$6:$T$6,'HR mthly'!$I$9:$T$9)/_xlfn.XLOOKUP(EH$8,'HR mthly'!$I$6:$T$6,'HR mthly'!$I$10:$T$10))))))</f>
        <v>1.5332197614991481</v>
      </c>
      <c r="EI116" s="327">
        <f>IF(EI$7&gt;$D$3,"",IF(CA116="OD","OD",IF(CA116="Missed","Missed",IF(CA116="TBC","TBC",IF(CA116="Undefined","Undefined",_xlfn.XLOOKUP(EI$8,'HR mthly'!$I$6:$T$6,'HR mthly'!$I$9:$T$9)/_xlfn.XLOOKUP(EI$8,'HR mthly'!$I$6:$T$6,'HR mthly'!$I$10:$T$10))))))</f>
        <v>1.5332197614991481</v>
      </c>
      <c r="EJ116" s="327">
        <f>IF(EJ$7&gt;$D$3,"",IF(CB116="OD","OD",IF(CB116="Missed","Missed",IF(CB116="TBC","TBC",IF(CB116="Undefined","Undefined",_xlfn.XLOOKUP(EJ$8,'HR mthly'!$I$6:$T$6,'HR mthly'!$I$9:$T$9)/_xlfn.XLOOKUP(EJ$8,'HR mthly'!$I$6:$T$6,'HR mthly'!$I$10:$T$10))))))</f>
        <v>1.5332197614991481</v>
      </c>
      <c r="EK116" s="327" t="str">
        <f>IF(EK$7&gt;$D$3,"",IF(CC116="OD","OD",IF(CC116="Missed","Missed",IF(CC116="TBC","TBC",IF(CC116="Undefined","Undefined",_xlfn.XLOOKUP(EK$8,'HR mthly'!$I$6:$T$6,'HR mthly'!$I$9:$T$9)/_xlfn.XLOOKUP(EK$8,'HR mthly'!$I$6:$T$6,'HR mthly'!$I$10:$T$10))))))</f>
        <v/>
      </c>
      <c r="EL116" s="327" t="str">
        <f>IF(EL$7&gt;$D$3,"",IF(CD116="OD","OD",IF(CD116="Missed","Missed",IF(CD116="TBC","TBC",IF(CD116="Undefined","Undefined",_xlfn.XLOOKUP(EL$8,'HR mthly'!$I$6:$T$6,'HR mthly'!$I$9:$T$9)/_xlfn.XLOOKUP(EL$8,'HR mthly'!$I$6:$T$6,'HR mthly'!$I$10:$T$10))))))</f>
        <v/>
      </c>
      <c r="EM116" s="327" t="str">
        <f>IF(EM$7&gt;$D$3,"",IF(CE116="OD","OD",IF(CE116="Missed","Missed",IF(CE116="TBC","TBC",IF(CE116="Undefined","Undefined",_xlfn.XLOOKUP(EM$8,'HR mthly'!$I$6:$T$6,'HR mthly'!$I$9:$T$9)/_xlfn.XLOOKUP(EM$8,'HR mthly'!$I$6:$T$6,'HR mthly'!$I$10:$T$10))))))</f>
        <v/>
      </c>
      <c r="EN116" s="327" t="str">
        <f>IF(EN$7&gt;$D$3,"",IF(CF116="OD","OD",IF(CF116="Missed","Missed",IF(CF116="TBC","TBC",IF(CF116="Undefined","Undefined",_xlfn.XLOOKUP(EN$8,'HR mthly'!$I$6:$T$6,'HR mthly'!$I$9:$T$9)/_xlfn.XLOOKUP(EN$8,'HR mthly'!$I$6:$T$6,'HR mthly'!$I$10:$T$10))))))</f>
        <v/>
      </c>
      <c r="EO116" s="327" t="str">
        <f>IF(EO$7&gt;$D$3,"",IF(CG116="OD","OD",IF(CG116="Missed","Missed",IF(CG116="TBC","TBC",IF(CG116="Undefined","Undefined",_xlfn.XLOOKUP(EO$8,'HR mthly'!$I$6:$T$6,'HR mthly'!$I$9:$T$9)/_xlfn.XLOOKUP(EO$8,'HR mthly'!$I$6:$T$6,'HR mthly'!$I$10:$T$10))))))</f>
        <v/>
      </c>
      <c r="EP116" s="327" t="str">
        <f>IF(EP$7&gt;$D$3,"",IF(CH116="OD","OD",IF(CH116="Missed","Missed",IF(CH116="TBC","TBC",IF(CH116="Undefined","Undefined",_xlfn.XLOOKUP(EP$8,'HR mthly'!$I$6:$T$6,'HR mthly'!$I$9:$T$9)/_xlfn.XLOOKUP(EP$8,'HR mthly'!$I$6:$T$6,'HR mthly'!$I$10:$T$10))))))</f>
        <v/>
      </c>
      <c r="EQ116" s="327" t="str">
        <f>IF(EQ$7&gt;$D$3,"",IF(CI116="OD","OD",IF(CI116="Missed","Missed",IF(CI116="TBC","TBC",IF(CI116="Undefined","Undefined",_xlfn.XLOOKUP(EQ$8,'HR mthly'!$I$6:$T$6,'HR mthly'!$I$9:$T$9)/_xlfn.XLOOKUP(EQ$8,'HR mthly'!$I$6:$T$6,'HR mthly'!$I$10:$T$10))))))</f>
        <v/>
      </c>
      <c r="ER116" s="327" t="str">
        <f>IF(ER$7&gt;$D$3,"",IF(CJ116="OD","OD",IF(CJ116="Missed","Missed",IF(CJ116="TBC","TBC",IF(CJ116="Undefined","Undefined",_xlfn.XLOOKUP(ER$8,'HR mthly'!$I$6:$T$6,'HR mthly'!$I$9:$T$9)/_xlfn.XLOOKUP(ER$8,'HR mthly'!$I$6:$T$6,'HR mthly'!$I$10:$T$10))))))</f>
        <v/>
      </c>
      <c r="ES116" s="327" t="str">
        <f>IF(ES$7&gt;$D$3,"",IF(CK116="OD","OD",IF(CK116="Missed","Missed",IF(CK116="TBC","TBC",IF(CK116="Undefined","Undefined",_xlfn.XLOOKUP(ES$8,'HR mthly'!$I$6:$T$6,'HR mthly'!$I$9:$T$9)/_xlfn.XLOOKUP(ES$8,'HR mthly'!$I$6:$T$6,'HR mthly'!$I$10:$T$10))))))</f>
        <v/>
      </c>
      <c r="ET116" s="327" t="str">
        <f>IF(ET$7&gt;$D$3,"",IF(CL116="OD","OD",IF(CL116="Missed","Missed",IF(CL116="TBC","TBC",IF(CL116="Undefined","Undefined",_xlfn.XLOOKUP(ET$8,'HR mthly'!$I$6:$T$6,'HR mthly'!$I$9:$T$9)/_xlfn.XLOOKUP(ET$8,'HR mthly'!$I$6:$T$6,'HR mthly'!$I$10:$T$10))))))</f>
        <v/>
      </c>
      <c r="EU116" s="327" t="str">
        <f>IF(EU$7&gt;$D$3,"",IF(CM116="OD","OD",IF(CM116="Missed","Missed",IF(CM116="TBC","TBC",IF(CM116="Undefined","Undefined",_xlfn.XLOOKUP(EU$8,'HR mthly'!$I$6:$T$6,'HR mthly'!$I$9:$T$9)/_xlfn.XLOOKUP(EU$8,'HR mthly'!$I$6:$T$6,'HR mthly'!$I$10:$T$10))))))</f>
        <v/>
      </c>
      <c r="EW116" s="465" t="str">
        <f t="shared" ref="EW116:EW123" si="643">+$A116</f>
        <v>HR-KPI P1</v>
      </c>
      <c r="EX116" s="133" t="str">
        <f t="shared" ref="EX116:EX123" si="644">+$C116</f>
        <v>KPI P1</v>
      </c>
      <c r="EY116" s="142" t="str">
        <f t="shared" ref="EY116:EY123" si="645">+$D116</f>
        <v>Productivity</v>
      </c>
      <c r="EZ116" s="142" t="str">
        <f t="shared" si="607"/>
        <v>Employee Turnover %</v>
      </c>
      <c r="FA116" s="143" t="str">
        <f t="shared" si="608"/>
        <v>Percentage</v>
      </c>
      <c r="FB116" s="143" t="s">
        <v>251</v>
      </c>
      <c r="FC116" s="225"/>
      <c r="FD116" s="330">
        <f>IF(FD$7&gt;$D$3,"",_xlfn.XLOOKUP(FD$8,'HR mthly'!$I$6:$T$6,'HR mthly'!$I$10:$T$10))</f>
        <v>4.4000000000000003E-3</v>
      </c>
      <c r="FE116" s="330">
        <f>IF(FE$7&gt;$D$3,"",_xlfn.XLOOKUP(FE$8,'HR mthly'!$I$6:$T$6,'HR mthly'!$I$10:$T$10))</f>
        <v>4.4000000000000003E-3</v>
      </c>
      <c r="FF116" s="330">
        <f>IF(FF$7&gt;$D$3,"",_xlfn.XLOOKUP(FF$8,'HR mthly'!$I$6:$T$6,'HR mthly'!$I$10:$T$10))</f>
        <v>4.4000000000000003E-3</v>
      </c>
      <c r="FG116" s="330">
        <f>IF(FG$7&gt;$D$3,"",_xlfn.XLOOKUP(FG$8,'HR mthly'!$I$6:$T$6,'HR mthly'!$I$10:$T$10))</f>
        <v>4.4000000000000003E-3</v>
      </c>
      <c r="FH116" s="330">
        <f>IF(FH$7&gt;$D$3,"",_xlfn.XLOOKUP(FH$8,'HR mthly'!$I$6:$T$6,'HR mthly'!$I$10:$T$10))</f>
        <v>8.9999999999999993E-3</v>
      </c>
      <c r="FI116" s="330">
        <f>IF(FI$7&gt;$D$3,"",_xlfn.XLOOKUP(FI$8,'HR mthly'!$I$6:$T$6,'HR mthly'!$I$10:$T$10))</f>
        <v>8.9999999999999993E-3</v>
      </c>
      <c r="FJ116" s="330">
        <f>IF(FJ$7&gt;$D$3,"",_xlfn.XLOOKUP(FJ$8,'HR mthly'!$I$6:$T$6,'HR mthly'!$I$10:$T$10))</f>
        <v>8.9999999999999993E-3</v>
      </c>
      <c r="FK116" s="330">
        <f>IF(FK$7&gt;$D$3,"",_xlfn.XLOOKUP(FK$8,'HR mthly'!$I$6:$T$6,'HR mthly'!$I$10:$T$10))</f>
        <v>8.9999999999999993E-3</v>
      </c>
      <c r="FL116" s="330">
        <f>IF(FL$7&gt;$D$3,"",_xlfn.XLOOKUP(FL$8,'HR mthly'!$I$6:$T$6,'HR mthly'!$I$10:$T$10))</f>
        <v>1.46E-2</v>
      </c>
      <c r="FM116" s="330">
        <f>IF(FM$7&gt;$D$3,"",_xlfn.XLOOKUP(FM$8,'HR mthly'!$I$6:$T$6,'HR mthly'!$I$10:$T$10))</f>
        <v>1.46E-2</v>
      </c>
      <c r="FN116" s="330">
        <f>IF(FN$7&gt;$D$3,"",_xlfn.XLOOKUP(FN$8,'HR mthly'!$I$6:$T$6,'HR mthly'!$I$10:$T$10))</f>
        <v>1.46E-2</v>
      </c>
      <c r="FO116" s="330">
        <f>IF(FO$7&gt;$D$3,"",_xlfn.XLOOKUP(FO$8,'HR mthly'!$I$6:$T$6,'HR mthly'!$I$10:$T$10))</f>
        <v>1.46E-2</v>
      </c>
      <c r="FP116" s="330">
        <f>IF(FP$7&gt;$D$3,"",_xlfn.XLOOKUP(FP$8,'HR mthly'!$I$6:$T$6,'HR mthly'!$I$10:$T$10))</f>
        <v>1.46E-2</v>
      </c>
      <c r="FQ116" s="330">
        <f>IF(FQ$7&gt;$D$3,"",_xlfn.XLOOKUP(FQ$8,'HR mthly'!$I$6:$T$6,'HR mthly'!$I$10:$T$10))</f>
        <v>1.46E-2</v>
      </c>
      <c r="FR116" s="330">
        <f>IF(FR$7&gt;$D$3,"",_xlfn.XLOOKUP(FR$8,'HR mthly'!$I$6:$T$6,'HR mthly'!$I$10:$T$10))</f>
        <v>1.46E-2</v>
      </c>
      <c r="FS116" s="330">
        <f>IF(FS$7&gt;$D$3,"",_xlfn.XLOOKUP(FS$8,'HR mthly'!$I$6:$T$6,'HR mthly'!$I$10:$T$10))</f>
        <v>1.46E-2</v>
      </c>
      <c r="FT116" s="330">
        <f>IF(FT$7&gt;$D$3,"",_xlfn.XLOOKUP(FT$8,'HR mthly'!$I$6:$T$6,'HR mthly'!$I$10:$T$10))</f>
        <v>2.58E-2</v>
      </c>
      <c r="FU116" s="330">
        <f>IF(FU$7&gt;$D$3,"",_xlfn.XLOOKUP(FU$8,'HR mthly'!$I$6:$T$6,'HR mthly'!$I$10:$T$10))</f>
        <v>2.58E-2</v>
      </c>
      <c r="FV116" s="330">
        <f>IF(FV$7&gt;$D$3,"",_xlfn.XLOOKUP(FV$8,'HR mthly'!$I$6:$T$6,'HR mthly'!$I$10:$T$10))</f>
        <v>2.58E-2</v>
      </c>
      <c r="FW116" s="330">
        <f>IF(FW$7&gt;$D$3,"",_xlfn.XLOOKUP(FW$8,'HR mthly'!$I$6:$T$6,'HR mthly'!$I$10:$T$10))</f>
        <v>2.58E-2</v>
      </c>
      <c r="FX116" s="330">
        <f>IF(FX$7&gt;$D$3,"",_xlfn.XLOOKUP(FX$8,'HR mthly'!$I$6:$T$6,'HR mthly'!$I$10:$T$10))</f>
        <v>2.58E-2</v>
      </c>
      <c r="FY116" s="330">
        <f>IF(FY$7&gt;$D$3,"",_xlfn.XLOOKUP(FY$8,'HR mthly'!$I$6:$T$6,'HR mthly'!$I$10:$T$10))</f>
        <v>0.03</v>
      </c>
      <c r="FZ116" s="330">
        <f>IF(FZ$7&gt;$D$3,"",_xlfn.XLOOKUP(FZ$8,'HR mthly'!$I$6:$T$6,'HR mthly'!$I$10:$T$10))</f>
        <v>0.03</v>
      </c>
      <c r="GA116" s="330">
        <f>IF(GA$7&gt;$D$3,"",_xlfn.XLOOKUP(GA$8,'HR mthly'!$I$6:$T$6,'HR mthly'!$I$10:$T$10))</f>
        <v>0.03</v>
      </c>
      <c r="GB116" s="330">
        <f>IF(GB$7&gt;$D$3,"",_xlfn.XLOOKUP(GB$8,'HR mthly'!$I$6:$T$6,'HR mthly'!$I$10:$T$10))</f>
        <v>0.03</v>
      </c>
      <c r="GC116" s="330">
        <f>IF(GC$7&gt;$D$3,"",_xlfn.XLOOKUP(GC$8,'HR mthly'!$I$6:$T$6,'HR mthly'!$I$10:$T$10))</f>
        <v>3.1399999999999997E-2</v>
      </c>
      <c r="GD116" s="330">
        <f>IF(GD$7&gt;$D$3,"",_xlfn.XLOOKUP(GD$8,'HR mthly'!$I$6:$T$6,'HR mthly'!$I$10:$T$10))</f>
        <v>3.1399999999999997E-2</v>
      </c>
      <c r="GE116" s="330">
        <f>IF(GE$7&gt;$D$3,"",_xlfn.XLOOKUP(GE$8,'HR mthly'!$I$6:$T$6,'HR mthly'!$I$10:$T$10))</f>
        <v>3.1399999999999997E-2</v>
      </c>
      <c r="GF116" s="330">
        <f>IF(GF$7&gt;$D$3,"",_xlfn.XLOOKUP(GF$8,'HR mthly'!$I$6:$T$6,'HR mthly'!$I$10:$T$10))</f>
        <v>3.1399999999999997E-2</v>
      </c>
      <c r="GG116" s="330">
        <f>IF(GG$7&gt;$D$3,"",_xlfn.XLOOKUP(GG$8,'HR mthly'!$I$6:$T$6,'HR mthly'!$I$10:$T$10))</f>
        <v>3.1399999999999997E-2</v>
      </c>
      <c r="GH116" s="330">
        <f>IF(GH$7&gt;$D$3,"",_xlfn.XLOOKUP(GH$8,'HR mthly'!$I$6:$T$6,'HR mthly'!$I$10:$T$10))</f>
        <v>4.6100000000000002E-2</v>
      </c>
      <c r="GI116" s="330">
        <f>IF(GI$7&gt;$D$3,"",_xlfn.XLOOKUP(GI$8,'HR mthly'!$I$6:$T$6,'HR mthly'!$I$10:$T$10))</f>
        <v>4.6100000000000002E-2</v>
      </c>
      <c r="GJ116" s="330">
        <f>IF(GJ$7&gt;$D$3,"",_xlfn.XLOOKUP(GJ$8,'HR mthly'!$I$6:$T$6,'HR mthly'!$I$10:$T$10))</f>
        <v>4.6100000000000002E-2</v>
      </c>
      <c r="GK116" s="330">
        <f>IF(GK$7&gt;$D$3,"",_xlfn.XLOOKUP(GK$8,'HR mthly'!$I$6:$T$6,'HR mthly'!$I$10:$T$10))</f>
        <v>4.6100000000000002E-2</v>
      </c>
      <c r="GL116" s="330">
        <f>IF(GL$7&gt;$D$3,"",_xlfn.XLOOKUP(GL$8,'HR mthly'!$I$6:$T$6,'HR mthly'!$I$10:$T$10))</f>
        <v>5.2499999999999998E-2</v>
      </c>
      <c r="GM116" s="330">
        <f>IF(GM$7&gt;$D$3,"",_xlfn.XLOOKUP(GM$8,'HR mthly'!$I$6:$T$6,'HR mthly'!$I$10:$T$10))</f>
        <v>5.2499999999999998E-2</v>
      </c>
      <c r="GN116" s="330">
        <f>IF(GN$7&gt;$D$3,"",_xlfn.XLOOKUP(GN$8,'HR mthly'!$I$6:$T$6,'HR mthly'!$I$10:$T$10))</f>
        <v>5.2499999999999998E-2</v>
      </c>
      <c r="GO116" s="330">
        <f>IF(GO$7&gt;$D$3,"",_xlfn.XLOOKUP(GO$8,'HR mthly'!$I$6:$T$6,'HR mthly'!$I$10:$T$10))</f>
        <v>5.2499999999999998E-2</v>
      </c>
      <c r="GP116" s="330">
        <f>IF(GP$7&gt;$D$3,"",_xlfn.XLOOKUP(GP$8,'HR mthly'!$I$6:$T$6,'HR mthly'!$I$10:$T$10))</f>
        <v>5.8700000000000002E-2</v>
      </c>
      <c r="GQ116" s="330">
        <f>IF(GQ$7&gt;$D$3,"",_xlfn.XLOOKUP(GQ$8,'HR mthly'!$I$6:$T$6,'HR mthly'!$I$10:$T$10))</f>
        <v>5.8700000000000002E-2</v>
      </c>
      <c r="GR116" s="330">
        <f>IF(GR$7&gt;$D$3,"",_xlfn.XLOOKUP(GR$8,'HR mthly'!$I$6:$T$6,'HR mthly'!$I$10:$T$10))</f>
        <v>5.8700000000000002E-2</v>
      </c>
      <c r="GS116" s="330" t="str">
        <f>IF(GS$7&gt;$D$3,"",_xlfn.XLOOKUP(GS$8,'HR mthly'!$I$6:$T$6,'HR mthly'!$I$10:$T$10))</f>
        <v/>
      </c>
      <c r="GT116" s="330" t="str">
        <f>IF(GT$7&gt;$D$3,"",_xlfn.XLOOKUP(GT$8,'HR mthly'!$I$6:$T$6,'HR mthly'!$I$10:$T$10))</f>
        <v/>
      </c>
      <c r="GU116" s="330" t="str">
        <f>IF(GU$7&gt;$D$3,"",_xlfn.XLOOKUP(GU$8,'HR mthly'!$I$6:$T$6,'HR mthly'!$I$10:$T$10))</f>
        <v/>
      </c>
      <c r="GV116" s="330" t="str">
        <f>IF(GV$7&gt;$D$3,"",_xlfn.XLOOKUP(GV$8,'HR mthly'!$I$6:$T$6,'HR mthly'!$I$10:$T$10))</f>
        <v/>
      </c>
      <c r="GW116" s="330" t="str">
        <f>IF(GW$7&gt;$D$3,"",_xlfn.XLOOKUP(GW$8,'HR mthly'!$I$6:$T$6,'HR mthly'!$I$10:$T$10))</f>
        <v/>
      </c>
      <c r="GX116" s="330" t="str">
        <f>IF(GX$7&gt;$D$3,"",_xlfn.XLOOKUP(GX$8,'HR mthly'!$I$6:$T$6,'HR mthly'!$I$10:$T$10))</f>
        <v/>
      </c>
      <c r="GY116" s="330" t="str">
        <f>IF(GY$7&gt;$D$3,"",_xlfn.XLOOKUP(GY$8,'HR mthly'!$I$6:$T$6,'HR mthly'!$I$10:$T$10))</f>
        <v/>
      </c>
      <c r="GZ116" s="330" t="str">
        <f>IF(GZ$7&gt;$D$3,"",_xlfn.XLOOKUP(GZ$8,'HR mthly'!$I$6:$T$6,'HR mthly'!$I$10:$T$10))</f>
        <v/>
      </c>
      <c r="HA116" s="330" t="str">
        <f>IF(HA$7&gt;$D$3,"",_xlfn.XLOOKUP(HA$8,'HR mthly'!$I$6:$T$6,'HR mthly'!$I$10:$T$10))</f>
        <v/>
      </c>
      <c r="HB116" s="330" t="str">
        <f>IF(HB$7&gt;$D$3,"",_xlfn.XLOOKUP(HB$8,'HR mthly'!$I$6:$T$6,'HR mthly'!$I$10:$T$10))</f>
        <v/>
      </c>
      <c r="HC116" s="330" t="str">
        <f>IF(HC$7&gt;$D$3,"",_xlfn.XLOOKUP(HC$8,'HR mthly'!$I$6:$T$6,'HR mthly'!$I$10:$T$10))</f>
        <v/>
      </c>
      <c r="HE116" s="133" t="str">
        <f t="shared" ref="HE116:HE123" si="646">+$C116</f>
        <v>KPI P1</v>
      </c>
      <c r="HF116" s="142" t="str">
        <f t="shared" ref="HF116:HF123" si="647">+$D116</f>
        <v>Productivity</v>
      </c>
      <c r="HG116" s="142" t="str">
        <f t="shared" si="611"/>
        <v>Employee Turnover %</v>
      </c>
      <c r="HH116" s="143" t="str">
        <f t="shared" si="612"/>
        <v>Percentage</v>
      </c>
      <c r="HI116" s="143" t="s">
        <v>44</v>
      </c>
      <c r="HJ116" s="225" t="s">
        <v>122</v>
      </c>
      <c r="HK116" s="330">
        <f>IF(HK$7&gt;$D$3,"",_xlfn.XLOOKUP(HK$8,'HR mthly'!$I$6:$T$6,'HR mthly'!$I$9:$T$9))</f>
        <v>0.01</v>
      </c>
      <c r="HL116" s="330">
        <f>IF(HL$7&gt;$D$3,"",_xlfn.XLOOKUP(HL$8,'HR mthly'!$I$6:$T$6,'HR mthly'!$I$9:$T$9))</f>
        <v>0.01</v>
      </c>
      <c r="HM116" s="330">
        <f>IF(HM$7&gt;$D$3,"",_xlfn.XLOOKUP(HM$8,'HR mthly'!$I$6:$T$6,'HR mthly'!$I$9:$T$9))</f>
        <v>0.01</v>
      </c>
      <c r="HN116" s="330">
        <f>IF(HN$7&gt;$D$3,"",_xlfn.XLOOKUP(HN$8,'HR mthly'!$I$6:$T$6,'HR mthly'!$I$9:$T$9))</f>
        <v>0.01</v>
      </c>
      <c r="HO116" s="330">
        <f>IF(HO$7&gt;$D$3,"",_xlfn.XLOOKUP(HO$8,'HR mthly'!$I$6:$T$6,'HR mthly'!$I$9:$T$9))</f>
        <v>0.02</v>
      </c>
      <c r="HP116" s="330">
        <f>IF(HP$7&gt;$D$3,"",_xlfn.XLOOKUP(HP$8,'HR mthly'!$I$6:$T$6,'HR mthly'!$I$9:$T$9))</f>
        <v>0.02</v>
      </c>
      <c r="HQ116" s="330">
        <f>IF(HQ$7&gt;$D$3,"",_xlfn.XLOOKUP(HQ$8,'HR mthly'!$I$6:$T$6,'HR mthly'!$I$9:$T$9))</f>
        <v>0.02</v>
      </c>
      <c r="HR116" s="330">
        <f>IF(HR$7&gt;$D$3,"",_xlfn.XLOOKUP(HR$8,'HR mthly'!$I$6:$T$6,'HR mthly'!$I$9:$T$9))</f>
        <v>0.02</v>
      </c>
      <c r="HS116" s="330">
        <f>IF(HS$7&gt;$D$3,"",_xlfn.XLOOKUP(HS$8,'HR mthly'!$I$6:$T$6,'HR mthly'!$I$9:$T$9))</f>
        <v>0.03</v>
      </c>
      <c r="HT116" s="330">
        <f>IF(HT$7&gt;$D$3,"",_xlfn.XLOOKUP(HT$8,'HR mthly'!$I$6:$T$6,'HR mthly'!$I$9:$T$9))</f>
        <v>0.03</v>
      </c>
      <c r="HU116" s="330">
        <f>IF(HU$7&gt;$D$3,"",_xlfn.XLOOKUP(HU$8,'HR mthly'!$I$6:$T$6,'HR mthly'!$I$9:$T$9))</f>
        <v>0.03</v>
      </c>
      <c r="HV116" s="330">
        <f>IF(HV$7&gt;$D$3,"",_xlfn.XLOOKUP(HV$8,'HR mthly'!$I$6:$T$6,'HR mthly'!$I$9:$T$9))</f>
        <v>0.03</v>
      </c>
      <c r="HW116" s="330">
        <f>IF(HW$7&gt;$D$3,"",_xlfn.XLOOKUP(HW$8,'HR mthly'!$I$6:$T$6,'HR mthly'!$I$9:$T$9))</f>
        <v>0.03</v>
      </c>
      <c r="HX116" s="330">
        <f>IF(HX$7&gt;$D$3,"",_xlfn.XLOOKUP(HX$8,'HR mthly'!$I$6:$T$6,'HR mthly'!$I$9:$T$9))</f>
        <v>0.03</v>
      </c>
      <c r="HY116" s="330">
        <f>IF(HY$7&gt;$D$3,"",_xlfn.XLOOKUP(HY$8,'HR mthly'!$I$6:$T$6,'HR mthly'!$I$9:$T$9))</f>
        <v>0.03</v>
      </c>
      <c r="HZ116" s="330">
        <f>IF(HZ$7&gt;$D$3,"",_xlfn.XLOOKUP(HZ$8,'HR mthly'!$I$6:$T$6,'HR mthly'!$I$9:$T$9))</f>
        <v>0.03</v>
      </c>
      <c r="IA116" s="330">
        <f>IF(IA$7&gt;$D$3,"",_xlfn.XLOOKUP(IA$8,'HR mthly'!$I$6:$T$6,'HR mthly'!$I$9:$T$9))</f>
        <v>0.04</v>
      </c>
      <c r="IB116" s="330">
        <f>IF(IB$7&gt;$D$3,"",_xlfn.XLOOKUP(IB$8,'HR mthly'!$I$6:$T$6,'HR mthly'!$I$9:$T$9))</f>
        <v>0.04</v>
      </c>
      <c r="IC116" s="330">
        <f>IF(IC$7&gt;$D$3,"",_xlfn.XLOOKUP(IC$8,'HR mthly'!$I$6:$T$6,'HR mthly'!$I$9:$T$9))</f>
        <v>0.04</v>
      </c>
      <c r="ID116" s="330">
        <f>IF(ID$7&gt;$D$3,"",_xlfn.XLOOKUP(ID$8,'HR mthly'!$I$6:$T$6,'HR mthly'!$I$9:$T$9))</f>
        <v>0.04</v>
      </c>
      <c r="IE116" s="330">
        <f>IF(IE$7&gt;$D$3,"",_xlfn.XLOOKUP(IE$8,'HR mthly'!$I$6:$T$6,'HR mthly'!$I$9:$T$9))</f>
        <v>0.04</v>
      </c>
      <c r="IF116" s="330">
        <f>IF(IF$7&gt;$D$3,"",_xlfn.XLOOKUP(IF$8,'HR mthly'!$I$6:$T$6,'HR mthly'!$I$9:$T$9))</f>
        <v>0.05</v>
      </c>
      <c r="IG116" s="330">
        <f>IF(IG$7&gt;$D$3,"",_xlfn.XLOOKUP(IG$8,'HR mthly'!$I$6:$T$6,'HR mthly'!$I$9:$T$9))</f>
        <v>0.05</v>
      </c>
      <c r="IH116" s="330">
        <f>IF(IH$7&gt;$D$3,"",_xlfn.XLOOKUP(IH$8,'HR mthly'!$I$6:$T$6,'HR mthly'!$I$9:$T$9))</f>
        <v>0.05</v>
      </c>
      <c r="II116" s="330">
        <f>IF(II$7&gt;$D$3,"",_xlfn.XLOOKUP(II$8,'HR mthly'!$I$6:$T$6,'HR mthly'!$I$9:$T$9))</f>
        <v>0.05</v>
      </c>
      <c r="IJ116" s="330">
        <f>IF(IJ$7&gt;$D$3,"",_xlfn.XLOOKUP(IJ$8,'HR mthly'!$I$6:$T$6,'HR mthly'!$I$9:$T$9))</f>
        <v>0.06</v>
      </c>
      <c r="IK116" s="330">
        <f>IF(IK$7&gt;$D$3,"",_xlfn.XLOOKUP(IK$8,'HR mthly'!$I$6:$T$6,'HR mthly'!$I$9:$T$9))</f>
        <v>0.06</v>
      </c>
      <c r="IL116" s="330">
        <f>IF(IL$7&gt;$D$3,"",_xlfn.XLOOKUP(IL$8,'HR mthly'!$I$6:$T$6,'HR mthly'!$I$9:$T$9))</f>
        <v>0.06</v>
      </c>
      <c r="IM116" s="330">
        <f>IF(IM$7&gt;$D$3,"",_xlfn.XLOOKUP(IM$8,'HR mthly'!$I$6:$T$6,'HR mthly'!$I$9:$T$9))</f>
        <v>0.06</v>
      </c>
      <c r="IN116" s="330">
        <f>IF(IN$7&gt;$D$3,"",_xlfn.XLOOKUP(IN$8,'HR mthly'!$I$6:$T$6,'HR mthly'!$I$9:$T$9))</f>
        <v>0.06</v>
      </c>
      <c r="IO116" s="330">
        <f>IF(IO$7&gt;$D$3,"",_xlfn.XLOOKUP(IO$8,'HR mthly'!$I$6:$T$6,'HR mthly'!$I$9:$T$9))</f>
        <v>7.0000000000000007E-2</v>
      </c>
      <c r="IP116" s="330">
        <f>IF(IP$7&gt;$D$3,"",_xlfn.XLOOKUP(IP$8,'HR mthly'!$I$6:$T$6,'HR mthly'!$I$9:$T$9))</f>
        <v>7.0000000000000007E-2</v>
      </c>
      <c r="IQ116" s="330">
        <f>IF(IQ$7&gt;$D$3,"",_xlfn.XLOOKUP(IQ$8,'HR mthly'!$I$6:$T$6,'HR mthly'!$I$9:$T$9))</f>
        <v>7.0000000000000007E-2</v>
      </c>
      <c r="IR116" s="330">
        <f>IF(IR$7&gt;$D$3,"",_xlfn.XLOOKUP(IR$8,'HR mthly'!$I$6:$T$6,'HR mthly'!$I$9:$T$9))</f>
        <v>7.0000000000000007E-2</v>
      </c>
      <c r="IS116" s="330">
        <f>IF(IS$7&gt;$D$3,"",_xlfn.XLOOKUP(IS$8,'HR mthly'!$I$6:$T$6,'HR mthly'!$I$9:$T$9))</f>
        <v>0.08</v>
      </c>
      <c r="IT116" s="330">
        <f>IF(IT$7&gt;$D$3,"",_xlfn.XLOOKUP(IT$8,'HR mthly'!$I$6:$T$6,'HR mthly'!$I$9:$T$9))</f>
        <v>0.08</v>
      </c>
      <c r="IU116" s="330">
        <f>IF(IU$7&gt;$D$3,"",_xlfn.XLOOKUP(IU$8,'HR mthly'!$I$6:$T$6,'HR mthly'!$I$9:$T$9))</f>
        <v>0.08</v>
      </c>
      <c r="IV116" s="330">
        <f>IF(IV$7&gt;$D$3,"",_xlfn.XLOOKUP(IV$8,'HR mthly'!$I$6:$T$6,'HR mthly'!$I$9:$T$9))</f>
        <v>0.08</v>
      </c>
      <c r="IW116" s="330">
        <f>IF(IW$7&gt;$D$3,"",_xlfn.XLOOKUP(IW$8,'HR mthly'!$I$6:$T$6,'HR mthly'!$I$9:$T$9))</f>
        <v>0.09</v>
      </c>
      <c r="IX116" s="330">
        <f>IF(IX$7&gt;$D$3,"",_xlfn.XLOOKUP(IX$8,'HR mthly'!$I$6:$T$6,'HR mthly'!$I$9:$T$9))</f>
        <v>0.09</v>
      </c>
      <c r="IY116" s="330">
        <f>IF(IY$7&gt;$D$3,"",_xlfn.XLOOKUP(IY$8,'HR mthly'!$I$6:$T$6,'HR mthly'!$I$9:$T$9))</f>
        <v>0.09</v>
      </c>
      <c r="IZ116" s="330" t="str">
        <f>IF(IZ$7&gt;$D$3,"",_xlfn.XLOOKUP(IZ$8,'HR mthly'!$I$6:$T$6,'HR mthly'!$I$9:$T$9))</f>
        <v/>
      </c>
      <c r="JA116" s="330" t="str">
        <f>IF(JA$7&gt;$D$3,"",_xlfn.XLOOKUP(JA$8,'HR mthly'!$I$6:$T$6,'HR mthly'!$I$9:$T$9))</f>
        <v/>
      </c>
      <c r="JB116" s="330" t="str">
        <f>IF(JB$7&gt;$D$3,"",_xlfn.XLOOKUP(JB$8,'HR mthly'!$I$6:$T$6,'HR mthly'!$I$9:$T$9))</f>
        <v/>
      </c>
      <c r="JC116" s="330" t="str">
        <f>IF(JC$7&gt;$D$3,"",_xlfn.XLOOKUP(JC$8,'HR mthly'!$I$6:$T$6,'HR mthly'!$I$9:$T$9))</f>
        <v/>
      </c>
      <c r="JD116" s="330" t="str">
        <f>IF(JD$7&gt;$D$3,"",_xlfn.XLOOKUP(JD$8,'HR mthly'!$I$6:$T$6,'HR mthly'!$I$9:$T$9))</f>
        <v/>
      </c>
      <c r="JE116" s="330" t="str">
        <f>IF(JE$7&gt;$D$3,"",_xlfn.XLOOKUP(JE$8,'HR mthly'!$I$6:$T$6,'HR mthly'!$I$9:$T$9))</f>
        <v/>
      </c>
      <c r="JF116" s="330" t="str">
        <f>IF(JF$7&gt;$D$3,"",_xlfn.XLOOKUP(JF$8,'HR mthly'!$I$6:$T$6,'HR mthly'!$I$9:$T$9))</f>
        <v/>
      </c>
      <c r="JG116" s="330" t="str">
        <f>IF(JG$7&gt;$D$3,"",_xlfn.XLOOKUP(JG$8,'HR mthly'!$I$6:$T$6,'HR mthly'!$I$9:$T$9))</f>
        <v/>
      </c>
      <c r="JH116" s="330" t="str">
        <f>IF(JH$7&gt;$D$3,"",_xlfn.XLOOKUP(JH$8,'HR mthly'!$I$6:$T$6,'HR mthly'!$I$9:$T$9))</f>
        <v/>
      </c>
      <c r="JI116" s="330" t="str">
        <f>IF(JI$7&gt;$D$3,"",_xlfn.XLOOKUP(JI$8,'HR mthly'!$I$6:$T$6,'HR mthly'!$I$9:$T$9))</f>
        <v/>
      </c>
      <c r="JJ116" s="330" t="str">
        <f>IF(JJ$7&gt;$D$3,"",_xlfn.XLOOKUP(JJ$8,'HR mthly'!$I$6:$T$6,'HR mthly'!$I$9:$T$9))</f>
        <v/>
      </c>
      <c r="JM116" s="133" t="str">
        <f t="shared" ref="JM116:JM123" si="648">+$C116</f>
        <v>KPI P1</v>
      </c>
      <c r="JN116" s="142" t="str">
        <f t="shared" ref="JN116:JN123" si="649">+$D116</f>
        <v>Productivity</v>
      </c>
      <c r="JO116" s="243" t="str">
        <f t="shared" si="615"/>
        <v>Employee Turnover %</v>
      </c>
      <c r="JP116" s="143" t="str">
        <f t="shared" si="616"/>
        <v>Percentage</v>
      </c>
      <c r="JQ116" s="384" t="s">
        <v>45</v>
      </c>
      <c r="JR116" s="225" t="str">
        <f>IFERROR(AVERAGE(FC116:$FC116),"")</f>
        <v/>
      </c>
      <c r="JS116" s="330">
        <f>+FD116</f>
        <v>4.4000000000000003E-3</v>
      </c>
      <c r="JT116" s="330">
        <f t="shared" ref="JT116:LR116" si="650">+FE116</f>
        <v>4.4000000000000003E-3</v>
      </c>
      <c r="JU116" s="330">
        <f t="shared" si="650"/>
        <v>4.4000000000000003E-3</v>
      </c>
      <c r="JV116" s="330">
        <f t="shared" si="650"/>
        <v>4.4000000000000003E-3</v>
      </c>
      <c r="JW116" s="330">
        <f t="shared" si="650"/>
        <v>8.9999999999999993E-3</v>
      </c>
      <c r="JX116" s="330">
        <f t="shared" si="650"/>
        <v>8.9999999999999993E-3</v>
      </c>
      <c r="JY116" s="330">
        <f t="shared" si="650"/>
        <v>8.9999999999999993E-3</v>
      </c>
      <c r="JZ116" s="330">
        <f t="shared" si="650"/>
        <v>8.9999999999999993E-3</v>
      </c>
      <c r="KA116" s="330">
        <f t="shared" si="650"/>
        <v>1.46E-2</v>
      </c>
      <c r="KB116" s="330">
        <f t="shared" si="650"/>
        <v>1.46E-2</v>
      </c>
      <c r="KC116" s="330">
        <f t="shared" si="650"/>
        <v>1.46E-2</v>
      </c>
      <c r="KD116" s="330">
        <f t="shared" si="650"/>
        <v>1.46E-2</v>
      </c>
      <c r="KE116" s="330">
        <f t="shared" si="650"/>
        <v>1.46E-2</v>
      </c>
      <c r="KF116" s="330">
        <f t="shared" si="650"/>
        <v>1.46E-2</v>
      </c>
      <c r="KG116" s="330">
        <f t="shared" si="650"/>
        <v>1.46E-2</v>
      </c>
      <c r="KH116" s="330">
        <f t="shared" si="650"/>
        <v>1.46E-2</v>
      </c>
      <c r="KI116" s="330">
        <f t="shared" si="650"/>
        <v>2.58E-2</v>
      </c>
      <c r="KJ116" s="330">
        <f t="shared" si="650"/>
        <v>2.58E-2</v>
      </c>
      <c r="KK116" s="330">
        <f t="shared" si="650"/>
        <v>2.58E-2</v>
      </c>
      <c r="KL116" s="330">
        <f t="shared" si="650"/>
        <v>2.58E-2</v>
      </c>
      <c r="KM116" s="330">
        <f t="shared" si="650"/>
        <v>2.58E-2</v>
      </c>
      <c r="KN116" s="330">
        <f t="shared" si="650"/>
        <v>0.03</v>
      </c>
      <c r="KO116" s="330">
        <f t="shared" si="650"/>
        <v>0.03</v>
      </c>
      <c r="KP116" s="330">
        <f t="shared" si="650"/>
        <v>0.03</v>
      </c>
      <c r="KQ116" s="330">
        <f t="shared" si="650"/>
        <v>0.03</v>
      </c>
      <c r="KR116" s="330">
        <f t="shared" si="650"/>
        <v>3.1399999999999997E-2</v>
      </c>
      <c r="KS116" s="330">
        <f t="shared" si="650"/>
        <v>3.1399999999999997E-2</v>
      </c>
      <c r="KT116" s="330">
        <f t="shared" si="650"/>
        <v>3.1399999999999997E-2</v>
      </c>
      <c r="KU116" s="330">
        <f t="shared" si="650"/>
        <v>3.1399999999999997E-2</v>
      </c>
      <c r="KV116" s="330">
        <f t="shared" si="650"/>
        <v>3.1399999999999997E-2</v>
      </c>
      <c r="KW116" s="330">
        <f t="shared" si="650"/>
        <v>4.6100000000000002E-2</v>
      </c>
      <c r="KX116" s="330">
        <f t="shared" si="650"/>
        <v>4.6100000000000002E-2</v>
      </c>
      <c r="KY116" s="330">
        <f t="shared" si="650"/>
        <v>4.6100000000000002E-2</v>
      </c>
      <c r="KZ116" s="330">
        <f t="shared" si="650"/>
        <v>4.6100000000000002E-2</v>
      </c>
      <c r="LA116" s="330">
        <f t="shared" si="650"/>
        <v>5.2499999999999998E-2</v>
      </c>
      <c r="LB116" s="330">
        <f t="shared" si="650"/>
        <v>5.2499999999999998E-2</v>
      </c>
      <c r="LC116" s="330">
        <f t="shared" si="650"/>
        <v>5.2499999999999998E-2</v>
      </c>
      <c r="LD116" s="330">
        <f t="shared" si="650"/>
        <v>5.2499999999999998E-2</v>
      </c>
      <c r="LE116" s="330">
        <f t="shared" si="650"/>
        <v>5.8700000000000002E-2</v>
      </c>
      <c r="LF116" s="330">
        <f t="shared" si="650"/>
        <v>5.8700000000000002E-2</v>
      </c>
      <c r="LG116" s="330">
        <f t="shared" si="650"/>
        <v>5.8700000000000002E-2</v>
      </c>
      <c r="LH116" s="330" t="str">
        <f t="shared" si="650"/>
        <v/>
      </c>
      <c r="LI116" s="330" t="str">
        <f t="shared" si="650"/>
        <v/>
      </c>
      <c r="LJ116" s="330" t="str">
        <f t="shared" si="650"/>
        <v/>
      </c>
      <c r="LK116" s="330" t="str">
        <f t="shared" si="650"/>
        <v/>
      </c>
      <c r="LL116" s="330" t="str">
        <f t="shared" si="650"/>
        <v/>
      </c>
      <c r="LM116" s="330" t="str">
        <f t="shared" si="650"/>
        <v/>
      </c>
      <c r="LN116" s="330" t="str">
        <f t="shared" si="650"/>
        <v/>
      </c>
      <c r="LO116" s="330" t="str">
        <f t="shared" si="650"/>
        <v/>
      </c>
      <c r="LP116" s="330" t="str">
        <f t="shared" si="650"/>
        <v/>
      </c>
      <c r="LQ116" s="330" t="str">
        <f t="shared" si="650"/>
        <v/>
      </c>
      <c r="LR116" s="330" t="str">
        <f t="shared" si="650"/>
        <v/>
      </c>
      <c r="LT116" s="133" t="str">
        <f t="shared" ref="LT116:LT123" si="651">+$C116</f>
        <v>KPI P1</v>
      </c>
      <c r="LU116" s="142" t="str">
        <f t="shared" ref="LU116:LU123" si="652">+$D116</f>
        <v>Productivity</v>
      </c>
      <c r="LV116" s="142" t="str">
        <f t="shared" si="619"/>
        <v>Employee Turnover %</v>
      </c>
      <c r="LW116" s="143" t="str">
        <f t="shared" si="620"/>
        <v>Percentage</v>
      </c>
      <c r="LX116" s="143" t="s">
        <v>285</v>
      </c>
      <c r="LY116" s="225" t="str">
        <f>IFERROR(AVERAGE($HJ116:HJ116),"")</f>
        <v/>
      </c>
      <c r="LZ116" s="385">
        <f>+HK116</f>
        <v>0.01</v>
      </c>
      <c r="MA116" s="385">
        <f t="shared" ref="MA116:NY116" si="653">+HL116</f>
        <v>0.01</v>
      </c>
      <c r="MB116" s="385">
        <f t="shared" si="653"/>
        <v>0.01</v>
      </c>
      <c r="MC116" s="385">
        <f t="shared" si="653"/>
        <v>0.01</v>
      </c>
      <c r="MD116" s="385">
        <f t="shared" si="653"/>
        <v>0.02</v>
      </c>
      <c r="ME116" s="385">
        <f t="shared" si="653"/>
        <v>0.02</v>
      </c>
      <c r="MF116" s="385">
        <f t="shared" si="653"/>
        <v>0.02</v>
      </c>
      <c r="MG116" s="385">
        <f t="shared" si="653"/>
        <v>0.02</v>
      </c>
      <c r="MH116" s="385">
        <f t="shared" si="653"/>
        <v>0.03</v>
      </c>
      <c r="MI116" s="385">
        <f t="shared" si="653"/>
        <v>0.03</v>
      </c>
      <c r="MJ116" s="385">
        <f t="shared" si="653"/>
        <v>0.03</v>
      </c>
      <c r="MK116" s="385">
        <f t="shared" si="653"/>
        <v>0.03</v>
      </c>
      <c r="ML116" s="385">
        <f t="shared" si="653"/>
        <v>0.03</v>
      </c>
      <c r="MM116" s="385">
        <f t="shared" si="653"/>
        <v>0.03</v>
      </c>
      <c r="MN116" s="385">
        <f t="shared" si="653"/>
        <v>0.03</v>
      </c>
      <c r="MO116" s="385">
        <f t="shared" si="653"/>
        <v>0.03</v>
      </c>
      <c r="MP116" s="385">
        <f t="shared" si="653"/>
        <v>0.04</v>
      </c>
      <c r="MQ116" s="385">
        <f t="shared" si="653"/>
        <v>0.04</v>
      </c>
      <c r="MR116" s="385">
        <f t="shared" si="653"/>
        <v>0.04</v>
      </c>
      <c r="MS116" s="385">
        <f t="shared" si="653"/>
        <v>0.04</v>
      </c>
      <c r="MT116" s="385">
        <f t="shared" si="653"/>
        <v>0.04</v>
      </c>
      <c r="MU116" s="385">
        <f t="shared" si="653"/>
        <v>0.05</v>
      </c>
      <c r="MV116" s="385">
        <f t="shared" si="653"/>
        <v>0.05</v>
      </c>
      <c r="MW116" s="385">
        <f t="shared" si="653"/>
        <v>0.05</v>
      </c>
      <c r="MX116" s="385">
        <f t="shared" si="653"/>
        <v>0.05</v>
      </c>
      <c r="MY116" s="385">
        <f t="shared" si="653"/>
        <v>0.06</v>
      </c>
      <c r="MZ116" s="385">
        <f t="shared" si="653"/>
        <v>0.06</v>
      </c>
      <c r="NA116" s="385">
        <f t="shared" si="653"/>
        <v>0.06</v>
      </c>
      <c r="NB116" s="385">
        <f t="shared" si="653"/>
        <v>0.06</v>
      </c>
      <c r="NC116" s="385">
        <f t="shared" si="653"/>
        <v>0.06</v>
      </c>
      <c r="ND116" s="385">
        <f t="shared" si="653"/>
        <v>7.0000000000000007E-2</v>
      </c>
      <c r="NE116" s="385">
        <f t="shared" si="653"/>
        <v>7.0000000000000007E-2</v>
      </c>
      <c r="NF116" s="385">
        <f t="shared" si="653"/>
        <v>7.0000000000000007E-2</v>
      </c>
      <c r="NG116" s="385">
        <f t="shared" si="653"/>
        <v>7.0000000000000007E-2</v>
      </c>
      <c r="NH116" s="385">
        <f t="shared" si="653"/>
        <v>0.08</v>
      </c>
      <c r="NI116" s="385">
        <f t="shared" si="653"/>
        <v>0.08</v>
      </c>
      <c r="NJ116" s="385">
        <f t="shared" si="653"/>
        <v>0.08</v>
      </c>
      <c r="NK116" s="385">
        <f t="shared" si="653"/>
        <v>0.08</v>
      </c>
      <c r="NL116" s="385">
        <f t="shared" si="653"/>
        <v>0.09</v>
      </c>
      <c r="NM116" s="385">
        <f t="shared" si="653"/>
        <v>0.09</v>
      </c>
      <c r="NN116" s="385">
        <f t="shared" si="653"/>
        <v>0.09</v>
      </c>
      <c r="NO116" s="385" t="str">
        <f t="shared" si="653"/>
        <v/>
      </c>
      <c r="NP116" s="385" t="str">
        <f t="shared" si="653"/>
        <v/>
      </c>
      <c r="NQ116" s="385" t="str">
        <f t="shared" si="653"/>
        <v/>
      </c>
      <c r="NR116" s="385" t="str">
        <f t="shared" si="653"/>
        <v/>
      </c>
      <c r="NS116" s="385" t="str">
        <f t="shared" si="653"/>
        <v/>
      </c>
      <c r="NT116" s="385" t="str">
        <f t="shared" si="653"/>
        <v/>
      </c>
      <c r="NU116" s="385" t="str">
        <f t="shared" si="653"/>
        <v/>
      </c>
      <c r="NV116" s="385" t="str">
        <f t="shared" si="653"/>
        <v/>
      </c>
      <c r="NW116" s="385" t="str">
        <f t="shared" si="653"/>
        <v/>
      </c>
      <c r="NX116" s="385" t="str">
        <f t="shared" si="653"/>
        <v/>
      </c>
      <c r="NY116" s="385" t="str">
        <f t="shared" si="653"/>
        <v/>
      </c>
    </row>
    <row r="117" spans="1:389" x14ac:dyDescent="0.3">
      <c r="A117" t="str">
        <f t="shared" si="623"/>
        <v>HR-KPI P2</v>
      </c>
      <c r="B117" s="918"/>
      <c r="C117" s="136" t="str">
        <f>+'KPI Stats'!C116</f>
        <v>KPI P2</v>
      </c>
      <c r="D117" s="144" t="str">
        <f>+'KPI Stats'!D116</f>
        <v>Productivity</v>
      </c>
      <c r="E117" s="144" t="str">
        <f>+'KPI Stats'!E116</f>
        <v>Group Absence %</v>
      </c>
      <c r="F117" s="145" t="str">
        <f>+'KPI Stats'!F116</f>
        <v>Percentage</v>
      </c>
      <c r="G117" s="169" t="str">
        <f>+'KPI Stats'!G116</f>
        <v>Over</v>
      </c>
      <c r="J117" s="69" t="str">
        <f t="shared" si="624"/>
        <v>G</v>
      </c>
      <c r="K117" s="336">
        <f t="shared" si="625"/>
        <v>2.3800000000000002E-2</v>
      </c>
      <c r="L117" s="337">
        <f t="shared" si="626"/>
        <v>0.03</v>
      </c>
      <c r="M117" s="376">
        <f t="shared" si="627"/>
        <v>1.2605042016806722</v>
      </c>
      <c r="P117" s="69" t="str">
        <f t="shared" si="628"/>
        <v>G</v>
      </c>
      <c r="Q117" s="336">
        <f t="shared" si="629"/>
        <v>2.3800000000000002E-2</v>
      </c>
      <c r="R117" s="337">
        <f t="shared" si="629"/>
        <v>2.3800000000000002E-2</v>
      </c>
      <c r="S117" s="378">
        <f t="shared" si="630"/>
        <v>1.2605042016806722</v>
      </c>
      <c r="T117" s="379">
        <f t="shared" si="630"/>
        <v>1.2605042016806722</v>
      </c>
      <c r="U117" s="295" t="str">
        <f>IF(F4&lt;$Q$4,"Not Complete",IF(Q117=R117,"Same −",IF($G117="Over",IF(Q117&lt;R117,"Better ↑","Worse ↓"),IF($G117="Under",IF(Q117&gt;R117,"Better ↑","Worse ↓"),"err"))))</f>
        <v>Same −</v>
      </c>
      <c r="X117" s="69" t="str">
        <f t="shared" si="631"/>
        <v>G</v>
      </c>
      <c r="Y117" s="336">
        <f t="shared" si="632"/>
        <v>2.4430769230769239E-2</v>
      </c>
      <c r="Z117" s="337">
        <f t="shared" si="633"/>
        <v>3.000000000000002E-2</v>
      </c>
      <c r="AA117" s="376">
        <f t="shared" si="634"/>
        <v>1.2279596977329978</v>
      </c>
      <c r="AB117" s="295" t="str">
        <f>IF(F116&lt;$AA$3,"TBC",IF(Y117=Z117,"Same −",IF($G117="Over",IF(Z117&gt;Y117,"Better ↑ ","Worse ↓ "),IF($G117="Under",IF(Y117&lt;Z117,"Better ↑ ","Worse ↓ "),"err"))))</f>
        <v xml:space="preserve">Better ↑ </v>
      </c>
      <c r="AC117" s="69" t="e">
        <f t="shared" si="635"/>
        <v>#DIV/0!</v>
      </c>
      <c r="AD117" s="114" t="b">
        <f t="shared" si="636"/>
        <v>0</v>
      </c>
      <c r="AE117" s="114" t="b">
        <f t="shared" si="637"/>
        <v>0</v>
      </c>
      <c r="AF117" s="252" t="e">
        <f t="shared" si="638"/>
        <v>#DIV/0!</v>
      </c>
      <c r="AH117" s="465" t="str">
        <f t="shared" si="639"/>
        <v>HR-KPI P2</v>
      </c>
      <c r="AI117" s="136" t="str">
        <f t="shared" ref="AI117" si="654">+C117</f>
        <v>KPI P2</v>
      </c>
      <c r="AJ117" s="144" t="str">
        <f t="shared" ref="AJ117" si="655">+D117</f>
        <v>Productivity</v>
      </c>
      <c r="AK117" s="144" t="str">
        <f t="shared" ref="AK117" si="656">+E117</f>
        <v>Group Absence %</v>
      </c>
      <c r="AL117" s="145" t="str">
        <f t="shared" ref="AL117" si="657">+F117</f>
        <v>Percentage</v>
      </c>
      <c r="AM117" s="199" t="str">
        <f>IF(AM$7&gt;$D$3,"",_xlfn.XLOOKUP(AM$8,'HR mthly'!$I$6:$T$6,'HR mthly'!$I$14:$T$14))</f>
        <v>G</v>
      </c>
      <c r="AN117" s="199" t="str">
        <f>IF(AN$7&gt;$D$3,"",_xlfn.XLOOKUP(AN$8,'HR mthly'!$I$6:$T$6,'HR mthly'!$I$14:$T$14))</f>
        <v>G</v>
      </c>
      <c r="AO117" s="199" t="str">
        <f>IF(AO$7&gt;$D$3,"",_xlfn.XLOOKUP(AO$8,'HR mthly'!$I$6:$T$6,'HR mthly'!$I$14:$T$14))</f>
        <v>G</v>
      </c>
      <c r="AP117" s="199" t="str">
        <f>IF(AP$7&gt;$D$3,"",_xlfn.XLOOKUP(AP$8,'HR mthly'!$I$6:$T$6,'HR mthly'!$I$14:$T$14))</f>
        <v>G</v>
      </c>
      <c r="AQ117" s="199" t="str">
        <f>IF(AQ$7&gt;$D$3,"",_xlfn.XLOOKUP(AQ$8,'HR mthly'!$I$6:$T$6,'HR mthly'!$I$14:$T$14))</f>
        <v>G</v>
      </c>
      <c r="AR117" s="199" t="str">
        <f>IF(AR$7&gt;$D$3,"",_xlfn.XLOOKUP(AR$8,'HR mthly'!$I$6:$T$6,'HR mthly'!$I$14:$T$14))</f>
        <v>G</v>
      </c>
      <c r="AS117" s="199" t="str">
        <f>IF(AS$7&gt;$D$3,"",_xlfn.XLOOKUP(AS$8,'HR mthly'!$I$6:$T$6,'HR mthly'!$I$14:$T$14))</f>
        <v>G</v>
      </c>
      <c r="AT117" s="199" t="str">
        <f>IF(AT$7&gt;$D$3,"",_xlfn.XLOOKUP(AT$8,'HR mthly'!$I$6:$T$6,'HR mthly'!$I$14:$T$14))</f>
        <v>G</v>
      </c>
      <c r="AU117" s="199" t="str">
        <f>IF(AU$7&gt;$D$3,"",_xlfn.XLOOKUP(AU$8,'HR mthly'!$I$6:$T$6,'HR mthly'!$I$14:$T$14))</f>
        <v>G</v>
      </c>
      <c r="AV117" s="199" t="str">
        <f>IF(AV$7&gt;$D$3,"",_xlfn.XLOOKUP(AV$8,'HR mthly'!$I$6:$T$6,'HR mthly'!$I$14:$T$14))</f>
        <v>G</v>
      </c>
      <c r="AW117" s="199" t="str">
        <f>IF(AW$7&gt;$D$3,"",_xlfn.XLOOKUP(AW$8,'HR mthly'!$I$6:$T$6,'HR mthly'!$I$14:$T$14))</f>
        <v>G</v>
      </c>
      <c r="AX117" s="199" t="str">
        <f>IF(AX$7&gt;$D$3,"",_xlfn.XLOOKUP(AX$8,'HR mthly'!$I$6:$T$6,'HR mthly'!$I$14:$T$14))</f>
        <v>G</v>
      </c>
      <c r="AY117" s="199" t="str">
        <f>IF(AY$7&gt;$D$3,"",_xlfn.XLOOKUP(AY$8,'HR mthly'!$I$6:$T$6,'HR mthly'!$I$14:$T$14))</f>
        <v>G</v>
      </c>
      <c r="AZ117" s="199" t="str">
        <f>IF(AZ$7&gt;$D$3,"",_xlfn.XLOOKUP(AZ$8,'HR mthly'!$I$6:$T$6,'HR mthly'!$I$14:$T$14))</f>
        <v>G</v>
      </c>
      <c r="BA117" s="199" t="str">
        <f>IF(BA$7&gt;$D$3,"",_xlfn.XLOOKUP(BA$8,'HR mthly'!$I$6:$T$6,'HR mthly'!$I$14:$T$14))</f>
        <v>G</v>
      </c>
      <c r="BB117" s="199" t="str">
        <f>IF(BB$7&gt;$D$3,"",_xlfn.XLOOKUP(BB$8,'HR mthly'!$I$6:$T$6,'HR mthly'!$I$14:$T$14))</f>
        <v>G</v>
      </c>
      <c r="BC117" s="199" t="str">
        <f>IF(BC$7&gt;$D$3,"",_xlfn.XLOOKUP(BC$8,'HR mthly'!$I$6:$T$6,'HR mthly'!$I$14:$T$14))</f>
        <v>G</v>
      </c>
      <c r="BD117" s="199" t="str">
        <f>IF(BD$7&gt;$D$3,"",_xlfn.XLOOKUP(BD$8,'HR mthly'!$I$6:$T$6,'HR mthly'!$I$14:$T$14))</f>
        <v>G</v>
      </c>
      <c r="BE117" s="199" t="str">
        <f>IF(BE$7&gt;$D$3,"",_xlfn.XLOOKUP(BE$8,'HR mthly'!$I$6:$T$6,'HR mthly'!$I$14:$T$14))</f>
        <v>G</v>
      </c>
      <c r="BF117" s="199" t="str">
        <f>IF(BF$7&gt;$D$3,"",_xlfn.XLOOKUP(BF$8,'HR mthly'!$I$6:$T$6,'HR mthly'!$I$14:$T$14))</f>
        <v>G</v>
      </c>
      <c r="BG117" s="199" t="str">
        <f>IF(BG$7&gt;$D$3,"",_xlfn.XLOOKUP(BG$8,'HR mthly'!$I$6:$T$6,'HR mthly'!$I$14:$T$14))</f>
        <v>G</v>
      </c>
      <c r="BH117" s="199" t="str">
        <f>IF(BH$7&gt;$D$3,"",_xlfn.XLOOKUP(BH$8,'HR mthly'!$I$6:$T$6,'HR mthly'!$I$14:$T$14))</f>
        <v>G</v>
      </c>
      <c r="BI117" s="199" t="str">
        <f>IF(BI$7&gt;$D$3,"",_xlfn.XLOOKUP(BI$8,'HR mthly'!$I$6:$T$6,'HR mthly'!$I$14:$T$14))</f>
        <v>G</v>
      </c>
      <c r="BJ117" s="199" t="str">
        <f>IF(BJ$7&gt;$D$3,"",_xlfn.XLOOKUP(BJ$8,'HR mthly'!$I$6:$T$6,'HR mthly'!$I$14:$T$14))</f>
        <v>G</v>
      </c>
      <c r="BK117" s="199" t="str">
        <f>IF(BK$7&gt;$D$3,"",_xlfn.XLOOKUP(BK$8,'HR mthly'!$I$6:$T$6,'HR mthly'!$I$14:$T$14))</f>
        <v>G</v>
      </c>
      <c r="BL117" s="199" t="str">
        <f>IF(BL$7&gt;$D$3,"",_xlfn.XLOOKUP(BL$8,'HR mthly'!$I$6:$T$6,'HR mthly'!$I$14:$T$14))</f>
        <v>G</v>
      </c>
      <c r="BM117" s="199" t="str">
        <f>IF(BM$7&gt;$D$3,"",_xlfn.XLOOKUP(BM$8,'HR mthly'!$I$6:$T$6,'HR mthly'!$I$14:$T$14))</f>
        <v>G</v>
      </c>
      <c r="BN117" s="199" t="str">
        <f>IF(BN$7&gt;$D$3,"",_xlfn.XLOOKUP(BN$8,'HR mthly'!$I$6:$T$6,'HR mthly'!$I$14:$T$14))</f>
        <v>G</v>
      </c>
      <c r="BO117" s="199" t="str">
        <f>IF(BO$7&gt;$D$3,"",_xlfn.XLOOKUP(BO$8,'HR mthly'!$I$6:$T$6,'HR mthly'!$I$14:$T$14))</f>
        <v>G</v>
      </c>
      <c r="BP117" s="199" t="str">
        <f>IF(BP$7&gt;$D$3,"",_xlfn.XLOOKUP(BP$8,'HR mthly'!$I$6:$T$6,'HR mthly'!$I$14:$T$14))</f>
        <v>G</v>
      </c>
      <c r="BQ117" s="199" t="str">
        <f>IF(BQ$7&gt;$D$3,"",_xlfn.XLOOKUP(BQ$8,'HR mthly'!$I$6:$T$6,'HR mthly'!$I$14:$T$14))</f>
        <v>G</v>
      </c>
      <c r="BR117" s="199" t="str">
        <f>IF(BR$7&gt;$D$3,"",_xlfn.XLOOKUP(BR$8,'HR mthly'!$I$6:$T$6,'HR mthly'!$I$14:$T$14))</f>
        <v>G</v>
      </c>
      <c r="BS117" s="199" t="str">
        <f>IF(BS$7&gt;$D$3,"",_xlfn.XLOOKUP(BS$8,'HR mthly'!$I$6:$T$6,'HR mthly'!$I$14:$T$14))</f>
        <v>G</v>
      </c>
      <c r="BT117" s="199" t="str">
        <f>IF(BT$7&gt;$D$3,"",_xlfn.XLOOKUP(BT$8,'HR mthly'!$I$6:$T$6,'HR mthly'!$I$14:$T$14))</f>
        <v>G</v>
      </c>
      <c r="BU117" s="199" t="str">
        <f>IF(BU$7&gt;$D$3,"",_xlfn.XLOOKUP(BU$8,'HR mthly'!$I$6:$T$6,'HR mthly'!$I$14:$T$14))</f>
        <v>G</v>
      </c>
      <c r="BV117" s="199" t="str">
        <f>IF(BV$7&gt;$D$3,"",_xlfn.XLOOKUP(BV$8,'HR mthly'!$I$6:$T$6,'HR mthly'!$I$14:$T$14))</f>
        <v>G</v>
      </c>
      <c r="BW117" s="199" t="str">
        <f>IF(BW$7&gt;$D$3,"",_xlfn.XLOOKUP(BW$8,'HR mthly'!$I$6:$T$6,'HR mthly'!$I$14:$T$14))</f>
        <v>G</v>
      </c>
      <c r="BX117" s="199" t="str">
        <f>IF(BX$7&gt;$D$3,"",_xlfn.XLOOKUP(BX$8,'HR mthly'!$I$6:$T$6,'HR mthly'!$I$14:$T$14))</f>
        <v>G</v>
      </c>
      <c r="BY117" s="199" t="str">
        <f>IF(BY$7&gt;$D$3,"",_xlfn.XLOOKUP(BY$8,'HR mthly'!$I$6:$T$6,'HR mthly'!$I$14:$T$14))</f>
        <v>G</v>
      </c>
      <c r="BZ117" s="199" t="str">
        <f>IF(BZ$7&gt;$D$3,"",_xlfn.XLOOKUP(BZ$8,'HR mthly'!$I$6:$T$6,'HR mthly'!$I$14:$T$14))</f>
        <v>G</v>
      </c>
      <c r="CA117" s="199" t="str">
        <f>IF(CA$7&gt;$D$3,"",_xlfn.XLOOKUP(CA$8,'HR mthly'!$I$6:$T$6,'HR mthly'!$I$14:$T$14))</f>
        <v>G</v>
      </c>
      <c r="CB117" s="199" t="str">
        <f>IF(CB$7&gt;$D$3,"",_xlfn.XLOOKUP(CB$8,'HR mthly'!$I$6:$T$6,'HR mthly'!$I$14:$T$14))</f>
        <v>G</v>
      </c>
      <c r="CC117" s="199" t="str">
        <f>IF(CC$7&gt;$D$3,"",_xlfn.XLOOKUP(CC$8,'HR mthly'!$I$6:$T$6,'HR mthly'!$I$14:$T$14))</f>
        <v/>
      </c>
      <c r="CD117" s="199" t="str">
        <f>IF(CD$7&gt;$D$3,"",_xlfn.XLOOKUP(CD$8,'HR mthly'!$I$6:$T$6,'HR mthly'!$I$14:$T$14))</f>
        <v/>
      </c>
      <c r="CE117" s="199" t="str">
        <f>IF(CE$7&gt;$D$3,"",_xlfn.XLOOKUP(CE$8,'HR mthly'!$I$6:$T$6,'HR mthly'!$I$14:$T$14))</f>
        <v/>
      </c>
      <c r="CF117" s="199" t="str">
        <f>IF(CF$7&gt;$D$3,"",_xlfn.XLOOKUP(CF$8,'HR mthly'!$I$6:$T$6,'HR mthly'!$I$14:$T$14))</f>
        <v/>
      </c>
      <c r="CG117" s="199" t="str">
        <f>IF(CG$7&gt;$D$3,"",_xlfn.XLOOKUP(CG$8,'HR mthly'!$I$6:$T$6,'HR mthly'!$I$14:$T$14))</f>
        <v/>
      </c>
      <c r="CH117" s="199" t="str">
        <f>IF(CH$7&gt;$D$3,"",_xlfn.XLOOKUP(CH$8,'HR mthly'!$I$6:$T$6,'HR mthly'!$I$14:$T$14))</f>
        <v/>
      </c>
      <c r="CI117" s="199" t="str">
        <f>IF(CI$7&gt;$D$3,"",_xlfn.XLOOKUP(CI$8,'HR mthly'!$I$6:$T$6,'HR mthly'!$I$14:$T$14))</f>
        <v/>
      </c>
      <c r="CJ117" s="199" t="str">
        <f>IF(CJ$7&gt;$D$3,"",_xlfn.XLOOKUP(CJ$8,'HR mthly'!$I$6:$T$6,'HR mthly'!$I$14:$T$14))</f>
        <v/>
      </c>
      <c r="CK117" s="199" t="str">
        <f>IF(CK$7&gt;$D$3,"",_xlfn.XLOOKUP(CK$8,'HR mthly'!$I$6:$T$6,'HR mthly'!$I$14:$T$14))</f>
        <v/>
      </c>
      <c r="CL117" s="199" t="str">
        <f>IF(CL$7&gt;$D$3,"",_xlfn.XLOOKUP(CL$8,'HR mthly'!$I$6:$T$6,'HR mthly'!$I$14:$T$14))</f>
        <v/>
      </c>
      <c r="CM117" s="199" t="str">
        <f>IF(CM$7&gt;$D$3,"",_xlfn.XLOOKUP(CM$8,'HR mthly'!$I$6:$T$6,'HR mthly'!$I$14:$T$14))</f>
        <v/>
      </c>
      <c r="CO117" s="465" t="str">
        <f t="shared" si="641"/>
        <v>HR-KPI P2</v>
      </c>
      <c r="CP117" s="136" t="str">
        <f t="shared" ref="CP117" si="658">+C117</f>
        <v>KPI P2</v>
      </c>
      <c r="CQ117" s="144" t="str">
        <f t="shared" ref="CQ117" si="659">+D117</f>
        <v>Productivity</v>
      </c>
      <c r="CR117" s="144" t="str">
        <f t="shared" ref="CR117" si="660">+E117</f>
        <v>Group Absence %</v>
      </c>
      <c r="CS117" s="145" t="str">
        <f t="shared" ref="CS117" si="661">+F117</f>
        <v>Percentage</v>
      </c>
      <c r="CT117" s="207" t="s">
        <v>246</v>
      </c>
      <c r="CU117" s="423" t="str">
        <f>IF(CU$7&gt;$D$3,"",_xlfn.XLOOKUP(CU$7,IT!$M$6:$BM$6,IT!$M$16:$BM$16))</f>
        <v>Blank</v>
      </c>
      <c r="CV117" s="323">
        <f>IF(CV$7&gt;$D$3,"",IF(AN117="OD","OD",IF(AN117="Missed","Missed",IF(AN117="TBC","TBC",IF(AN117="Undefined","Undefined",_xlfn.XLOOKUP(CV$8,'HR mthly'!$I$6:$T$6,'HR mthly'!$I$12:$T$12)/_xlfn.XLOOKUP(CV$8,'HR mthly'!$I$6:$T$6,'HR mthly'!$I$13:$T$13))))))</f>
        <v>1.2096774193548387</v>
      </c>
      <c r="CW117" s="323">
        <f>IF(CW$7&gt;$D$3,"",IF(AO117="OD","OD",IF(AO117="Missed","Missed",IF(AO117="TBC","TBC",IF(AO117="Undefined","Undefined",_xlfn.XLOOKUP(CW$8,'HR mthly'!$I$6:$T$6,'HR mthly'!$I$12:$T$12)/_xlfn.XLOOKUP(CW$8,'HR mthly'!$I$6:$T$6,'HR mthly'!$I$13:$T$13))))))</f>
        <v>1.2096774193548387</v>
      </c>
      <c r="CX117" s="323">
        <f>IF(CX$7&gt;$D$3,"",IF(AP117="OD","OD",IF(AP117="Missed","Missed",IF(AP117="TBC","TBC",IF(AP117="Undefined","Undefined",_xlfn.XLOOKUP(CX$8,'HR mthly'!$I$6:$T$6,'HR mthly'!$I$12:$T$12)/_xlfn.XLOOKUP(CX$8,'HR mthly'!$I$6:$T$6,'HR mthly'!$I$13:$T$13))))))</f>
        <v>1.2096774193548387</v>
      </c>
      <c r="CY117" s="323">
        <f>IF(CY$7&gt;$D$3,"",IF(AQ117="OD","OD",IF(AQ117="Missed","Missed",IF(AQ117="TBC","TBC",IF(AQ117="Undefined","Undefined",_xlfn.XLOOKUP(CY$8,'HR mthly'!$I$6:$T$6,'HR mthly'!$I$12:$T$12)/_xlfn.XLOOKUP(CY$8,'HR mthly'!$I$6:$T$6,'HR mthly'!$I$13:$T$13))))))</f>
        <v>1.2096774193548387</v>
      </c>
      <c r="CZ117" s="323">
        <f>IF(CZ$7&gt;$D$3,"",IF(AR117="OD","OD",IF(AR117="Missed","Missed",IF(AR117="TBC","TBC",IF(AR117="Undefined","Undefined",_xlfn.XLOOKUP(CZ$8,'HR mthly'!$I$6:$T$6,'HR mthly'!$I$12:$T$12)/_xlfn.XLOOKUP(CZ$8,'HR mthly'!$I$6:$T$6,'HR mthly'!$I$13:$T$13))))))</f>
        <v>1.0989010989010988</v>
      </c>
      <c r="DA117" s="323">
        <f>IF(DA$7&gt;$D$3,"",IF(AS117="OD","OD",IF(AS117="Missed","Missed",IF(AS117="TBC","TBC",IF(AS117="Undefined","Undefined",_xlfn.XLOOKUP(DA$8,'HR mthly'!$I$6:$T$6,'HR mthly'!$I$12:$T$12)/_xlfn.XLOOKUP(DA$8,'HR mthly'!$I$6:$T$6,'HR mthly'!$I$13:$T$13))))))</f>
        <v>1.0989010989010988</v>
      </c>
      <c r="DB117" s="323">
        <f>IF(DB$7&gt;$D$3,"",IF(AT117="OD","OD",IF(AT117="Missed","Missed",IF(AT117="TBC","TBC",IF(AT117="Undefined","Undefined",_xlfn.XLOOKUP(DB$8,'HR mthly'!$I$6:$T$6,'HR mthly'!$I$12:$T$12)/_xlfn.XLOOKUP(DB$8,'HR mthly'!$I$6:$T$6,'HR mthly'!$I$13:$T$13))))))</f>
        <v>1.0989010989010988</v>
      </c>
      <c r="DC117" s="323">
        <f>IF(DC$7&gt;$D$3,"",IF(AU117="OD","OD",IF(AU117="Missed","Missed",IF(AU117="TBC","TBC",IF(AU117="Undefined","Undefined",_xlfn.XLOOKUP(DC$8,'HR mthly'!$I$6:$T$6,'HR mthly'!$I$12:$T$12)/_xlfn.XLOOKUP(DC$8,'HR mthly'!$I$6:$T$6,'HR mthly'!$I$13:$T$13))))))</f>
        <v>1.0989010989010988</v>
      </c>
      <c r="DD117" s="323">
        <f>IF(DD$7&gt;$D$3,"",IF(AV117="OD","OD",IF(AV117="Missed","Missed",IF(AV117="TBC","TBC",IF(AV117="Undefined","Undefined",_xlfn.XLOOKUP(DD$8,'HR mthly'!$I$6:$T$6,'HR mthly'!$I$12:$T$12)/_xlfn.XLOOKUP(DD$8,'HR mthly'!$I$6:$T$6,'HR mthly'!$I$13:$T$13))))))</f>
        <v>1.0909090909090908</v>
      </c>
      <c r="DE117" s="323">
        <f>IF(DE$7&gt;$D$3,"",IF(AW117="OD","OD",IF(AW117="Missed","Missed",IF(AW117="TBC","TBC",IF(AW117="Undefined","Undefined",_xlfn.XLOOKUP(DE$8,'HR mthly'!$I$6:$T$6,'HR mthly'!$I$12:$T$12)/_xlfn.XLOOKUP(DE$8,'HR mthly'!$I$6:$T$6,'HR mthly'!$I$13:$T$13))))))</f>
        <v>1.0909090909090908</v>
      </c>
      <c r="DF117" s="323">
        <f>IF(DF$7&gt;$D$3,"",IF(AX117="OD","OD",IF(AX117="Missed","Missed",IF(AX117="TBC","TBC",IF(AX117="Undefined","Undefined",_xlfn.XLOOKUP(DF$8,'HR mthly'!$I$6:$T$6,'HR mthly'!$I$12:$T$12)/_xlfn.XLOOKUP(DF$8,'HR mthly'!$I$6:$T$6,'HR mthly'!$I$13:$T$13))))))</f>
        <v>1.0909090909090908</v>
      </c>
      <c r="DG117" s="323">
        <f>IF(DG$7&gt;$D$3,"",IF(AY117="OD","OD",IF(AY117="Missed","Missed",IF(AY117="TBC","TBC",IF(AY117="Undefined","Undefined",_xlfn.XLOOKUP(DG$8,'HR mthly'!$I$6:$T$6,'HR mthly'!$I$12:$T$12)/_xlfn.XLOOKUP(DG$8,'HR mthly'!$I$6:$T$6,'HR mthly'!$I$13:$T$13))))))</f>
        <v>1.0909090909090908</v>
      </c>
      <c r="DH117" s="323">
        <f>IF(DH$7&gt;$D$3,"",IF(AZ117="OD","OD",IF(AZ117="Missed","Missed",IF(AZ117="TBC","TBC",IF(AZ117="Undefined","Undefined",_xlfn.XLOOKUP(DH$8,'HR mthly'!$I$6:$T$6,'HR mthly'!$I$12:$T$12)/_xlfn.XLOOKUP(DH$8,'HR mthly'!$I$6:$T$6,'HR mthly'!$I$13:$T$13))))))</f>
        <v>1.0909090909090908</v>
      </c>
      <c r="DI117" s="323">
        <f>IF(DI$7&gt;$D$3,"",IF(BA117="OD","OD",IF(BA117="Missed","Missed",IF(BA117="TBC","TBC",IF(BA117="Undefined","Undefined",_xlfn.XLOOKUP(DI$8,'HR mthly'!$I$6:$T$6,'HR mthly'!$I$12:$T$12)/_xlfn.XLOOKUP(DI$8,'HR mthly'!$I$6:$T$6,'HR mthly'!$I$13:$T$13))))))</f>
        <v>1.0909090909090908</v>
      </c>
      <c r="DJ117" s="323">
        <f>IF(DJ$7&gt;$D$3,"",IF(BB117="OD","OD",IF(BB117="Missed","Missed",IF(BB117="TBC","TBC",IF(BB117="Undefined","Undefined",_xlfn.XLOOKUP(DJ$8,'HR mthly'!$I$6:$T$6,'HR mthly'!$I$12:$T$12)/_xlfn.XLOOKUP(DJ$8,'HR mthly'!$I$6:$T$6,'HR mthly'!$I$13:$T$13))))))</f>
        <v>1.0909090909090908</v>
      </c>
      <c r="DK117" s="323">
        <f>IF(DK$7&gt;$D$3,"",IF(BC117="OD","OD",IF(BC117="Missed","Missed",IF(BC117="TBC","TBC",IF(BC117="Undefined","Undefined",_xlfn.XLOOKUP(DK$8,'HR mthly'!$I$6:$T$6,'HR mthly'!$I$12:$T$12)/_xlfn.XLOOKUP(DK$8,'HR mthly'!$I$6:$T$6,'HR mthly'!$I$13:$T$13))))))</f>
        <v>1.0909090909090908</v>
      </c>
      <c r="DL117" s="323">
        <f>IF(DL$7&gt;$D$3,"",IF(BD117="OD","OD",IF(BD117="Missed","Missed",IF(BD117="TBC","TBC",IF(BD117="Undefined","Undefined",_xlfn.XLOOKUP(DL$8,'HR mthly'!$I$6:$T$6,'HR mthly'!$I$12:$T$12)/_xlfn.XLOOKUP(DL$8,'HR mthly'!$I$6:$T$6,'HR mthly'!$I$13:$T$13))))))</f>
        <v>1.1811023622047243</v>
      </c>
      <c r="DM117" s="323">
        <f>IF(DM$7&gt;$D$3,"",IF(BE117="OD","OD",IF(BE117="Missed","Missed",IF(BE117="TBC","TBC",IF(BE117="Undefined","Undefined",_xlfn.XLOOKUP(DM$8,'HR mthly'!$I$6:$T$6,'HR mthly'!$I$12:$T$12)/_xlfn.XLOOKUP(DM$8,'HR mthly'!$I$6:$T$6,'HR mthly'!$I$13:$T$13))))))</f>
        <v>1.1811023622047243</v>
      </c>
      <c r="DN117" s="323">
        <f>IF(DN$7&gt;$D$3,"",IF(BF117="OD","OD",IF(BF117="Missed","Missed",IF(BF117="TBC","TBC",IF(BF117="Undefined","Undefined",_xlfn.XLOOKUP(DN$8,'HR mthly'!$I$6:$T$6,'HR mthly'!$I$12:$T$12)/_xlfn.XLOOKUP(DN$8,'HR mthly'!$I$6:$T$6,'HR mthly'!$I$13:$T$13))))))</f>
        <v>1.1811023622047243</v>
      </c>
      <c r="DO117" s="323">
        <f>IF(DO$7&gt;$D$3,"",IF(BG117="OD","OD",IF(BG117="Missed","Missed",IF(BG117="TBC","TBC",IF(BG117="Undefined","Undefined",_xlfn.XLOOKUP(DO$8,'HR mthly'!$I$6:$T$6,'HR mthly'!$I$12:$T$12)/_xlfn.XLOOKUP(DO$8,'HR mthly'!$I$6:$T$6,'HR mthly'!$I$13:$T$13))))))</f>
        <v>1.1811023622047243</v>
      </c>
      <c r="DP117" s="323">
        <f>IF(DP$7&gt;$D$3,"",IF(BH117="OD","OD",IF(BH117="Missed","Missed",IF(BH117="TBC","TBC",IF(BH117="Undefined","Undefined",_xlfn.XLOOKUP(DP$8,'HR mthly'!$I$6:$T$6,'HR mthly'!$I$12:$T$12)/_xlfn.XLOOKUP(DP$8,'HR mthly'!$I$6:$T$6,'HR mthly'!$I$13:$T$13))))))</f>
        <v>1.1811023622047243</v>
      </c>
      <c r="DQ117" s="323">
        <f>IF(DQ$7&gt;$D$3,"",IF(BI117="OD","OD",IF(BI117="Missed","Missed",IF(BI117="TBC","TBC",IF(BI117="Undefined","Undefined",_xlfn.XLOOKUP(DQ$8,'HR mthly'!$I$6:$T$6,'HR mthly'!$I$12:$T$12)/_xlfn.XLOOKUP(DQ$8,'HR mthly'!$I$6:$T$6,'HR mthly'!$I$13:$T$13))))))</f>
        <v>1.271186440677966</v>
      </c>
      <c r="DR117" s="323">
        <f>IF(DR$7&gt;$D$3,"",IF(BJ117="OD","OD",IF(BJ117="Missed","Missed",IF(BJ117="TBC","TBC",IF(BJ117="Undefined","Undefined",_xlfn.XLOOKUP(DR$8,'HR mthly'!$I$6:$T$6,'HR mthly'!$I$12:$T$12)/_xlfn.XLOOKUP(DR$8,'HR mthly'!$I$6:$T$6,'HR mthly'!$I$13:$T$13))))))</f>
        <v>1.271186440677966</v>
      </c>
      <c r="DS117" s="323">
        <f>IF(DS$7&gt;$D$3,"",IF(BK117="OD","OD",IF(BK117="Missed","Missed",IF(BK117="TBC","TBC",IF(BK117="Undefined","Undefined",_xlfn.XLOOKUP(DS$8,'HR mthly'!$I$6:$T$6,'HR mthly'!$I$12:$T$12)/_xlfn.XLOOKUP(DS$8,'HR mthly'!$I$6:$T$6,'HR mthly'!$I$13:$T$13))))))</f>
        <v>1.271186440677966</v>
      </c>
      <c r="DT117" s="323">
        <f>IF(DT$7&gt;$D$3,"",IF(BL117="OD","OD",IF(BL117="Missed","Missed",IF(BL117="TBC","TBC",IF(BL117="Undefined","Undefined",_xlfn.XLOOKUP(DT$8,'HR mthly'!$I$6:$T$6,'HR mthly'!$I$12:$T$12)/_xlfn.XLOOKUP(DT$8,'HR mthly'!$I$6:$T$6,'HR mthly'!$I$13:$T$13))))))</f>
        <v>1.271186440677966</v>
      </c>
      <c r="DU117" s="323">
        <f>IF(DU$7&gt;$D$3,"",IF(BM117="OD","OD",IF(BM117="Missed","Missed",IF(BM117="TBC","TBC",IF(BM117="Undefined","Undefined",_xlfn.XLOOKUP(DU$8,'HR mthly'!$I$6:$T$6,'HR mthly'!$I$12:$T$12)/_xlfn.XLOOKUP(DU$8,'HR mthly'!$I$6:$T$6,'HR mthly'!$I$13:$T$13))))))</f>
        <v>1.4423076923076923</v>
      </c>
      <c r="DV117" s="323">
        <f>IF(DV$7&gt;$D$3,"",IF(BN117="OD","OD",IF(BN117="Missed","Missed",IF(BN117="TBC","TBC",IF(BN117="Undefined","Undefined",_xlfn.XLOOKUP(DV$8,'HR mthly'!$I$6:$T$6,'HR mthly'!$I$12:$T$12)/_xlfn.XLOOKUP(DV$8,'HR mthly'!$I$6:$T$6,'HR mthly'!$I$13:$T$13))))))</f>
        <v>1.4423076923076923</v>
      </c>
      <c r="DW117" s="323">
        <f>IF(DW$7&gt;$D$3,"",IF(BO117="OD","OD",IF(BO117="Missed","Missed",IF(BO117="TBC","TBC",IF(BO117="Undefined","Undefined",_xlfn.XLOOKUP(DW$8,'HR mthly'!$I$6:$T$6,'HR mthly'!$I$12:$T$12)/_xlfn.XLOOKUP(DW$8,'HR mthly'!$I$6:$T$6,'HR mthly'!$I$13:$T$13))))))</f>
        <v>1.4423076923076923</v>
      </c>
      <c r="DX117" s="323">
        <f>IF(DX$7&gt;$D$3,"",IF(BP117="OD","OD",IF(BP117="Missed","Missed",IF(BP117="TBC","TBC",IF(BP117="Undefined","Undefined",_xlfn.XLOOKUP(DX$8,'HR mthly'!$I$6:$T$6,'HR mthly'!$I$12:$T$12)/_xlfn.XLOOKUP(DX$8,'HR mthly'!$I$6:$T$6,'HR mthly'!$I$13:$T$13))))))</f>
        <v>1.4423076923076923</v>
      </c>
      <c r="DY117" s="323">
        <f>IF(DY$7&gt;$D$3,"",IF(BQ117="OD","OD",IF(BQ117="Missed","Missed",IF(BQ117="TBC","TBC",IF(BQ117="Undefined","Undefined",_xlfn.XLOOKUP(DY$8,'HR mthly'!$I$6:$T$6,'HR mthly'!$I$12:$T$12)/_xlfn.XLOOKUP(DY$8,'HR mthly'!$I$6:$T$6,'HR mthly'!$I$13:$T$13))))))</f>
        <v>1.4423076923076923</v>
      </c>
      <c r="DZ117" s="323">
        <f>IF(DZ$7&gt;$D$3,"",IF(BR117="OD","OD",IF(BR117="Missed","Missed",IF(BR117="TBC","TBC",IF(BR117="Undefined","Undefined",_xlfn.XLOOKUP(DZ$8,'HR mthly'!$I$6:$T$6,'HR mthly'!$I$12:$T$12)/_xlfn.XLOOKUP(DZ$8,'HR mthly'!$I$6:$T$6,'HR mthly'!$I$13:$T$13))))))</f>
        <v>1.3761467889908257</v>
      </c>
      <c r="EA117" s="323">
        <f>IF(EA$7&gt;$D$3,"",IF(BS117="OD","OD",IF(BS117="Missed","Missed",IF(BS117="TBC","TBC",IF(BS117="Undefined","Undefined",_xlfn.XLOOKUP(EA$8,'HR mthly'!$I$6:$T$6,'HR mthly'!$I$12:$T$12)/_xlfn.XLOOKUP(EA$8,'HR mthly'!$I$6:$T$6,'HR mthly'!$I$13:$T$13))))))</f>
        <v>1.3761467889908257</v>
      </c>
      <c r="EB117" s="323">
        <f>IF(EB$7&gt;$D$3,"",IF(BT117="OD","OD",IF(BT117="Missed","Missed",IF(BT117="TBC","TBC",IF(BT117="Undefined","Undefined",_xlfn.XLOOKUP(EB$8,'HR mthly'!$I$6:$T$6,'HR mthly'!$I$12:$T$12)/_xlfn.XLOOKUP(EB$8,'HR mthly'!$I$6:$T$6,'HR mthly'!$I$13:$T$13))))))</f>
        <v>1.3761467889908257</v>
      </c>
      <c r="EC117" s="323">
        <f>IF(EC$7&gt;$D$3,"",IF(BU117="OD","OD",IF(BU117="Missed","Missed",IF(BU117="TBC","TBC",IF(BU117="Undefined","Undefined",_xlfn.XLOOKUP(EC$8,'HR mthly'!$I$6:$T$6,'HR mthly'!$I$12:$T$12)/_xlfn.XLOOKUP(EC$8,'HR mthly'!$I$6:$T$6,'HR mthly'!$I$13:$T$13))))))</f>
        <v>1.3761467889908257</v>
      </c>
      <c r="ED117" s="323">
        <f>IF(ED$7&gt;$D$3,"",IF(BV117="OD","OD",IF(BV117="Missed","Missed",IF(BV117="TBC","TBC",IF(BV117="Undefined","Undefined",_xlfn.XLOOKUP(ED$8,'HR mthly'!$I$6:$T$6,'HR mthly'!$I$12:$T$12)/_xlfn.XLOOKUP(ED$8,'HR mthly'!$I$6:$T$6,'HR mthly'!$I$13:$T$13))))))</f>
        <v>1.3636363636363638</v>
      </c>
      <c r="EE117" s="323">
        <f>IF(EE$7&gt;$D$3,"",IF(BW117="OD","OD",IF(BW117="Missed","Missed",IF(BW117="TBC","TBC",IF(BW117="Undefined","Undefined",_xlfn.XLOOKUP(EE$8,'HR mthly'!$I$6:$T$6,'HR mthly'!$I$12:$T$12)/_xlfn.XLOOKUP(EE$8,'HR mthly'!$I$6:$T$6,'HR mthly'!$I$13:$T$13))))))</f>
        <v>1.3636363636363638</v>
      </c>
      <c r="EF117" s="323">
        <f>IF(EF$7&gt;$D$3,"",IF(BX117="OD","OD",IF(BX117="Missed","Missed",IF(BX117="TBC","TBC",IF(BX117="Undefined","Undefined",_xlfn.XLOOKUP(EF$8,'HR mthly'!$I$6:$T$6,'HR mthly'!$I$12:$T$12)/_xlfn.XLOOKUP(EF$8,'HR mthly'!$I$6:$T$6,'HR mthly'!$I$13:$T$13))))))</f>
        <v>1.3636363636363638</v>
      </c>
      <c r="EG117" s="323">
        <f>IF(EG$7&gt;$D$3,"",IF(BY117="OD","OD",IF(BY117="Missed","Missed",IF(BY117="TBC","TBC",IF(BY117="Undefined","Undefined",_xlfn.XLOOKUP(EG$8,'HR mthly'!$I$6:$T$6,'HR mthly'!$I$12:$T$12)/_xlfn.XLOOKUP(EG$8,'HR mthly'!$I$6:$T$6,'HR mthly'!$I$13:$T$13))))))</f>
        <v>1.3636363636363638</v>
      </c>
      <c r="EH117" s="323">
        <f>IF(EH$7&gt;$D$3,"",IF(BZ117="OD","OD",IF(BZ117="Missed","Missed",IF(BZ117="TBC","TBC",IF(BZ117="Undefined","Undefined",_xlfn.XLOOKUP(EH$8,'HR mthly'!$I$6:$T$6,'HR mthly'!$I$12:$T$12)/_xlfn.XLOOKUP(EH$8,'HR mthly'!$I$6:$T$6,'HR mthly'!$I$13:$T$13))))))</f>
        <v>1.2605042016806722</v>
      </c>
      <c r="EI117" s="323">
        <f>IF(EI$7&gt;$D$3,"",IF(CA117="OD","OD",IF(CA117="Missed","Missed",IF(CA117="TBC","TBC",IF(CA117="Undefined","Undefined",_xlfn.XLOOKUP(EI$8,'HR mthly'!$I$6:$T$6,'HR mthly'!$I$12:$T$12)/_xlfn.XLOOKUP(EI$8,'HR mthly'!$I$6:$T$6,'HR mthly'!$I$13:$T$13))))))</f>
        <v>1.2605042016806722</v>
      </c>
      <c r="EJ117" s="323">
        <f>IF(EJ$7&gt;$D$3,"",IF(CB117="OD","OD",IF(CB117="Missed","Missed",IF(CB117="TBC","TBC",IF(CB117="Undefined","Undefined",_xlfn.XLOOKUP(EJ$8,'HR mthly'!$I$6:$T$6,'HR mthly'!$I$12:$T$12)/_xlfn.XLOOKUP(EJ$8,'HR mthly'!$I$6:$T$6,'HR mthly'!$I$13:$T$13))))))</f>
        <v>1.2605042016806722</v>
      </c>
      <c r="EK117" s="323" t="str">
        <f>IF(EK$7&gt;$D$3,"",IF(CC117="OD","OD",IF(CC117="Missed","Missed",IF(CC117="TBC","TBC",IF(CC117="Undefined","Undefined",_xlfn.XLOOKUP(EK$8,'HR mthly'!$I$6:$T$6,'HR mthly'!$I$12:$T$12)/_xlfn.XLOOKUP(EK$8,'HR mthly'!$I$6:$T$6,'HR mthly'!$I$13:$T$13))))))</f>
        <v/>
      </c>
      <c r="EL117" s="323" t="str">
        <f>IF(EL$7&gt;$D$3,"",IF(CD117="OD","OD",IF(CD117="Missed","Missed",IF(CD117="TBC","TBC",IF(CD117="Undefined","Undefined",_xlfn.XLOOKUP(EL$8,'HR mthly'!$I$6:$T$6,'HR mthly'!$I$12:$T$12)/_xlfn.XLOOKUP(EL$8,'HR mthly'!$I$6:$T$6,'HR mthly'!$I$13:$T$13))))))</f>
        <v/>
      </c>
      <c r="EM117" s="323" t="str">
        <f>IF(EM$7&gt;$D$3,"",IF(CE117="OD","OD",IF(CE117="Missed","Missed",IF(CE117="TBC","TBC",IF(CE117="Undefined","Undefined",_xlfn.XLOOKUP(EM$8,'HR mthly'!$I$6:$T$6,'HR mthly'!$I$12:$T$12)/_xlfn.XLOOKUP(EM$8,'HR mthly'!$I$6:$T$6,'HR mthly'!$I$13:$T$13))))))</f>
        <v/>
      </c>
      <c r="EN117" s="323" t="str">
        <f>IF(EN$7&gt;$D$3,"",IF(CF117="OD","OD",IF(CF117="Missed","Missed",IF(CF117="TBC","TBC",IF(CF117="Undefined","Undefined",_xlfn.XLOOKUP(EN$8,'HR mthly'!$I$6:$T$6,'HR mthly'!$I$12:$T$12)/_xlfn.XLOOKUP(EN$8,'HR mthly'!$I$6:$T$6,'HR mthly'!$I$13:$T$13))))))</f>
        <v/>
      </c>
      <c r="EO117" s="323" t="str">
        <f>IF(EO$7&gt;$D$3,"",IF(CG117="OD","OD",IF(CG117="Missed","Missed",IF(CG117="TBC","TBC",IF(CG117="Undefined","Undefined",_xlfn.XLOOKUP(EO$8,'HR mthly'!$I$6:$T$6,'HR mthly'!$I$12:$T$12)/_xlfn.XLOOKUP(EO$8,'HR mthly'!$I$6:$T$6,'HR mthly'!$I$13:$T$13))))))</f>
        <v/>
      </c>
      <c r="EP117" s="323" t="str">
        <f>IF(EP$7&gt;$D$3,"",IF(CH117="OD","OD",IF(CH117="Missed","Missed",IF(CH117="TBC","TBC",IF(CH117="Undefined","Undefined",_xlfn.XLOOKUP(EP$8,'HR mthly'!$I$6:$T$6,'HR mthly'!$I$12:$T$12)/_xlfn.XLOOKUP(EP$8,'HR mthly'!$I$6:$T$6,'HR mthly'!$I$13:$T$13))))))</f>
        <v/>
      </c>
      <c r="EQ117" s="323" t="str">
        <f>IF(EQ$7&gt;$D$3,"",IF(CI117="OD","OD",IF(CI117="Missed","Missed",IF(CI117="TBC","TBC",IF(CI117="Undefined","Undefined",_xlfn.XLOOKUP(EQ$8,'HR mthly'!$I$6:$T$6,'HR mthly'!$I$12:$T$12)/_xlfn.XLOOKUP(EQ$8,'HR mthly'!$I$6:$T$6,'HR mthly'!$I$13:$T$13))))))</f>
        <v/>
      </c>
      <c r="ER117" s="323" t="str">
        <f>IF(ER$7&gt;$D$3,"",IF(CJ117="OD","OD",IF(CJ117="Missed","Missed",IF(CJ117="TBC","TBC",IF(CJ117="Undefined","Undefined",_xlfn.XLOOKUP(ER$8,'HR mthly'!$I$6:$T$6,'HR mthly'!$I$12:$T$12)/_xlfn.XLOOKUP(ER$8,'HR mthly'!$I$6:$T$6,'HR mthly'!$I$13:$T$13))))))</f>
        <v/>
      </c>
      <c r="ES117" s="323" t="str">
        <f>IF(ES$7&gt;$D$3,"",IF(CK117="OD","OD",IF(CK117="Missed","Missed",IF(CK117="TBC","TBC",IF(CK117="Undefined","Undefined",_xlfn.XLOOKUP(ES$8,'HR mthly'!$I$6:$T$6,'HR mthly'!$I$12:$T$12)/_xlfn.XLOOKUP(ES$8,'HR mthly'!$I$6:$T$6,'HR mthly'!$I$13:$T$13))))))</f>
        <v/>
      </c>
      <c r="ET117" s="323" t="str">
        <f>IF(ET$7&gt;$D$3,"",IF(CL117="OD","OD",IF(CL117="Missed","Missed",IF(CL117="TBC","TBC",IF(CL117="Undefined","Undefined",_xlfn.XLOOKUP(ET$8,'HR mthly'!$I$6:$T$6,'HR mthly'!$I$12:$T$12)/_xlfn.XLOOKUP(ET$8,'HR mthly'!$I$6:$T$6,'HR mthly'!$I$13:$T$13))))))</f>
        <v/>
      </c>
      <c r="EU117" s="323" t="str">
        <f>IF(EU$7&gt;$D$3,"",IF(CM117="OD","OD",IF(CM117="Missed","Missed",IF(CM117="TBC","TBC",IF(CM117="Undefined","Undefined",_xlfn.XLOOKUP(EU$8,'HR mthly'!$I$6:$T$6,'HR mthly'!$I$12:$T$12)/_xlfn.XLOOKUP(EU$8,'HR mthly'!$I$6:$T$6,'HR mthly'!$I$13:$T$13))))))</f>
        <v/>
      </c>
      <c r="EW117" s="465" t="str">
        <f t="shared" si="643"/>
        <v>HR-KPI P2</v>
      </c>
      <c r="EX117" s="136" t="str">
        <f t="shared" si="644"/>
        <v>KPI P2</v>
      </c>
      <c r="EY117" s="144" t="str">
        <f t="shared" si="645"/>
        <v>Productivity</v>
      </c>
      <c r="EZ117" s="144" t="str">
        <f t="shared" si="607"/>
        <v>Group Absence %</v>
      </c>
      <c r="FA117" s="145" t="str">
        <f t="shared" si="608"/>
        <v>Percentage</v>
      </c>
      <c r="FB117" s="145" t="s">
        <v>251</v>
      </c>
      <c r="FC117" s="226"/>
      <c r="FD117" s="331">
        <f>IF(FD$7&gt;$D$3,"",_xlfn.XLOOKUP(FD$8,'HR mthly'!$I$6:$T$6,'HR mthly'!$I$13:$T$13))</f>
        <v>2.4799999999999999E-2</v>
      </c>
      <c r="FE117" s="331">
        <f>IF(FE$7&gt;$D$3,"",_xlfn.XLOOKUP(FE$8,'HR mthly'!$I$6:$T$6,'HR mthly'!$I$13:$T$13))</f>
        <v>2.4799999999999999E-2</v>
      </c>
      <c r="FF117" s="331">
        <f>IF(FF$7&gt;$D$3,"",_xlfn.XLOOKUP(FF$8,'HR mthly'!$I$6:$T$6,'HR mthly'!$I$13:$T$13))</f>
        <v>2.4799999999999999E-2</v>
      </c>
      <c r="FG117" s="331">
        <f>IF(FG$7&gt;$D$3,"",_xlfn.XLOOKUP(FG$8,'HR mthly'!$I$6:$T$6,'HR mthly'!$I$13:$T$13))</f>
        <v>2.4799999999999999E-2</v>
      </c>
      <c r="FH117" s="331">
        <f>IF(FH$7&gt;$D$3,"",_xlfn.XLOOKUP(FH$8,'HR mthly'!$I$6:$T$6,'HR mthly'!$I$13:$T$13))</f>
        <v>2.7300000000000001E-2</v>
      </c>
      <c r="FI117" s="331">
        <f>IF(FI$7&gt;$D$3,"",_xlfn.XLOOKUP(FI$8,'HR mthly'!$I$6:$T$6,'HR mthly'!$I$13:$T$13))</f>
        <v>2.7300000000000001E-2</v>
      </c>
      <c r="FJ117" s="331">
        <f>IF(FJ$7&gt;$D$3,"",_xlfn.XLOOKUP(FJ$8,'HR mthly'!$I$6:$T$6,'HR mthly'!$I$13:$T$13))</f>
        <v>2.7300000000000001E-2</v>
      </c>
      <c r="FK117" s="331">
        <f>IF(FK$7&gt;$D$3,"",_xlfn.XLOOKUP(FK$8,'HR mthly'!$I$6:$T$6,'HR mthly'!$I$13:$T$13))</f>
        <v>2.7300000000000001E-2</v>
      </c>
      <c r="FL117" s="331">
        <f>IF(FL$7&gt;$D$3,"",_xlfn.XLOOKUP(FL$8,'HR mthly'!$I$6:$T$6,'HR mthly'!$I$13:$T$13))</f>
        <v>2.75E-2</v>
      </c>
      <c r="FM117" s="331">
        <f>IF(FM$7&gt;$D$3,"",_xlfn.XLOOKUP(FM$8,'HR mthly'!$I$6:$T$6,'HR mthly'!$I$13:$T$13))</f>
        <v>2.75E-2</v>
      </c>
      <c r="FN117" s="331">
        <f>IF(FN$7&gt;$D$3,"",_xlfn.XLOOKUP(FN$8,'HR mthly'!$I$6:$T$6,'HR mthly'!$I$13:$T$13))</f>
        <v>2.75E-2</v>
      </c>
      <c r="FO117" s="331">
        <f>IF(FO$7&gt;$D$3,"",_xlfn.XLOOKUP(FO$8,'HR mthly'!$I$6:$T$6,'HR mthly'!$I$13:$T$13))</f>
        <v>2.75E-2</v>
      </c>
      <c r="FP117" s="331">
        <f>IF(FP$7&gt;$D$3,"",_xlfn.XLOOKUP(FP$8,'HR mthly'!$I$6:$T$6,'HR mthly'!$I$13:$T$13))</f>
        <v>2.75E-2</v>
      </c>
      <c r="FQ117" s="331">
        <f>IF(FQ$7&gt;$D$3,"",_xlfn.XLOOKUP(FQ$8,'HR mthly'!$I$6:$T$6,'HR mthly'!$I$13:$T$13))</f>
        <v>2.75E-2</v>
      </c>
      <c r="FR117" s="331">
        <f>IF(FR$7&gt;$D$3,"",_xlfn.XLOOKUP(FR$8,'HR mthly'!$I$6:$T$6,'HR mthly'!$I$13:$T$13))</f>
        <v>2.75E-2</v>
      </c>
      <c r="FS117" s="331">
        <f>IF(FS$7&gt;$D$3,"",_xlfn.XLOOKUP(FS$8,'HR mthly'!$I$6:$T$6,'HR mthly'!$I$13:$T$13))</f>
        <v>2.75E-2</v>
      </c>
      <c r="FT117" s="331">
        <f>IF(FT$7&gt;$D$3,"",_xlfn.XLOOKUP(FT$8,'HR mthly'!$I$6:$T$6,'HR mthly'!$I$13:$T$13))</f>
        <v>2.5399999999999999E-2</v>
      </c>
      <c r="FU117" s="331">
        <f>IF(FU$7&gt;$D$3,"",_xlfn.XLOOKUP(FU$8,'HR mthly'!$I$6:$T$6,'HR mthly'!$I$13:$T$13))</f>
        <v>2.5399999999999999E-2</v>
      </c>
      <c r="FV117" s="331">
        <f>IF(FV$7&gt;$D$3,"",_xlfn.XLOOKUP(FV$8,'HR mthly'!$I$6:$T$6,'HR mthly'!$I$13:$T$13))</f>
        <v>2.5399999999999999E-2</v>
      </c>
      <c r="FW117" s="331">
        <f>IF(FW$7&gt;$D$3,"",_xlfn.XLOOKUP(FW$8,'HR mthly'!$I$6:$T$6,'HR mthly'!$I$13:$T$13))</f>
        <v>2.5399999999999999E-2</v>
      </c>
      <c r="FX117" s="331">
        <f>IF(FX$7&gt;$D$3,"",_xlfn.XLOOKUP(FX$8,'HR mthly'!$I$6:$T$6,'HR mthly'!$I$13:$T$13))</f>
        <v>2.5399999999999999E-2</v>
      </c>
      <c r="FY117" s="331">
        <f>IF(FY$7&gt;$D$3,"",_xlfn.XLOOKUP(FY$8,'HR mthly'!$I$6:$T$6,'HR mthly'!$I$13:$T$13))</f>
        <v>2.3599999999999999E-2</v>
      </c>
      <c r="FZ117" s="331">
        <f>IF(FZ$7&gt;$D$3,"",_xlfn.XLOOKUP(FZ$8,'HR mthly'!$I$6:$T$6,'HR mthly'!$I$13:$T$13))</f>
        <v>2.3599999999999999E-2</v>
      </c>
      <c r="GA117" s="331">
        <f>IF(GA$7&gt;$D$3,"",_xlfn.XLOOKUP(GA$8,'HR mthly'!$I$6:$T$6,'HR mthly'!$I$13:$T$13))</f>
        <v>2.3599999999999999E-2</v>
      </c>
      <c r="GB117" s="331">
        <f>IF(GB$7&gt;$D$3,"",_xlfn.XLOOKUP(GB$8,'HR mthly'!$I$6:$T$6,'HR mthly'!$I$13:$T$13))</f>
        <v>2.3599999999999999E-2</v>
      </c>
      <c r="GC117" s="331">
        <f>IF(GC$7&gt;$D$3,"",_xlfn.XLOOKUP(GC$8,'HR mthly'!$I$6:$T$6,'HR mthly'!$I$13:$T$13))</f>
        <v>2.0799999999999999E-2</v>
      </c>
      <c r="GD117" s="331">
        <f>IF(GD$7&gt;$D$3,"",_xlfn.XLOOKUP(GD$8,'HR mthly'!$I$6:$T$6,'HR mthly'!$I$13:$T$13))</f>
        <v>2.0799999999999999E-2</v>
      </c>
      <c r="GE117" s="331">
        <f>IF(GE$7&gt;$D$3,"",_xlfn.XLOOKUP(GE$8,'HR mthly'!$I$6:$T$6,'HR mthly'!$I$13:$T$13))</f>
        <v>2.0799999999999999E-2</v>
      </c>
      <c r="GF117" s="331">
        <f>IF(GF$7&gt;$D$3,"",_xlfn.XLOOKUP(GF$8,'HR mthly'!$I$6:$T$6,'HR mthly'!$I$13:$T$13))</f>
        <v>2.0799999999999999E-2</v>
      </c>
      <c r="GG117" s="331">
        <f>IF(GG$7&gt;$D$3,"",_xlfn.XLOOKUP(GG$8,'HR mthly'!$I$6:$T$6,'HR mthly'!$I$13:$T$13))</f>
        <v>2.0799999999999999E-2</v>
      </c>
      <c r="GH117" s="331">
        <f>IF(GH$7&gt;$D$3,"",_xlfn.XLOOKUP(GH$8,'HR mthly'!$I$6:$T$6,'HR mthly'!$I$13:$T$13))</f>
        <v>2.18E-2</v>
      </c>
      <c r="GI117" s="331">
        <f>IF(GI$7&gt;$D$3,"",_xlfn.XLOOKUP(GI$8,'HR mthly'!$I$6:$T$6,'HR mthly'!$I$13:$T$13))</f>
        <v>2.18E-2</v>
      </c>
      <c r="GJ117" s="331">
        <f>IF(GJ$7&gt;$D$3,"",_xlfn.XLOOKUP(GJ$8,'HR mthly'!$I$6:$T$6,'HR mthly'!$I$13:$T$13))</f>
        <v>2.18E-2</v>
      </c>
      <c r="GK117" s="331">
        <f>IF(GK$7&gt;$D$3,"",_xlfn.XLOOKUP(GK$8,'HR mthly'!$I$6:$T$6,'HR mthly'!$I$13:$T$13))</f>
        <v>2.18E-2</v>
      </c>
      <c r="GL117" s="331">
        <f>IF(GL$7&gt;$D$3,"",_xlfn.XLOOKUP(GL$8,'HR mthly'!$I$6:$T$6,'HR mthly'!$I$13:$T$13))</f>
        <v>2.1999999999999999E-2</v>
      </c>
      <c r="GM117" s="331">
        <f>IF(GM$7&gt;$D$3,"",_xlfn.XLOOKUP(GM$8,'HR mthly'!$I$6:$T$6,'HR mthly'!$I$13:$T$13))</f>
        <v>2.1999999999999999E-2</v>
      </c>
      <c r="GN117" s="331">
        <f>IF(GN$7&gt;$D$3,"",_xlfn.XLOOKUP(GN$8,'HR mthly'!$I$6:$T$6,'HR mthly'!$I$13:$T$13))</f>
        <v>2.1999999999999999E-2</v>
      </c>
      <c r="GO117" s="331">
        <f>IF(GO$7&gt;$D$3,"",_xlfn.XLOOKUP(GO$8,'HR mthly'!$I$6:$T$6,'HR mthly'!$I$13:$T$13))</f>
        <v>2.1999999999999999E-2</v>
      </c>
      <c r="GP117" s="331">
        <f>IF(GP$7&gt;$D$3,"",_xlfn.XLOOKUP(GP$8,'HR mthly'!$I$6:$T$6,'HR mthly'!$I$13:$T$13))</f>
        <v>2.3800000000000002E-2</v>
      </c>
      <c r="GQ117" s="331">
        <f>IF(GQ$7&gt;$D$3,"",_xlfn.XLOOKUP(GQ$8,'HR mthly'!$I$6:$T$6,'HR mthly'!$I$13:$T$13))</f>
        <v>2.3800000000000002E-2</v>
      </c>
      <c r="GR117" s="331">
        <f>IF(GR$7&gt;$D$3,"",_xlfn.XLOOKUP(GR$8,'HR mthly'!$I$6:$T$6,'HR mthly'!$I$13:$T$13))</f>
        <v>2.3800000000000002E-2</v>
      </c>
      <c r="GS117" s="331" t="str">
        <f>IF(GS$7&gt;$D$3,"",_xlfn.XLOOKUP(GS$8,'HR mthly'!$I$6:$T$6,'HR mthly'!$I$13:$T$13))</f>
        <v/>
      </c>
      <c r="GT117" s="331" t="str">
        <f>IF(GT$7&gt;$D$3,"",_xlfn.XLOOKUP(GT$8,'HR mthly'!$I$6:$T$6,'HR mthly'!$I$13:$T$13))</f>
        <v/>
      </c>
      <c r="GU117" s="331" t="str">
        <f>IF(GU$7&gt;$D$3,"",_xlfn.XLOOKUP(GU$8,'HR mthly'!$I$6:$T$6,'HR mthly'!$I$13:$T$13))</f>
        <v/>
      </c>
      <c r="GV117" s="331" t="str">
        <f>IF(GV$7&gt;$D$3,"",_xlfn.XLOOKUP(GV$8,'HR mthly'!$I$6:$T$6,'HR mthly'!$I$13:$T$13))</f>
        <v/>
      </c>
      <c r="GW117" s="331" t="str">
        <f>IF(GW$7&gt;$D$3,"",_xlfn.XLOOKUP(GW$8,'HR mthly'!$I$6:$T$6,'HR mthly'!$I$13:$T$13))</f>
        <v/>
      </c>
      <c r="GX117" s="331" t="str">
        <f>IF(GX$7&gt;$D$3,"",_xlfn.XLOOKUP(GX$8,'HR mthly'!$I$6:$T$6,'HR mthly'!$I$13:$T$13))</f>
        <v/>
      </c>
      <c r="GY117" s="331" t="str">
        <f>IF(GY$7&gt;$D$3,"",_xlfn.XLOOKUP(GY$8,'HR mthly'!$I$6:$T$6,'HR mthly'!$I$13:$T$13))</f>
        <v/>
      </c>
      <c r="GZ117" s="331" t="str">
        <f>IF(GZ$7&gt;$D$3,"",_xlfn.XLOOKUP(GZ$8,'HR mthly'!$I$6:$T$6,'HR mthly'!$I$13:$T$13))</f>
        <v/>
      </c>
      <c r="HA117" s="331" t="str">
        <f>IF(HA$7&gt;$D$3,"",_xlfn.XLOOKUP(HA$8,'HR mthly'!$I$6:$T$6,'HR mthly'!$I$13:$T$13))</f>
        <v/>
      </c>
      <c r="HB117" s="331" t="str">
        <f>IF(HB$7&gt;$D$3,"",_xlfn.XLOOKUP(HB$8,'HR mthly'!$I$6:$T$6,'HR mthly'!$I$13:$T$13))</f>
        <v/>
      </c>
      <c r="HC117" s="331" t="str">
        <f>IF(HC$7&gt;$D$3,"",_xlfn.XLOOKUP(HC$8,'HR mthly'!$I$6:$T$6,'HR mthly'!$I$13:$T$13))</f>
        <v/>
      </c>
      <c r="HE117" s="136" t="str">
        <f t="shared" si="646"/>
        <v>KPI P2</v>
      </c>
      <c r="HF117" s="144" t="str">
        <f t="shared" si="647"/>
        <v>Productivity</v>
      </c>
      <c r="HG117" s="144" t="str">
        <f t="shared" si="611"/>
        <v>Group Absence %</v>
      </c>
      <c r="HH117" s="145" t="str">
        <f t="shared" si="612"/>
        <v>Percentage</v>
      </c>
      <c r="HI117" s="145" t="s">
        <v>44</v>
      </c>
      <c r="HJ117" s="226" t="s">
        <v>122</v>
      </c>
      <c r="HK117" s="331">
        <f>IF(HK$7&gt;$D$3,"",_xlfn.XLOOKUP(HK$8,'HR mthly'!$I$6:$T$6,'HR mthly'!$I$12:$T$12))</f>
        <v>0.03</v>
      </c>
      <c r="HL117" s="331">
        <f>IF(HL$7&gt;$D$3,"",_xlfn.XLOOKUP(HL$8,'HR mthly'!$I$6:$T$6,'HR mthly'!$I$12:$T$12))</f>
        <v>0.03</v>
      </c>
      <c r="HM117" s="331">
        <f>IF(HM$7&gt;$D$3,"",_xlfn.XLOOKUP(HM$8,'HR mthly'!$I$6:$T$6,'HR mthly'!$I$12:$T$12))</f>
        <v>0.03</v>
      </c>
      <c r="HN117" s="331">
        <f>IF(HN$7&gt;$D$3,"",_xlfn.XLOOKUP(HN$8,'HR mthly'!$I$6:$T$6,'HR mthly'!$I$12:$T$12))</f>
        <v>0.03</v>
      </c>
      <c r="HO117" s="331">
        <f>IF(HO$7&gt;$D$3,"",_xlfn.XLOOKUP(HO$8,'HR mthly'!$I$6:$T$6,'HR mthly'!$I$12:$T$12))</f>
        <v>0.03</v>
      </c>
      <c r="HP117" s="331">
        <f>IF(HP$7&gt;$D$3,"",_xlfn.XLOOKUP(HP$8,'HR mthly'!$I$6:$T$6,'HR mthly'!$I$12:$T$12))</f>
        <v>0.03</v>
      </c>
      <c r="HQ117" s="331">
        <f>IF(HQ$7&gt;$D$3,"",_xlfn.XLOOKUP(HQ$8,'HR mthly'!$I$6:$T$6,'HR mthly'!$I$12:$T$12))</f>
        <v>0.03</v>
      </c>
      <c r="HR117" s="331">
        <f>IF(HR$7&gt;$D$3,"",_xlfn.XLOOKUP(HR$8,'HR mthly'!$I$6:$T$6,'HR mthly'!$I$12:$T$12))</f>
        <v>0.03</v>
      </c>
      <c r="HS117" s="331">
        <f>IF(HS$7&gt;$D$3,"",_xlfn.XLOOKUP(HS$8,'HR mthly'!$I$6:$T$6,'HR mthly'!$I$12:$T$12))</f>
        <v>0.03</v>
      </c>
      <c r="HT117" s="331">
        <f>IF(HT$7&gt;$D$3,"",_xlfn.XLOOKUP(HT$8,'HR mthly'!$I$6:$T$6,'HR mthly'!$I$12:$T$12))</f>
        <v>0.03</v>
      </c>
      <c r="HU117" s="331">
        <f>IF(HU$7&gt;$D$3,"",_xlfn.XLOOKUP(HU$8,'HR mthly'!$I$6:$T$6,'HR mthly'!$I$12:$T$12))</f>
        <v>0.03</v>
      </c>
      <c r="HV117" s="331">
        <f>IF(HV$7&gt;$D$3,"",_xlfn.XLOOKUP(HV$8,'HR mthly'!$I$6:$T$6,'HR mthly'!$I$12:$T$12))</f>
        <v>0.03</v>
      </c>
      <c r="HW117" s="331">
        <f>IF(HW$7&gt;$D$3,"",_xlfn.XLOOKUP(HW$8,'HR mthly'!$I$6:$T$6,'HR mthly'!$I$12:$T$12))</f>
        <v>0.03</v>
      </c>
      <c r="HX117" s="331">
        <f>IF(HX$7&gt;$D$3,"",_xlfn.XLOOKUP(HX$8,'HR mthly'!$I$6:$T$6,'HR mthly'!$I$12:$T$12))</f>
        <v>0.03</v>
      </c>
      <c r="HY117" s="331">
        <f>IF(HY$7&gt;$D$3,"",_xlfn.XLOOKUP(HY$8,'HR mthly'!$I$6:$T$6,'HR mthly'!$I$12:$T$12))</f>
        <v>0.03</v>
      </c>
      <c r="HZ117" s="331">
        <f>IF(HZ$7&gt;$D$3,"",_xlfn.XLOOKUP(HZ$8,'HR mthly'!$I$6:$T$6,'HR mthly'!$I$12:$T$12))</f>
        <v>0.03</v>
      </c>
      <c r="IA117" s="331">
        <f>IF(IA$7&gt;$D$3,"",_xlfn.XLOOKUP(IA$8,'HR mthly'!$I$6:$T$6,'HR mthly'!$I$12:$T$12))</f>
        <v>0.03</v>
      </c>
      <c r="IB117" s="331">
        <f>IF(IB$7&gt;$D$3,"",_xlfn.XLOOKUP(IB$8,'HR mthly'!$I$6:$T$6,'HR mthly'!$I$12:$T$12))</f>
        <v>0.03</v>
      </c>
      <c r="IC117" s="331">
        <f>IF(IC$7&gt;$D$3,"",_xlfn.XLOOKUP(IC$8,'HR mthly'!$I$6:$T$6,'HR mthly'!$I$12:$T$12))</f>
        <v>0.03</v>
      </c>
      <c r="ID117" s="331">
        <f>IF(ID$7&gt;$D$3,"",_xlfn.XLOOKUP(ID$8,'HR mthly'!$I$6:$T$6,'HR mthly'!$I$12:$T$12))</f>
        <v>0.03</v>
      </c>
      <c r="IE117" s="331">
        <f>IF(IE$7&gt;$D$3,"",_xlfn.XLOOKUP(IE$8,'HR mthly'!$I$6:$T$6,'HR mthly'!$I$12:$T$12))</f>
        <v>0.03</v>
      </c>
      <c r="IF117" s="331">
        <f>IF(IF$7&gt;$D$3,"",_xlfn.XLOOKUP(IF$8,'HR mthly'!$I$6:$T$6,'HR mthly'!$I$12:$T$12))</f>
        <v>0.03</v>
      </c>
      <c r="IG117" s="331">
        <f>IF(IG$7&gt;$D$3,"",_xlfn.XLOOKUP(IG$8,'HR mthly'!$I$6:$T$6,'HR mthly'!$I$12:$T$12))</f>
        <v>0.03</v>
      </c>
      <c r="IH117" s="331">
        <f>IF(IH$7&gt;$D$3,"",_xlfn.XLOOKUP(IH$8,'HR mthly'!$I$6:$T$6,'HR mthly'!$I$12:$T$12))</f>
        <v>0.03</v>
      </c>
      <c r="II117" s="331">
        <f>IF(II$7&gt;$D$3,"",_xlfn.XLOOKUP(II$8,'HR mthly'!$I$6:$T$6,'HR mthly'!$I$12:$T$12))</f>
        <v>0.03</v>
      </c>
      <c r="IJ117" s="331">
        <f>IF(IJ$7&gt;$D$3,"",_xlfn.XLOOKUP(IJ$8,'HR mthly'!$I$6:$T$6,'HR mthly'!$I$12:$T$12))</f>
        <v>0.03</v>
      </c>
      <c r="IK117" s="331">
        <f>IF(IK$7&gt;$D$3,"",_xlfn.XLOOKUP(IK$8,'HR mthly'!$I$6:$T$6,'HR mthly'!$I$12:$T$12))</f>
        <v>0.03</v>
      </c>
      <c r="IL117" s="331">
        <f>IF(IL$7&gt;$D$3,"",_xlfn.XLOOKUP(IL$8,'HR mthly'!$I$6:$T$6,'HR mthly'!$I$12:$T$12))</f>
        <v>0.03</v>
      </c>
      <c r="IM117" s="331">
        <f>IF(IM$7&gt;$D$3,"",_xlfn.XLOOKUP(IM$8,'HR mthly'!$I$6:$T$6,'HR mthly'!$I$12:$T$12))</f>
        <v>0.03</v>
      </c>
      <c r="IN117" s="331">
        <f>IF(IN$7&gt;$D$3,"",_xlfn.XLOOKUP(IN$8,'HR mthly'!$I$6:$T$6,'HR mthly'!$I$12:$T$12))</f>
        <v>0.03</v>
      </c>
      <c r="IO117" s="331">
        <f>IF(IO$7&gt;$D$3,"",_xlfn.XLOOKUP(IO$8,'HR mthly'!$I$6:$T$6,'HR mthly'!$I$12:$T$12))</f>
        <v>0.03</v>
      </c>
      <c r="IP117" s="331">
        <f>IF(IP$7&gt;$D$3,"",_xlfn.XLOOKUP(IP$8,'HR mthly'!$I$6:$T$6,'HR mthly'!$I$12:$T$12))</f>
        <v>0.03</v>
      </c>
      <c r="IQ117" s="331">
        <f>IF(IQ$7&gt;$D$3,"",_xlfn.XLOOKUP(IQ$8,'HR mthly'!$I$6:$T$6,'HR mthly'!$I$12:$T$12))</f>
        <v>0.03</v>
      </c>
      <c r="IR117" s="331">
        <f>IF(IR$7&gt;$D$3,"",_xlfn.XLOOKUP(IR$8,'HR mthly'!$I$6:$T$6,'HR mthly'!$I$12:$T$12))</f>
        <v>0.03</v>
      </c>
      <c r="IS117" s="331">
        <f>IF(IS$7&gt;$D$3,"",_xlfn.XLOOKUP(IS$8,'HR mthly'!$I$6:$T$6,'HR mthly'!$I$12:$T$12))</f>
        <v>0.03</v>
      </c>
      <c r="IT117" s="331">
        <f>IF(IT$7&gt;$D$3,"",_xlfn.XLOOKUP(IT$8,'HR mthly'!$I$6:$T$6,'HR mthly'!$I$12:$T$12))</f>
        <v>0.03</v>
      </c>
      <c r="IU117" s="331">
        <f>IF(IU$7&gt;$D$3,"",_xlfn.XLOOKUP(IU$8,'HR mthly'!$I$6:$T$6,'HR mthly'!$I$12:$T$12))</f>
        <v>0.03</v>
      </c>
      <c r="IV117" s="331">
        <f>IF(IV$7&gt;$D$3,"",_xlfn.XLOOKUP(IV$8,'HR mthly'!$I$6:$T$6,'HR mthly'!$I$12:$T$12))</f>
        <v>0.03</v>
      </c>
      <c r="IW117" s="331">
        <f>IF(IW$7&gt;$D$3,"",_xlfn.XLOOKUP(IW$8,'HR mthly'!$I$6:$T$6,'HR mthly'!$I$12:$T$12))</f>
        <v>0.03</v>
      </c>
      <c r="IX117" s="331">
        <f>IF(IX$7&gt;$D$3,"",_xlfn.XLOOKUP(IX$8,'HR mthly'!$I$6:$T$6,'HR mthly'!$I$12:$T$12))</f>
        <v>0.03</v>
      </c>
      <c r="IY117" s="331">
        <f>IF(IY$7&gt;$D$3,"",_xlfn.XLOOKUP(IY$8,'HR mthly'!$I$6:$T$6,'HR mthly'!$I$12:$T$12))</f>
        <v>0.03</v>
      </c>
      <c r="IZ117" s="331" t="str">
        <f>IF(IZ$7&gt;$D$3,"",_xlfn.XLOOKUP(IZ$8,'HR mthly'!$I$6:$T$6,'HR mthly'!$I$12:$T$12))</f>
        <v/>
      </c>
      <c r="JA117" s="331" t="str">
        <f>IF(JA$7&gt;$D$3,"",_xlfn.XLOOKUP(JA$8,'HR mthly'!$I$6:$T$6,'HR mthly'!$I$12:$T$12))</f>
        <v/>
      </c>
      <c r="JB117" s="331" t="str">
        <f>IF(JB$7&gt;$D$3,"",_xlfn.XLOOKUP(JB$8,'HR mthly'!$I$6:$T$6,'HR mthly'!$I$12:$T$12))</f>
        <v/>
      </c>
      <c r="JC117" s="331" t="str">
        <f>IF(JC$7&gt;$D$3,"",_xlfn.XLOOKUP(JC$8,'HR mthly'!$I$6:$T$6,'HR mthly'!$I$12:$T$12))</f>
        <v/>
      </c>
      <c r="JD117" s="331" t="str">
        <f>IF(JD$7&gt;$D$3,"",_xlfn.XLOOKUP(JD$8,'HR mthly'!$I$6:$T$6,'HR mthly'!$I$12:$T$12))</f>
        <v/>
      </c>
      <c r="JE117" s="331" t="str">
        <f>IF(JE$7&gt;$D$3,"",_xlfn.XLOOKUP(JE$8,'HR mthly'!$I$6:$T$6,'HR mthly'!$I$12:$T$12))</f>
        <v/>
      </c>
      <c r="JF117" s="331" t="str">
        <f>IF(JF$7&gt;$D$3,"",_xlfn.XLOOKUP(JF$8,'HR mthly'!$I$6:$T$6,'HR mthly'!$I$12:$T$12))</f>
        <v/>
      </c>
      <c r="JG117" s="331" t="str">
        <f>IF(JG$7&gt;$D$3,"",_xlfn.XLOOKUP(JG$8,'HR mthly'!$I$6:$T$6,'HR mthly'!$I$12:$T$12))</f>
        <v/>
      </c>
      <c r="JH117" s="331" t="str">
        <f>IF(JH$7&gt;$D$3,"",_xlfn.XLOOKUP(JH$8,'HR mthly'!$I$6:$T$6,'HR mthly'!$I$12:$T$12))</f>
        <v/>
      </c>
      <c r="JI117" s="331" t="str">
        <f>IF(JI$7&gt;$D$3,"",_xlfn.XLOOKUP(JI$8,'HR mthly'!$I$6:$T$6,'HR mthly'!$I$12:$T$12))</f>
        <v/>
      </c>
      <c r="JJ117" s="331" t="str">
        <f>IF(JJ$7&gt;$D$3,"",_xlfn.XLOOKUP(JJ$8,'HR mthly'!$I$6:$T$6,'HR mthly'!$I$12:$T$12))</f>
        <v/>
      </c>
      <c r="JM117" s="136" t="str">
        <f t="shared" si="648"/>
        <v>KPI P2</v>
      </c>
      <c r="JN117" s="144" t="str">
        <f t="shared" si="649"/>
        <v>Productivity</v>
      </c>
      <c r="JO117" s="244" t="str">
        <f t="shared" si="615"/>
        <v>Group Absence %</v>
      </c>
      <c r="JP117" s="145" t="str">
        <f t="shared" si="616"/>
        <v>Percentage</v>
      </c>
      <c r="JQ117" s="145" t="s">
        <v>284</v>
      </c>
      <c r="JR117" s="226" t="str">
        <f>IFERROR(AVERAGE(FC117:$FC117),"")</f>
        <v/>
      </c>
      <c r="JS117" s="331">
        <f>IFERROR(AVERAGE($FC117:FD117),"")</f>
        <v>2.4799999999999999E-2</v>
      </c>
      <c r="JT117" s="331">
        <f>IFERROR(AVERAGE($FC117:FE117),"")</f>
        <v>2.4799999999999999E-2</v>
      </c>
      <c r="JU117" s="331">
        <f>IFERROR(AVERAGE($FC117:FF117),"")</f>
        <v>2.4799999999999999E-2</v>
      </c>
      <c r="JV117" s="331">
        <f>IFERROR(AVERAGE($FC117:FG117),"")</f>
        <v>2.4799999999999999E-2</v>
      </c>
      <c r="JW117" s="331">
        <f>IFERROR(AVERAGE($FC117:FH117),"")</f>
        <v>2.53E-2</v>
      </c>
      <c r="JX117" s="331">
        <f>IFERROR(AVERAGE($FC117:FI117),"")</f>
        <v>2.5633333333333331E-2</v>
      </c>
      <c r="JY117" s="331">
        <f>IFERROR(AVERAGE($FC117:FJ117),"")</f>
        <v>2.587142857142857E-2</v>
      </c>
      <c r="JZ117" s="331">
        <f>IFERROR(AVERAGE($FC117:FK117),"")</f>
        <v>2.6049999999999997E-2</v>
      </c>
      <c r="KA117" s="331">
        <f>IFERROR(AVERAGE($FC117:FL117),"")</f>
        <v>2.6211111111111109E-2</v>
      </c>
      <c r="KB117" s="331">
        <f>IFERROR(AVERAGE($FC117:FM117),"")</f>
        <v>2.6339999999999995E-2</v>
      </c>
      <c r="KC117" s="331">
        <f>IFERROR(AVERAGE($FC117:FN117),"")</f>
        <v>2.6445454545454546E-2</v>
      </c>
      <c r="KD117" s="331">
        <f>IFERROR(AVERAGE($FC117:FO117),"")</f>
        <v>2.6533333333333336E-2</v>
      </c>
      <c r="KE117" s="331">
        <f>IFERROR(AVERAGE($FC117:FP117),"")</f>
        <v>2.6607692307692311E-2</v>
      </c>
      <c r="KF117" s="331">
        <f>IFERROR(AVERAGE($FC117:FQ117),"")</f>
        <v>2.6671428571428575E-2</v>
      </c>
      <c r="KG117" s="331">
        <f>IFERROR(AVERAGE($FC117:FR117),"")</f>
        <v>2.6726666666666673E-2</v>
      </c>
      <c r="KH117" s="331">
        <f>IFERROR(AVERAGE($FC117:FS117),"")</f>
        <v>2.6775000000000007E-2</v>
      </c>
      <c r="KI117" s="331">
        <f>IFERROR(AVERAGE($FC117:FT117),"")</f>
        <v>2.669411764705883E-2</v>
      </c>
      <c r="KJ117" s="331">
        <f>IFERROR(AVERAGE($FC117:FU117),"")</f>
        <v>2.6622222222222228E-2</v>
      </c>
      <c r="KK117" s="331">
        <f>IFERROR(AVERAGE($FC117:FV117),"")</f>
        <v>2.6557894736842107E-2</v>
      </c>
      <c r="KL117" s="331">
        <f>IFERROR(AVERAGE($FC117:FW117),"")</f>
        <v>2.6500000000000003E-2</v>
      </c>
      <c r="KM117" s="331">
        <f>IFERROR(AVERAGE($FC117:FX117),"")</f>
        <v>2.6447619047619046E-2</v>
      </c>
      <c r="KN117" s="331">
        <f>IFERROR(AVERAGE($FC117:FY117),"")</f>
        <v>2.6318181818181817E-2</v>
      </c>
      <c r="KO117" s="331">
        <f>IFERROR(AVERAGE($FC117:FZ117),"")</f>
        <v>2.6199999999999998E-2</v>
      </c>
      <c r="KP117" s="331">
        <f>IFERROR(AVERAGE($FC117:GA117),"")</f>
        <v>2.6091666666666662E-2</v>
      </c>
      <c r="KQ117" s="331">
        <f>IFERROR(AVERAGE($FC117:GB117),"")</f>
        <v>2.5991999999999994E-2</v>
      </c>
      <c r="KR117" s="331">
        <f>IFERROR(AVERAGE($FC117:GC117),"")</f>
        <v>2.5792307692307687E-2</v>
      </c>
      <c r="KS117" s="331">
        <f>IFERROR(AVERAGE($FC117:GD117),"")</f>
        <v>2.5607407407407405E-2</v>
      </c>
      <c r="KT117" s="331">
        <f>IFERROR(AVERAGE($FC117:GE117),"")</f>
        <v>2.5435714285714284E-2</v>
      </c>
      <c r="KU117" s="331">
        <f>IFERROR(AVERAGE($FC117:GF117),"")</f>
        <v>2.5275862068965517E-2</v>
      </c>
      <c r="KV117" s="331">
        <f>IFERROR(AVERAGE($FC117:GG117),"")</f>
        <v>2.5126666666666669E-2</v>
      </c>
      <c r="KW117" s="331">
        <f>IFERROR(AVERAGE($FC117:GH117),"")</f>
        <v>2.5019354838709679E-2</v>
      </c>
      <c r="KX117" s="331">
        <f>IFERROR(AVERAGE($FC117:GI117),"")</f>
        <v>2.4918750000000003E-2</v>
      </c>
      <c r="KY117" s="331">
        <f>IFERROR(AVERAGE($FC117:GJ117),"")</f>
        <v>2.4824242424242429E-2</v>
      </c>
      <c r="KZ117" s="331">
        <f>IFERROR(AVERAGE($FC117:GK117),"")</f>
        <v>2.4735294117647064E-2</v>
      </c>
      <c r="LA117" s="331">
        <f>IFERROR(AVERAGE($FC117:GL117),"")</f>
        <v>2.4657142857142864E-2</v>
      </c>
      <c r="LB117" s="331">
        <f>IFERROR(AVERAGE($FC117:GM117),"")</f>
        <v>2.4583333333333339E-2</v>
      </c>
      <c r="LC117" s="331">
        <f>IFERROR(AVERAGE($FC117:GN117),"")</f>
        <v>2.4513513513513521E-2</v>
      </c>
      <c r="LD117" s="331">
        <f>IFERROR(AVERAGE($FC117:GO117),"")</f>
        <v>2.4447368421052638E-2</v>
      </c>
      <c r="LE117" s="331">
        <f>IFERROR(AVERAGE($FC117:GP117),"")</f>
        <v>2.4430769230769239E-2</v>
      </c>
      <c r="LF117" s="331">
        <f>IFERROR(AVERAGE($FC117:GQ117),"")</f>
        <v>2.441500000000001E-2</v>
      </c>
      <c r="LG117" s="331">
        <f>IFERROR(AVERAGE($FC117:GR117),"")</f>
        <v>2.4400000000000008E-2</v>
      </c>
      <c r="LH117" s="331">
        <f>IFERROR(AVERAGE($FC117:GS117),"")</f>
        <v>2.4400000000000008E-2</v>
      </c>
      <c r="LI117" s="331">
        <f>IFERROR(AVERAGE($FC117:GT117),"")</f>
        <v>2.4400000000000008E-2</v>
      </c>
      <c r="LJ117" s="331">
        <f>IFERROR(AVERAGE($FC117:GU117),"")</f>
        <v>2.4400000000000008E-2</v>
      </c>
      <c r="LK117" s="331">
        <f>IFERROR(AVERAGE($FC117:GV117),"")</f>
        <v>2.4400000000000008E-2</v>
      </c>
      <c r="LL117" s="331">
        <f>IFERROR(AVERAGE($FC117:GW117),"")</f>
        <v>2.4400000000000008E-2</v>
      </c>
      <c r="LM117" s="331">
        <f>IFERROR(AVERAGE($FC117:GX117),"")</f>
        <v>2.4400000000000008E-2</v>
      </c>
      <c r="LN117" s="331">
        <f>IFERROR(AVERAGE($FC117:GY117),"")</f>
        <v>2.4400000000000008E-2</v>
      </c>
      <c r="LO117" s="331">
        <f>IFERROR(AVERAGE($FC117:GZ117),"")</f>
        <v>2.4400000000000008E-2</v>
      </c>
      <c r="LP117" s="331">
        <f>IFERROR(AVERAGE($FC117:HA117),"")</f>
        <v>2.4400000000000008E-2</v>
      </c>
      <c r="LQ117" s="331">
        <f>IFERROR(AVERAGE($FC117:HB117),"")</f>
        <v>2.4400000000000008E-2</v>
      </c>
      <c r="LR117" s="331">
        <f>IFERROR(AVERAGE($FC117:HC117),"")</f>
        <v>2.4400000000000008E-2</v>
      </c>
      <c r="LT117" s="136" t="str">
        <f t="shared" si="651"/>
        <v>KPI P2</v>
      </c>
      <c r="LU117" s="144" t="str">
        <f t="shared" si="652"/>
        <v>Productivity</v>
      </c>
      <c r="LV117" s="144" t="str">
        <f t="shared" si="619"/>
        <v>Group Absence %</v>
      </c>
      <c r="LW117" s="145" t="str">
        <f t="shared" si="620"/>
        <v>Percentage</v>
      </c>
      <c r="LX117" s="145" t="s">
        <v>285</v>
      </c>
      <c r="LY117" s="226" t="str">
        <f>IFERROR(AVERAGE($HJ117:HJ117),"")</f>
        <v/>
      </c>
      <c r="LZ117" s="331">
        <f>IFERROR(IF(LAD$7&gt;$D$3,"",AVERAGE($HJ117:HK117)),"")</f>
        <v>0.03</v>
      </c>
      <c r="MA117" s="331">
        <f>IFERROR(IF(LAE$7&gt;$D$3,"",AVERAGE($HJ117:HL117)),"")</f>
        <v>0.03</v>
      </c>
      <c r="MB117" s="331">
        <f>IFERROR(IF(LAF$7&gt;$D$3,"",AVERAGE($HJ117:HM117)),"")</f>
        <v>0.03</v>
      </c>
      <c r="MC117" s="331">
        <f>IFERROR(IF(LAG$7&gt;$D$3,"",AVERAGE($HJ117:HN117)),"")</f>
        <v>0.03</v>
      </c>
      <c r="MD117" s="331">
        <f>IFERROR(IF(LAH$7&gt;$D$3,"",AVERAGE($HJ117:HO117)),"")</f>
        <v>0.03</v>
      </c>
      <c r="ME117" s="331">
        <f>IFERROR(IF(LAI$7&gt;$D$3,"",AVERAGE($HJ117:HP117)),"")</f>
        <v>0.03</v>
      </c>
      <c r="MF117" s="331">
        <f>IFERROR(IF(LAJ$7&gt;$D$3,"",AVERAGE($HJ117:HQ117)),"")</f>
        <v>0.03</v>
      </c>
      <c r="MG117" s="331">
        <f>IFERROR(IF(LAK$7&gt;$D$3,"",AVERAGE($HJ117:HR117)),"")</f>
        <v>0.03</v>
      </c>
      <c r="MH117" s="331">
        <f>IFERROR(IF(LAL$7&gt;$D$3,"",AVERAGE($HJ117:HS117)),"")</f>
        <v>3.0000000000000002E-2</v>
      </c>
      <c r="MI117" s="331">
        <f>IFERROR(IF(LAM$7&gt;$D$3,"",AVERAGE($HJ117:HT117)),"")</f>
        <v>3.0000000000000006E-2</v>
      </c>
      <c r="MJ117" s="331">
        <f>IFERROR(IF(LAN$7&gt;$D$3,"",AVERAGE($HJ117:HU117)),"")</f>
        <v>3.0000000000000006E-2</v>
      </c>
      <c r="MK117" s="331">
        <f>IFERROR(IF(LAO$7&gt;$D$3,"",AVERAGE($HJ117:HV117)),"")</f>
        <v>3.0000000000000009E-2</v>
      </c>
      <c r="ML117" s="331">
        <f>IFERROR(IF(LAP$7&gt;$D$3,"",AVERAGE($HJ117:HW117)),"")</f>
        <v>3.0000000000000009E-2</v>
      </c>
      <c r="MM117" s="331">
        <f>IFERROR(IF(LAQ$7&gt;$D$3,"",AVERAGE($HJ117:HX117)),"")</f>
        <v>3.0000000000000009E-2</v>
      </c>
      <c r="MN117" s="331">
        <f>IFERROR(IF(LAR$7&gt;$D$3,"",AVERAGE($HJ117:HY117)),"")</f>
        <v>3.0000000000000013E-2</v>
      </c>
      <c r="MO117" s="331">
        <f>IFERROR(IF(LAS$7&gt;$D$3,"",AVERAGE($HJ117:HZ117)),"")</f>
        <v>3.0000000000000013E-2</v>
      </c>
      <c r="MP117" s="331">
        <f>IFERROR(IF(LAT$7&gt;$D$3,"",AVERAGE($HJ117:IA117)),"")</f>
        <v>3.0000000000000013E-2</v>
      </c>
      <c r="MQ117" s="331">
        <f>IFERROR(IF(LAU$7&gt;$D$3,"",AVERAGE($HJ117:IB117)),"")</f>
        <v>3.0000000000000013E-2</v>
      </c>
      <c r="MR117" s="331">
        <f>IFERROR(IF(LAV$7&gt;$D$3,"",AVERAGE($HJ117:IC117)),"")</f>
        <v>3.0000000000000016E-2</v>
      </c>
      <c r="MS117" s="331">
        <f>IFERROR(IF(LAW$7&gt;$D$3,"",AVERAGE($HJ117:ID117)),"")</f>
        <v>3.0000000000000016E-2</v>
      </c>
      <c r="MT117" s="331">
        <f>IFERROR(IF(LAX$7&gt;$D$3,"",AVERAGE($HJ117:IE117)),"")</f>
        <v>3.0000000000000016E-2</v>
      </c>
      <c r="MU117" s="331">
        <f>IFERROR(IF(LAY$7&gt;$D$3,"",AVERAGE($HJ117:IF117)),"")</f>
        <v>3.0000000000000016E-2</v>
      </c>
      <c r="MV117" s="331">
        <f>IFERROR(IF(LAZ$7&gt;$D$3,"",AVERAGE($HJ117:IG117)),"")</f>
        <v>3.0000000000000016E-2</v>
      </c>
      <c r="MW117" s="331">
        <f>IFERROR(IF(LBA$7&gt;$D$3,"",AVERAGE($HJ117:IH117)),"")</f>
        <v>3.0000000000000016E-2</v>
      </c>
      <c r="MX117" s="331">
        <f>IFERROR(IF(LBB$7&gt;$D$3,"",AVERAGE($HJ117:II117)),"")</f>
        <v>3.0000000000000016E-2</v>
      </c>
      <c r="MY117" s="331">
        <f>IFERROR(IF(LBC$7&gt;$D$3,"",AVERAGE($HJ117:IJ117)),"")</f>
        <v>3.000000000000002E-2</v>
      </c>
      <c r="MZ117" s="331">
        <f>IFERROR(IF(LBD$7&gt;$D$3,"",AVERAGE($HJ117:IK117)),"")</f>
        <v>3.000000000000002E-2</v>
      </c>
      <c r="NA117" s="331">
        <f>IFERROR(IF(LBE$7&gt;$D$3,"",AVERAGE($HJ117:IL117)),"")</f>
        <v>3.000000000000002E-2</v>
      </c>
      <c r="NB117" s="331">
        <f>IFERROR(IF(LBF$7&gt;$D$3,"",AVERAGE($HJ117:IM117)),"")</f>
        <v>3.000000000000002E-2</v>
      </c>
      <c r="NC117" s="331">
        <f>IFERROR(IF(LBG$7&gt;$D$3,"",AVERAGE($HJ117:IN117)),"")</f>
        <v>3.000000000000002E-2</v>
      </c>
      <c r="ND117" s="331">
        <f>IFERROR(IF(LBH$7&gt;$D$3,"",AVERAGE($HJ117:IO117)),"")</f>
        <v>3.000000000000002E-2</v>
      </c>
      <c r="NE117" s="331">
        <f>IFERROR(IF(LBI$7&gt;$D$3,"",AVERAGE($HJ117:IP117)),"")</f>
        <v>3.000000000000002E-2</v>
      </c>
      <c r="NF117" s="331">
        <f>IFERROR(IF(LBJ$7&gt;$D$3,"",AVERAGE($HJ117:IQ117)),"")</f>
        <v>3.000000000000002E-2</v>
      </c>
      <c r="NG117" s="331">
        <f>IFERROR(IF(LBK$7&gt;$D$3,"",AVERAGE($HJ117:IR117)),"")</f>
        <v>3.000000000000002E-2</v>
      </c>
      <c r="NH117" s="331">
        <f>IFERROR(IF(LBL$7&gt;$D$3,"",AVERAGE($HJ117:IS117)),"")</f>
        <v>3.000000000000002E-2</v>
      </c>
      <c r="NI117" s="331">
        <f>IFERROR(IF(LBM$7&gt;$D$3,"",AVERAGE($HJ117:IT117)),"")</f>
        <v>3.000000000000002E-2</v>
      </c>
      <c r="NJ117" s="331">
        <f>IFERROR(IF(LBN$7&gt;$D$3,"",AVERAGE($HJ117:IU117)),"")</f>
        <v>3.000000000000002E-2</v>
      </c>
      <c r="NK117" s="331">
        <f>IFERROR(IF(LBO$7&gt;$D$3,"",AVERAGE($HJ117:IV117)),"")</f>
        <v>3.000000000000002E-2</v>
      </c>
      <c r="NL117" s="331">
        <f>IFERROR(IF(LBP$7&gt;$D$3,"",AVERAGE($HJ117:IW117)),"")</f>
        <v>3.000000000000002E-2</v>
      </c>
      <c r="NM117" s="331">
        <f>IFERROR(IF(LBQ$7&gt;$D$3,"",AVERAGE($HJ117:IX117)),"")</f>
        <v>3.000000000000002E-2</v>
      </c>
      <c r="NN117" s="331">
        <f>IFERROR(IF(LBR$7&gt;$D$3,"",AVERAGE($HJ117:IY117)),"")</f>
        <v>3.000000000000002E-2</v>
      </c>
      <c r="NO117" s="331">
        <f>IFERROR(IF(LBS$7&gt;$D$3,"",AVERAGE($HJ117:IZ117)),"")</f>
        <v>3.000000000000002E-2</v>
      </c>
      <c r="NP117" s="331">
        <f>IFERROR(IF(LBT$7&gt;$D$3,"",AVERAGE($HJ117:JA117)),"")</f>
        <v>3.000000000000002E-2</v>
      </c>
      <c r="NQ117" s="331">
        <f>IFERROR(IF(LBU$7&gt;$D$3,"",AVERAGE($HJ117:JB117)),"")</f>
        <v>3.000000000000002E-2</v>
      </c>
      <c r="NR117" s="331">
        <f>IFERROR(IF(LBV$7&gt;$D$3,"",AVERAGE($HJ117:JC117)),"")</f>
        <v>3.000000000000002E-2</v>
      </c>
      <c r="NS117" s="331">
        <f>IFERROR(IF(LBW$7&gt;$D$3,"",AVERAGE($HJ117:JD117)),"")</f>
        <v>3.000000000000002E-2</v>
      </c>
      <c r="NT117" s="331">
        <f>IFERROR(IF(LBX$7&gt;$D$3,"",AVERAGE($HJ117:JE117)),"")</f>
        <v>3.000000000000002E-2</v>
      </c>
      <c r="NU117" s="331">
        <f>IFERROR(IF(LBY$7&gt;$D$3,"",AVERAGE($HJ117:JF117)),"")</f>
        <v>3.000000000000002E-2</v>
      </c>
      <c r="NV117" s="331">
        <f>IFERROR(IF(LBZ$7&gt;$D$3,"",AVERAGE($HJ117:JG117)),"")</f>
        <v>3.000000000000002E-2</v>
      </c>
      <c r="NW117" s="331">
        <f>IFERROR(IF(LCA$7&gt;$D$3,"",AVERAGE($HJ117:JH117)),"")</f>
        <v>3.000000000000002E-2</v>
      </c>
      <c r="NX117" s="331">
        <f>IFERROR(IF(LCB$7&gt;$D$3,"",AVERAGE($HJ117:JI117)),"")</f>
        <v>3.000000000000002E-2</v>
      </c>
      <c r="NY117" s="331">
        <f>IFERROR(IF(LCC$7&gt;$D$3,"",AVERAGE($HJ117:JJ117)),"")</f>
        <v>3.000000000000002E-2</v>
      </c>
    </row>
    <row r="118" spans="1:389" x14ac:dyDescent="0.3">
      <c r="A118" t="str">
        <f t="shared" si="623"/>
        <v>HR-KPI D1</v>
      </c>
      <c r="B118" s="918" t="str">
        <f>+'KPI Stats'!B117</f>
        <v>Bethan Grant</v>
      </c>
      <c r="C118" s="136" t="str">
        <f>+'KPI Stats'!C117</f>
        <v>KPI D1</v>
      </c>
      <c r="D118" s="144" t="str">
        <f>+'KPI Stats'!D117</f>
        <v>Delivery</v>
      </c>
      <c r="E118" s="144" t="str">
        <f>+'KPI Stats'!E117</f>
        <v>Development Plans actions against project plan</v>
      </c>
      <c r="F118" s="145" t="str">
        <f>+'KPI Stats'!F117</f>
        <v>Percentage</v>
      </c>
      <c r="G118" s="169" t="str">
        <f>+'KPI Stats'!G117</f>
        <v>Under</v>
      </c>
      <c r="J118" s="69" t="str">
        <f t="shared" si="624"/>
        <v>R</v>
      </c>
      <c r="K118" s="336">
        <f t="shared" si="625"/>
        <v>0.85</v>
      </c>
      <c r="L118" s="337">
        <f t="shared" si="626"/>
        <v>1</v>
      </c>
      <c r="M118" s="376">
        <f t="shared" si="627"/>
        <v>0.85</v>
      </c>
      <c r="P118" s="69" t="str">
        <f t="shared" si="628"/>
        <v>R</v>
      </c>
      <c r="Q118" s="336">
        <f t="shared" si="629"/>
        <v>0.85</v>
      </c>
      <c r="R118" s="337">
        <f t="shared" si="629"/>
        <v>0.85</v>
      </c>
      <c r="S118" s="378">
        <f t="shared" si="630"/>
        <v>0.85</v>
      </c>
      <c r="T118" s="379">
        <f t="shared" si="630"/>
        <v>0.85</v>
      </c>
      <c r="U118" s="295" t="str">
        <f>IF(F115&lt;$Q$4,"Not Complete",IF(Q118=R118,"Same −",IF($G118="Over",IF(Q118&lt;R118,"Better ↑","Worse ↓"),IF($G118="Under",IF(Q118&gt;R118,"Better ↑","Worse ↓"),"err"))))</f>
        <v>Same −</v>
      </c>
      <c r="V118" t="s">
        <v>477</v>
      </c>
      <c r="X118" s="69" t="str">
        <f t="shared" si="631"/>
        <v>R</v>
      </c>
      <c r="Y118" s="336">
        <f t="shared" si="632"/>
        <v>0.79615384615384621</v>
      </c>
      <c r="Z118" s="337">
        <f t="shared" si="633"/>
        <v>1</v>
      </c>
      <c r="AA118" s="376">
        <f t="shared" si="634"/>
        <v>0.79615384615384621</v>
      </c>
      <c r="AB118" s="295" t="str">
        <f>IF(F117&lt;$AA$3,"TBC",IF(Y118=Z118,"Same −",IF($G118="Over",IF(Z118&lt;Y118,"Better ↑ ","Worse ↓ "),IF($G118="Under",IF(Y118&gt;Z118,"Better ↑ ","Worse ↓ "),"err"))))</f>
        <v xml:space="preserve">Worse ↓ </v>
      </c>
      <c r="AC118" s="69" t="e">
        <f t="shared" si="635"/>
        <v>#DIV/0!</v>
      </c>
      <c r="AD118" s="114" t="b">
        <f t="shared" si="636"/>
        <v>0</v>
      </c>
      <c r="AE118" s="114" t="b">
        <f t="shared" si="637"/>
        <v>0</v>
      </c>
      <c r="AF118" s="252" t="e">
        <f t="shared" si="638"/>
        <v>#DIV/0!</v>
      </c>
      <c r="AH118" s="465" t="str">
        <f t="shared" si="639"/>
        <v>HR-KPI D1</v>
      </c>
      <c r="AI118" s="136" t="str">
        <f t="shared" si="640"/>
        <v>KPI D1</v>
      </c>
      <c r="AJ118" s="144" t="str">
        <f t="shared" si="640"/>
        <v>Delivery</v>
      </c>
      <c r="AK118" s="144" t="str">
        <f t="shared" si="602"/>
        <v>Development Plans actions against project plan</v>
      </c>
      <c r="AL118" s="145" t="str">
        <f t="shared" si="602"/>
        <v>Percentage</v>
      </c>
      <c r="AM118" s="199" t="str">
        <f>IF(AM$7&gt;$D$3,"",_xlfn.XLOOKUP(AM$8,'HR mthly'!$I$6:$T$6,'HR mthly'!$I$18:$T$18))</f>
        <v>R</v>
      </c>
      <c r="AN118" s="199" t="str">
        <f>IF(AN$7&gt;$D$3,"",_xlfn.XLOOKUP(AN$8,'HR mthly'!$I$6:$T$6,'HR mthly'!$I$18:$T$18))</f>
        <v>R</v>
      </c>
      <c r="AO118" s="199" t="str">
        <f>IF(AO$7&gt;$D$3,"",_xlfn.XLOOKUP(AO$8,'HR mthly'!$I$6:$T$6,'HR mthly'!$I$18:$T$18))</f>
        <v>R</v>
      </c>
      <c r="AP118" s="199" t="str">
        <f>IF(AP$7&gt;$D$3,"",_xlfn.XLOOKUP(AP$8,'HR mthly'!$I$6:$T$6,'HR mthly'!$I$18:$T$18))</f>
        <v>R</v>
      </c>
      <c r="AQ118" s="199" t="str">
        <f>IF(AQ$7&gt;$D$3,"",_xlfn.XLOOKUP(AQ$8,'HR mthly'!$I$6:$T$6,'HR mthly'!$I$18:$T$18))</f>
        <v>R</v>
      </c>
      <c r="AR118" s="199" t="str">
        <f>IF(AR$7&gt;$D$3,"",_xlfn.XLOOKUP(AR$8,'HR mthly'!$I$6:$T$6,'HR mthly'!$I$18:$T$18))</f>
        <v>R</v>
      </c>
      <c r="AS118" s="199" t="str">
        <f>IF(AS$7&gt;$D$3,"",_xlfn.XLOOKUP(AS$8,'HR mthly'!$I$6:$T$6,'HR mthly'!$I$18:$T$18))</f>
        <v>R</v>
      </c>
      <c r="AT118" s="199" t="str">
        <f>IF(AT$7&gt;$D$3,"",_xlfn.XLOOKUP(AT$8,'HR mthly'!$I$6:$T$6,'HR mthly'!$I$18:$T$18))</f>
        <v>R</v>
      </c>
      <c r="AU118" s="199" t="str">
        <f>IF(AU$7&gt;$D$3,"",_xlfn.XLOOKUP(AU$8,'HR mthly'!$I$6:$T$6,'HR mthly'!$I$18:$T$18))</f>
        <v>R</v>
      </c>
      <c r="AV118" s="199" t="str">
        <f>IF(AV$7&gt;$D$3,"",_xlfn.XLOOKUP(AV$8,'HR mthly'!$I$6:$T$6,'HR mthly'!$I$18:$T$18))</f>
        <v>G</v>
      </c>
      <c r="AW118" s="199" t="str">
        <f>IF(AW$7&gt;$D$3,"",_xlfn.XLOOKUP(AW$8,'HR mthly'!$I$6:$T$6,'HR mthly'!$I$18:$T$18))</f>
        <v>G</v>
      </c>
      <c r="AX118" s="199" t="str">
        <f>IF(AX$7&gt;$D$3,"",_xlfn.XLOOKUP(AX$8,'HR mthly'!$I$6:$T$6,'HR mthly'!$I$18:$T$18))</f>
        <v>G</v>
      </c>
      <c r="AY118" s="199" t="str">
        <f>IF(AY$7&gt;$D$3,"",_xlfn.XLOOKUP(AY$8,'HR mthly'!$I$6:$T$6,'HR mthly'!$I$18:$T$18))</f>
        <v>G</v>
      </c>
      <c r="AZ118" s="199" t="str">
        <f>IF(AZ$7&gt;$D$3,"",_xlfn.XLOOKUP(AZ$8,'HR mthly'!$I$6:$T$6,'HR mthly'!$I$18:$T$18))</f>
        <v>G</v>
      </c>
      <c r="BA118" s="199" t="str">
        <f>IF(BA$7&gt;$D$3,"",_xlfn.XLOOKUP(BA$8,'HR mthly'!$I$6:$T$6,'HR mthly'!$I$18:$T$18))</f>
        <v>G</v>
      </c>
      <c r="BB118" s="199" t="str">
        <f>IF(BB$7&gt;$D$3,"",_xlfn.XLOOKUP(BB$8,'HR mthly'!$I$6:$T$6,'HR mthly'!$I$18:$T$18))</f>
        <v>G</v>
      </c>
      <c r="BC118" s="199" t="str">
        <f>IF(BC$7&gt;$D$3,"",_xlfn.XLOOKUP(BC$8,'HR mthly'!$I$6:$T$6,'HR mthly'!$I$18:$T$18))</f>
        <v>G</v>
      </c>
      <c r="BD118" s="199" t="str">
        <f>IF(BD$7&gt;$D$3,"",_xlfn.XLOOKUP(BD$8,'HR mthly'!$I$6:$T$6,'HR mthly'!$I$18:$T$18))</f>
        <v>G</v>
      </c>
      <c r="BE118" s="199" t="str">
        <f>IF(BE$7&gt;$D$3,"",_xlfn.XLOOKUP(BE$8,'HR mthly'!$I$6:$T$6,'HR mthly'!$I$18:$T$18))</f>
        <v>G</v>
      </c>
      <c r="BF118" s="199" t="str">
        <f>IF(BF$7&gt;$D$3,"",_xlfn.XLOOKUP(BF$8,'HR mthly'!$I$6:$T$6,'HR mthly'!$I$18:$T$18))</f>
        <v>G</v>
      </c>
      <c r="BG118" s="199" t="str">
        <f>IF(BG$7&gt;$D$3,"",_xlfn.XLOOKUP(BG$8,'HR mthly'!$I$6:$T$6,'HR mthly'!$I$18:$T$18))</f>
        <v>G</v>
      </c>
      <c r="BH118" s="199" t="str">
        <f>IF(BH$7&gt;$D$3,"",_xlfn.XLOOKUP(BH$8,'HR mthly'!$I$6:$T$6,'HR mthly'!$I$18:$T$18))</f>
        <v>G</v>
      </c>
      <c r="BI118" s="199" t="str">
        <f>IF(BI$7&gt;$D$3,"",_xlfn.XLOOKUP(BI$8,'HR mthly'!$I$6:$T$6,'HR mthly'!$I$18:$T$18))</f>
        <v>G</v>
      </c>
      <c r="BJ118" s="199" t="str">
        <f>IF(BJ$7&gt;$D$3,"",_xlfn.XLOOKUP(BJ$8,'HR mthly'!$I$6:$T$6,'HR mthly'!$I$18:$T$18))</f>
        <v>G</v>
      </c>
      <c r="BK118" s="199" t="str">
        <f>IF(BK$7&gt;$D$3,"",_xlfn.XLOOKUP(BK$8,'HR mthly'!$I$6:$T$6,'HR mthly'!$I$18:$T$18))</f>
        <v>G</v>
      </c>
      <c r="BL118" s="199" t="str">
        <f>IF(BL$7&gt;$D$3,"",_xlfn.XLOOKUP(BL$8,'HR mthly'!$I$6:$T$6,'HR mthly'!$I$18:$T$18))</f>
        <v>G</v>
      </c>
      <c r="BM118" s="199" t="str">
        <f>IF(BM$7&gt;$D$3,"",_xlfn.XLOOKUP(BM$8,'HR mthly'!$I$6:$T$6,'HR mthly'!$I$18:$T$18))</f>
        <v>R</v>
      </c>
      <c r="BN118" s="199" t="str">
        <f>IF(BN$7&gt;$D$3,"",_xlfn.XLOOKUP(BN$8,'HR mthly'!$I$6:$T$6,'HR mthly'!$I$18:$T$18))</f>
        <v>R</v>
      </c>
      <c r="BO118" s="199" t="str">
        <f>IF(BO$7&gt;$D$3,"",_xlfn.XLOOKUP(BO$8,'HR mthly'!$I$6:$T$6,'HR mthly'!$I$18:$T$18))</f>
        <v>R</v>
      </c>
      <c r="BP118" s="199" t="str">
        <f>IF(BP$7&gt;$D$3,"",_xlfn.XLOOKUP(BP$8,'HR mthly'!$I$6:$T$6,'HR mthly'!$I$18:$T$18))</f>
        <v>R</v>
      </c>
      <c r="BQ118" s="199" t="str">
        <f>IF(BQ$7&gt;$D$3,"",_xlfn.XLOOKUP(BQ$8,'HR mthly'!$I$6:$T$6,'HR mthly'!$I$18:$T$18))</f>
        <v>R</v>
      </c>
      <c r="BR118" s="199" t="str">
        <f>IF(BR$7&gt;$D$3,"",_xlfn.XLOOKUP(BR$8,'HR mthly'!$I$6:$T$6,'HR mthly'!$I$18:$T$18))</f>
        <v>R</v>
      </c>
      <c r="BS118" s="199" t="str">
        <f>IF(BS$7&gt;$D$3,"",_xlfn.XLOOKUP(BS$8,'HR mthly'!$I$6:$T$6,'HR mthly'!$I$18:$T$18))</f>
        <v>R</v>
      </c>
      <c r="BT118" s="199" t="str">
        <f>IF(BT$7&gt;$D$3,"",_xlfn.XLOOKUP(BT$8,'HR mthly'!$I$6:$T$6,'HR mthly'!$I$18:$T$18))</f>
        <v>R</v>
      </c>
      <c r="BU118" s="199" t="str">
        <f>IF(BU$7&gt;$D$3,"",_xlfn.XLOOKUP(BU$8,'HR mthly'!$I$6:$T$6,'HR mthly'!$I$18:$T$18))</f>
        <v>R</v>
      </c>
      <c r="BV118" s="199" t="str">
        <f>IF(BV$7&gt;$D$3,"",_xlfn.XLOOKUP(BV$8,'HR mthly'!$I$6:$T$6,'HR mthly'!$I$18:$T$18))</f>
        <v>R</v>
      </c>
      <c r="BW118" s="199" t="str">
        <f>IF(BW$7&gt;$D$3,"",_xlfn.XLOOKUP(BW$8,'HR mthly'!$I$6:$T$6,'HR mthly'!$I$18:$T$18))</f>
        <v>R</v>
      </c>
      <c r="BX118" s="199" t="str">
        <f>IF(BX$7&gt;$D$3,"",_xlfn.XLOOKUP(BX$8,'HR mthly'!$I$6:$T$6,'HR mthly'!$I$18:$T$18))</f>
        <v>R</v>
      </c>
      <c r="BY118" s="199" t="str">
        <f>IF(BY$7&gt;$D$3,"",_xlfn.XLOOKUP(BY$8,'HR mthly'!$I$6:$T$6,'HR mthly'!$I$18:$T$18))</f>
        <v>R</v>
      </c>
      <c r="BZ118" s="199" t="str">
        <f>IF(BZ$7&gt;$D$3,"",_xlfn.XLOOKUP(BZ$8,'HR mthly'!$I$6:$T$6,'HR mthly'!$I$18:$T$18))</f>
        <v>R</v>
      </c>
      <c r="CA118" s="199" t="str">
        <f>IF(CA$7&gt;$D$3,"",_xlfn.XLOOKUP(CA$8,'HR mthly'!$I$6:$T$6,'HR mthly'!$I$18:$T$18))</f>
        <v>R</v>
      </c>
      <c r="CB118" s="199" t="str">
        <f>IF(CB$7&gt;$D$3,"",_xlfn.XLOOKUP(CB$8,'HR mthly'!$I$6:$T$6,'HR mthly'!$I$18:$T$18))</f>
        <v>R</v>
      </c>
      <c r="CC118" s="199" t="str">
        <f>IF(CC$7&gt;$D$3,"",_xlfn.XLOOKUP(CC$8,'HR mthly'!$I$6:$T$6,'HR mthly'!$I$18:$T$18))</f>
        <v/>
      </c>
      <c r="CD118" s="199" t="str">
        <f>IF(CD$7&gt;$D$3,"",_xlfn.XLOOKUP(CD$8,'HR mthly'!$I$6:$T$6,'HR mthly'!$I$18:$T$18))</f>
        <v/>
      </c>
      <c r="CE118" s="199" t="str">
        <f>IF(CE$7&gt;$D$3,"",_xlfn.XLOOKUP(CE$8,'HR mthly'!$I$6:$T$6,'HR mthly'!$I$18:$T$18))</f>
        <v/>
      </c>
      <c r="CF118" s="199" t="str">
        <f>IF(CF$7&gt;$D$3,"",_xlfn.XLOOKUP(CF$8,'HR mthly'!$I$6:$T$6,'HR mthly'!$I$18:$T$18))</f>
        <v/>
      </c>
      <c r="CG118" s="199" t="str">
        <f>IF(CG$7&gt;$D$3,"",_xlfn.XLOOKUP(CG$8,'HR mthly'!$I$6:$T$6,'HR mthly'!$I$18:$T$18))</f>
        <v/>
      </c>
      <c r="CH118" s="199" t="str">
        <f>IF(CH$7&gt;$D$3,"",_xlfn.XLOOKUP(CH$8,'HR mthly'!$I$6:$T$6,'HR mthly'!$I$18:$T$18))</f>
        <v/>
      </c>
      <c r="CI118" s="199" t="str">
        <f>IF(CI$7&gt;$D$3,"",_xlfn.XLOOKUP(CI$8,'HR mthly'!$I$6:$T$6,'HR mthly'!$I$18:$T$18))</f>
        <v/>
      </c>
      <c r="CJ118" s="199" t="str">
        <f>IF(CJ$7&gt;$D$3,"",_xlfn.XLOOKUP(CJ$8,'HR mthly'!$I$6:$T$6,'HR mthly'!$I$18:$T$18))</f>
        <v/>
      </c>
      <c r="CK118" s="199" t="str">
        <f>IF(CK$7&gt;$D$3,"",_xlfn.XLOOKUP(CK$8,'HR mthly'!$I$6:$T$6,'HR mthly'!$I$18:$T$18))</f>
        <v/>
      </c>
      <c r="CL118" s="199" t="str">
        <f>IF(CL$7&gt;$D$3,"",_xlfn.XLOOKUP(CL$8,'HR mthly'!$I$6:$T$6,'HR mthly'!$I$18:$T$18))</f>
        <v/>
      </c>
      <c r="CM118" s="199" t="str">
        <f>IF(CM$7&gt;$D$3,"",_xlfn.XLOOKUP(CM$8,'HR mthly'!$I$6:$T$6,'HR mthly'!$I$18:$T$18))</f>
        <v/>
      </c>
      <c r="CO118" s="465" t="str">
        <f t="shared" si="641"/>
        <v>HR-KPI D1</v>
      </c>
      <c r="CP118" s="136" t="str">
        <f t="shared" si="642"/>
        <v>KPI D1</v>
      </c>
      <c r="CQ118" s="144" t="str">
        <f t="shared" si="642"/>
        <v>Delivery</v>
      </c>
      <c r="CR118" s="144" t="str">
        <f t="shared" si="605"/>
        <v>Development Plans actions against project plan</v>
      </c>
      <c r="CS118" s="145" t="str">
        <f t="shared" si="605"/>
        <v>Percentage</v>
      </c>
      <c r="CT118" s="207" t="s">
        <v>246</v>
      </c>
      <c r="CU118" s="423" t="str">
        <f>IF(CU$7&gt;$D$3,"",_xlfn.XLOOKUP(CU$7,IT!$M$6:$BM$6,IT!$M$16:$BM$16))</f>
        <v>Blank</v>
      </c>
      <c r="CV118" s="323">
        <f>IF(CV$7&gt;$D$3,"",IF(AN118="OD","OD",IF(AN118="Missed","Missed",IF(AN118="TBC","TBC",IF(AN118="Undefined","Undefined",_xlfn.XLOOKUP(CV$8,'HR mthly'!$I$6:$T$6,'HR mthly'!$I$17:$T$17)/_xlfn.XLOOKUP(CV$8,'HR mthly'!$I$6:$T$6,'HR mthly'!$I$16:$T$16))))))</f>
        <v>0.78</v>
      </c>
      <c r="CW118" s="323">
        <f>IF(CW$7&gt;$D$3,"",IF(AO118="OD","OD",IF(AO118="Missed","Missed",IF(AO118="TBC","TBC",IF(AO118="Undefined","Undefined",_xlfn.XLOOKUP(CW$8,'HR mthly'!$I$6:$T$6,'HR mthly'!$I$17:$T$17)/_xlfn.XLOOKUP(CW$8,'HR mthly'!$I$6:$T$6,'HR mthly'!$I$16:$T$16))))))</f>
        <v>0.78</v>
      </c>
      <c r="CX118" s="323">
        <f>IF(CX$7&gt;$D$3,"",IF(AP118="OD","OD",IF(AP118="Missed","Missed",IF(AP118="TBC","TBC",IF(AP118="Undefined","Undefined",_xlfn.XLOOKUP(CX$8,'HR mthly'!$I$6:$T$6,'HR mthly'!$I$17:$T$17)/_xlfn.XLOOKUP(CX$8,'HR mthly'!$I$6:$T$6,'HR mthly'!$I$16:$T$16))))))</f>
        <v>0.78</v>
      </c>
      <c r="CY118" s="323">
        <f>IF(CY$7&gt;$D$3,"",IF(AQ118="OD","OD",IF(AQ118="Missed","Missed",IF(AQ118="TBC","TBC",IF(AQ118="Undefined","Undefined",_xlfn.XLOOKUP(CY$8,'HR mthly'!$I$6:$T$6,'HR mthly'!$I$17:$T$17)/_xlfn.XLOOKUP(CY$8,'HR mthly'!$I$6:$T$6,'HR mthly'!$I$16:$T$16))))))</f>
        <v>0.78</v>
      </c>
      <c r="CZ118" s="323">
        <f>IF(CZ$7&gt;$D$3,"",IF(AR118="OD","OD",IF(AR118="Missed","Missed",IF(AR118="TBC","TBC",IF(AR118="Undefined","Undefined",_xlfn.XLOOKUP(CZ$8,'HR mthly'!$I$6:$T$6,'HR mthly'!$I$17:$T$17)/_xlfn.XLOOKUP(CZ$8,'HR mthly'!$I$6:$T$6,'HR mthly'!$I$16:$T$16))))))</f>
        <v>0.94</v>
      </c>
      <c r="DA118" s="323">
        <f>IF(DA$7&gt;$D$3,"",IF(AS118="OD","OD",IF(AS118="Missed","Missed",IF(AS118="TBC","TBC",IF(AS118="Undefined","Undefined",_xlfn.XLOOKUP(DA$8,'HR mthly'!$I$6:$T$6,'HR mthly'!$I$17:$T$17)/_xlfn.XLOOKUP(DA$8,'HR mthly'!$I$6:$T$6,'HR mthly'!$I$16:$T$16))))))</f>
        <v>0.94</v>
      </c>
      <c r="DB118" s="323">
        <f>IF(DB$7&gt;$D$3,"",IF(AT118="OD","OD",IF(AT118="Missed","Missed",IF(AT118="TBC","TBC",IF(AT118="Undefined","Undefined",_xlfn.XLOOKUP(DB$8,'HR mthly'!$I$6:$T$6,'HR mthly'!$I$17:$T$17)/_xlfn.XLOOKUP(DB$8,'HR mthly'!$I$6:$T$6,'HR mthly'!$I$16:$T$16))))))</f>
        <v>0.94</v>
      </c>
      <c r="DC118" s="323">
        <f>IF(DC$7&gt;$D$3,"",IF(AU118="OD","OD",IF(AU118="Missed","Missed",IF(AU118="TBC","TBC",IF(AU118="Undefined","Undefined",_xlfn.XLOOKUP(DC$8,'HR mthly'!$I$6:$T$6,'HR mthly'!$I$17:$T$17)/_xlfn.XLOOKUP(DC$8,'HR mthly'!$I$6:$T$6,'HR mthly'!$I$16:$T$16))))))</f>
        <v>0.94</v>
      </c>
      <c r="DD118" s="323">
        <f>IF(DD$7&gt;$D$3,"",IF(AV118="OD","OD",IF(AV118="Missed","Missed",IF(AV118="TBC","TBC",IF(AV118="Undefined","Undefined",_xlfn.XLOOKUP(DD$8,'HR mthly'!$I$6:$T$6,'HR mthly'!$I$17:$T$17)/_xlfn.XLOOKUP(DD$8,'HR mthly'!$I$6:$T$6,'HR mthly'!$I$16:$T$16))))))</f>
        <v>1</v>
      </c>
      <c r="DE118" s="323">
        <f>IF(DE$7&gt;$D$3,"",IF(AW118="OD","OD",IF(AW118="Missed","Missed",IF(AW118="TBC","TBC",IF(AW118="Undefined","Undefined",_xlfn.XLOOKUP(DE$8,'HR mthly'!$I$6:$T$6,'HR mthly'!$I$17:$T$17)/_xlfn.XLOOKUP(DE$8,'HR mthly'!$I$6:$T$6,'HR mthly'!$I$16:$T$16))))))</f>
        <v>1</v>
      </c>
      <c r="DF118" s="323">
        <f>IF(DF$7&gt;$D$3,"",IF(AX118="OD","OD",IF(AX118="Missed","Missed",IF(AX118="TBC","TBC",IF(AX118="Undefined","Undefined",_xlfn.XLOOKUP(DF$8,'HR mthly'!$I$6:$T$6,'HR mthly'!$I$17:$T$17)/_xlfn.XLOOKUP(DF$8,'HR mthly'!$I$6:$T$6,'HR mthly'!$I$16:$T$16))))))</f>
        <v>1</v>
      </c>
      <c r="DG118" s="323">
        <f>IF(DG$7&gt;$D$3,"",IF(AY118="OD","OD",IF(AY118="Missed","Missed",IF(AY118="TBC","TBC",IF(AY118="Undefined","Undefined",_xlfn.XLOOKUP(DG$8,'HR mthly'!$I$6:$T$6,'HR mthly'!$I$17:$T$17)/_xlfn.XLOOKUP(DG$8,'HR mthly'!$I$6:$T$6,'HR mthly'!$I$16:$T$16))))))</f>
        <v>1</v>
      </c>
      <c r="DH118" s="323">
        <f>IF(DH$7&gt;$D$3,"",IF(AZ118="OD","OD",IF(AZ118="Missed","Missed",IF(AZ118="TBC","TBC",IF(AZ118="Undefined","Undefined",_xlfn.XLOOKUP(DH$8,'HR mthly'!$I$6:$T$6,'HR mthly'!$I$17:$T$17)/_xlfn.XLOOKUP(DH$8,'HR mthly'!$I$6:$T$6,'HR mthly'!$I$16:$T$16))))))</f>
        <v>1</v>
      </c>
      <c r="DI118" s="323">
        <f>IF(DI$7&gt;$D$3,"",IF(BA118="OD","OD",IF(BA118="Missed","Missed",IF(BA118="TBC","TBC",IF(BA118="Undefined","Undefined",_xlfn.XLOOKUP(DI$8,'HR mthly'!$I$6:$T$6,'HR mthly'!$I$17:$T$17)/_xlfn.XLOOKUP(DI$8,'HR mthly'!$I$6:$T$6,'HR mthly'!$I$16:$T$16))))))</f>
        <v>1</v>
      </c>
      <c r="DJ118" s="323">
        <f>IF(DJ$7&gt;$D$3,"",IF(BB118="OD","OD",IF(BB118="Missed","Missed",IF(BB118="TBC","TBC",IF(BB118="Undefined","Undefined",_xlfn.XLOOKUP(DJ$8,'HR mthly'!$I$6:$T$6,'HR mthly'!$I$17:$T$17)/_xlfn.XLOOKUP(DJ$8,'HR mthly'!$I$6:$T$6,'HR mthly'!$I$16:$T$16))))))</f>
        <v>1</v>
      </c>
      <c r="DK118" s="323">
        <f>IF(DK$7&gt;$D$3,"",IF(BC118="OD","OD",IF(BC118="Missed","Missed",IF(BC118="TBC","TBC",IF(BC118="Undefined","Undefined",_xlfn.XLOOKUP(DK$8,'HR mthly'!$I$6:$T$6,'HR mthly'!$I$17:$T$17)/_xlfn.XLOOKUP(DK$8,'HR mthly'!$I$6:$T$6,'HR mthly'!$I$16:$T$16))))))</f>
        <v>1</v>
      </c>
      <c r="DL118" s="323">
        <f>IF(DL$7&gt;$D$3,"",IF(BD118="OD","OD",IF(BD118="Missed","Missed",IF(BD118="TBC","TBC",IF(BD118="Undefined","Undefined",_xlfn.XLOOKUP(DL$8,'HR mthly'!$I$6:$T$6,'HR mthly'!$I$17:$T$17)/_xlfn.XLOOKUP(DL$8,'HR mthly'!$I$6:$T$6,'HR mthly'!$I$16:$T$16))))))</f>
        <v>1</v>
      </c>
      <c r="DM118" s="323">
        <f>IF(DM$7&gt;$D$3,"",IF(BE118="OD","OD",IF(BE118="Missed","Missed",IF(BE118="TBC","TBC",IF(BE118="Undefined","Undefined",_xlfn.XLOOKUP(DM$8,'HR mthly'!$I$6:$T$6,'HR mthly'!$I$17:$T$17)/_xlfn.XLOOKUP(DM$8,'HR mthly'!$I$6:$T$6,'HR mthly'!$I$16:$T$16))))))</f>
        <v>1</v>
      </c>
      <c r="DN118" s="323">
        <f>IF(DN$7&gt;$D$3,"",IF(BF118="OD","OD",IF(BF118="Missed","Missed",IF(BF118="TBC","TBC",IF(BF118="Undefined","Undefined",_xlfn.XLOOKUP(DN$8,'HR mthly'!$I$6:$T$6,'HR mthly'!$I$17:$T$17)/_xlfn.XLOOKUP(DN$8,'HR mthly'!$I$6:$T$6,'HR mthly'!$I$16:$T$16))))))</f>
        <v>1</v>
      </c>
      <c r="DO118" s="323">
        <f>IF(DO$7&gt;$D$3,"",IF(BG118="OD","OD",IF(BG118="Missed","Missed",IF(BG118="TBC","TBC",IF(BG118="Undefined","Undefined",_xlfn.XLOOKUP(DO$8,'HR mthly'!$I$6:$T$6,'HR mthly'!$I$17:$T$17)/_xlfn.XLOOKUP(DO$8,'HR mthly'!$I$6:$T$6,'HR mthly'!$I$16:$T$16))))))</f>
        <v>1</v>
      </c>
      <c r="DP118" s="323">
        <f>IF(DP$7&gt;$D$3,"",IF(BH118="OD","OD",IF(BH118="Missed","Missed",IF(BH118="TBC","TBC",IF(BH118="Undefined","Undefined",_xlfn.XLOOKUP(DP$8,'HR mthly'!$I$6:$T$6,'HR mthly'!$I$17:$T$17)/_xlfn.XLOOKUP(DP$8,'HR mthly'!$I$6:$T$6,'HR mthly'!$I$16:$T$16))))))</f>
        <v>1</v>
      </c>
      <c r="DQ118" s="323">
        <f>IF(DQ$7&gt;$D$3,"",IF(BI118="OD","OD",IF(BI118="Missed","Missed",IF(BI118="TBC","TBC",IF(BI118="Undefined","Undefined",_xlfn.XLOOKUP(DQ$8,'HR mthly'!$I$6:$T$6,'HR mthly'!$I$17:$T$17)/_xlfn.XLOOKUP(DQ$8,'HR mthly'!$I$6:$T$6,'HR mthly'!$I$16:$T$16))))))</f>
        <v>1</v>
      </c>
      <c r="DR118" s="323">
        <f>IF(DR$7&gt;$D$3,"",IF(BJ118="OD","OD",IF(BJ118="Missed","Missed",IF(BJ118="TBC","TBC",IF(BJ118="Undefined","Undefined",_xlfn.XLOOKUP(DR$8,'HR mthly'!$I$6:$T$6,'HR mthly'!$I$17:$T$17)/_xlfn.XLOOKUP(DR$8,'HR mthly'!$I$6:$T$6,'HR mthly'!$I$16:$T$16))))))</f>
        <v>1</v>
      </c>
      <c r="DS118" s="323">
        <f>IF(DS$7&gt;$D$3,"",IF(BK118="OD","OD",IF(BK118="Missed","Missed",IF(BK118="TBC","TBC",IF(BK118="Undefined","Undefined",_xlfn.XLOOKUP(DS$8,'HR mthly'!$I$6:$T$6,'HR mthly'!$I$17:$T$17)/_xlfn.XLOOKUP(DS$8,'HR mthly'!$I$6:$T$6,'HR mthly'!$I$16:$T$16))))))</f>
        <v>1</v>
      </c>
      <c r="DT118" s="323">
        <f>IF(DT$7&gt;$D$3,"",IF(BL118="OD","OD",IF(BL118="Missed","Missed",IF(BL118="TBC","TBC",IF(BL118="Undefined","Undefined",_xlfn.XLOOKUP(DT$8,'HR mthly'!$I$6:$T$6,'HR mthly'!$I$17:$T$17)/_xlfn.XLOOKUP(DT$8,'HR mthly'!$I$6:$T$6,'HR mthly'!$I$16:$T$16))))))</f>
        <v>1</v>
      </c>
      <c r="DU118" s="323">
        <f>IF(DU$7&gt;$D$3,"",IF(BM118="OD","OD",IF(BM118="Missed","Missed",IF(BM118="TBC","TBC",IF(BM118="Undefined","Undefined",_xlfn.XLOOKUP(DU$8,'HR mthly'!$I$6:$T$6,'HR mthly'!$I$17:$T$17)/_xlfn.XLOOKUP(DU$8,'HR mthly'!$I$6:$T$6,'HR mthly'!$I$16:$T$16))))))</f>
        <v>0.12</v>
      </c>
      <c r="DV118" s="323">
        <f>IF(DV$7&gt;$D$3,"",IF(BN118="OD","OD",IF(BN118="Missed","Missed",IF(BN118="TBC","TBC",IF(BN118="Undefined","Undefined",_xlfn.XLOOKUP(DV$8,'HR mthly'!$I$6:$T$6,'HR mthly'!$I$17:$T$17)/_xlfn.XLOOKUP(DV$8,'HR mthly'!$I$6:$T$6,'HR mthly'!$I$16:$T$16))))))</f>
        <v>0.12</v>
      </c>
      <c r="DW118" s="323">
        <f>IF(DW$7&gt;$D$3,"",IF(BO118="OD","OD",IF(BO118="Missed","Missed",IF(BO118="TBC","TBC",IF(BO118="Undefined","Undefined",_xlfn.XLOOKUP(DW$8,'HR mthly'!$I$6:$T$6,'HR mthly'!$I$17:$T$17)/_xlfn.XLOOKUP(DW$8,'HR mthly'!$I$6:$T$6,'HR mthly'!$I$16:$T$16))))))</f>
        <v>0.12</v>
      </c>
      <c r="DX118" s="323">
        <f>IF(DX$7&gt;$D$3,"",IF(BP118="OD","OD",IF(BP118="Missed","Missed",IF(BP118="TBC","TBC",IF(BP118="Undefined","Undefined",_xlfn.XLOOKUP(DX$8,'HR mthly'!$I$6:$T$6,'HR mthly'!$I$17:$T$17)/_xlfn.XLOOKUP(DX$8,'HR mthly'!$I$6:$T$6,'HR mthly'!$I$16:$T$16))))))</f>
        <v>0.12</v>
      </c>
      <c r="DY118" s="323">
        <f>IF(DY$7&gt;$D$3,"",IF(BQ118="OD","OD",IF(BQ118="Missed","Missed",IF(BQ118="TBC","TBC",IF(BQ118="Undefined","Undefined",_xlfn.XLOOKUP(DY$8,'HR mthly'!$I$6:$T$6,'HR mthly'!$I$17:$T$17)/_xlfn.XLOOKUP(DY$8,'HR mthly'!$I$6:$T$6,'HR mthly'!$I$16:$T$16))))))</f>
        <v>0.12</v>
      </c>
      <c r="DZ118" s="323">
        <f>IF(DZ$7&gt;$D$3,"",IF(BR118="OD","OD",IF(BR118="Missed","Missed",IF(BR118="TBC","TBC",IF(BR118="Undefined","Undefined",_xlfn.XLOOKUP(DZ$8,'HR mthly'!$I$6:$T$6,'HR mthly'!$I$17:$T$17)/_xlfn.XLOOKUP(DZ$8,'HR mthly'!$I$6:$T$6,'HR mthly'!$I$16:$T$16))))))</f>
        <v>0.68</v>
      </c>
      <c r="EA118" s="323">
        <f>IF(EA$7&gt;$D$3,"",IF(BS118="OD","OD",IF(BS118="Missed","Missed",IF(BS118="TBC","TBC",IF(BS118="Undefined","Undefined",_xlfn.XLOOKUP(EA$8,'HR mthly'!$I$6:$T$6,'HR mthly'!$I$17:$T$17)/_xlfn.XLOOKUP(EA$8,'HR mthly'!$I$6:$T$6,'HR mthly'!$I$16:$T$16))))))</f>
        <v>0.68</v>
      </c>
      <c r="EB118" s="323">
        <f>IF(EB$7&gt;$D$3,"",IF(BT118="OD","OD",IF(BT118="Missed","Missed",IF(BT118="TBC","TBC",IF(BT118="Undefined","Undefined",_xlfn.XLOOKUP(EB$8,'HR mthly'!$I$6:$T$6,'HR mthly'!$I$17:$T$17)/_xlfn.XLOOKUP(EB$8,'HR mthly'!$I$6:$T$6,'HR mthly'!$I$16:$T$16))))))</f>
        <v>0.68</v>
      </c>
      <c r="EC118" s="323">
        <f>IF(EC$7&gt;$D$3,"",IF(BU118="OD","OD",IF(BU118="Missed","Missed",IF(BU118="TBC","TBC",IF(BU118="Undefined","Undefined",_xlfn.XLOOKUP(EC$8,'HR mthly'!$I$6:$T$6,'HR mthly'!$I$17:$T$17)/_xlfn.XLOOKUP(EC$8,'HR mthly'!$I$6:$T$6,'HR mthly'!$I$16:$T$16))))))</f>
        <v>0.68</v>
      </c>
      <c r="ED118" s="323">
        <f>IF(ED$7&gt;$D$3,"",IF(BV118="OD","OD",IF(BV118="Missed","Missed",IF(BV118="TBC","TBC",IF(BV118="Undefined","Undefined",_xlfn.XLOOKUP(ED$8,'HR mthly'!$I$6:$T$6,'HR mthly'!$I$17:$T$17)/_xlfn.XLOOKUP(ED$8,'HR mthly'!$I$6:$T$6,'HR mthly'!$I$16:$T$16))))))</f>
        <v>0.75</v>
      </c>
      <c r="EE118" s="323">
        <f>IF(EE$7&gt;$D$3,"",IF(BW118="OD","OD",IF(BW118="Missed","Missed",IF(BW118="TBC","TBC",IF(BW118="Undefined","Undefined",_xlfn.XLOOKUP(EE$8,'HR mthly'!$I$6:$T$6,'HR mthly'!$I$17:$T$17)/_xlfn.XLOOKUP(EE$8,'HR mthly'!$I$6:$T$6,'HR mthly'!$I$16:$T$16))))))</f>
        <v>0.75</v>
      </c>
      <c r="EF118" s="323">
        <f>IF(EF$7&gt;$D$3,"",IF(BX118="OD","OD",IF(BX118="Missed","Missed",IF(BX118="TBC","TBC",IF(BX118="Undefined","Undefined",_xlfn.XLOOKUP(EF$8,'HR mthly'!$I$6:$T$6,'HR mthly'!$I$17:$T$17)/_xlfn.XLOOKUP(EF$8,'HR mthly'!$I$6:$T$6,'HR mthly'!$I$16:$T$16))))))</f>
        <v>0.75</v>
      </c>
      <c r="EG118" s="323">
        <f>IF(EG$7&gt;$D$3,"",IF(BY118="OD","OD",IF(BY118="Missed","Missed",IF(BY118="TBC","TBC",IF(BY118="Undefined","Undefined",_xlfn.XLOOKUP(EG$8,'HR mthly'!$I$6:$T$6,'HR mthly'!$I$17:$T$17)/_xlfn.XLOOKUP(EG$8,'HR mthly'!$I$6:$T$6,'HR mthly'!$I$16:$T$16))))))</f>
        <v>0.75</v>
      </c>
      <c r="EH118" s="323">
        <f>IF(EH$7&gt;$D$3,"",IF(BZ118="OD","OD",IF(BZ118="Missed","Missed",IF(BZ118="TBC","TBC",IF(BZ118="Undefined","Undefined",_xlfn.XLOOKUP(EH$8,'HR mthly'!$I$6:$T$6,'HR mthly'!$I$17:$T$17)/_xlfn.XLOOKUP(EH$8,'HR mthly'!$I$6:$T$6,'HR mthly'!$I$16:$T$16))))))</f>
        <v>0.85</v>
      </c>
      <c r="EI118" s="323">
        <f>IF(EI$7&gt;$D$3,"",IF(CA118="OD","OD",IF(CA118="Missed","Missed",IF(CA118="TBC","TBC",IF(CA118="Undefined","Undefined",_xlfn.XLOOKUP(EI$8,'HR mthly'!$I$6:$T$6,'HR mthly'!$I$17:$T$17)/_xlfn.XLOOKUP(EI$8,'HR mthly'!$I$6:$T$6,'HR mthly'!$I$16:$T$16))))))</f>
        <v>0.85</v>
      </c>
      <c r="EJ118" s="323">
        <f>IF(EJ$7&gt;$D$3,"",IF(CB118="OD","OD",IF(CB118="Missed","Missed",IF(CB118="TBC","TBC",IF(CB118="Undefined","Undefined",_xlfn.XLOOKUP(EJ$8,'HR mthly'!$I$6:$T$6,'HR mthly'!$I$17:$T$17)/_xlfn.XLOOKUP(EJ$8,'HR mthly'!$I$6:$T$6,'HR mthly'!$I$16:$T$16))))))</f>
        <v>0.85</v>
      </c>
      <c r="EK118" s="323" t="str">
        <f>IF(EK$7&gt;$D$3,"",IF(CC118="OD","OD",IF(CC118="Missed","Missed",IF(CC118="TBC","TBC",IF(CC118="Undefined","Undefined",_xlfn.XLOOKUP(EK$8,'HR mthly'!$I$6:$T$6,'HR mthly'!$I$17:$T$17)/_xlfn.XLOOKUP(EK$8,'HR mthly'!$I$6:$T$6,'HR mthly'!$I$16:$T$16))))))</f>
        <v/>
      </c>
      <c r="EL118" s="323" t="str">
        <f>IF(EL$7&gt;$D$3,"",IF(CD118="OD","OD",IF(CD118="Missed","Missed",IF(CD118="TBC","TBC",IF(CD118="Undefined","Undefined",_xlfn.XLOOKUP(EL$8,'HR mthly'!$I$6:$T$6,'HR mthly'!$I$17:$T$17)/_xlfn.XLOOKUP(EL$8,'HR mthly'!$I$6:$T$6,'HR mthly'!$I$16:$T$16))))))</f>
        <v/>
      </c>
      <c r="EM118" s="323" t="str">
        <f>IF(EM$7&gt;$D$3,"",IF(CE118="OD","OD",IF(CE118="Missed","Missed",IF(CE118="TBC","TBC",IF(CE118="Undefined","Undefined",_xlfn.XLOOKUP(EM$8,'HR mthly'!$I$6:$T$6,'HR mthly'!$I$17:$T$17)/_xlfn.XLOOKUP(EM$8,'HR mthly'!$I$6:$T$6,'HR mthly'!$I$16:$T$16))))))</f>
        <v/>
      </c>
      <c r="EN118" s="323" t="str">
        <f>IF(EN$7&gt;$D$3,"",IF(CF118="OD","OD",IF(CF118="Missed","Missed",IF(CF118="TBC","TBC",IF(CF118="Undefined","Undefined",_xlfn.XLOOKUP(EN$8,'HR mthly'!$I$6:$T$6,'HR mthly'!$I$17:$T$17)/_xlfn.XLOOKUP(EN$8,'HR mthly'!$I$6:$T$6,'HR mthly'!$I$16:$T$16))))))</f>
        <v/>
      </c>
      <c r="EO118" s="323" t="str">
        <f>IF(EO$7&gt;$D$3,"",IF(CG118="OD","OD",IF(CG118="Missed","Missed",IF(CG118="TBC","TBC",IF(CG118="Undefined","Undefined",_xlfn.XLOOKUP(EO$8,'HR mthly'!$I$6:$T$6,'HR mthly'!$I$17:$T$17)/_xlfn.XLOOKUP(EO$8,'HR mthly'!$I$6:$T$6,'HR mthly'!$I$16:$T$16))))))</f>
        <v/>
      </c>
      <c r="EP118" s="323" t="str">
        <f>IF(EP$7&gt;$D$3,"",IF(CH118="OD","OD",IF(CH118="Missed","Missed",IF(CH118="TBC","TBC",IF(CH118="Undefined","Undefined",_xlfn.XLOOKUP(EP$8,'HR mthly'!$I$6:$T$6,'HR mthly'!$I$17:$T$17)/_xlfn.XLOOKUP(EP$8,'HR mthly'!$I$6:$T$6,'HR mthly'!$I$16:$T$16))))))</f>
        <v/>
      </c>
      <c r="EQ118" s="323" t="str">
        <f>IF(EQ$7&gt;$D$3,"",IF(CI118="OD","OD",IF(CI118="Missed","Missed",IF(CI118="TBC","TBC",IF(CI118="Undefined","Undefined",_xlfn.XLOOKUP(EQ$8,'HR mthly'!$I$6:$T$6,'HR mthly'!$I$17:$T$17)/_xlfn.XLOOKUP(EQ$8,'HR mthly'!$I$6:$T$6,'HR mthly'!$I$16:$T$16))))))</f>
        <v/>
      </c>
      <c r="ER118" s="323" t="str">
        <f>IF(ER$7&gt;$D$3,"",IF(CJ118="OD","OD",IF(CJ118="Missed","Missed",IF(CJ118="TBC","TBC",IF(CJ118="Undefined","Undefined",_xlfn.XLOOKUP(ER$8,'HR mthly'!$I$6:$T$6,'HR mthly'!$I$17:$T$17)/_xlfn.XLOOKUP(ER$8,'HR mthly'!$I$6:$T$6,'HR mthly'!$I$16:$T$16))))))</f>
        <v/>
      </c>
      <c r="ES118" s="323" t="str">
        <f>IF(ES$7&gt;$D$3,"",IF(CK118="OD","OD",IF(CK118="Missed","Missed",IF(CK118="TBC","TBC",IF(CK118="Undefined","Undefined",_xlfn.XLOOKUP(ES$8,'HR mthly'!$I$6:$T$6,'HR mthly'!$I$17:$T$17)/_xlfn.XLOOKUP(ES$8,'HR mthly'!$I$6:$T$6,'HR mthly'!$I$16:$T$16))))))</f>
        <v/>
      </c>
      <c r="ET118" s="323" t="str">
        <f>IF(ET$7&gt;$D$3,"",IF(CL118="OD","OD",IF(CL118="Missed","Missed",IF(CL118="TBC","TBC",IF(CL118="Undefined","Undefined",_xlfn.XLOOKUP(ET$8,'HR mthly'!$I$6:$T$6,'HR mthly'!$I$17:$T$17)/_xlfn.XLOOKUP(ET$8,'HR mthly'!$I$6:$T$6,'HR mthly'!$I$16:$T$16))))))</f>
        <v/>
      </c>
      <c r="EU118" s="323" t="str">
        <f>IF(EU$7&gt;$D$3,"",IF(CM118="OD","OD",IF(CM118="Missed","Missed",IF(CM118="TBC","TBC",IF(CM118="Undefined","Undefined",_xlfn.XLOOKUP(EU$8,'HR mthly'!$I$6:$T$6,'HR mthly'!$I$17:$T$17)/_xlfn.XLOOKUP(EU$8,'HR mthly'!$I$6:$T$6,'HR mthly'!$I$16:$T$16))))))</f>
        <v/>
      </c>
      <c r="EW118" s="465" t="str">
        <f t="shared" si="643"/>
        <v>HR-KPI D1</v>
      </c>
      <c r="EX118" s="136" t="str">
        <f t="shared" si="644"/>
        <v>KPI D1</v>
      </c>
      <c r="EY118" s="144" t="str">
        <f t="shared" si="645"/>
        <v>Delivery</v>
      </c>
      <c r="EZ118" s="144" t="str">
        <f t="shared" si="607"/>
        <v>Development Plans actions against project plan</v>
      </c>
      <c r="FA118" s="145" t="str">
        <f t="shared" si="608"/>
        <v>Percentage</v>
      </c>
      <c r="FB118" s="145" t="s">
        <v>251</v>
      </c>
      <c r="FC118" s="226"/>
      <c r="FD118" s="331">
        <f>IF(FD$7&gt;$D$3,"",_xlfn.XLOOKUP(FD$8,'HR mthly'!$I$6:$T$6,'HR mthly'!$I$17:$T$17))</f>
        <v>0.78</v>
      </c>
      <c r="FE118" s="331">
        <f>IF(FE$7&gt;$D$3,"",_xlfn.XLOOKUP(FE$8,'HR mthly'!$I$6:$T$6,'HR mthly'!$I$17:$T$17))</f>
        <v>0.78</v>
      </c>
      <c r="FF118" s="331">
        <f>IF(FF$7&gt;$D$3,"",_xlfn.XLOOKUP(FF$8,'HR mthly'!$I$6:$T$6,'HR mthly'!$I$17:$T$17))</f>
        <v>0.78</v>
      </c>
      <c r="FG118" s="331">
        <f>IF(FG$7&gt;$D$3,"",_xlfn.XLOOKUP(FG$8,'HR mthly'!$I$6:$T$6,'HR mthly'!$I$17:$T$17))</f>
        <v>0.78</v>
      </c>
      <c r="FH118" s="331">
        <f>IF(FH$7&gt;$D$3,"",_xlfn.XLOOKUP(FH$8,'HR mthly'!$I$6:$T$6,'HR mthly'!$I$17:$T$17))</f>
        <v>0.94</v>
      </c>
      <c r="FI118" s="331">
        <f>IF(FI$7&gt;$D$3,"",_xlfn.XLOOKUP(FI$8,'HR mthly'!$I$6:$T$6,'HR mthly'!$I$17:$T$17))</f>
        <v>0.94</v>
      </c>
      <c r="FJ118" s="331">
        <f>IF(FJ$7&gt;$D$3,"",_xlfn.XLOOKUP(FJ$8,'HR mthly'!$I$6:$T$6,'HR mthly'!$I$17:$T$17))</f>
        <v>0.94</v>
      </c>
      <c r="FK118" s="331">
        <f>IF(FK$7&gt;$D$3,"",_xlfn.XLOOKUP(FK$8,'HR mthly'!$I$6:$T$6,'HR mthly'!$I$17:$T$17))</f>
        <v>0.94</v>
      </c>
      <c r="FL118" s="331">
        <f>IF(FL$7&gt;$D$3,"",_xlfn.XLOOKUP(FL$8,'HR mthly'!$I$6:$T$6,'HR mthly'!$I$17:$T$17))</f>
        <v>1</v>
      </c>
      <c r="FM118" s="331">
        <f>IF(FM$7&gt;$D$3,"",_xlfn.XLOOKUP(FM$8,'HR mthly'!$I$6:$T$6,'HR mthly'!$I$17:$T$17))</f>
        <v>1</v>
      </c>
      <c r="FN118" s="331">
        <f>IF(FN$7&gt;$D$3,"",_xlfn.XLOOKUP(FN$8,'HR mthly'!$I$6:$T$6,'HR mthly'!$I$17:$T$17))</f>
        <v>1</v>
      </c>
      <c r="FO118" s="331">
        <f>IF(FO$7&gt;$D$3,"",_xlfn.XLOOKUP(FO$8,'HR mthly'!$I$6:$T$6,'HR mthly'!$I$17:$T$17))</f>
        <v>1</v>
      </c>
      <c r="FP118" s="331">
        <f>IF(FP$7&gt;$D$3,"",_xlfn.XLOOKUP(FP$8,'HR mthly'!$I$6:$T$6,'HR mthly'!$I$17:$T$17))</f>
        <v>1</v>
      </c>
      <c r="FQ118" s="331">
        <f>IF(FQ$7&gt;$D$3,"",_xlfn.XLOOKUP(FQ$8,'HR mthly'!$I$6:$T$6,'HR mthly'!$I$17:$T$17))</f>
        <v>1</v>
      </c>
      <c r="FR118" s="331">
        <f>IF(FR$7&gt;$D$3,"",_xlfn.XLOOKUP(FR$8,'HR mthly'!$I$6:$T$6,'HR mthly'!$I$17:$T$17))</f>
        <v>1</v>
      </c>
      <c r="FS118" s="331">
        <f>IF(FS$7&gt;$D$3,"",_xlfn.XLOOKUP(FS$8,'HR mthly'!$I$6:$T$6,'HR mthly'!$I$17:$T$17))</f>
        <v>1</v>
      </c>
      <c r="FT118" s="331">
        <f>IF(FT$7&gt;$D$3,"",_xlfn.XLOOKUP(FT$8,'HR mthly'!$I$6:$T$6,'HR mthly'!$I$17:$T$17))</f>
        <v>1</v>
      </c>
      <c r="FU118" s="331">
        <f>IF(FU$7&gt;$D$3,"",_xlfn.XLOOKUP(FU$8,'HR mthly'!$I$6:$T$6,'HR mthly'!$I$17:$T$17))</f>
        <v>1</v>
      </c>
      <c r="FV118" s="331">
        <f>IF(FV$7&gt;$D$3,"",_xlfn.XLOOKUP(FV$8,'HR mthly'!$I$6:$T$6,'HR mthly'!$I$17:$T$17))</f>
        <v>1</v>
      </c>
      <c r="FW118" s="331">
        <f>IF(FW$7&gt;$D$3,"",_xlfn.XLOOKUP(FW$8,'HR mthly'!$I$6:$T$6,'HR mthly'!$I$17:$T$17))</f>
        <v>1</v>
      </c>
      <c r="FX118" s="331">
        <f>IF(FX$7&gt;$D$3,"",_xlfn.XLOOKUP(FX$8,'HR mthly'!$I$6:$T$6,'HR mthly'!$I$17:$T$17))</f>
        <v>1</v>
      </c>
      <c r="FY118" s="331">
        <f>IF(FY$7&gt;$D$3,"",_xlfn.XLOOKUP(FY$8,'HR mthly'!$I$6:$T$6,'HR mthly'!$I$17:$T$17))</f>
        <v>1</v>
      </c>
      <c r="FZ118" s="331">
        <f>IF(FZ$7&gt;$D$3,"",_xlfn.XLOOKUP(FZ$8,'HR mthly'!$I$6:$T$6,'HR mthly'!$I$17:$T$17))</f>
        <v>1</v>
      </c>
      <c r="GA118" s="331">
        <f>IF(GA$7&gt;$D$3,"",_xlfn.XLOOKUP(GA$8,'HR mthly'!$I$6:$T$6,'HR mthly'!$I$17:$T$17))</f>
        <v>1</v>
      </c>
      <c r="GB118" s="331">
        <f>IF(GB$7&gt;$D$3,"",_xlfn.XLOOKUP(GB$8,'HR mthly'!$I$6:$T$6,'HR mthly'!$I$17:$T$17))</f>
        <v>1</v>
      </c>
      <c r="GC118" s="331">
        <f>IF(GC$7&gt;$D$3,"",_xlfn.XLOOKUP(GC$8,'HR mthly'!$I$6:$T$6,'HR mthly'!$I$17:$T$17))</f>
        <v>0.12</v>
      </c>
      <c r="GD118" s="331">
        <f>IF(GD$7&gt;$D$3,"",_xlfn.XLOOKUP(GD$8,'HR mthly'!$I$6:$T$6,'HR mthly'!$I$17:$T$17))</f>
        <v>0.12</v>
      </c>
      <c r="GE118" s="331">
        <f>IF(GE$7&gt;$D$3,"",_xlfn.XLOOKUP(GE$8,'HR mthly'!$I$6:$T$6,'HR mthly'!$I$17:$T$17))</f>
        <v>0.12</v>
      </c>
      <c r="GF118" s="331">
        <f>IF(GF$7&gt;$D$3,"",_xlfn.XLOOKUP(GF$8,'HR mthly'!$I$6:$T$6,'HR mthly'!$I$17:$T$17))</f>
        <v>0.12</v>
      </c>
      <c r="GG118" s="331">
        <f>IF(GG$7&gt;$D$3,"",_xlfn.XLOOKUP(GG$8,'HR mthly'!$I$6:$T$6,'HR mthly'!$I$17:$T$17))</f>
        <v>0.12</v>
      </c>
      <c r="GH118" s="331">
        <f>IF(GH$7&gt;$D$3,"",_xlfn.XLOOKUP(GH$8,'HR mthly'!$I$6:$T$6,'HR mthly'!$I$17:$T$17))</f>
        <v>0.68</v>
      </c>
      <c r="GI118" s="331">
        <f>IF(GI$7&gt;$D$3,"",_xlfn.XLOOKUP(GI$8,'HR mthly'!$I$6:$T$6,'HR mthly'!$I$17:$T$17))</f>
        <v>0.68</v>
      </c>
      <c r="GJ118" s="331">
        <f>IF(GJ$7&gt;$D$3,"",_xlfn.XLOOKUP(GJ$8,'HR mthly'!$I$6:$T$6,'HR mthly'!$I$17:$T$17))</f>
        <v>0.68</v>
      </c>
      <c r="GK118" s="331">
        <f>IF(GK$7&gt;$D$3,"",_xlfn.XLOOKUP(GK$8,'HR mthly'!$I$6:$T$6,'HR mthly'!$I$17:$T$17))</f>
        <v>0.68</v>
      </c>
      <c r="GL118" s="331">
        <f>IF(GL$7&gt;$D$3,"",_xlfn.XLOOKUP(GL$8,'HR mthly'!$I$6:$T$6,'HR mthly'!$I$17:$T$17))</f>
        <v>0.75</v>
      </c>
      <c r="GM118" s="331">
        <f>IF(GM$7&gt;$D$3,"",_xlfn.XLOOKUP(GM$8,'HR mthly'!$I$6:$T$6,'HR mthly'!$I$17:$T$17))</f>
        <v>0.75</v>
      </c>
      <c r="GN118" s="331">
        <f>IF(GN$7&gt;$D$3,"",_xlfn.XLOOKUP(GN$8,'HR mthly'!$I$6:$T$6,'HR mthly'!$I$17:$T$17))</f>
        <v>0.75</v>
      </c>
      <c r="GO118" s="331">
        <f>IF(GO$7&gt;$D$3,"",_xlfn.XLOOKUP(GO$8,'HR mthly'!$I$6:$T$6,'HR mthly'!$I$17:$T$17))</f>
        <v>0.75</v>
      </c>
      <c r="GP118" s="331">
        <f>IF(GP$7&gt;$D$3,"",_xlfn.XLOOKUP(GP$8,'HR mthly'!$I$6:$T$6,'HR mthly'!$I$17:$T$17))</f>
        <v>0.85</v>
      </c>
      <c r="GQ118" s="331">
        <f>IF(GQ$7&gt;$D$3,"",_xlfn.XLOOKUP(GQ$8,'HR mthly'!$I$6:$T$6,'HR mthly'!$I$17:$T$17))</f>
        <v>0.85</v>
      </c>
      <c r="GR118" s="331">
        <f>IF(GR$7&gt;$D$3,"",_xlfn.XLOOKUP(GR$8,'HR mthly'!$I$6:$T$6,'HR mthly'!$I$17:$T$17))</f>
        <v>0.85</v>
      </c>
      <c r="GS118" s="331" t="str">
        <f>IF(GS$7&gt;$D$3,"",_xlfn.XLOOKUP(GS$8,'HR mthly'!$I$6:$T$6,'HR mthly'!$I$17:$T$17))</f>
        <v/>
      </c>
      <c r="GT118" s="331" t="str">
        <f>IF(GT$7&gt;$D$3,"",_xlfn.XLOOKUP(GT$8,'HR mthly'!$I$6:$T$6,'HR mthly'!$I$17:$T$17))</f>
        <v/>
      </c>
      <c r="GU118" s="331" t="str">
        <f>IF(GU$7&gt;$D$3,"",_xlfn.XLOOKUP(GU$8,'HR mthly'!$I$6:$T$6,'HR mthly'!$I$17:$T$17))</f>
        <v/>
      </c>
      <c r="GV118" s="331" t="str">
        <f>IF(GV$7&gt;$D$3,"",_xlfn.XLOOKUP(GV$8,'HR mthly'!$I$6:$T$6,'HR mthly'!$I$17:$T$17))</f>
        <v/>
      </c>
      <c r="GW118" s="331" t="str">
        <f>IF(GW$7&gt;$D$3,"",_xlfn.XLOOKUP(GW$8,'HR mthly'!$I$6:$T$6,'HR mthly'!$I$17:$T$17))</f>
        <v/>
      </c>
      <c r="GX118" s="331" t="str">
        <f>IF(GX$7&gt;$D$3,"",_xlfn.XLOOKUP(GX$8,'HR mthly'!$I$6:$T$6,'HR mthly'!$I$17:$T$17))</f>
        <v/>
      </c>
      <c r="GY118" s="331" t="str">
        <f>IF(GY$7&gt;$D$3,"",_xlfn.XLOOKUP(GY$8,'HR mthly'!$I$6:$T$6,'HR mthly'!$I$17:$T$17))</f>
        <v/>
      </c>
      <c r="GZ118" s="331" t="str">
        <f>IF(GZ$7&gt;$D$3,"",_xlfn.XLOOKUP(GZ$8,'HR mthly'!$I$6:$T$6,'HR mthly'!$I$17:$T$17))</f>
        <v/>
      </c>
      <c r="HA118" s="331" t="str">
        <f>IF(HA$7&gt;$D$3,"",_xlfn.XLOOKUP(HA$8,'HR mthly'!$I$6:$T$6,'HR mthly'!$I$17:$T$17))</f>
        <v/>
      </c>
      <c r="HB118" s="331" t="str">
        <f>IF(HB$7&gt;$D$3,"",_xlfn.XLOOKUP(HB$8,'HR mthly'!$I$6:$T$6,'HR mthly'!$I$17:$T$17))</f>
        <v/>
      </c>
      <c r="HC118" s="331" t="str">
        <f>IF(HC$7&gt;$D$3,"",_xlfn.XLOOKUP(HC$8,'HR mthly'!$I$6:$T$6,'HR mthly'!$I$17:$T$17))</f>
        <v/>
      </c>
      <c r="HE118" s="136" t="str">
        <f t="shared" si="646"/>
        <v>KPI D1</v>
      </c>
      <c r="HF118" s="144" t="str">
        <f t="shared" si="647"/>
        <v>Delivery</v>
      </c>
      <c r="HG118" s="144" t="str">
        <f t="shared" si="611"/>
        <v>Development Plans actions against project plan</v>
      </c>
      <c r="HH118" s="145" t="str">
        <f t="shared" si="612"/>
        <v>Percentage</v>
      </c>
      <c r="HI118" s="145" t="s">
        <v>44</v>
      </c>
      <c r="HJ118" s="226" t="s">
        <v>122</v>
      </c>
      <c r="HK118" s="331">
        <f>IF(HK$7&gt;$D$3,"",_xlfn.XLOOKUP(HK$8,'HR mthly'!$I$6:$T$6,'HR mthly'!$I$16:$T$16))</f>
        <v>1</v>
      </c>
      <c r="HL118" s="331">
        <f>IF(HL$7&gt;$D$3,"",_xlfn.XLOOKUP(HL$8,'HR mthly'!$I$6:$T$6,'HR mthly'!$I$16:$T$16))</f>
        <v>1</v>
      </c>
      <c r="HM118" s="331">
        <f>IF(HM$7&gt;$D$3,"",_xlfn.XLOOKUP(HM$8,'HR mthly'!$I$6:$T$6,'HR mthly'!$I$16:$T$16))</f>
        <v>1</v>
      </c>
      <c r="HN118" s="331">
        <f>IF(HN$7&gt;$D$3,"",_xlfn.XLOOKUP(HN$8,'HR mthly'!$I$6:$T$6,'HR mthly'!$I$16:$T$16))</f>
        <v>1</v>
      </c>
      <c r="HO118" s="331">
        <f>IF(HO$7&gt;$D$3,"",_xlfn.XLOOKUP(HO$8,'HR mthly'!$I$6:$T$6,'HR mthly'!$I$16:$T$16))</f>
        <v>1</v>
      </c>
      <c r="HP118" s="331">
        <f>IF(HP$7&gt;$D$3,"",_xlfn.XLOOKUP(HP$8,'HR mthly'!$I$6:$T$6,'HR mthly'!$I$16:$T$16))</f>
        <v>1</v>
      </c>
      <c r="HQ118" s="331">
        <f>IF(HQ$7&gt;$D$3,"",_xlfn.XLOOKUP(HQ$8,'HR mthly'!$I$6:$T$6,'HR mthly'!$I$16:$T$16))</f>
        <v>1</v>
      </c>
      <c r="HR118" s="331">
        <f>IF(HR$7&gt;$D$3,"",_xlfn.XLOOKUP(HR$8,'HR mthly'!$I$6:$T$6,'HR mthly'!$I$16:$T$16))</f>
        <v>1</v>
      </c>
      <c r="HS118" s="331">
        <f>IF(HS$7&gt;$D$3,"",_xlfn.XLOOKUP(HS$8,'HR mthly'!$I$6:$T$6,'HR mthly'!$I$16:$T$16))</f>
        <v>1</v>
      </c>
      <c r="HT118" s="331">
        <f>IF(HT$7&gt;$D$3,"",_xlfn.XLOOKUP(HT$8,'HR mthly'!$I$6:$T$6,'HR mthly'!$I$16:$T$16))</f>
        <v>1</v>
      </c>
      <c r="HU118" s="331">
        <f>IF(HU$7&gt;$D$3,"",_xlfn.XLOOKUP(HU$8,'HR mthly'!$I$6:$T$6,'HR mthly'!$I$16:$T$16))</f>
        <v>1</v>
      </c>
      <c r="HV118" s="331">
        <f>IF(HV$7&gt;$D$3,"",_xlfn.XLOOKUP(HV$8,'HR mthly'!$I$6:$T$6,'HR mthly'!$I$16:$T$16))</f>
        <v>1</v>
      </c>
      <c r="HW118" s="331">
        <f>IF(HW$7&gt;$D$3,"",_xlfn.XLOOKUP(HW$8,'HR mthly'!$I$6:$T$6,'HR mthly'!$I$16:$T$16))</f>
        <v>1</v>
      </c>
      <c r="HX118" s="331">
        <f>IF(HX$7&gt;$D$3,"",_xlfn.XLOOKUP(HX$8,'HR mthly'!$I$6:$T$6,'HR mthly'!$I$16:$T$16))</f>
        <v>1</v>
      </c>
      <c r="HY118" s="331">
        <f>IF(HY$7&gt;$D$3,"",_xlfn.XLOOKUP(HY$8,'HR mthly'!$I$6:$T$6,'HR mthly'!$I$16:$T$16))</f>
        <v>1</v>
      </c>
      <c r="HZ118" s="331">
        <f>IF(HZ$7&gt;$D$3,"",_xlfn.XLOOKUP(HZ$8,'HR mthly'!$I$6:$T$6,'HR mthly'!$I$16:$T$16))</f>
        <v>1</v>
      </c>
      <c r="IA118" s="331">
        <f>IF(IA$7&gt;$D$3,"",_xlfn.XLOOKUP(IA$8,'HR mthly'!$I$6:$T$6,'HR mthly'!$I$16:$T$16))</f>
        <v>1</v>
      </c>
      <c r="IB118" s="331">
        <f>IF(IB$7&gt;$D$3,"",_xlfn.XLOOKUP(IB$8,'HR mthly'!$I$6:$T$6,'HR mthly'!$I$16:$T$16))</f>
        <v>1</v>
      </c>
      <c r="IC118" s="331">
        <f>IF(IC$7&gt;$D$3,"",_xlfn.XLOOKUP(IC$8,'HR mthly'!$I$6:$T$6,'HR mthly'!$I$16:$T$16))</f>
        <v>1</v>
      </c>
      <c r="ID118" s="331">
        <f>IF(ID$7&gt;$D$3,"",_xlfn.XLOOKUP(ID$8,'HR mthly'!$I$6:$T$6,'HR mthly'!$I$16:$T$16))</f>
        <v>1</v>
      </c>
      <c r="IE118" s="331">
        <f>IF(IE$7&gt;$D$3,"",_xlfn.XLOOKUP(IE$8,'HR mthly'!$I$6:$T$6,'HR mthly'!$I$16:$T$16))</f>
        <v>1</v>
      </c>
      <c r="IF118" s="331">
        <f>IF(IF$7&gt;$D$3,"",_xlfn.XLOOKUP(IF$8,'HR mthly'!$I$6:$T$6,'HR mthly'!$I$16:$T$16))</f>
        <v>1</v>
      </c>
      <c r="IG118" s="331">
        <f>IF(IG$7&gt;$D$3,"",_xlfn.XLOOKUP(IG$8,'HR mthly'!$I$6:$T$6,'HR mthly'!$I$16:$T$16))</f>
        <v>1</v>
      </c>
      <c r="IH118" s="331">
        <f>IF(IH$7&gt;$D$3,"",_xlfn.XLOOKUP(IH$8,'HR mthly'!$I$6:$T$6,'HR mthly'!$I$16:$T$16))</f>
        <v>1</v>
      </c>
      <c r="II118" s="331">
        <f>IF(II$7&gt;$D$3,"",_xlfn.XLOOKUP(II$8,'HR mthly'!$I$6:$T$6,'HR mthly'!$I$16:$T$16))</f>
        <v>1</v>
      </c>
      <c r="IJ118" s="331">
        <f>IF(IJ$7&gt;$D$3,"",_xlfn.XLOOKUP(IJ$8,'HR mthly'!$I$6:$T$6,'HR mthly'!$I$16:$T$16))</f>
        <v>1</v>
      </c>
      <c r="IK118" s="331">
        <f>IF(IK$7&gt;$D$3,"",_xlfn.XLOOKUP(IK$8,'HR mthly'!$I$6:$T$6,'HR mthly'!$I$16:$T$16))</f>
        <v>1</v>
      </c>
      <c r="IL118" s="331">
        <f>IF(IL$7&gt;$D$3,"",_xlfn.XLOOKUP(IL$8,'HR mthly'!$I$6:$T$6,'HR mthly'!$I$16:$T$16))</f>
        <v>1</v>
      </c>
      <c r="IM118" s="331">
        <f>IF(IM$7&gt;$D$3,"",_xlfn.XLOOKUP(IM$8,'HR mthly'!$I$6:$T$6,'HR mthly'!$I$16:$T$16))</f>
        <v>1</v>
      </c>
      <c r="IN118" s="331">
        <f>IF(IN$7&gt;$D$3,"",_xlfn.XLOOKUP(IN$8,'HR mthly'!$I$6:$T$6,'HR mthly'!$I$16:$T$16))</f>
        <v>1</v>
      </c>
      <c r="IO118" s="331">
        <f>IF(IO$7&gt;$D$3,"",_xlfn.XLOOKUP(IO$8,'HR mthly'!$I$6:$T$6,'HR mthly'!$I$16:$T$16))</f>
        <v>1</v>
      </c>
      <c r="IP118" s="331">
        <f>IF(IP$7&gt;$D$3,"",_xlfn.XLOOKUP(IP$8,'HR mthly'!$I$6:$T$6,'HR mthly'!$I$16:$T$16))</f>
        <v>1</v>
      </c>
      <c r="IQ118" s="331">
        <f>IF(IQ$7&gt;$D$3,"",_xlfn.XLOOKUP(IQ$8,'HR mthly'!$I$6:$T$6,'HR mthly'!$I$16:$T$16))</f>
        <v>1</v>
      </c>
      <c r="IR118" s="331">
        <f>IF(IR$7&gt;$D$3,"",_xlfn.XLOOKUP(IR$8,'HR mthly'!$I$6:$T$6,'HR mthly'!$I$16:$T$16))</f>
        <v>1</v>
      </c>
      <c r="IS118" s="331">
        <f>IF(IS$7&gt;$D$3,"",_xlfn.XLOOKUP(IS$8,'HR mthly'!$I$6:$T$6,'HR mthly'!$I$16:$T$16))</f>
        <v>1</v>
      </c>
      <c r="IT118" s="331">
        <f>IF(IT$7&gt;$D$3,"",_xlfn.XLOOKUP(IT$8,'HR mthly'!$I$6:$T$6,'HR mthly'!$I$16:$T$16))</f>
        <v>1</v>
      </c>
      <c r="IU118" s="331">
        <f>IF(IU$7&gt;$D$3,"",_xlfn.XLOOKUP(IU$8,'HR mthly'!$I$6:$T$6,'HR mthly'!$I$16:$T$16))</f>
        <v>1</v>
      </c>
      <c r="IV118" s="331">
        <f>IF(IV$7&gt;$D$3,"",_xlfn.XLOOKUP(IV$8,'HR mthly'!$I$6:$T$6,'HR mthly'!$I$16:$T$16))</f>
        <v>1</v>
      </c>
      <c r="IW118" s="331">
        <f>IF(IW$7&gt;$D$3,"",_xlfn.XLOOKUP(IW$8,'HR mthly'!$I$6:$T$6,'HR mthly'!$I$16:$T$16))</f>
        <v>1</v>
      </c>
      <c r="IX118" s="331">
        <f>IF(IX$7&gt;$D$3,"",_xlfn.XLOOKUP(IX$8,'HR mthly'!$I$6:$T$6,'HR mthly'!$I$16:$T$16))</f>
        <v>1</v>
      </c>
      <c r="IY118" s="331">
        <f>IF(IY$7&gt;$D$3,"",_xlfn.XLOOKUP(IY$8,'HR mthly'!$I$6:$T$6,'HR mthly'!$I$16:$T$16))</f>
        <v>1</v>
      </c>
      <c r="IZ118" s="331" t="str">
        <f>IF(IZ$7&gt;$D$3,"",_xlfn.XLOOKUP(IZ$8,'HR mthly'!$I$6:$T$6,'HR mthly'!$I$16:$T$16))</f>
        <v/>
      </c>
      <c r="JA118" s="331" t="str">
        <f>IF(JA$7&gt;$D$3,"",_xlfn.XLOOKUP(JA$8,'HR mthly'!$I$6:$T$6,'HR mthly'!$I$16:$T$16))</f>
        <v/>
      </c>
      <c r="JB118" s="331" t="str">
        <f>IF(JB$7&gt;$D$3,"",_xlfn.XLOOKUP(JB$8,'HR mthly'!$I$6:$T$6,'HR mthly'!$I$16:$T$16))</f>
        <v/>
      </c>
      <c r="JC118" s="331" t="str">
        <f>IF(JC$7&gt;$D$3,"",_xlfn.XLOOKUP(JC$8,'HR mthly'!$I$6:$T$6,'HR mthly'!$I$16:$T$16))</f>
        <v/>
      </c>
      <c r="JD118" s="331" t="str">
        <f>IF(JD$7&gt;$D$3,"",_xlfn.XLOOKUP(JD$8,'HR mthly'!$I$6:$T$6,'HR mthly'!$I$16:$T$16))</f>
        <v/>
      </c>
      <c r="JE118" s="331" t="str">
        <f>IF(JE$7&gt;$D$3,"",_xlfn.XLOOKUP(JE$8,'HR mthly'!$I$6:$T$6,'HR mthly'!$I$16:$T$16))</f>
        <v/>
      </c>
      <c r="JF118" s="331" t="str">
        <f>IF(JF$7&gt;$D$3,"",_xlfn.XLOOKUP(JF$8,'HR mthly'!$I$6:$T$6,'HR mthly'!$I$16:$T$16))</f>
        <v/>
      </c>
      <c r="JG118" s="331" t="str">
        <f>IF(JG$7&gt;$D$3,"",_xlfn.XLOOKUP(JG$8,'HR mthly'!$I$6:$T$6,'HR mthly'!$I$16:$T$16))</f>
        <v/>
      </c>
      <c r="JH118" s="331" t="str">
        <f>IF(JH$7&gt;$D$3,"",_xlfn.XLOOKUP(JH$8,'HR mthly'!$I$6:$T$6,'HR mthly'!$I$16:$T$16))</f>
        <v/>
      </c>
      <c r="JI118" s="331" t="str">
        <f>IF(JI$7&gt;$D$3,"",_xlfn.XLOOKUP(JI$8,'HR mthly'!$I$6:$T$6,'HR mthly'!$I$16:$T$16))</f>
        <v/>
      </c>
      <c r="JJ118" s="331" t="str">
        <f>IF(JJ$7&gt;$D$3,"",_xlfn.XLOOKUP(JJ$8,'HR mthly'!$I$6:$T$6,'HR mthly'!$I$16:$T$16))</f>
        <v/>
      </c>
      <c r="JM118" s="136" t="str">
        <f t="shared" si="648"/>
        <v>KPI D1</v>
      </c>
      <c r="JN118" s="144" t="str">
        <f t="shared" si="649"/>
        <v>Delivery</v>
      </c>
      <c r="JO118" s="244" t="str">
        <f t="shared" si="615"/>
        <v>Development Plans actions against project plan</v>
      </c>
      <c r="JP118" s="145" t="str">
        <f t="shared" si="616"/>
        <v>Percentage</v>
      </c>
      <c r="JQ118" s="145" t="s">
        <v>284</v>
      </c>
      <c r="JR118" s="226" t="str">
        <f>IFERROR(AVERAGE(FC118:$FC118),"")</f>
        <v/>
      </c>
      <c r="JS118" s="331">
        <f>IFERROR(AVERAGE($FC118:FD118),"")</f>
        <v>0.78</v>
      </c>
      <c r="JT118" s="331">
        <f>IFERROR(AVERAGE($FC118:FE118),"")</f>
        <v>0.78</v>
      </c>
      <c r="JU118" s="331">
        <f>IFERROR(AVERAGE($FC118:FF118),"")</f>
        <v>0.77999999999999992</v>
      </c>
      <c r="JV118" s="331">
        <f>IFERROR(AVERAGE($FC118:FG118),"")</f>
        <v>0.78</v>
      </c>
      <c r="JW118" s="331">
        <f>IFERROR(AVERAGE($FC118:FH118),"")</f>
        <v>0.81200000000000006</v>
      </c>
      <c r="JX118" s="331">
        <f>IFERROR(AVERAGE($FC118:FI118),"")</f>
        <v>0.83333333333333337</v>
      </c>
      <c r="JY118" s="331">
        <f>IFERROR(AVERAGE($FC118:FJ118),"")</f>
        <v>0.84857142857142853</v>
      </c>
      <c r="JZ118" s="331">
        <f>IFERROR(AVERAGE($FC118:FK118),"")</f>
        <v>0.85999999999999988</v>
      </c>
      <c r="KA118" s="331">
        <f>IFERROR(AVERAGE($FC118:FL118),"")</f>
        <v>0.87555555555555542</v>
      </c>
      <c r="KB118" s="331">
        <f>IFERROR(AVERAGE($FC118:FM118),"")</f>
        <v>0.8879999999999999</v>
      </c>
      <c r="KC118" s="331">
        <f>IFERROR(AVERAGE($FC118:FN118),"")</f>
        <v>0.89818181818181808</v>
      </c>
      <c r="KD118" s="331">
        <f>IFERROR(AVERAGE($FC118:FO118),"")</f>
        <v>0.90666666666666662</v>
      </c>
      <c r="KE118" s="331">
        <f>IFERROR(AVERAGE($FC118:FP118),"")</f>
        <v>0.91384615384615375</v>
      </c>
      <c r="KF118" s="331">
        <f>IFERROR(AVERAGE($FC118:FQ118),"")</f>
        <v>0.91999999999999993</v>
      </c>
      <c r="KG118" s="331">
        <f>IFERROR(AVERAGE($FC118:FR118),"")</f>
        <v>0.92533333333333323</v>
      </c>
      <c r="KH118" s="331">
        <f>IFERROR(AVERAGE($FC118:FS118),"")</f>
        <v>0.92999999999999994</v>
      </c>
      <c r="KI118" s="331">
        <f>IFERROR(AVERAGE($FC118:FT118),"")</f>
        <v>0.9341176470588235</v>
      </c>
      <c r="KJ118" s="331">
        <f>IFERROR(AVERAGE($FC118:FU118),"")</f>
        <v>0.93777777777777771</v>
      </c>
      <c r="KK118" s="331">
        <f>IFERROR(AVERAGE($FC118:FV118),"")</f>
        <v>0.94105263157894736</v>
      </c>
      <c r="KL118" s="331">
        <f>IFERROR(AVERAGE($FC118:FW118),"")</f>
        <v>0.94399999999999995</v>
      </c>
      <c r="KM118" s="331">
        <f>IFERROR(AVERAGE($FC118:FX118),"")</f>
        <v>0.94666666666666666</v>
      </c>
      <c r="KN118" s="331">
        <f>IFERROR(AVERAGE($FC118:FY118),"")</f>
        <v>0.9490909090909091</v>
      </c>
      <c r="KO118" s="331">
        <f>IFERROR(AVERAGE($FC118:FZ118),"")</f>
        <v>0.95130434782608686</v>
      </c>
      <c r="KP118" s="331">
        <f>IFERROR(AVERAGE($FC118:GA118),"")</f>
        <v>0.95333333333333325</v>
      </c>
      <c r="KQ118" s="331">
        <f>IFERROR(AVERAGE($FC118:GB118),"")</f>
        <v>0.95519999999999994</v>
      </c>
      <c r="KR118" s="331">
        <f>IFERROR(AVERAGE($FC118:GC118),"")</f>
        <v>0.92307692307692313</v>
      </c>
      <c r="KS118" s="331">
        <f>IFERROR(AVERAGE($FC118:GD118),"")</f>
        <v>0.89333333333333342</v>
      </c>
      <c r="KT118" s="331">
        <f>IFERROR(AVERAGE($FC118:GE118),"")</f>
        <v>0.86571428571428577</v>
      </c>
      <c r="KU118" s="331">
        <f>IFERROR(AVERAGE($FC118:GF118),"")</f>
        <v>0.84000000000000008</v>
      </c>
      <c r="KV118" s="331">
        <f>IFERROR(AVERAGE($FC118:GG118),"")</f>
        <v>0.81600000000000017</v>
      </c>
      <c r="KW118" s="331">
        <f>IFERROR(AVERAGE($FC118:GH118),"")</f>
        <v>0.81161290322580659</v>
      </c>
      <c r="KX118" s="331">
        <f>IFERROR(AVERAGE($FC118:GI118),"")</f>
        <v>0.80750000000000011</v>
      </c>
      <c r="KY118" s="331">
        <f>IFERROR(AVERAGE($FC118:GJ118),"")</f>
        <v>0.8036363636363637</v>
      </c>
      <c r="KZ118" s="331">
        <f>IFERROR(AVERAGE($FC118:GK118),"")</f>
        <v>0.8</v>
      </c>
      <c r="LA118" s="331">
        <f>IFERROR(AVERAGE($FC118:GL118),"")</f>
        <v>0.7985714285714286</v>
      </c>
      <c r="LB118" s="331">
        <f>IFERROR(AVERAGE($FC118:GM118),"")</f>
        <v>0.79722222222222228</v>
      </c>
      <c r="LC118" s="331">
        <f>IFERROR(AVERAGE($FC118:GN118),"")</f>
        <v>0.79594594594594603</v>
      </c>
      <c r="LD118" s="331">
        <f>IFERROR(AVERAGE($FC118:GO118),"")</f>
        <v>0.79473684210526319</v>
      </c>
      <c r="LE118" s="331">
        <f>IFERROR(AVERAGE($FC118:GP118),"")</f>
        <v>0.79615384615384621</v>
      </c>
      <c r="LF118" s="331">
        <f>IFERROR(AVERAGE($FC118:GQ118),"")</f>
        <v>0.7975000000000001</v>
      </c>
      <c r="LG118" s="331">
        <f>IFERROR(AVERAGE($FC118:GR118),"")</f>
        <v>0.7987804878048782</v>
      </c>
      <c r="LH118" s="331">
        <f>IFERROR(AVERAGE($FC118:GS118),"")</f>
        <v>0.7987804878048782</v>
      </c>
      <c r="LI118" s="331">
        <f>IFERROR(AVERAGE($FC118:GT118),"")</f>
        <v>0.7987804878048782</v>
      </c>
      <c r="LJ118" s="331">
        <f>IFERROR(AVERAGE($FC118:GU118),"")</f>
        <v>0.7987804878048782</v>
      </c>
      <c r="LK118" s="331">
        <f>IFERROR(AVERAGE($FC118:GV118),"")</f>
        <v>0.7987804878048782</v>
      </c>
      <c r="LL118" s="331">
        <f>IFERROR(AVERAGE($FC118:GW118),"")</f>
        <v>0.7987804878048782</v>
      </c>
      <c r="LM118" s="331">
        <f>IFERROR(AVERAGE($FC118:GX118),"")</f>
        <v>0.7987804878048782</v>
      </c>
      <c r="LN118" s="331">
        <f>IFERROR(AVERAGE($FC118:GY118),"")</f>
        <v>0.7987804878048782</v>
      </c>
      <c r="LO118" s="331">
        <f>IFERROR(AVERAGE($FC118:GZ118),"")</f>
        <v>0.7987804878048782</v>
      </c>
      <c r="LP118" s="331">
        <f>IFERROR(AVERAGE($FC118:HA118),"")</f>
        <v>0.7987804878048782</v>
      </c>
      <c r="LQ118" s="331">
        <f>IFERROR(AVERAGE($FC118:HB118),"")</f>
        <v>0.7987804878048782</v>
      </c>
      <c r="LR118" s="331">
        <f>IFERROR(AVERAGE($FC118:HC118),"")</f>
        <v>0.7987804878048782</v>
      </c>
      <c r="LT118" s="136" t="str">
        <f t="shared" si="651"/>
        <v>KPI D1</v>
      </c>
      <c r="LU118" s="144" t="str">
        <f t="shared" si="652"/>
        <v>Delivery</v>
      </c>
      <c r="LV118" s="144" t="str">
        <f t="shared" si="619"/>
        <v>Development Plans actions against project plan</v>
      </c>
      <c r="LW118" s="145" t="str">
        <f t="shared" si="620"/>
        <v>Percentage</v>
      </c>
      <c r="LX118" s="145" t="s">
        <v>285</v>
      </c>
      <c r="LY118" s="226" t="str">
        <f>IFERROR(AVERAGE($HJ118:HJ118),"")</f>
        <v/>
      </c>
      <c r="LZ118" s="331">
        <f>IFERROR(IF(LAD$7&gt;$D$3,"",AVERAGE($HJ118:HK118)),"")</f>
        <v>1</v>
      </c>
      <c r="MA118" s="331">
        <f>IFERROR(IF(LAE$7&gt;$D$3,"",AVERAGE($HJ118:HL118)),"")</f>
        <v>1</v>
      </c>
      <c r="MB118" s="331">
        <f>IFERROR(IF(LAF$7&gt;$D$3,"",AVERAGE($HJ118:HM118)),"")</f>
        <v>1</v>
      </c>
      <c r="MC118" s="331">
        <f>IFERROR(IF(LAG$7&gt;$D$3,"",AVERAGE($HJ118:HN118)),"")</f>
        <v>1</v>
      </c>
      <c r="MD118" s="331">
        <f>IFERROR(IF(LAH$7&gt;$D$3,"",AVERAGE($HJ118:HO118)),"")</f>
        <v>1</v>
      </c>
      <c r="ME118" s="331">
        <f>IFERROR(IF(LAI$7&gt;$D$3,"",AVERAGE($HJ118:HP118)),"")</f>
        <v>1</v>
      </c>
      <c r="MF118" s="331">
        <f>IFERROR(IF(LAJ$7&gt;$D$3,"",AVERAGE($HJ118:HQ118)),"")</f>
        <v>1</v>
      </c>
      <c r="MG118" s="331">
        <f>IFERROR(IF(LAK$7&gt;$D$3,"",AVERAGE($HJ118:HR118)),"")</f>
        <v>1</v>
      </c>
      <c r="MH118" s="331">
        <f>IFERROR(IF(LAL$7&gt;$D$3,"",AVERAGE($HJ118:HS118)),"")</f>
        <v>1</v>
      </c>
      <c r="MI118" s="331">
        <f>IFERROR(IF(LAM$7&gt;$D$3,"",AVERAGE($HJ118:HT118)),"")</f>
        <v>1</v>
      </c>
      <c r="MJ118" s="331">
        <f>IFERROR(IF(LAN$7&gt;$D$3,"",AVERAGE($HJ118:HU118)),"")</f>
        <v>1</v>
      </c>
      <c r="MK118" s="331">
        <f>IFERROR(IF(LAO$7&gt;$D$3,"",AVERAGE($HJ118:HV118)),"")</f>
        <v>1</v>
      </c>
      <c r="ML118" s="331">
        <f>IFERROR(IF(LAP$7&gt;$D$3,"",AVERAGE($HJ118:HW118)),"")</f>
        <v>1</v>
      </c>
      <c r="MM118" s="331">
        <f>IFERROR(IF(LAQ$7&gt;$D$3,"",AVERAGE($HJ118:HX118)),"")</f>
        <v>1</v>
      </c>
      <c r="MN118" s="331">
        <f>IFERROR(IF(LAR$7&gt;$D$3,"",AVERAGE($HJ118:HY118)),"")</f>
        <v>1</v>
      </c>
      <c r="MO118" s="331">
        <f>IFERROR(IF(LAS$7&gt;$D$3,"",AVERAGE($HJ118:HZ118)),"")</f>
        <v>1</v>
      </c>
      <c r="MP118" s="331">
        <f>IFERROR(IF(LAT$7&gt;$D$3,"",AVERAGE($HJ118:IA118)),"")</f>
        <v>1</v>
      </c>
      <c r="MQ118" s="331">
        <f>IFERROR(IF(LAU$7&gt;$D$3,"",AVERAGE($HJ118:IB118)),"")</f>
        <v>1</v>
      </c>
      <c r="MR118" s="331">
        <f>IFERROR(IF(LAV$7&gt;$D$3,"",AVERAGE($HJ118:IC118)),"")</f>
        <v>1</v>
      </c>
      <c r="MS118" s="331">
        <f>IFERROR(IF(LAW$7&gt;$D$3,"",AVERAGE($HJ118:ID118)),"")</f>
        <v>1</v>
      </c>
      <c r="MT118" s="331">
        <f>IFERROR(IF(LAX$7&gt;$D$3,"",AVERAGE($HJ118:IE118)),"")</f>
        <v>1</v>
      </c>
      <c r="MU118" s="331">
        <f>IFERROR(IF(LAY$7&gt;$D$3,"",AVERAGE($HJ118:IF118)),"")</f>
        <v>1</v>
      </c>
      <c r="MV118" s="331">
        <f>IFERROR(IF(LAZ$7&gt;$D$3,"",AVERAGE($HJ118:IG118)),"")</f>
        <v>1</v>
      </c>
      <c r="MW118" s="331">
        <f>IFERROR(IF(LBA$7&gt;$D$3,"",AVERAGE($HJ118:IH118)),"")</f>
        <v>1</v>
      </c>
      <c r="MX118" s="331">
        <f>IFERROR(IF(LBB$7&gt;$D$3,"",AVERAGE($HJ118:II118)),"")</f>
        <v>1</v>
      </c>
      <c r="MY118" s="331">
        <f>IFERROR(IF(LBC$7&gt;$D$3,"",AVERAGE($HJ118:IJ118)),"")</f>
        <v>1</v>
      </c>
      <c r="MZ118" s="331">
        <f>IFERROR(IF(LBD$7&gt;$D$3,"",AVERAGE($HJ118:IK118)),"")</f>
        <v>1</v>
      </c>
      <c r="NA118" s="331">
        <f>IFERROR(IF(LBE$7&gt;$D$3,"",AVERAGE($HJ118:IL118)),"")</f>
        <v>1</v>
      </c>
      <c r="NB118" s="331">
        <f>IFERROR(IF(LBF$7&gt;$D$3,"",AVERAGE($HJ118:IM118)),"")</f>
        <v>1</v>
      </c>
      <c r="NC118" s="331">
        <f>IFERROR(IF(LBG$7&gt;$D$3,"",AVERAGE($HJ118:IN118)),"")</f>
        <v>1</v>
      </c>
      <c r="ND118" s="331">
        <f>IFERROR(IF(LBH$7&gt;$D$3,"",AVERAGE($HJ118:IO118)),"")</f>
        <v>1</v>
      </c>
      <c r="NE118" s="331">
        <f>IFERROR(IF(LBI$7&gt;$D$3,"",AVERAGE($HJ118:IP118)),"")</f>
        <v>1</v>
      </c>
      <c r="NF118" s="331">
        <f>IFERROR(IF(LBJ$7&gt;$D$3,"",AVERAGE($HJ118:IQ118)),"")</f>
        <v>1</v>
      </c>
      <c r="NG118" s="331">
        <f>IFERROR(IF(LBK$7&gt;$D$3,"",AVERAGE($HJ118:IR118)),"")</f>
        <v>1</v>
      </c>
      <c r="NH118" s="331">
        <f>IFERROR(IF(LBL$7&gt;$D$3,"",AVERAGE($HJ118:IS118)),"")</f>
        <v>1</v>
      </c>
      <c r="NI118" s="331">
        <f>IFERROR(IF(LBM$7&gt;$D$3,"",AVERAGE($HJ118:IT118)),"")</f>
        <v>1</v>
      </c>
      <c r="NJ118" s="331">
        <f>IFERROR(IF(LBN$7&gt;$D$3,"",AVERAGE($HJ118:IU118)),"")</f>
        <v>1</v>
      </c>
      <c r="NK118" s="331">
        <f>IFERROR(IF(LBO$7&gt;$D$3,"",AVERAGE($HJ118:IV118)),"")</f>
        <v>1</v>
      </c>
      <c r="NL118" s="331">
        <f>IFERROR(IF(LBP$7&gt;$D$3,"",AVERAGE($HJ118:IW118)),"")</f>
        <v>1</v>
      </c>
      <c r="NM118" s="331">
        <f>IFERROR(IF(LBQ$7&gt;$D$3,"",AVERAGE($HJ118:IX118)),"")</f>
        <v>1</v>
      </c>
      <c r="NN118" s="331">
        <f>IFERROR(IF(LBR$7&gt;$D$3,"",AVERAGE($HJ118:IY118)),"")</f>
        <v>1</v>
      </c>
      <c r="NO118" s="331">
        <f>IFERROR(IF(LBS$7&gt;$D$3,"",AVERAGE($HJ118:IZ118)),"")</f>
        <v>1</v>
      </c>
      <c r="NP118" s="331">
        <f>IFERROR(IF(LBT$7&gt;$D$3,"",AVERAGE($HJ118:JA118)),"")</f>
        <v>1</v>
      </c>
      <c r="NQ118" s="331">
        <f>IFERROR(IF(LBU$7&gt;$D$3,"",AVERAGE($HJ118:JB118)),"")</f>
        <v>1</v>
      </c>
      <c r="NR118" s="331">
        <f>IFERROR(IF(LBV$7&gt;$D$3,"",AVERAGE($HJ118:JC118)),"")</f>
        <v>1</v>
      </c>
      <c r="NS118" s="331">
        <f>IFERROR(IF(LBW$7&gt;$D$3,"",AVERAGE($HJ118:JD118)),"")</f>
        <v>1</v>
      </c>
      <c r="NT118" s="331">
        <f>IFERROR(IF(LBX$7&gt;$D$3,"",AVERAGE($HJ118:JE118)),"")</f>
        <v>1</v>
      </c>
      <c r="NU118" s="331">
        <f>IFERROR(IF(LBY$7&gt;$D$3,"",AVERAGE($HJ118:JF118)),"")</f>
        <v>1</v>
      </c>
      <c r="NV118" s="331">
        <f>IFERROR(IF(LBZ$7&gt;$D$3,"",AVERAGE($HJ118:JG118)),"")</f>
        <v>1</v>
      </c>
      <c r="NW118" s="331">
        <f>IFERROR(IF(LCA$7&gt;$D$3,"",AVERAGE($HJ118:JH118)),"")</f>
        <v>1</v>
      </c>
      <c r="NX118" s="331">
        <f>IFERROR(IF(LCB$7&gt;$D$3,"",AVERAGE($HJ118:JI118)),"")</f>
        <v>1</v>
      </c>
      <c r="NY118" s="331">
        <f>IFERROR(IF(LCC$7&gt;$D$3,"",AVERAGE($HJ118:JJ118)),"")</f>
        <v>1</v>
      </c>
    </row>
    <row r="119" spans="1:389" x14ac:dyDescent="0.3">
      <c r="A119" t="str">
        <f t="shared" si="623"/>
        <v>HR-KPI D2</v>
      </c>
      <c r="B119" s="918"/>
      <c r="C119" s="136" t="str">
        <f>+'KPI Stats'!C118</f>
        <v>KPI D2</v>
      </c>
      <c r="D119" s="144" t="str">
        <f>+'KPI Stats'!D118</f>
        <v>Delivery</v>
      </c>
      <c r="E119" s="144" t="str">
        <f>+'KPI Stats'!E118</f>
        <v>Review Complete actions against project plan</v>
      </c>
      <c r="F119" s="145" t="str">
        <f>+'KPI Stats'!F118</f>
        <v>Percentage</v>
      </c>
      <c r="G119" s="169" t="str">
        <f>+'KPI Stats'!G118</f>
        <v>Under</v>
      </c>
      <c r="J119" s="69" t="str">
        <f t="shared" si="624"/>
        <v>G</v>
      </c>
      <c r="K119" s="336">
        <f t="shared" si="625"/>
        <v>1</v>
      </c>
      <c r="L119" s="337">
        <f t="shared" si="626"/>
        <v>0.9</v>
      </c>
      <c r="M119" s="376">
        <f t="shared" si="627"/>
        <v>1.1111111111111112</v>
      </c>
      <c r="P119" s="69" t="str">
        <f t="shared" si="628"/>
        <v>G</v>
      </c>
      <c r="Q119" s="336">
        <f t="shared" si="629"/>
        <v>1</v>
      </c>
      <c r="R119" s="337">
        <f t="shared" si="629"/>
        <v>1</v>
      </c>
      <c r="S119" s="378">
        <f t="shared" si="630"/>
        <v>1.1111111111111112</v>
      </c>
      <c r="T119" s="379">
        <f t="shared" si="630"/>
        <v>1.1111111111111112</v>
      </c>
      <c r="U119" s="295" t="str">
        <f>IF(F115&lt;$Q$4,"Not Complete",IF(Q119=R119,"Same −",IF($G119="Over",IF(Q119&lt;R119,"Better ↑","Worse ↓"),IF($G119="Under",IF(Q119&gt;R119,"Better ↑","Worse ↓"),"err"))))</f>
        <v>Same −</v>
      </c>
      <c r="X119" s="69" t="str">
        <f t="shared" si="631"/>
        <v>R</v>
      </c>
      <c r="Y119" s="336">
        <f t="shared" si="632"/>
        <v>0.60564102564102562</v>
      </c>
      <c r="Z119" s="337">
        <f t="shared" si="633"/>
        <v>0.84102564102564115</v>
      </c>
      <c r="AA119" s="376">
        <f t="shared" si="634"/>
        <v>0.72012195121951206</v>
      </c>
      <c r="AB119" s="295" t="str">
        <f>IF(F118&lt;$AA$3,"TBC",IF(Y119=Z119,"Same −",IF($G119="Over",IF(Z119&lt;Y119,"Better ↑ ","Worse ↓ "),IF($G119="Under",IF(Y119&gt;Z119,"Better ↑ ","Worse ↓ "),"err"))))</f>
        <v xml:space="preserve">Worse ↓ </v>
      </c>
      <c r="AC119" s="69" t="e">
        <f t="shared" si="635"/>
        <v>#DIV/0!</v>
      </c>
      <c r="AD119" s="114" t="b">
        <f t="shared" si="636"/>
        <v>0</v>
      </c>
      <c r="AE119" s="114" t="b">
        <f t="shared" si="637"/>
        <v>0</v>
      </c>
      <c r="AF119" s="252" t="e">
        <f t="shared" si="638"/>
        <v>#DIV/0!</v>
      </c>
      <c r="AH119" s="465" t="str">
        <f t="shared" si="639"/>
        <v>HR-KPI D2</v>
      </c>
      <c r="AI119" s="136" t="str">
        <f t="shared" ref="AI119" si="662">+C119</f>
        <v>KPI D2</v>
      </c>
      <c r="AJ119" s="144" t="str">
        <f t="shared" ref="AJ119" si="663">+D119</f>
        <v>Delivery</v>
      </c>
      <c r="AK119" s="144" t="str">
        <f t="shared" ref="AK119" si="664">+E119</f>
        <v>Review Complete actions against project plan</v>
      </c>
      <c r="AL119" s="145" t="str">
        <f t="shared" ref="AL119" si="665">+F119</f>
        <v>Percentage</v>
      </c>
      <c r="AM119" s="199" t="str">
        <f>IF(AM$7&gt;$D$3,"",_xlfn.XLOOKUP(AM$8,'HR mthly'!$I$6:$T$6,'HR mthly'!$I$21:$T$21))</f>
        <v>R</v>
      </c>
      <c r="AN119" s="199" t="str">
        <f>IF(AN$7&gt;$D$3,"",_xlfn.XLOOKUP(AN$8,'HR mthly'!$I$6:$T$6,'HR mthly'!$I$21:$T$21))</f>
        <v>R</v>
      </c>
      <c r="AO119" s="199" t="str">
        <f>IF(AO$7&gt;$D$3,"",_xlfn.XLOOKUP(AO$8,'HR mthly'!$I$6:$T$6,'HR mthly'!$I$21:$T$21))</f>
        <v>R</v>
      </c>
      <c r="AP119" s="199" t="str">
        <f>IF(AP$7&gt;$D$3,"",_xlfn.XLOOKUP(AP$8,'HR mthly'!$I$6:$T$6,'HR mthly'!$I$21:$T$21))</f>
        <v>R</v>
      </c>
      <c r="AQ119" s="199" t="str">
        <f>IF(AQ$7&gt;$D$3,"",_xlfn.XLOOKUP(AQ$8,'HR mthly'!$I$6:$T$6,'HR mthly'!$I$21:$T$21))</f>
        <v>R</v>
      </c>
      <c r="AR119" s="199" t="str">
        <f>IF(AR$7&gt;$D$3,"",_xlfn.XLOOKUP(AR$8,'HR mthly'!$I$6:$T$6,'HR mthly'!$I$21:$T$21))</f>
        <v>R</v>
      </c>
      <c r="AS119" s="199" t="str">
        <f>IF(AS$7&gt;$D$3,"",_xlfn.XLOOKUP(AS$8,'HR mthly'!$I$6:$T$6,'HR mthly'!$I$21:$T$21))</f>
        <v>R</v>
      </c>
      <c r="AT119" s="199" t="str">
        <f>IF(AT$7&gt;$D$3,"",_xlfn.XLOOKUP(AT$8,'HR mthly'!$I$6:$T$6,'HR mthly'!$I$21:$T$21))</f>
        <v>R</v>
      </c>
      <c r="AU119" s="199" t="str">
        <f>IF(AU$7&gt;$D$3,"",_xlfn.XLOOKUP(AU$8,'HR mthly'!$I$6:$T$6,'HR mthly'!$I$21:$T$21))</f>
        <v>R</v>
      </c>
      <c r="AV119" s="199" t="str">
        <f>IF(AV$7&gt;$D$3,"",_xlfn.XLOOKUP(AV$8,'HR mthly'!$I$6:$T$6,'HR mthly'!$I$21:$T$21))</f>
        <v>R</v>
      </c>
      <c r="AW119" s="199" t="str">
        <f>IF(AW$7&gt;$D$3,"",_xlfn.XLOOKUP(AW$8,'HR mthly'!$I$6:$T$6,'HR mthly'!$I$21:$T$21))</f>
        <v>R</v>
      </c>
      <c r="AX119" s="199" t="str">
        <f>IF(AX$7&gt;$D$3,"",_xlfn.XLOOKUP(AX$8,'HR mthly'!$I$6:$T$6,'HR mthly'!$I$21:$T$21))</f>
        <v>R</v>
      </c>
      <c r="AY119" s="199" t="str">
        <f>IF(AY$7&gt;$D$3,"",_xlfn.XLOOKUP(AY$8,'HR mthly'!$I$6:$T$6,'HR mthly'!$I$21:$T$21))</f>
        <v>R</v>
      </c>
      <c r="AZ119" s="199" t="str">
        <f>IF(AZ$7&gt;$D$3,"",_xlfn.XLOOKUP(AZ$8,'HR mthly'!$I$6:$T$6,'HR mthly'!$I$21:$T$21))</f>
        <v>R</v>
      </c>
      <c r="BA119" s="199" t="str">
        <f>IF(BA$7&gt;$D$3,"",_xlfn.XLOOKUP(BA$8,'HR mthly'!$I$6:$T$6,'HR mthly'!$I$21:$T$21))</f>
        <v>R</v>
      </c>
      <c r="BB119" s="199" t="str">
        <f>IF(BB$7&gt;$D$3,"",_xlfn.XLOOKUP(BB$8,'HR mthly'!$I$6:$T$6,'HR mthly'!$I$21:$T$21))</f>
        <v>R</v>
      </c>
      <c r="BC119" s="199" t="str">
        <f>IF(BC$7&gt;$D$3,"",_xlfn.XLOOKUP(BC$8,'HR mthly'!$I$6:$T$6,'HR mthly'!$I$21:$T$21))</f>
        <v>R</v>
      </c>
      <c r="BD119" s="199" t="str">
        <f>IF(BD$7&gt;$D$3,"",_xlfn.XLOOKUP(BD$8,'HR mthly'!$I$6:$T$6,'HR mthly'!$I$21:$T$21))</f>
        <v>G</v>
      </c>
      <c r="BE119" s="199" t="str">
        <f>IF(BE$7&gt;$D$3,"",_xlfn.XLOOKUP(BE$8,'HR mthly'!$I$6:$T$6,'HR mthly'!$I$21:$T$21))</f>
        <v>G</v>
      </c>
      <c r="BF119" s="199" t="str">
        <f>IF(BF$7&gt;$D$3,"",_xlfn.XLOOKUP(BF$8,'HR mthly'!$I$6:$T$6,'HR mthly'!$I$21:$T$21))</f>
        <v>G</v>
      </c>
      <c r="BG119" s="199" t="str">
        <f>IF(BG$7&gt;$D$3,"",_xlfn.XLOOKUP(BG$8,'HR mthly'!$I$6:$T$6,'HR mthly'!$I$21:$T$21))</f>
        <v>G</v>
      </c>
      <c r="BH119" s="199" t="str">
        <f>IF(BH$7&gt;$D$3,"",_xlfn.XLOOKUP(BH$8,'HR mthly'!$I$6:$T$6,'HR mthly'!$I$21:$T$21))</f>
        <v>G</v>
      </c>
      <c r="BI119" s="199" t="str">
        <f>IF(BI$7&gt;$D$3,"",_xlfn.XLOOKUP(BI$8,'HR mthly'!$I$6:$T$6,'HR mthly'!$I$21:$T$21))</f>
        <v>R</v>
      </c>
      <c r="BJ119" s="199" t="str">
        <f>IF(BJ$7&gt;$D$3,"",_xlfn.XLOOKUP(BJ$8,'HR mthly'!$I$6:$T$6,'HR mthly'!$I$21:$T$21))</f>
        <v>R</v>
      </c>
      <c r="BK119" s="199" t="str">
        <f>IF(BK$7&gt;$D$3,"",_xlfn.XLOOKUP(BK$8,'HR mthly'!$I$6:$T$6,'HR mthly'!$I$21:$T$21))</f>
        <v>R</v>
      </c>
      <c r="BL119" s="199" t="str">
        <f>IF(BL$7&gt;$D$3,"",_xlfn.XLOOKUP(BL$8,'HR mthly'!$I$6:$T$6,'HR mthly'!$I$21:$T$21))</f>
        <v>R</v>
      </c>
      <c r="BM119" s="199" t="str">
        <f>IF(BM$7&gt;$D$3,"",_xlfn.XLOOKUP(BM$8,'HR mthly'!$I$6:$T$6,'HR mthly'!$I$21:$T$21))</f>
        <v>R</v>
      </c>
      <c r="BN119" s="199" t="str">
        <f>IF(BN$7&gt;$D$3,"",_xlfn.XLOOKUP(BN$8,'HR mthly'!$I$6:$T$6,'HR mthly'!$I$21:$T$21))</f>
        <v>R</v>
      </c>
      <c r="BO119" s="199" t="str">
        <f>IF(BO$7&gt;$D$3,"",_xlfn.XLOOKUP(BO$8,'HR mthly'!$I$6:$T$6,'HR mthly'!$I$21:$T$21))</f>
        <v>R</v>
      </c>
      <c r="BP119" s="199" t="str">
        <f>IF(BP$7&gt;$D$3,"",_xlfn.XLOOKUP(BP$8,'HR mthly'!$I$6:$T$6,'HR mthly'!$I$21:$T$21))</f>
        <v>R</v>
      </c>
      <c r="BQ119" s="199" t="str">
        <f>IF(BQ$7&gt;$D$3,"",_xlfn.XLOOKUP(BQ$8,'HR mthly'!$I$6:$T$6,'HR mthly'!$I$21:$T$21))</f>
        <v>R</v>
      </c>
      <c r="BR119" s="199" t="str">
        <f>IF(BR$7&gt;$D$3,"",_xlfn.XLOOKUP(BR$8,'HR mthly'!$I$6:$T$6,'HR mthly'!$I$21:$T$21))</f>
        <v>R</v>
      </c>
      <c r="BS119" s="199" t="str">
        <f>IF(BS$7&gt;$D$3,"",_xlfn.XLOOKUP(BS$8,'HR mthly'!$I$6:$T$6,'HR mthly'!$I$21:$T$21))</f>
        <v>R</v>
      </c>
      <c r="BT119" s="199" t="str">
        <f>IF(BT$7&gt;$D$3,"",_xlfn.XLOOKUP(BT$8,'HR mthly'!$I$6:$T$6,'HR mthly'!$I$21:$T$21))</f>
        <v>R</v>
      </c>
      <c r="BU119" s="199" t="str">
        <f>IF(BU$7&gt;$D$3,"",_xlfn.XLOOKUP(BU$8,'HR mthly'!$I$6:$T$6,'HR mthly'!$I$21:$T$21))</f>
        <v>R</v>
      </c>
      <c r="BV119" s="199" t="str">
        <f>IF(BV$7&gt;$D$3,"",_xlfn.XLOOKUP(BV$8,'HR mthly'!$I$6:$T$6,'HR mthly'!$I$21:$T$21))</f>
        <v>R</v>
      </c>
      <c r="BW119" s="199" t="str">
        <f>IF(BW$7&gt;$D$3,"",_xlfn.XLOOKUP(BW$8,'HR mthly'!$I$6:$T$6,'HR mthly'!$I$21:$T$21))</f>
        <v>R</v>
      </c>
      <c r="BX119" s="199" t="str">
        <f>IF(BX$7&gt;$D$3,"",_xlfn.XLOOKUP(BX$8,'HR mthly'!$I$6:$T$6,'HR mthly'!$I$21:$T$21))</f>
        <v>R</v>
      </c>
      <c r="BY119" s="199" t="str">
        <f>IF(BY$7&gt;$D$3,"",_xlfn.XLOOKUP(BY$8,'HR mthly'!$I$6:$T$6,'HR mthly'!$I$21:$T$21))</f>
        <v>R</v>
      </c>
      <c r="BZ119" s="199" t="str">
        <f>IF(BZ$7&gt;$D$3,"",_xlfn.XLOOKUP(BZ$8,'HR mthly'!$I$6:$T$6,'HR mthly'!$I$21:$T$21))</f>
        <v>G</v>
      </c>
      <c r="CA119" s="199" t="str">
        <f>IF(CA$7&gt;$D$3,"",_xlfn.XLOOKUP(CA$8,'HR mthly'!$I$6:$T$6,'HR mthly'!$I$21:$T$21))</f>
        <v>G</v>
      </c>
      <c r="CB119" s="199" t="str">
        <f>IF(CB$7&gt;$D$3,"",_xlfn.XLOOKUP(CB$8,'HR mthly'!$I$6:$T$6,'HR mthly'!$I$21:$T$21))</f>
        <v>G</v>
      </c>
      <c r="CC119" s="199" t="str">
        <f>IF(CC$7&gt;$D$3,"",_xlfn.XLOOKUP(CC$8,'HR mthly'!$I$6:$T$6,'HR mthly'!$I$21:$T$21))</f>
        <v/>
      </c>
      <c r="CD119" s="199" t="str">
        <f>IF(CD$7&gt;$D$3,"",_xlfn.XLOOKUP(CD$8,'HR mthly'!$I$6:$T$6,'HR mthly'!$I$21:$T$21))</f>
        <v/>
      </c>
      <c r="CE119" s="199" t="str">
        <f>IF(CE$7&gt;$D$3,"",_xlfn.XLOOKUP(CE$8,'HR mthly'!$I$6:$T$6,'HR mthly'!$I$21:$T$21))</f>
        <v/>
      </c>
      <c r="CF119" s="199" t="str">
        <f>IF(CF$7&gt;$D$3,"",_xlfn.XLOOKUP(CF$8,'HR mthly'!$I$6:$T$6,'HR mthly'!$I$21:$T$21))</f>
        <v/>
      </c>
      <c r="CG119" s="199" t="str">
        <f>IF(CG$7&gt;$D$3,"",_xlfn.XLOOKUP(CG$8,'HR mthly'!$I$6:$T$6,'HR mthly'!$I$21:$T$21))</f>
        <v/>
      </c>
      <c r="CH119" s="199" t="str">
        <f>IF(CH$7&gt;$D$3,"",_xlfn.XLOOKUP(CH$8,'HR mthly'!$I$6:$T$6,'HR mthly'!$I$21:$T$21))</f>
        <v/>
      </c>
      <c r="CI119" s="199" t="str">
        <f>IF(CI$7&gt;$D$3,"",_xlfn.XLOOKUP(CI$8,'HR mthly'!$I$6:$T$6,'HR mthly'!$I$21:$T$21))</f>
        <v/>
      </c>
      <c r="CJ119" s="199" t="str">
        <f>IF(CJ$7&gt;$D$3,"",_xlfn.XLOOKUP(CJ$8,'HR mthly'!$I$6:$T$6,'HR mthly'!$I$21:$T$21))</f>
        <v/>
      </c>
      <c r="CK119" s="199" t="str">
        <f>IF(CK$7&gt;$D$3,"",_xlfn.XLOOKUP(CK$8,'HR mthly'!$I$6:$T$6,'HR mthly'!$I$21:$T$21))</f>
        <v/>
      </c>
      <c r="CL119" s="199" t="str">
        <f>IF(CL$7&gt;$D$3,"",_xlfn.XLOOKUP(CL$8,'HR mthly'!$I$6:$T$6,'HR mthly'!$I$21:$T$21))</f>
        <v/>
      </c>
      <c r="CM119" s="199" t="str">
        <f>IF(CM$7&gt;$D$3,"",_xlfn.XLOOKUP(CM$8,'HR mthly'!$I$6:$T$6,'HR mthly'!$I$21:$T$21))</f>
        <v/>
      </c>
      <c r="CO119" s="465" t="str">
        <f t="shared" si="641"/>
        <v>HR-KPI D2</v>
      </c>
      <c r="CP119" s="136" t="str">
        <f t="shared" ref="CP119" si="666">+C119</f>
        <v>KPI D2</v>
      </c>
      <c r="CQ119" s="144" t="str">
        <f t="shared" ref="CQ119" si="667">+D119</f>
        <v>Delivery</v>
      </c>
      <c r="CR119" s="144" t="str">
        <f t="shared" ref="CR119" si="668">+E119</f>
        <v>Review Complete actions against project plan</v>
      </c>
      <c r="CS119" s="145" t="str">
        <f t="shared" ref="CS119" si="669">+F119</f>
        <v>Percentage</v>
      </c>
      <c r="CT119" s="207" t="s">
        <v>246</v>
      </c>
      <c r="CU119" s="423" t="str">
        <f>IF(CU$7&gt;$D$3,"",_xlfn.XLOOKUP(CU$7,IT!$M$6:$BM$6,IT!$M$16:$BM$16))</f>
        <v>Blank</v>
      </c>
      <c r="CV119" s="323">
        <f>IF(CV$7&gt;$D$3,"",IF(AN119="OD","OD",IF(AN119="Missed","Missed",IF(AN119="TBC","TBC",IF(AN119="Undefined","Undefined",_xlfn.XLOOKUP(CV$8,'HR mthly'!$I$6:$T$6,'HR mthly'!$I$20:$T$20)/_xlfn.XLOOKUP(CV$8,'HR mthly'!$I$6:$T$6,'HR mthly'!$I$19:$T$19))))))</f>
        <v>0.82499999999999996</v>
      </c>
      <c r="CW119" s="323">
        <f>IF(CW$7&gt;$D$3,"",IF(AO119="OD","OD",IF(AO119="Missed","Missed",IF(AO119="TBC","TBC",IF(AO119="Undefined","Undefined",_xlfn.XLOOKUP(CW$8,'HR mthly'!$I$6:$T$6,'HR mthly'!$I$20:$T$20)/_xlfn.XLOOKUP(CW$8,'HR mthly'!$I$6:$T$6,'HR mthly'!$I$19:$T$19))))))</f>
        <v>0.82499999999999996</v>
      </c>
      <c r="CX119" s="323">
        <f>IF(CX$7&gt;$D$3,"",IF(AP119="OD","OD",IF(AP119="Missed","Missed",IF(AP119="TBC","TBC",IF(AP119="Undefined","Undefined",_xlfn.XLOOKUP(CX$8,'HR mthly'!$I$6:$T$6,'HR mthly'!$I$20:$T$20)/_xlfn.XLOOKUP(CX$8,'HR mthly'!$I$6:$T$6,'HR mthly'!$I$19:$T$19))))))</f>
        <v>0.82499999999999996</v>
      </c>
      <c r="CY119" s="323">
        <f>IF(CY$7&gt;$D$3,"",IF(AQ119="OD","OD",IF(AQ119="Missed","Missed",IF(AQ119="TBC","TBC",IF(AQ119="Undefined","Undefined",_xlfn.XLOOKUP(CY$8,'HR mthly'!$I$6:$T$6,'HR mthly'!$I$20:$T$20)/_xlfn.XLOOKUP(CY$8,'HR mthly'!$I$6:$T$6,'HR mthly'!$I$19:$T$19))))))</f>
        <v>0.82499999999999996</v>
      </c>
      <c r="CZ119" s="323">
        <f>IF(CZ$7&gt;$D$3,"",IF(AR119="OD","OD",IF(AR119="Missed","Missed",IF(AR119="TBC","TBC",IF(AR119="Undefined","Undefined",_xlfn.XLOOKUP(CZ$8,'HR mthly'!$I$6:$T$6,'HR mthly'!$I$20:$T$20)/_xlfn.XLOOKUP(CZ$8,'HR mthly'!$I$6:$T$6,'HR mthly'!$I$19:$T$19))))))</f>
        <v>0.66249999999999998</v>
      </c>
      <c r="DA119" s="323">
        <f>IF(DA$7&gt;$D$3,"",IF(AS119="OD","OD",IF(AS119="Missed","Missed",IF(AS119="TBC","TBC",IF(AS119="Undefined","Undefined",_xlfn.XLOOKUP(DA$8,'HR mthly'!$I$6:$T$6,'HR mthly'!$I$20:$T$20)/_xlfn.XLOOKUP(DA$8,'HR mthly'!$I$6:$T$6,'HR mthly'!$I$19:$T$19))))))</f>
        <v>0.66249999999999998</v>
      </c>
      <c r="DB119" s="323">
        <f>IF(DB$7&gt;$D$3,"",IF(AT119="OD","OD",IF(AT119="Missed","Missed",IF(AT119="TBC","TBC",IF(AT119="Undefined","Undefined",_xlfn.XLOOKUP(DB$8,'HR mthly'!$I$6:$T$6,'HR mthly'!$I$20:$T$20)/_xlfn.XLOOKUP(DB$8,'HR mthly'!$I$6:$T$6,'HR mthly'!$I$19:$T$19))))))</f>
        <v>0.66249999999999998</v>
      </c>
      <c r="DC119" s="323">
        <f>IF(DC$7&gt;$D$3,"",IF(AU119="OD","OD",IF(AU119="Missed","Missed",IF(AU119="TBC","TBC",IF(AU119="Undefined","Undefined",_xlfn.XLOOKUP(DC$8,'HR mthly'!$I$6:$T$6,'HR mthly'!$I$20:$T$20)/_xlfn.XLOOKUP(DC$8,'HR mthly'!$I$6:$T$6,'HR mthly'!$I$19:$T$19))))))</f>
        <v>0.66249999999999998</v>
      </c>
      <c r="DD119" s="323">
        <f>IF(DD$7&gt;$D$3,"",IF(AV119="OD","OD",IF(AV119="Missed","Missed",IF(AV119="TBC","TBC",IF(AV119="Undefined","Undefined",_xlfn.XLOOKUP(DD$8,'HR mthly'!$I$6:$T$6,'HR mthly'!$I$20:$T$20)/_xlfn.XLOOKUP(DD$8,'HR mthly'!$I$6:$T$6,'HR mthly'!$I$19:$T$19))))))</f>
        <v>0.72499999999999987</v>
      </c>
      <c r="DE119" s="323">
        <f>IF(DE$7&gt;$D$3,"",IF(AW119="OD","OD",IF(AW119="Missed","Missed",IF(AW119="TBC","TBC",IF(AW119="Undefined","Undefined",_xlfn.XLOOKUP(DE$8,'HR mthly'!$I$6:$T$6,'HR mthly'!$I$20:$T$20)/_xlfn.XLOOKUP(DE$8,'HR mthly'!$I$6:$T$6,'HR mthly'!$I$19:$T$19))))))</f>
        <v>0.72499999999999987</v>
      </c>
      <c r="DF119" s="323">
        <f>IF(DF$7&gt;$D$3,"",IF(AX119="OD","OD",IF(AX119="Missed","Missed",IF(AX119="TBC","TBC",IF(AX119="Undefined","Undefined",_xlfn.XLOOKUP(DF$8,'HR mthly'!$I$6:$T$6,'HR mthly'!$I$20:$T$20)/_xlfn.XLOOKUP(DF$8,'HR mthly'!$I$6:$T$6,'HR mthly'!$I$19:$T$19))))))</f>
        <v>0.72499999999999987</v>
      </c>
      <c r="DG119" s="323">
        <f>IF(DG$7&gt;$D$3,"",IF(AY119="OD","OD",IF(AY119="Missed","Missed",IF(AY119="TBC","TBC",IF(AY119="Undefined","Undefined",_xlfn.XLOOKUP(DG$8,'HR mthly'!$I$6:$T$6,'HR mthly'!$I$20:$T$20)/_xlfn.XLOOKUP(DG$8,'HR mthly'!$I$6:$T$6,'HR mthly'!$I$19:$T$19))))))</f>
        <v>0.72499999999999987</v>
      </c>
      <c r="DH119" s="323">
        <f>IF(DH$7&gt;$D$3,"",IF(AZ119="OD","OD",IF(AZ119="Missed","Missed",IF(AZ119="TBC","TBC",IF(AZ119="Undefined","Undefined",_xlfn.XLOOKUP(DH$8,'HR mthly'!$I$6:$T$6,'HR mthly'!$I$20:$T$20)/_xlfn.XLOOKUP(DH$8,'HR mthly'!$I$6:$T$6,'HR mthly'!$I$19:$T$19))))))</f>
        <v>0.72499999999999987</v>
      </c>
      <c r="DI119" s="323">
        <f>IF(DI$7&gt;$D$3,"",IF(BA119="OD","OD",IF(BA119="Missed","Missed",IF(BA119="TBC","TBC",IF(BA119="Undefined","Undefined",_xlfn.XLOOKUP(DI$8,'HR mthly'!$I$6:$T$6,'HR mthly'!$I$20:$T$20)/_xlfn.XLOOKUP(DI$8,'HR mthly'!$I$6:$T$6,'HR mthly'!$I$19:$T$19))))))</f>
        <v>0.72499999999999987</v>
      </c>
      <c r="DJ119" s="323">
        <f>IF(DJ$7&gt;$D$3,"",IF(BB119="OD","OD",IF(BB119="Missed","Missed",IF(BB119="TBC","TBC",IF(BB119="Undefined","Undefined",_xlfn.XLOOKUP(DJ$8,'HR mthly'!$I$6:$T$6,'HR mthly'!$I$20:$T$20)/_xlfn.XLOOKUP(DJ$8,'HR mthly'!$I$6:$T$6,'HR mthly'!$I$19:$T$19))))))</f>
        <v>0.72499999999999987</v>
      </c>
      <c r="DK119" s="323">
        <f>IF(DK$7&gt;$D$3,"",IF(BC119="OD","OD",IF(BC119="Missed","Missed",IF(BC119="TBC","TBC",IF(BC119="Undefined","Undefined",_xlfn.XLOOKUP(DK$8,'HR mthly'!$I$6:$T$6,'HR mthly'!$I$20:$T$20)/_xlfn.XLOOKUP(DK$8,'HR mthly'!$I$6:$T$6,'HR mthly'!$I$19:$T$19))))))</f>
        <v>0.72499999999999987</v>
      </c>
      <c r="DL119" s="323">
        <f>IF(DL$7&gt;$D$3,"",IF(BD119="OD","OD",IF(BD119="Missed","Missed",IF(BD119="TBC","TBC",IF(BD119="Undefined","Undefined",_xlfn.XLOOKUP(DL$8,'HR mthly'!$I$6:$T$6,'HR mthly'!$I$20:$T$20)/_xlfn.XLOOKUP(DL$8,'HR mthly'!$I$6:$T$6,'HR mthly'!$I$19:$T$19))))))</f>
        <v>1</v>
      </c>
      <c r="DM119" s="323">
        <f>IF(DM$7&gt;$D$3,"",IF(BE119="OD","OD",IF(BE119="Missed","Missed",IF(BE119="TBC","TBC",IF(BE119="Undefined","Undefined",_xlfn.XLOOKUP(DM$8,'HR mthly'!$I$6:$T$6,'HR mthly'!$I$20:$T$20)/_xlfn.XLOOKUP(DM$8,'HR mthly'!$I$6:$T$6,'HR mthly'!$I$19:$T$19))))))</f>
        <v>1</v>
      </c>
      <c r="DN119" s="323">
        <f>IF(DN$7&gt;$D$3,"",IF(BF119="OD","OD",IF(BF119="Missed","Missed",IF(BF119="TBC","TBC",IF(BF119="Undefined","Undefined",_xlfn.XLOOKUP(DN$8,'HR mthly'!$I$6:$T$6,'HR mthly'!$I$20:$T$20)/_xlfn.XLOOKUP(DN$8,'HR mthly'!$I$6:$T$6,'HR mthly'!$I$19:$T$19))))))</f>
        <v>1</v>
      </c>
      <c r="DO119" s="323">
        <f>IF(DO$7&gt;$D$3,"",IF(BG119="OD","OD",IF(BG119="Missed","Missed",IF(BG119="TBC","TBC",IF(BG119="Undefined","Undefined",_xlfn.XLOOKUP(DO$8,'HR mthly'!$I$6:$T$6,'HR mthly'!$I$20:$T$20)/_xlfn.XLOOKUP(DO$8,'HR mthly'!$I$6:$T$6,'HR mthly'!$I$19:$T$19))))))</f>
        <v>1</v>
      </c>
      <c r="DP119" s="323">
        <f>IF(DP$7&gt;$D$3,"",IF(BH119="OD","OD",IF(BH119="Missed","Missed",IF(BH119="TBC","TBC",IF(BH119="Undefined","Undefined",_xlfn.XLOOKUP(DP$8,'HR mthly'!$I$6:$T$6,'HR mthly'!$I$20:$T$20)/_xlfn.XLOOKUP(DP$8,'HR mthly'!$I$6:$T$6,'HR mthly'!$I$19:$T$19))))))</f>
        <v>1</v>
      </c>
      <c r="DQ119" s="323">
        <f>IF(DQ$7&gt;$D$3,"",IF(BI119="OD","OD",IF(BI119="Missed","Missed",IF(BI119="TBC","TBC",IF(BI119="Undefined","Undefined",_xlfn.XLOOKUP(DQ$8,'HR mthly'!$I$6:$T$6,'HR mthly'!$I$20:$T$20)/_xlfn.XLOOKUP(DQ$8,'HR mthly'!$I$6:$T$6,'HR mthly'!$I$19:$T$19))))))</f>
        <v>0.70588235294117652</v>
      </c>
      <c r="DR119" s="323">
        <f>IF(DR$7&gt;$D$3,"",IF(BJ119="OD","OD",IF(BJ119="Missed","Missed",IF(BJ119="TBC","TBC",IF(BJ119="Undefined","Undefined",_xlfn.XLOOKUP(DR$8,'HR mthly'!$I$6:$T$6,'HR mthly'!$I$20:$T$20)/_xlfn.XLOOKUP(DR$8,'HR mthly'!$I$6:$T$6,'HR mthly'!$I$19:$T$19))))))</f>
        <v>0.70588235294117652</v>
      </c>
      <c r="DS119" s="323">
        <f>IF(DS$7&gt;$D$3,"",IF(BK119="OD","OD",IF(BK119="Missed","Missed",IF(BK119="TBC","TBC",IF(BK119="Undefined","Undefined",_xlfn.XLOOKUP(DS$8,'HR mthly'!$I$6:$T$6,'HR mthly'!$I$20:$T$20)/_xlfn.XLOOKUP(DS$8,'HR mthly'!$I$6:$T$6,'HR mthly'!$I$19:$T$19))))))</f>
        <v>0.70588235294117652</v>
      </c>
      <c r="DT119" s="323">
        <f>IF(DT$7&gt;$D$3,"",IF(BL119="OD","OD",IF(BL119="Missed","Missed",IF(BL119="TBC","TBC",IF(BL119="Undefined","Undefined",_xlfn.XLOOKUP(DT$8,'HR mthly'!$I$6:$T$6,'HR mthly'!$I$20:$T$20)/_xlfn.XLOOKUP(DT$8,'HR mthly'!$I$6:$T$6,'HR mthly'!$I$19:$T$19))))))</f>
        <v>0.70588235294117652</v>
      </c>
      <c r="DU119" s="323">
        <f>IF(DU$7&gt;$D$3,"",IF(BM119="OD","OD",IF(BM119="Missed","Missed",IF(BM119="TBC","TBC",IF(BM119="Undefined","Undefined",_xlfn.XLOOKUP(DU$8,'HR mthly'!$I$6:$T$6,'HR mthly'!$I$20:$T$20)/_xlfn.XLOOKUP(DU$8,'HR mthly'!$I$6:$T$6,'HR mthly'!$I$19:$T$19))))))</f>
        <v>0.43529411764705883</v>
      </c>
      <c r="DV119" s="323">
        <f>IF(DV$7&gt;$D$3,"",IF(BN119="OD","OD",IF(BN119="Missed","Missed",IF(BN119="TBC","TBC",IF(BN119="Undefined","Undefined",_xlfn.XLOOKUP(DV$8,'HR mthly'!$I$6:$T$6,'HR mthly'!$I$20:$T$20)/_xlfn.XLOOKUP(DV$8,'HR mthly'!$I$6:$T$6,'HR mthly'!$I$19:$T$19))))))</f>
        <v>0.43529411764705883</v>
      </c>
      <c r="DW119" s="323">
        <f>IF(DW$7&gt;$D$3,"",IF(BO119="OD","OD",IF(BO119="Missed","Missed",IF(BO119="TBC","TBC",IF(BO119="Undefined","Undefined",_xlfn.XLOOKUP(DW$8,'HR mthly'!$I$6:$T$6,'HR mthly'!$I$20:$T$20)/_xlfn.XLOOKUP(DW$8,'HR mthly'!$I$6:$T$6,'HR mthly'!$I$19:$T$19))))))</f>
        <v>0.43529411764705883</v>
      </c>
      <c r="DX119" s="323">
        <f>IF(DX$7&gt;$D$3,"",IF(BP119="OD","OD",IF(BP119="Missed","Missed",IF(BP119="TBC","TBC",IF(BP119="Undefined","Undefined",_xlfn.XLOOKUP(DX$8,'HR mthly'!$I$6:$T$6,'HR mthly'!$I$20:$T$20)/_xlfn.XLOOKUP(DX$8,'HR mthly'!$I$6:$T$6,'HR mthly'!$I$19:$T$19))))))</f>
        <v>0.43529411764705883</v>
      </c>
      <c r="DY119" s="323">
        <f>IF(DY$7&gt;$D$3,"",IF(BQ119="OD","OD",IF(BQ119="Missed","Missed",IF(BQ119="TBC","TBC",IF(BQ119="Undefined","Undefined",_xlfn.XLOOKUP(DY$8,'HR mthly'!$I$6:$T$6,'HR mthly'!$I$20:$T$20)/_xlfn.XLOOKUP(DY$8,'HR mthly'!$I$6:$T$6,'HR mthly'!$I$19:$T$19))))))</f>
        <v>0.43529411764705883</v>
      </c>
      <c r="DZ119" s="323">
        <f>IF(DZ$7&gt;$D$3,"",IF(BR119="OD","OD",IF(BR119="Missed","Missed",IF(BR119="TBC","TBC",IF(BR119="Undefined","Undefined",_xlfn.XLOOKUP(DZ$8,'HR mthly'!$I$6:$T$6,'HR mthly'!$I$20:$T$20)/_xlfn.XLOOKUP(DZ$8,'HR mthly'!$I$6:$T$6,'HR mthly'!$I$19:$T$19))))))</f>
        <v>0.6777777777777777</v>
      </c>
      <c r="EA119" s="323">
        <f>IF(EA$7&gt;$D$3,"",IF(BS119="OD","OD",IF(BS119="Missed","Missed",IF(BS119="TBC","TBC",IF(BS119="Undefined","Undefined",_xlfn.XLOOKUP(EA$8,'HR mthly'!$I$6:$T$6,'HR mthly'!$I$20:$T$20)/_xlfn.XLOOKUP(EA$8,'HR mthly'!$I$6:$T$6,'HR mthly'!$I$19:$T$19))))))</f>
        <v>0.6777777777777777</v>
      </c>
      <c r="EB119" s="323">
        <f>IF(EB$7&gt;$D$3,"",IF(BT119="OD","OD",IF(BT119="Missed","Missed",IF(BT119="TBC","TBC",IF(BT119="Undefined","Undefined",_xlfn.XLOOKUP(EB$8,'HR mthly'!$I$6:$T$6,'HR mthly'!$I$20:$T$20)/_xlfn.XLOOKUP(EB$8,'HR mthly'!$I$6:$T$6,'HR mthly'!$I$19:$T$19))))))</f>
        <v>0.6777777777777777</v>
      </c>
      <c r="EC119" s="323">
        <f>IF(EC$7&gt;$D$3,"",IF(BU119="OD","OD",IF(BU119="Missed","Missed",IF(BU119="TBC","TBC",IF(BU119="Undefined","Undefined",_xlfn.XLOOKUP(EC$8,'HR mthly'!$I$6:$T$6,'HR mthly'!$I$20:$T$20)/_xlfn.XLOOKUP(EC$8,'HR mthly'!$I$6:$T$6,'HR mthly'!$I$19:$T$19))))))</f>
        <v>0.6777777777777777</v>
      </c>
      <c r="ED119" s="323">
        <f>IF(ED$7&gt;$D$3,"",IF(BV119="OD","OD",IF(BV119="Missed","Missed",IF(BV119="TBC","TBC",IF(BV119="Undefined","Undefined",_xlfn.XLOOKUP(ED$8,'HR mthly'!$I$6:$T$6,'HR mthly'!$I$20:$T$20)/_xlfn.XLOOKUP(ED$8,'HR mthly'!$I$6:$T$6,'HR mthly'!$I$19:$T$19))))))</f>
        <v>0.6333333333333333</v>
      </c>
      <c r="EE119" s="323">
        <f>IF(EE$7&gt;$D$3,"",IF(BW119="OD","OD",IF(BW119="Missed","Missed",IF(BW119="TBC","TBC",IF(BW119="Undefined","Undefined",_xlfn.XLOOKUP(EE$8,'HR mthly'!$I$6:$T$6,'HR mthly'!$I$20:$T$20)/_xlfn.XLOOKUP(EE$8,'HR mthly'!$I$6:$T$6,'HR mthly'!$I$19:$T$19))))))</f>
        <v>0.6333333333333333</v>
      </c>
      <c r="EF119" s="323">
        <f>IF(EF$7&gt;$D$3,"",IF(BX119="OD","OD",IF(BX119="Missed","Missed",IF(BX119="TBC","TBC",IF(BX119="Undefined","Undefined",_xlfn.XLOOKUP(EF$8,'HR mthly'!$I$6:$T$6,'HR mthly'!$I$20:$T$20)/_xlfn.XLOOKUP(EF$8,'HR mthly'!$I$6:$T$6,'HR mthly'!$I$19:$T$19))))))</f>
        <v>0.6333333333333333</v>
      </c>
      <c r="EG119" s="323">
        <f>IF(EG$7&gt;$D$3,"",IF(BY119="OD","OD",IF(BY119="Missed","Missed",IF(BY119="TBC","TBC",IF(BY119="Undefined","Undefined",_xlfn.XLOOKUP(EG$8,'HR mthly'!$I$6:$T$6,'HR mthly'!$I$20:$T$20)/_xlfn.XLOOKUP(EG$8,'HR mthly'!$I$6:$T$6,'HR mthly'!$I$19:$T$19))))))</f>
        <v>0.6333333333333333</v>
      </c>
      <c r="EH119" s="323">
        <f>IF(EH$7&gt;$D$3,"",IF(BZ119="OD","OD",IF(BZ119="Missed","Missed",IF(BZ119="TBC","TBC",IF(BZ119="Undefined","Undefined",_xlfn.XLOOKUP(EH$8,'HR mthly'!$I$6:$T$6,'HR mthly'!$I$20:$T$20)/_xlfn.XLOOKUP(EH$8,'HR mthly'!$I$6:$T$6,'HR mthly'!$I$19:$T$19))))))</f>
        <v>1.1111111111111112</v>
      </c>
      <c r="EI119" s="323">
        <f>IF(EI$7&gt;$D$3,"",IF(CA119="OD","OD",IF(CA119="Missed","Missed",IF(CA119="TBC","TBC",IF(CA119="Undefined","Undefined",_xlfn.XLOOKUP(EI$8,'HR mthly'!$I$6:$T$6,'HR mthly'!$I$20:$T$20)/_xlfn.XLOOKUP(EI$8,'HR mthly'!$I$6:$T$6,'HR mthly'!$I$19:$T$19))))))</f>
        <v>1.1111111111111112</v>
      </c>
      <c r="EJ119" s="323">
        <f>IF(EJ$7&gt;$D$3,"",IF(CB119="OD","OD",IF(CB119="Missed","Missed",IF(CB119="TBC","TBC",IF(CB119="Undefined","Undefined",_xlfn.XLOOKUP(EJ$8,'HR mthly'!$I$6:$T$6,'HR mthly'!$I$20:$T$20)/_xlfn.XLOOKUP(EJ$8,'HR mthly'!$I$6:$T$6,'HR mthly'!$I$19:$T$19))))))</f>
        <v>1.1111111111111112</v>
      </c>
      <c r="EK119" s="323" t="str">
        <f>IF(EK$7&gt;$D$3,"",IF(CC119="OD","OD",IF(CC119="Missed","Missed",IF(CC119="TBC","TBC",IF(CC119="Undefined","Undefined",_xlfn.XLOOKUP(EK$8,'HR mthly'!$I$6:$T$6,'HR mthly'!$I$20:$T$20)/_xlfn.XLOOKUP(EK$8,'HR mthly'!$I$6:$T$6,'HR mthly'!$I$19:$T$19))))))</f>
        <v/>
      </c>
      <c r="EL119" s="323" t="str">
        <f>IF(EL$7&gt;$D$3,"",IF(CD119="OD","OD",IF(CD119="Missed","Missed",IF(CD119="TBC","TBC",IF(CD119="Undefined","Undefined",_xlfn.XLOOKUP(EL$8,'HR mthly'!$I$6:$T$6,'HR mthly'!$I$20:$T$20)/_xlfn.XLOOKUP(EL$8,'HR mthly'!$I$6:$T$6,'HR mthly'!$I$19:$T$19))))))</f>
        <v/>
      </c>
      <c r="EM119" s="323" t="str">
        <f>IF(EM$7&gt;$D$3,"",IF(CE119="OD","OD",IF(CE119="Missed","Missed",IF(CE119="TBC","TBC",IF(CE119="Undefined","Undefined",_xlfn.XLOOKUP(EM$8,'HR mthly'!$I$6:$T$6,'HR mthly'!$I$20:$T$20)/_xlfn.XLOOKUP(EM$8,'HR mthly'!$I$6:$T$6,'HR mthly'!$I$19:$T$19))))))</f>
        <v/>
      </c>
      <c r="EN119" s="323" t="str">
        <f>IF(EN$7&gt;$D$3,"",IF(CF119="OD","OD",IF(CF119="Missed","Missed",IF(CF119="TBC","TBC",IF(CF119="Undefined","Undefined",_xlfn.XLOOKUP(EN$8,'HR mthly'!$I$6:$T$6,'HR mthly'!$I$20:$T$20)/_xlfn.XLOOKUP(EN$8,'HR mthly'!$I$6:$T$6,'HR mthly'!$I$19:$T$19))))))</f>
        <v/>
      </c>
      <c r="EO119" s="323" t="str">
        <f>IF(EO$7&gt;$D$3,"",IF(CG119="OD","OD",IF(CG119="Missed","Missed",IF(CG119="TBC","TBC",IF(CG119="Undefined","Undefined",_xlfn.XLOOKUP(EO$8,'HR mthly'!$I$6:$T$6,'HR mthly'!$I$20:$T$20)/_xlfn.XLOOKUP(EO$8,'HR mthly'!$I$6:$T$6,'HR mthly'!$I$19:$T$19))))))</f>
        <v/>
      </c>
      <c r="EP119" s="323" t="str">
        <f>IF(EP$7&gt;$D$3,"",IF(CH119="OD","OD",IF(CH119="Missed","Missed",IF(CH119="TBC","TBC",IF(CH119="Undefined","Undefined",_xlfn.XLOOKUP(EP$8,'HR mthly'!$I$6:$T$6,'HR mthly'!$I$20:$T$20)/_xlfn.XLOOKUP(EP$8,'HR mthly'!$I$6:$T$6,'HR mthly'!$I$19:$T$19))))))</f>
        <v/>
      </c>
      <c r="EQ119" s="323" t="str">
        <f>IF(EQ$7&gt;$D$3,"",IF(CI119="OD","OD",IF(CI119="Missed","Missed",IF(CI119="TBC","TBC",IF(CI119="Undefined","Undefined",_xlfn.XLOOKUP(EQ$8,'HR mthly'!$I$6:$T$6,'HR mthly'!$I$20:$T$20)/_xlfn.XLOOKUP(EQ$8,'HR mthly'!$I$6:$T$6,'HR mthly'!$I$19:$T$19))))))</f>
        <v/>
      </c>
      <c r="ER119" s="323" t="str">
        <f>IF(ER$7&gt;$D$3,"",IF(CJ119="OD","OD",IF(CJ119="Missed","Missed",IF(CJ119="TBC","TBC",IF(CJ119="Undefined","Undefined",_xlfn.XLOOKUP(ER$8,'HR mthly'!$I$6:$T$6,'HR mthly'!$I$20:$T$20)/_xlfn.XLOOKUP(ER$8,'HR mthly'!$I$6:$T$6,'HR mthly'!$I$19:$T$19))))))</f>
        <v/>
      </c>
      <c r="ES119" s="323" t="str">
        <f>IF(ES$7&gt;$D$3,"",IF(CK119="OD","OD",IF(CK119="Missed","Missed",IF(CK119="TBC","TBC",IF(CK119="Undefined","Undefined",_xlfn.XLOOKUP(ES$8,'HR mthly'!$I$6:$T$6,'HR mthly'!$I$20:$T$20)/_xlfn.XLOOKUP(ES$8,'HR mthly'!$I$6:$T$6,'HR mthly'!$I$19:$T$19))))))</f>
        <v/>
      </c>
      <c r="ET119" s="323" t="str">
        <f>IF(ET$7&gt;$D$3,"",IF(CL119="OD","OD",IF(CL119="Missed","Missed",IF(CL119="TBC","TBC",IF(CL119="Undefined","Undefined",_xlfn.XLOOKUP(ET$8,'HR mthly'!$I$6:$T$6,'HR mthly'!$I$20:$T$20)/_xlfn.XLOOKUP(ET$8,'HR mthly'!$I$6:$T$6,'HR mthly'!$I$19:$T$19))))))</f>
        <v/>
      </c>
      <c r="EU119" s="323" t="str">
        <f>IF(EU$7&gt;$D$3,"",IF(CM119="OD","OD",IF(CM119="Missed","Missed",IF(CM119="TBC","TBC",IF(CM119="Undefined","Undefined",_xlfn.XLOOKUP(EU$8,'HR mthly'!$I$6:$T$6,'HR mthly'!$I$20:$T$20)/_xlfn.XLOOKUP(EU$8,'HR mthly'!$I$6:$T$6,'HR mthly'!$I$19:$T$19))))))</f>
        <v/>
      </c>
      <c r="EW119" s="465" t="str">
        <f t="shared" si="643"/>
        <v>HR-KPI D2</v>
      </c>
      <c r="EX119" s="136" t="str">
        <f t="shared" si="644"/>
        <v>KPI D2</v>
      </c>
      <c r="EY119" s="144" t="str">
        <f t="shared" si="645"/>
        <v>Delivery</v>
      </c>
      <c r="EZ119" s="144" t="str">
        <f t="shared" si="607"/>
        <v>Review Complete actions against project plan</v>
      </c>
      <c r="FA119" s="145" t="str">
        <f t="shared" si="608"/>
        <v>Percentage</v>
      </c>
      <c r="FB119" s="145" t="s">
        <v>251</v>
      </c>
      <c r="FC119" s="226"/>
      <c r="FD119" s="331">
        <f>IF(FD$7&gt;$D$3,"",_xlfn.XLOOKUP(FD$8,'HR mthly'!$I$6:$T$6,'HR mthly'!$I$20:$T$20))</f>
        <v>0.66</v>
      </c>
      <c r="FE119" s="331">
        <f>IF(FE$7&gt;$D$3,"",_xlfn.XLOOKUP(FE$8,'HR mthly'!$I$6:$T$6,'HR mthly'!$I$20:$T$20))</f>
        <v>0.66</v>
      </c>
      <c r="FF119" s="331">
        <f>IF(FF$7&gt;$D$3,"",_xlfn.XLOOKUP(FF$8,'HR mthly'!$I$6:$T$6,'HR mthly'!$I$20:$T$20))</f>
        <v>0.66</v>
      </c>
      <c r="FG119" s="331">
        <f>IF(FG$7&gt;$D$3,"",_xlfn.XLOOKUP(FG$8,'HR mthly'!$I$6:$T$6,'HR mthly'!$I$20:$T$20))</f>
        <v>0.66</v>
      </c>
      <c r="FH119" s="331">
        <f>IF(FH$7&gt;$D$3,"",_xlfn.XLOOKUP(FH$8,'HR mthly'!$I$6:$T$6,'HR mthly'!$I$20:$T$20))</f>
        <v>0.53</v>
      </c>
      <c r="FI119" s="331">
        <f>IF(FI$7&gt;$D$3,"",_xlfn.XLOOKUP(FI$8,'HR mthly'!$I$6:$T$6,'HR mthly'!$I$20:$T$20))</f>
        <v>0.53</v>
      </c>
      <c r="FJ119" s="331">
        <f>IF(FJ$7&gt;$D$3,"",_xlfn.XLOOKUP(FJ$8,'HR mthly'!$I$6:$T$6,'HR mthly'!$I$20:$T$20))</f>
        <v>0.53</v>
      </c>
      <c r="FK119" s="331">
        <f>IF(FK$7&gt;$D$3,"",_xlfn.XLOOKUP(FK$8,'HR mthly'!$I$6:$T$6,'HR mthly'!$I$20:$T$20))</f>
        <v>0.53</v>
      </c>
      <c r="FL119" s="331">
        <f>IF(FL$7&gt;$D$3,"",_xlfn.XLOOKUP(FL$8,'HR mthly'!$I$6:$T$6,'HR mthly'!$I$20:$T$20))</f>
        <v>0.57999999999999996</v>
      </c>
      <c r="FM119" s="331">
        <f>IF(FM$7&gt;$D$3,"",_xlfn.XLOOKUP(FM$8,'HR mthly'!$I$6:$T$6,'HR mthly'!$I$20:$T$20))</f>
        <v>0.57999999999999996</v>
      </c>
      <c r="FN119" s="331">
        <f>IF(FN$7&gt;$D$3,"",_xlfn.XLOOKUP(FN$8,'HR mthly'!$I$6:$T$6,'HR mthly'!$I$20:$T$20))</f>
        <v>0.57999999999999996</v>
      </c>
      <c r="FO119" s="331">
        <f>IF(FO$7&gt;$D$3,"",_xlfn.XLOOKUP(FO$8,'HR mthly'!$I$6:$T$6,'HR mthly'!$I$20:$T$20))</f>
        <v>0.57999999999999996</v>
      </c>
      <c r="FP119" s="331">
        <f>IF(FP$7&gt;$D$3,"",_xlfn.XLOOKUP(FP$8,'HR mthly'!$I$6:$T$6,'HR mthly'!$I$20:$T$20))</f>
        <v>0.57999999999999996</v>
      </c>
      <c r="FQ119" s="331">
        <f>IF(FQ$7&gt;$D$3,"",_xlfn.XLOOKUP(FQ$8,'HR mthly'!$I$6:$T$6,'HR mthly'!$I$20:$T$20))</f>
        <v>0.57999999999999996</v>
      </c>
      <c r="FR119" s="331">
        <f>IF(FR$7&gt;$D$3,"",_xlfn.XLOOKUP(FR$8,'HR mthly'!$I$6:$T$6,'HR mthly'!$I$20:$T$20))</f>
        <v>0.57999999999999996</v>
      </c>
      <c r="FS119" s="331">
        <f>IF(FS$7&gt;$D$3,"",_xlfn.XLOOKUP(FS$8,'HR mthly'!$I$6:$T$6,'HR mthly'!$I$20:$T$20))</f>
        <v>0.57999999999999996</v>
      </c>
      <c r="FT119" s="331">
        <f>IF(FT$7&gt;$D$3,"",_xlfn.XLOOKUP(FT$8,'HR mthly'!$I$6:$T$6,'HR mthly'!$I$20:$T$20))</f>
        <v>0.85</v>
      </c>
      <c r="FU119" s="331">
        <f>IF(FU$7&gt;$D$3,"",_xlfn.XLOOKUP(FU$8,'HR mthly'!$I$6:$T$6,'HR mthly'!$I$20:$T$20))</f>
        <v>0.85</v>
      </c>
      <c r="FV119" s="331">
        <f>IF(FV$7&gt;$D$3,"",_xlfn.XLOOKUP(FV$8,'HR mthly'!$I$6:$T$6,'HR mthly'!$I$20:$T$20))</f>
        <v>0.85</v>
      </c>
      <c r="FW119" s="331">
        <f>IF(FW$7&gt;$D$3,"",_xlfn.XLOOKUP(FW$8,'HR mthly'!$I$6:$T$6,'HR mthly'!$I$20:$T$20))</f>
        <v>0.85</v>
      </c>
      <c r="FX119" s="331">
        <f>IF(FX$7&gt;$D$3,"",_xlfn.XLOOKUP(FX$8,'HR mthly'!$I$6:$T$6,'HR mthly'!$I$20:$T$20))</f>
        <v>0.85</v>
      </c>
      <c r="FY119" s="331">
        <f>IF(FY$7&gt;$D$3,"",_xlfn.XLOOKUP(FY$8,'HR mthly'!$I$6:$T$6,'HR mthly'!$I$20:$T$20))</f>
        <v>0.6</v>
      </c>
      <c r="FZ119" s="331">
        <f>IF(FZ$7&gt;$D$3,"",_xlfn.XLOOKUP(FZ$8,'HR mthly'!$I$6:$T$6,'HR mthly'!$I$20:$T$20))</f>
        <v>0.6</v>
      </c>
      <c r="GA119" s="331">
        <f>IF(GA$7&gt;$D$3,"",_xlfn.XLOOKUP(GA$8,'HR mthly'!$I$6:$T$6,'HR mthly'!$I$20:$T$20))</f>
        <v>0.6</v>
      </c>
      <c r="GB119" s="331">
        <f>IF(GB$7&gt;$D$3,"",_xlfn.XLOOKUP(GB$8,'HR mthly'!$I$6:$T$6,'HR mthly'!$I$20:$T$20))</f>
        <v>0.6</v>
      </c>
      <c r="GC119" s="331">
        <f>IF(GC$7&gt;$D$3,"",_xlfn.XLOOKUP(GC$8,'HR mthly'!$I$6:$T$6,'HR mthly'!$I$20:$T$20))</f>
        <v>0.37</v>
      </c>
      <c r="GD119" s="331">
        <f>IF(GD$7&gt;$D$3,"",_xlfn.XLOOKUP(GD$8,'HR mthly'!$I$6:$T$6,'HR mthly'!$I$20:$T$20))</f>
        <v>0.37</v>
      </c>
      <c r="GE119" s="331">
        <f>IF(GE$7&gt;$D$3,"",_xlfn.XLOOKUP(GE$8,'HR mthly'!$I$6:$T$6,'HR mthly'!$I$20:$T$20))</f>
        <v>0.37</v>
      </c>
      <c r="GF119" s="331">
        <f>IF(GF$7&gt;$D$3,"",_xlfn.XLOOKUP(GF$8,'HR mthly'!$I$6:$T$6,'HR mthly'!$I$20:$T$20))</f>
        <v>0.37</v>
      </c>
      <c r="GG119" s="331">
        <f>IF(GG$7&gt;$D$3,"",_xlfn.XLOOKUP(GG$8,'HR mthly'!$I$6:$T$6,'HR mthly'!$I$20:$T$20))</f>
        <v>0.37</v>
      </c>
      <c r="GH119" s="331">
        <f>IF(GH$7&gt;$D$3,"",_xlfn.XLOOKUP(GH$8,'HR mthly'!$I$6:$T$6,'HR mthly'!$I$20:$T$20))</f>
        <v>0.61</v>
      </c>
      <c r="GI119" s="331">
        <f>IF(GI$7&gt;$D$3,"",_xlfn.XLOOKUP(GI$8,'HR mthly'!$I$6:$T$6,'HR mthly'!$I$20:$T$20))</f>
        <v>0.61</v>
      </c>
      <c r="GJ119" s="331">
        <f>IF(GJ$7&gt;$D$3,"",_xlfn.XLOOKUP(GJ$8,'HR mthly'!$I$6:$T$6,'HR mthly'!$I$20:$T$20))</f>
        <v>0.61</v>
      </c>
      <c r="GK119" s="331">
        <f>IF(GK$7&gt;$D$3,"",_xlfn.XLOOKUP(GK$8,'HR mthly'!$I$6:$T$6,'HR mthly'!$I$20:$T$20))</f>
        <v>0.61</v>
      </c>
      <c r="GL119" s="331">
        <f>IF(GL$7&gt;$D$3,"",_xlfn.XLOOKUP(GL$8,'HR mthly'!$I$6:$T$6,'HR mthly'!$I$20:$T$20))</f>
        <v>0.56999999999999995</v>
      </c>
      <c r="GM119" s="331">
        <f>IF(GM$7&gt;$D$3,"",_xlfn.XLOOKUP(GM$8,'HR mthly'!$I$6:$T$6,'HR mthly'!$I$20:$T$20))</f>
        <v>0.56999999999999995</v>
      </c>
      <c r="GN119" s="331">
        <f>IF(GN$7&gt;$D$3,"",_xlfn.XLOOKUP(GN$8,'HR mthly'!$I$6:$T$6,'HR mthly'!$I$20:$T$20))</f>
        <v>0.56999999999999995</v>
      </c>
      <c r="GO119" s="331">
        <f>IF(GO$7&gt;$D$3,"",_xlfn.XLOOKUP(GO$8,'HR mthly'!$I$6:$T$6,'HR mthly'!$I$20:$T$20))</f>
        <v>0.56999999999999995</v>
      </c>
      <c r="GP119" s="331">
        <f>IF(GP$7&gt;$D$3,"",_xlfn.XLOOKUP(GP$8,'HR mthly'!$I$6:$T$6,'HR mthly'!$I$20:$T$20))</f>
        <v>1</v>
      </c>
      <c r="GQ119" s="331">
        <f>IF(GQ$7&gt;$D$3,"",_xlfn.XLOOKUP(GQ$8,'HR mthly'!$I$6:$T$6,'HR mthly'!$I$20:$T$20))</f>
        <v>1</v>
      </c>
      <c r="GR119" s="331">
        <f>IF(GR$7&gt;$D$3,"",_xlfn.XLOOKUP(GR$8,'HR mthly'!$I$6:$T$6,'HR mthly'!$I$20:$T$20))</f>
        <v>1</v>
      </c>
      <c r="GS119" s="331" t="str">
        <f>IF(GS$7&gt;$D$3,"",_xlfn.XLOOKUP(GS$8,'HR mthly'!$I$6:$T$6,'HR mthly'!$I$20:$T$20))</f>
        <v/>
      </c>
      <c r="GT119" s="331" t="str">
        <f>IF(GT$7&gt;$D$3,"",_xlfn.XLOOKUP(GT$8,'HR mthly'!$I$6:$T$6,'HR mthly'!$I$20:$T$20))</f>
        <v/>
      </c>
      <c r="GU119" s="331" t="str">
        <f>IF(GU$7&gt;$D$3,"",_xlfn.XLOOKUP(GU$8,'HR mthly'!$I$6:$T$6,'HR mthly'!$I$20:$T$20))</f>
        <v/>
      </c>
      <c r="GV119" s="331" t="str">
        <f>IF(GV$7&gt;$D$3,"",_xlfn.XLOOKUP(GV$8,'HR mthly'!$I$6:$T$6,'HR mthly'!$I$20:$T$20))</f>
        <v/>
      </c>
      <c r="GW119" s="331" t="str">
        <f>IF(GW$7&gt;$D$3,"",_xlfn.XLOOKUP(GW$8,'HR mthly'!$I$6:$T$6,'HR mthly'!$I$20:$T$20))</f>
        <v/>
      </c>
      <c r="GX119" s="331" t="str">
        <f>IF(GX$7&gt;$D$3,"",_xlfn.XLOOKUP(GX$8,'HR mthly'!$I$6:$T$6,'HR mthly'!$I$20:$T$20))</f>
        <v/>
      </c>
      <c r="GY119" s="331" t="str">
        <f>IF(GY$7&gt;$D$3,"",_xlfn.XLOOKUP(GY$8,'HR mthly'!$I$6:$T$6,'HR mthly'!$I$20:$T$20))</f>
        <v/>
      </c>
      <c r="GZ119" s="331" t="str">
        <f>IF(GZ$7&gt;$D$3,"",_xlfn.XLOOKUP(GZ$8,'HR mthly'!$I$6:$T$6,'HR mthly'!$I$20:$T$20))</f>
        <v/>
      </c>
      <c r="HA119" s="331" t="str">
        <f>IF(HA$7&gt;$D$3,"",_xlfn.XLOOKUP(HA$8,'HR mthly'!$I$6:$T$6,'HR mthly'!$I$20:$T$20))</f>
        <v/>
      </c>
      <c r="HB119" s="331" t="str">
        <f>IF(HB$7&gt;$D$3,"",_xlfn.XLOOKUP(HB$8,'HR mthly'!$I$6:$T$6,'HR mthly'!$I$20:$T$20))</f>
        <v/>
      </c>
      <c r="HC119" s="331" t="str">
        <f>IF(HC$7&gt;$D$3,"",_xlfn.XLOOKUP(HC$8,'HR mthly'!$I$6:$T$6,'HR mthly'!$I$20:$T$20))</f>
        <v/>
      </c>
      <c r="HE119" s="136" t="str">
        <f t="shared" si="646"/>
        <v>KPI D2</v>
      </c>
      <c r="HF119" s="144" t="str">
        <f t="shared" si="647"/>
        <v>Delivery</v>
      </c>
      <c r="HG119" s="144" t="str">
        <f t="shared" si="611"/>
        <v>Review Complete actions against project plan</v>
      </c>
      <c r="HH119" s="145" t="str">
        <f t="shared" si="612"/>
        <v>Percentage</v>
      </c>
      <c r="HI119" s="145" t="s">
        <v>44</v>
      </c>
      <c r="HJ119" s="226" t="s">
        <v>122</v>
      </c>
      <c r="HK119" s="331">
        <f>IF(HK$7&gt;$D$3,"",_xlfn.XLOOKUP(HK$8,'HR mthly'!$I$6:$T$6,'HR mthly'!$I$19:$T$19))</f>
        <v>0.8</v>
      </c>
      <c r="HL119" s="331">
        <f>IF(HL$7&gt;$D$3,"",_xlfn.XLOOKUP(HL$8,'HR mthly'!$I$6:$T$6,'HR mthly'!$I$19:$T$19))</f>
        <v>0.8</v>
      </c>
      <c r="HM119" s="331">
        <f>IF(HM$7&gt;$D$3,"",_xlfn.XLOOKUP(HM$8,'HR mthly'!$I$6:$T$6,'HR mthly'!$I$19:$T$19))</f>
        <v>0.8</v>
      </c>
      <c r="HN119" s="331">
        <f>IF(HN$7&gt;$D$3,"",_xlfn.XLOOKUP(HN$8,'HR mthly'!$I$6:$T$6,'HR mthly'!$I$19:$T$19))</f>
        <v>0.8</v>
      </c>
      <c r="HO119" s="331">
        <f>IF(HO$7&gt;$D$3,"",_xlfn.XLOOKUP(HO$8,'HR mthly'!$I$6:$T$6,'HR mthly'!$I$19:$T$19))</f>
        <v>0.8</v>
      </c>
      <c r="HP119" s="331">
        <f>IF(HP$7&gt;$D$3,"",_xlfn.XLOOKUP(HP$8,'HR mthly'!$I$6:$T$6,'HR mthly'!$I$19:$T$19))</f>
        <v>0.8</v>
      </c>
      <c r="HQ119" s="331">
        <f>IF(HQ$7&gt;$D$3,"",_xlfn.XLOOKUP(HQ$8,'HR mthly'!$I$6:$T$6,'HR mthly'!$I$19:$T$19))</f>
        <v>0.8</v>
      </c>
      <c r="HR119" s="331">
        <f>IF(HR$7&gt;$D$3,"",_xlfn.XLOOKUP(HR$8,'HR mthly'!$I$6:$T$6,'HR mthly'!$I$19:$T$19))</f>
        <v>0.8</v>
      </c>
      <c r="HS119" s="331">
        <f>IF(HS$7&gt;$D$3,"",_xlfn.XLOOKUP(HS$8,'HR mthly'!$I$6:$T$6,'HR mthly'!$I$19:$T$19))</f>
        <v>0.8</v>
      </c>
      <c r="HT119" s="331">
        <f>IF(HT$7&gt;$D$3,"",_xlfn.XLOOKUP(HT$8,'HR mthly'!$I$6:$T$6,'HR mthly'!$I$19:$T$19))</f>
        <v>0.8</v>
      </c>
      <c r="HU119" s="331">
        <f>IF(HU$7&gt;$D$3,"",_xlfn.XLOOKUP(HU$8,'HR mthly'!$I$6:$T$6,'HR mthly'!$I$19:$T$19))</f>
        <v>0.8</v>
      </c>
      <c r="HV119" s="331">
        <f>IF(HV$7&gt;$D$3,"",_xlfn.XLOOKUP(HV$8,'HR mthly'!$I$6:$T$6,'HR mthly'!$I$19:$T$19))</f>
        <v>0.8</v>
      </c>
      <c r="HW119" s="331">
        <f>IF(HW$7&gt;$D$3,"",_xlfn.XLOOKUP(HW$8,'HR mthly'!$I$6:$T$6,'HR mthly'!$I$19:$T$19))</f>
        <v>0.8</v>
      </c>
      <c r="HX119" s="331">
        <f>IF(HX$7&gt;$D$3,"",_xlfn.XLOOKUP(HX$8,'HR mthly'!$I$6:$T$6,'HR mthly'!$I$19:$T$19))</f>
        <v>0.8</v>
      </c>
      <c r="HY119" s="331">
        <f>IF(HY$7&gt;$D$3,"",_xlfn.XLOOKUP(HY$8,'HR mthly'!$I$6:$T$6,'HR mthly'!$I$19:$T$19))</f>
        <v>0.8</v>
      </c>
      <c r="HZ119" s="331">
        <f>IF(HZ$7&gt;$D$3,"",_xlfn.XLOOKUP(HZ$8,'HR mthly'!$I$6:$T$6,'HR mthly'!$I$19:$T$19))</f>
        <v>0.8</v>
      </c>
      <c r="IA119" s="331">
        <f>IF(IA$7&gt;$D$3,"",_xlfn.XLOOKUP(IA$8,'HR mthly'!$I$6:$T$6,'HR mthly'!$I$19:$T$19))</f>
        <v>0.85</v>
      </c>
      <c r="IB119" s="331">
        <f>IF(IB$7&gt;$D$3,"",_xlfn.XLOOKUP(IB$8,'HR mthly'!$I$6:$T$6,'HR mthly'!$I$19:$T$19))</f>
        <v>0.85</v>
      </c>
      <c r="IC119" s="331">
        <f>IF(IC$7&gt;$D$3,"",_xlfn.XLOOKUP(IC$8,'HR mthly'!$I$6:$T$6,'HR mthly'!$I$19:$T$19))</f>
        <v>0.85</v>
      </c>
      <c r="ID119" s="331">
        <f>IF(ID$7&gt;$D$3,"",_xlfn.XLOOKUP(ID$8,'HR mthly'!$I$6:$T$6,'HR mthly'!$I$19:$T$19))</f>
        <v>0.85</v>
      </c>
      <c r="IE119" s="331">
        <f>IF(IE$7&gt;$D$3,"",_xlfn.XLOOKUP(IE$8,'HR mthly'!$I$6:$T$6,'HR mthly'!$I$19:$T$19))</f>
        <v>0.85</v>
      </c>
      <c r="IF119" s="331">
        <f>IF(IF$7&gt;$D$3,"",_xlfn.XLOOKUP(IF$8,'HR mthly'!$I$6:$T$6,'HR mthly'!$I$19:$T$19))</f>
        <v>0.85</v>
      </c>
      <c r="IG119" s="331">
        <f>IF(IG$7&gt;$D$3,"",_xlfn.XLOOKUP(IG$8,'HR mthly'!$I$6:$T$6,'HR mthly'!$I$19:$T$19))</f>
        <v>0.85</v>
      </c>
      <c r="IH119" s="331">
        <f>IF(IH$7&gt;$D$3,"",_xlfn.XLOOKUP(IH$8,'HR mthly'!$I$6:$T$6,'HR mthly'!$I$19:$T$19))</f>
        <v>0.85</v>
      </c>
      <c r="II119" s="331">
        <f>IF(II$7&gt;$D$3,"",_xlfn.XLOOKUP(II$8,'HR mthly'!$I$6:$T$6,'HR mthly'!$I$19:$T$19))</f>
        <v>0.85</v>
      </c>
      <c r="IJ119" s="331">
        <f>IF(IJ$7&gt;$D$3,"",_xlfn.XLOOKUP(IJ$8,'HR mthly'!$I$6:$T$6,'HR mthly'!$I$19:$T$19))</f>
        <v>0.85</v>
      </c>
      <c r="IK119" s="331">
        <f>IF(IK$7&gt;$D$3,"",_xlfn.XLOOKUP(IK$8,'HR mthly'!$I$6:$T$6,'HR mthly'!$I$19:$T$19))</f>
        <v>0.85</v>
      </c>
      <c r="IL119" s="331">
        <f>IF(IL$7&gt;$D$3,"",_xlfn.XLOOKUP(IL$8,'HR mthly'!$I$6:$T$6,'HR mthly'!$I$19:$T$19))</f>
        <v>0.85</v>
      </c>
      <c r="IM119" s="331">
        <f>IF(IM$7&gt;$D$3,"",_xlfn.XLOOKUP(IM$8,'HR mthly'!$I$6:$T$6,'HR mthly'!$I$19:$T$19))</f>
        <v>0.85</v>
      </c>
      <c r="IN119" s="331">
        <f>IF(IN$7&gt;$D$3,"",_xlfn.XLOOKUP(IN$8,'HR mthly'!$I$6:$T$6,'HR mthly'!$I$19:$T$19))</f>
        <v>0.85</v>
      </c>
      <c r="IO119" s="331">
        <f>IF(IO$7&gt;$D$3,"",_xlfn.XLOOKUP(IO$8,'HR mthly'!$I$6:$T$6,'HR mthly'!$I$19:$T$19))</f>
        <v>0.9</v>
      </c>
      <c r="IP119" s="331">
        <f>IF(IP$7&gt;$D$3,"",_xlfn.XLOOKUP(IP$8,'HR mthly'!$I$6:$T$6,'HR mthly'!$I$19:$T$19))</f>
        <v>0.9</v>
      </c>
      <c r="IQ119" s="331">
        <f>IF(IQ$7&gt;$D$3,"",_xlfn.XLOOKUP(IQ$8,'HR mthly'!$I$6:$T$6,'HR mthly'!$I$19:$T$19))</f>
        <v>0.9</v>
      </c>
      <c r="IR119" s="331">
        <f>IF(IR$7&gt;$D$3,"",_xlfn.XLOOKUP(IR$8,'HR mthly'!$I$6:$T$6,'HR mthly'!$I$19:$T$19))</f>
        <v>0.9</v>
      </c>
      <c r="IS119" s="331">
        <f>IF(IS$7&gt;$D$3,"",_xlfn.XLOOKUP(IS$8,'HR mthly'!$I$6:$T$6,'HR mthly'!$I$19:$T$19))</f>
        <v>0.9</v>
      </c>
      <c r="IT119" s="331">
        <f>IF(IT$7&gt;$D$3,"",_xlfn.XLOOKUP(IT$8,'HR mthly'!$I$6:$T$6,'HR mthly'!$I$19:$T$19))</f>
        <v>0.9</v>
      </c>
      <c r="IU119" s="331">
        <f>IF(IU$7&gt;$D$3,"",_xlfn.XLOOKUP(IU$8,'HR mthly'!$I$6:$T$6,'HR mthly'!$I$19:$T$19))</f>
        <v>0.9</v>
      </c>
      <c r="IV119" s="331">
        <f>IF(IV$7&gt;$D$3,"",_xlfn.XLOOKUP(IV$8,'HR mthly'!$I$6:$T$6,'HR mthly'!$I$19:$T$19))</f>
        <v>0.9</v>
      </c>
      <c r="IW119" s="331">
        <f>IF(IW$7&gt;$D$3,"",_xlfn.XLOOKUP(IW$8,'HR mthly'!$I$6:$T$6,'HR mthly'!$I$19:$T$19))</f>
        <v>0.9</v>
      </c>
      <c r="IX119" s="331">
        <f>IF(IX$7&gt;$D$3,"",_xlfn.XLOOKUP(IX$8,'HR mthly'!$I$6:$T$6,'HR mthly'!$I$19:$T$19))</f>
        <v>0.9</v>
      </c>
      <c r="IY119" s="331">
        <f>IF(IY$7&gt;$D$3,"",_xlfn.XLOOKUP(IY$8,'HR mthly'!$I$6:$T$6,'HR mthly'!$I$19:$T$19))</f>
        <v>0.9</v>
      </c>
      <c r="IZ119" s="331" t="str">
        <f>IF(IZ$7&gt;$D$3,"",_xlfn.XLOOKUP(IZ$8,'HR mthly'!$I$6:$T$6,'HR mthly'!$I$19:$T$19))</f>
        <v/>
      </c>
      <c r="JA119" s="331" t="str">
        <f>IF(JA$7&gt;$D$3,"",_xlfn.XLOOKUP(JA$8,'HR mthly'!$I$6:$T$6,'HR mthly'!$I$19:$T$19))</f>
        <v/>
      </c>
      <c r="JB119" s="331" t="str">
        <f>IF(JB$7&gt;$D$3,"",_xlfn.XLOOKUP(JB$8,'HR mthly'!$I$6:$T$6,'HR mthly'!$I$19:$T$19))</f>
        <v/>
      </c>
      <c r="JC119" s="331" t="str">
        <f>IF(JC$7&gt;$D$3,"",_xlfn.XLOOKUP(JC$8,'HR mthly'!$I$6:$T$6,'HR mthly'!$I$19:$T$19))</f>
        <v/>
      </c>
      <c r="JD119" s="331" t="str">
        <f>IF(JD$7&gt;$D$3,"",_xlfn.XLOOKUP(JD$8,'HR mthly'!$I$6:$T$6,'HR mthly'!$I$19:$T$19))</f>
        <v/>
      </c>
      <c r="JE119" s="331" t="str">
        <f>IF(JE$7&gt;$D$3,"",_xlfn.XLOOKUP(JE$8,'HR mthly'!$I$6:$T$6,'HR mthly'!$I$19:$T$19))</f>
        <v/>
      </c>
      <c r="JF119" s="331" t="str">
        <f>IF(JF$7&gt;$D$3,"",_xlfn.XLOOKUP(JF$8,'HR mthly'!$I$6:$T$6,'HR mthly'!$I$19:$T$19))</f>
        <v/>
      </c>
      <c r="JG119" s="331" t="str">
        <f>IF(JG$7&gt;$D$3,"",_xlfn.XLOOKUP(JG$8,'HR mthly'!$I$6:$T$6,'HR mthly'!$I$19:$T$19))</f>
        <v/>
      </c>
      <c r="JH119" s="331" t="str">
        <f>IF(JH$7&gt;$D$3,"",_xlfn.XLOOKUP(JH$8,'HR mthly'!$I$6:$T$6,'HR mthly'!$I$19:$T$19))</f>
        <v/>
      </c>
      <c r="JI119" s="331" t="str">
        <f>IF(JI$7&gt;$D$3,"",_xlfn.XLOOKUP(JI$8,'HR mthly'!$I$6:$T$6,'HR mthly'!$I$19:$T$19))</f>
        <v/>
      </c>
      <c r="JJ119" s="331" t="str">
        <f>IF(JJ$7&gt;$D$3,"",_xlfn.XLOOKUP(JJ$8,'HR mthly'!$I$6:$T$6,'HR mthly'!$I$19:$T$19))</f>
        <v/>
      </c>
      <c r="JM119" s="136" t="str">
        <f t="shared" si="648"/>
        <v>KPI D2</v>
      </c>
      <c r="JN119" s="144" t="str">
        <f t="shared" si="649"/>
        <v>Delivery</v>
      </c>
      <c r="JO119" s="244" t="str">
        <f t="shared" si="615"/>
        <v>Review Complete actions against project plan</v>
      </c>
      <c r="JP119" s="145" t="str">
        <f t="shared" si="616"/>
        <v>Percentage</v>
      </c>
      <c r="JQ119" s="145" t="s">
        <v>284</v>
      </c>
      <c r="JR119" s="226" t="str">
        <f>IFERROR(AVERAGE(FC119:$FC119),"")</f>
        <v/>
      </c>
      <c r="JS119" s="331">
        <f>IFERROR(AVERAGE($FC119:FD119),"")</f>
        <v>0.66</v>
      </c>
      <c r="JT119" s="331">
        <f>IFERROR(AVERAGE($FC119:FE119),"")</f>
        <v>0.66</v>
      </c>
      <c r="JU119" s="331">
        <f>IFERROR(AVERAGE($FC119:FF119),"")</f>
        <v>0.66</v>
      </c>
      <c r="JV119" s="331">
        <f>IFERROR(AVERAGE($FC119:FG119),"")</f>
        <v>0.66</v>
      </c>
      <c r="JW119" s="331">
        <f>IFERROR(AVERAGE($FC119:FH119),"")</f>
        <v>0.63400000000000001</v>
      </c>
      <c r="JX119" s="331">
        <f>IFERROR(AVERAGE($FC119:FI119),"")</f>
        <v>0.6166666666666667</v>
      </c>
      <c r="JY119" s="331">
        <f>IFERROR(AVERAGE($FC119:FJ119),"")</f>
        <v>0.60428571428571431</v>
      </c>
      <c r="JZ119" s="331">
        <f>IFERROR(AVERAGE($FC119:FK119),"")</f>
        <v>0.59500000000000008</v>
      </c>
      <c r="KA119" s="331">
        <f>IFERROR(AVERAGE($FC119:FL119),"")</f>
        <v>0.59333333333333338</v>
      </c>
      <c r="KB119" s="331">
        <f>IFERROR(AVERAGE($FC119:FM119),"")</f>
        <v>0.59200000000000008</v>
      </c>
      <c r="KC119" s="331">
        <f>IFERROR(AVERAGE($FC119:FN119),"")</f>
        <v>0.59090909090909094</v>
      </c>
      <c r="KD119" s="331">
        <f>IFERROR(AVERAGE($FC119:FO119),"")</f>
        <v>0.59000000000000008</v>
      </c>
      <c r="KE119" s="331">
        <f>IFERROR(AVERAGE($FC119:FP119),"")</f>
        <v>0.58923076923076934</v>
      </c>
      <c r="KF119" s="331">
        <f>IFERROR(AVERAGE($FC119:FQ119),"")</f>
        <v>0.58857142857142863</v>
      </c>
      <c r="KG119" s="331">
        <f>IFERROR(AVERAGE($FC119:FR119),"")</f>
        <v>0.58799999999999997</v>
      </c>
      <c r="KH119" s="331">
        <f>IFERROR(AVERAGE($FC119:FS119),"")</f>
        <v>0.58750000000000002</v>
      </c>
      <c r="KI119" s="331">
        <f>IFERROR(AVERAGE($FC119:FT119),"")</f>
        <v>0.6029411764705882</v>
      </c>
      <c r="KJ119" s="331">
        <f>IFERROR(AVERAGE($FC119:FU119),"")</f>
        <v>0.6166666666666667</v>
      </c>
      <c r="KK119" s="331">
        <f>IFERROR(AVERAGE($FC119:FV119),"")</f>
        <v>0.62894736842105259</v>
      </c>
      <c r="KL119" s="331">
        <f>IFERROR(AVERAGE($FC119:FW119),"")</f>
        <v>0.6399999999999999</v>
      </c>
      <c r="KM119" s="331">
        <f>IFERROR(AVERAGE($FC119:FX119),"")</f>
        <v>0.64999999999999991</v>
      </c>
      <c r="KN119" s="331">
        <f>IFERROR(AVERAGE($FC119:FY119),"")</f>
        <v>0.6477272727272726</v>
      </c>
      <c r="KO119" s="331">
        <f>IFERROR(AVERAGE($FC119:FZ119),"")</f>
        <v>0.64565217391304341</v>
      </c>
      <c r="KP119" s="331">
        <f>IFERROR(AVERAGE($FC119:GA119),"")</f>
        <v>0.64374999999999993</v>
      </c>
      <c r="KQ119" s="331">
        <f>IFERROR(AVERAGE($FC119:GB119),"")</f>
        <v>0.6419999999999999</v>
      </c>
      <c r="KR119" s="331">
        <f>IFERROR(AVERAGE($FC119:GC119),"")</f>
        <v>0.63153846153846149</v>
      </c>
      <c r="KS119" s="331">
        <f>IFERROR(AVERAGE($FC119:GD119),"")</f>
        <v>0.62185185185185177</v>
      </c>
      <c r="KT119" s="331">
        <f>IFERROR(AVERAGE($FC119:GE119),"")</f>
        <v>0.61285714285714288</v>
      </c>
      <c r="KU119" s="331">
        <f>IFERROR(AVERAGE($FC119:GF119),"")</f>
        <v>0.60448275862068968</v>
      </c>
      <c r="KV119" s="331">
        <f>IFERROR(AVERAGE($FC119:GG119),"")</f>
        <v>0.59666666666666679</v>
      </c>
      <c r="KW119" s="331">
        <f>IFERROR(AVERAGE($FC119:GH119),"")</f>
        <v>0.59709677419354845</v>
      </c>
      <c r="KX119" s="331">
        <f>IFERROR(AVERAGE($FC119:GI119),"")</f>
        <v>0.59750000000000003</v>
      </c>
      <c r="KY119" s="331">
        <f>IFERROR(AVERAGE($FC119:GJ119),"")</f>
        <v>0.5978787878787879</v>
      </c>
      <c r="KZ119" s="331">
        <f>IFERROR(AVERAGE($FC119:GK119),"")</f>
        <v>0.59823529411764709</v>
      </c>
      <c r="LA119" s="331">
        <f>IFERROR(AVERAGE($FC119:GL119),"")</f>
        <v>0.59742857142857142</v>
      </c>
      <c r="LB119" s="331">
        <f>IFERROR(AVERAGE($FC119:GM119),"")</f>
        <v>0.59666666666666668</v>
      </c>
      <c r="LC119" s="331">
        <f>IFERROR(AVERAGE($FC119:GN119),"")</f>
        <v>0.59594594594594597</v>
      </c>
      <c r="LD119" s="331">
        <f>IFERROR(AVERAGE($FC119:GO119),"")</f>
        <v>0.59526315789473683</v>
      </c>
      <c r="LE119" s="331">
        <f>IFERROR(AVERAGE($FC119:GP119),"")</f>
        <v>0.60564102564102562</v>
      </c>
      <c r="LF119" s="331">
        <f>IFERROR(AVERAGE($FC119:GQ119),"")</f>
        <v>0.61550000000000005</v>
      </c>
      <c r="LG119" s="331">
        <f>IFERROR(AVERAGE($FC119:GR119),"")</f>
        <v>0.6248780487804878</v>
      </c>
      <c r="LH119" s="331">
        <f>IFERROR(AVERAGE($FC119:GS119),"")</f>
        <v>0.6248780487804878</v>
      </c>
      <c r="LI119" s="331">
        <f>IFERROR(AVERAGE($FC119:GT119),"")</f>
        <v>0.6248780487804878</v>
      </c>
      <c r="LJ119" s="331">
        <f>IFERROR(AVERAGE($FC119:GU119),"")</f>
        <v>0.6248780487804878</v>
      </c>
      <c r="LK119" s="331">
        <f>IFERROR(AVERAGE($FC119:GV119),"")</f>
        <v>0.6248780487804878</v>
      </c>
      <c r="LL119" s="331">
        <f>IFERROR(AVERAGE($FC119:GW119),"")</f>
        <v>0.6248780487804878</v>
      </c>
      <c r="LM119" s="331">
        <f>IFERROR(AVERAGE($FC119:GX119),"")</f>
        <v>0.6248780487804878</v>
      </c>
      <c r="LN119" s="331">
        <f>IFERROR(AVERAGE($FC119:GY119),"")</f>
        <v>0.6248780487804878</v>
      </c>
      <c r="LO119" s="331">
        <f>IFERROR(AVERAGE($FC119:GZ119),"")</f>
        <v>0.6248780487804878</v>
      </c>
      <c r="LP119" s="331">
        <f>IFERROR(AVERAGE($FC119:HA119),"")</f>
        <v>0.6248780487804878</v>
      </c>
      <c r="LQ119" s="331">
        <f>IFERROR(AVERAGE($FC119:HB119),"")</f>
        <v>0.6248780487804878</v>
      </c>
      <c r="LR119" s="331">
        <f>IFERROR(AVERAGE($FC119:HC119),"")</f>
        <v>0.6248780487804878</v>
      </c>
      <c r="LT119" s="136" t="str">
        <f t="shared" si="651"/>
        <v>KPI D2</v>
      </c>
      <c r="LU119" s="144" t="str">
        <f t="shared" si="652"/>
        <v>Delivery</v>
      </c>
      <c r="LV119" s="144" t="str">
        <f t="shared" si="619"/>
        <v>Review Complete actions against project plan</v>
      </c>
      <c r="LW119" s="145" t="str">
        <f t="shared" si="620"/>
        <v>Percentage</v>
      </c>
      <c r="LX119" s="145" t="s">
        <v>285</v>
      </c>
      <c r="LY119" s="226" t="str">
        <f>IFERROR(AVERAGE($HJ119:HJ119),"")</f>
        <v/>
      </c>
      <c r="LZ119" s="331">
        <f>IFERROR(IF(LAD$7&gt;$D$3,"",AVERAGE($HJ119:HK119)),"")</f>
        <v>0.8</v>
      </c>
      <c r="MA119" s="331">
        <f>IFERROR(IF(LAE$7&gt;$D$3,"",AVERAGE($HJ119:HL119)),"")</f>
        <v>0.8</v>
      </c>
      <c r="MB119" s="331">
        <f>IFERROR(IF(LAF$7&gt;$D$3,"",AVERAGE($HJ119:HM119)),"")</f>
        <v>0.80000000000000016</v>
      </c>
      <c r="MC119" s="331">
        <f>IFERROR(IF(LAG$7&gt;$D$3,"",AVERAGE($HJ119:HN119)),"")</f>
        <v>0.8</v>
      </c>
      <c r="MD119" s="331">
        <f>IFERROR(IF(LAH$7&gt;$D$3,"",AVERAGE($HJ119:HO119)),"")</f>
        <v>0.8</v>
      </c>
      <c r="ME119" s="331">
        <f>IFERROR(IF(LAI$7&gt;$D$3,"",AVERAGE($HJ119:HP119)),"")</f>
        <v>0.79999999999999993</v>
      </c>
      <c r="MF119" s="331">
        <f>IFERROR(IF(LAJ$7&gt;$D$3,"",AVERAGE($HJ119:HQ119)),"")</f>
        <v>0.79999999999999993</v>
      </c>
      <c r="MG119" s="331">
        <f>IFERROR(IF(LAK$7&gt;$D$3,"",AVERAGE($HJ119:HR119)),"")</f>
        <v>0.79999999999999993</v>
      </c>
      <c r="MH119" s="331">
        <f>IFERROR(IF(LAL$7&gt;$D$3,"",AVERAGE($HJ119:HS119)),"")</f>
        <v>0.79999999999999993</v>
      </c>
      <c r="MI119" s="331">
        <f>IFERROR(IF(LAM$7&gt;$D$3,"",AVERAGE($HJ119:HT119)),"")</f>
        <v>0.79999999999999993</v>
      </c>
      <c r="MJ119" s="331">
        <f>IFERROR(IF(LAN$7&gt;$D$3,"",AVERAGE($HJ119:HU119)),"")</f>
        <v>0.79999999999999993</v>
      </c>
      <c r="MK119" s="331">
        <f>IFERROR(IF(LAO$7&gt;$D$3,"",AVERAGE($HJ119:HV119)),"")</f>
        <v>0.79999999999999993</v>
      </c>
      <c r="ML119" s="331">
        <f>IFERROR(IF(LAP$7&gt;$D$3,"",AVERAGE($HJ119:HW119)),"")</f>
        <v>0.8</v>
      </c>
      <c r="MM119" s="331">
        <f>IFERROR(IF(LAQ$7&gt;$D$3,"",AVERAGE($HJ119:HX119)),"")</f>
        <v>0.8</v>
      </c>
      <c r="MN119" s="331">
        <f>IFERROR(IF(LAR$7&gt;$D$3,"",AVERAGE($HJ119:HY119)),"")</f>
        <v>0.80000000000000016</v>
      </c>
      <c r="MO119" s="331">
        <f>IFERROR(IF(LAS$7&gt;$D$3,"",AVERAGE($HJ119:HZ119)),"")</f>
        <v>0.80000000000000016</v>
      </c>
      <c r="MP119" s="331">
        <f>IFERROR(IF(LAT$7&gt;$D$3,"",AVERAGE($HJ119:IA119)),"")</f>
        <v>0.80294117647058838</v>
      </c>
      <c r="MQ119" s="331">
        <f>IFERROR(IF(LAU$7&gt;$D$3,"",AVERAGE($HJ119:IB119)),"")</f>
        <v>0.80555555555555569</v>
      </c>
      <c r="MR119" s="331">
        <f>IFERROR(IF(LAV$7&gt;$D$3,"",AVERAGE($HJ119:IC119)),"")</f>
        <v>0.80789473684210533</v>
      </c>
      <c r="MS119" s="331">
        <f>IFERROR(IF(LAW$7&gt;$D$3,"",AVERAGE($HJ119:ID119)),"")</f>
        <v>0.81000000000000016</v>
      </c>
      <c r="MT119" s="331">
        <f>IFERROR(IF(LAX$7&gt;$D$3,"",AVERAGE($HJ119:IE119)),"")</f>
        <v>0.81190476190476213</v>
      </c>
      <c r="MU119" s="331">
        <f>IFERROR(IF(LAY$7&gt;$D$3,"",AVERAGE($HJ119:IF119)),"")</f>
        <v>0.81363636363636394</v>
      </c>
      <c r="MV119" s="331">
        <f>IFERROR(IF(LAZ$7&gt;$D$3,"",AVERAGE($HJ119:IG119)),"")</f>
        <v>0.81521739130434812</v>
      </c>
      <c r="MW119" s="331">
        <f>IFERROR(IF(LBA$7&gt;$D$3,"",AVERAGE($HJ119:IH119)),"")</f>
        <v>0.81666666666666698</v>
      </c>
      <c r="MX119" s="331">
        <f>IFERROR(IF(LBB$7&gt;$D$3,"",AVERAGE($HJ119:II119)),"")</f>
        <v>0.81800000000000039</v>
      </c>
      <c r="MY119" s="331">
        <f>IFERROR(IF(LBC$7&gt;$D$3,"",AVERAGE($HJ119:IJ119)),"")</f>
        <v>0.81923076923076965</v>
      </c>
      <c r="MZ119" s="331">
        <f>IFERROR(IF(LBD$7&gt;$D$3,"",AVERAGE($HJ119:IK119)),"")</f>
        <v>0.82037037037037086</v>
      </c>
      <c r="NA119" s="331">
        <f>IFERROR(IF(LBE$7&gt;$D$3,"",AVERAGE($HJ119:IL119)),"")</f>
        <v>0.82142857142857195</v>
      </c>
      <c r="NB119" s="331">
        <f>IFERROR(IF(LBF$7&gt;$D$3,"",AVERAGE($HJ119:IM119)),"")</f>
        <v>0.82241379310344886</v>
      </c>
      <c r="NC119" s="331">
        <f>IFERROR(IF(LBG$7&gt;$D$3,"",AVERAGE($HJ119:IN119)),"")</f>
        <v>0.82333333333333392</v>
      </c>
      <c r="ND119" s="331">
        <f>IFERROR(IF(LBH$7&gt;$D$3,"",AVERAGE($HJ119:IO119)),"")</f>
        <v>0.82580645161290378</v>
      </c>
      <c r="NE119" s="331">
        <f>IFERROR(IF(LBI$7&gt;$D$3,"",AVERAGE($HJ119:IP119)),"")</f>
        <v>0.82812500000000044</v>
      </c>
      <c r="NF119" s="331">
        <f>IFERROR(IF(LBJ$7&gt;$D$3,"",AVERAGE($HJ119:IQ119)),"")</f>
        <v>0.83030303030303065</v>
      </c>
      <c r="NG119" s="331">
        <f>IFERROR(IF(LBK$7&gt;$D$3,"",AVERAGE($HJ119:IR119)),"")</f>
        <v>0.83235294117647096</v>
      </c>
      <c r="NH119" s="331">
        <f>IFERROR(IF(LBL$7&gt;$D$3,"",AVERAGE($HJ119:IS119)),"")</f>
        <v>0.83428571428571452</v>
      </c>
      <c r="NI119" s="331">
        <f>IFERROR(IF(LBM$7&gt;$D$3,"",AVERAGE($HJ119:IT119)),"")</f>
        <v>0.83611111111111136</v>
      </c>
      <c r="NJ119" s="331">
        <f>IFERROR(IF(LBN$7&gt;$D$3,"",AVERAGE($HJ119:IU119)),"")</f>
        <v>0.83783783783783805</v>
      </c>
      <c r="NK119" s="331">
        <f>IFERROR(IF(LBO$7&gt;$D$3,"",AVERAGE($HJ119:IV119)),"")</f>
        <v>0.83947368421052648</v>
      </c>
      <c r="NL119" s="331">
        <f>IFERROR(IF(LBP$7&gt;$D$3,"",AVERAGE($HJ119:IW119)),"")</f>
        <v>0.84102564102564115</v>
      </c>
      <c r="NM119" s="331">
        <f>IFERROR(IF(LBQ$7&gt;$D$3,"",AVERAGE($HJ119:IX119)),"")</f>
        <v>0.84250000000000003</v>
      </c>
      <c r="NN119" s="331">
        <f>IFERROR(IF(LBR$7&gt;$D$3,"",AVERAGE($HJ119:IY119)),"")</f>
        <v>0.84390243902439033</v>
      </c>
      <c r="NO119" s="331">
        <f>IFERROR(IF(LBS$7&gt;$D$3,"",AVERAGE($HJ119:IZ119)),"")</f>
        <v>0.84390243902439033</v>
      </c>
      <c r="NP119" s="331">
        <f>IFERROR(IF(LBT$7&gt;$D$3,"",AVERAGE($HJ119:JA119)),"")</f>
        <v>0.84390243902439033</v>
      </c>
      <c r="NQ119" s="331">
        <f>IFERROR(IF(LBU$7&gt;$D$3,"",AVERAGE($HJ119:JB119)),"")</f>
        <v>0.84390243902439033</v>
      </c>
      <c r="NR119" s="331">
        <f>IFERROR(IF(LBV$7&gt;$D$3,"",AVERAGE($HJ119:JC119)),"")</f>
        <v>0.84390243902439033</v>
      </c>
      <c r="NS119" s="331">
        <f>IFERROR(IF(LBW$7&gt;$D$3,"",AVERAGE($HJ119:JD119)),"")</f>
        <v>0.84390243902439033</v>
      </c>
      <c r="NT119" s="331">
        <f>IFERROR(IF(LBX$7&gt;$D$3,"",AVERAGE($HJ119:JE119)),"")</f>
        <v>0.84390243902439033</v>
      </c>
      <c r="NU119" s="331">
        <f>IFERROR(IF(LBY$7&gt;$D$3,"",AVERAGE($HJ119:JF119)),"")</f>
        <v>0.84390243902439033</v>
      </c>
      <c r="NV119" s="331">
        <f>IFERROR(IF(LBZ$7&gt;$D$3,"",AVERAGE($HJ119:JG119)),"")</f>
        <v>0.84390243902439033</v>
      </c>
      <c r="NW119" s="331">
        <f>IFERROR(IF(LCA$7&gt;$D$3,"",AVERAGE($HJ119:JH119)),"")</f>
        <v>0.84390243902439033</v>
      </c>
      <c r="NX119" s="331">
        <f>IFERROR(IF(LCB$7&gt;$D$3,"",AVERAGE($HJ119:JI119)),"")</f>
        <v>0.84390243902439033</v>
      </c>
      <c r="NY119" s="331">
        <f>IFERROR(IF(LCC$7&gt;$D$3,"",AVERAGE($HJ119:JJ119)),"")</f>
        <v>0.84390243902439033</v>
      </c>
    </row>
    <row r="120" spans="1:389" x14ac:dyDescent="0.3">
      <c r="A120" t="str">
        <f t="shared" si="623"/>
        <v>HR-KPI Q1</v>
      </c>
      <c r="B120" s="918">
        <f>+'KPI Stats'!B119</f>
        <v>0</v>
      </c>
      <c r="C120" s="136" t="str">
        <f>+'KPI Stats'!C119</f>
        <v>KPI Q1</v>
      </c>
      <c r="D120" s="144" t="str">
        <f>+'KPI Stats'!D119</f>
        <v>Quality</v>
      </c>
      <c r="E120" s="144" t="str">
        <f>+'KPI Stats'!E119</f>
        <v>Management Feed Back Score</v>
      </c>
      <c r="F120" s="145" t="str">
        <f>+'KPI Stats'!F119</f>
        <v>Percentage</v>
      </c>
      <c r="G120" s="169" t="str">
        <f>+'KPI Stats'!G119</f>
        <v>Under</v>
      </c>
      <c r="J120" s="69" t="str">
        <f t="shared" si="624"/>
        <v>R</v>
      </c>
      <c r="K120" s="336">
        <f t="shared" si="625"/>
        <v>0.56000000000000005</v>
      </c>
      <c r="L120" s="337">
        <f t="shared" si="626"/>
        <v>0.7</v>
      </c>
      <c r="M120" s="376">
        <f t="shared" si="627"/>
        <v>0.80000000000000016</v>
      </c>
      <c r="P120" s="69" t="str">
        <f t="shared" si="628"/>
        <v>R</v>
      </c>
      <c r="Q120" s="336">
        <f t="shared" si="629"/>
        <v>0.56000000000000005</v>
      </c>
      <c r="R120" s="337">
        <f t="shared" si="629"/>
        <v>0.56000000000000005</v>
      </c>
      <c r="S120" s="378">
        <f t="shared" si="630"/>
        <v>0.80000000000000016</v>
      </c>
      <c r="T120" s="379">
        <f t="shared" si="630"/>
        <v>0.80000000000000016</v>
      </c>
      <c r="U120" s="295" t="str">
        <f>IF(F115&lt;$Q$4,"Not Complete",IF(Q120=R120,"Same −",IF($G120="Over",IF(Q120&lt;R120,"Better ↑","Worse ↓"),IF($G120="Under",IF(Q120&gt;R120,"Better ↑","Worse ↓"),"err"))))</f>
        <v>Same −</v>
      </c>
      <c r="X120" s="69" t="str">
        <f t="shared" si="631"/>
        <v>R</v>
      </c>
      <c r="Y120" s="336">
        <f t="shared" si="632"/>
        <v>0.55999999999999994</v>
      </c>
      <c r="Z120" s="337">
        <f t="shared" si="633"/>
        <v>0.69999999999999951</v>
      </c>
      <c r="AA120" s="376">
        <f t="shared" si="634"/>
        <v>0.80000000000000049</v>
      </c>
      <c r="AB120" s="295" t="str">
        <f>IF(F119&lt;$AA$3,"TBC",IF(Y120=Z120,"Same −",IF($G120="Over",IF(Z120&lt;Y120,"Better ↑ ","Worse ↓ "),IF($G120="Under",IF(Y120&gt;Z120,"Better ↑ ","Worse ↓ "),"err"))))</f>
        <v xml:space="preserve">Worse ↓ </v>
      </c>
      <c r="AC120" s="69" t="e">
        <f t="shared" si="635"/>
        <v>#DIV/0!</v>
      </c>
      <c r="AD120" s="114" t="b">
        <f t="shared" si="636"/>
        <v>0</v>
      </c>
      <c r="AE120" s="114" t="b">
        <f t="shared" si="637"/>
        <v>0</v>
      </c>
      <c r="AF120" s="252" t="e">
        <f t="shared" si="638"/>
        <v>#DIV/0!</v>
      </c>
      <c r="AH120" s="465" t="str">
        <f t="shared" si="639"/>
        <v>HR-KPI Q1</v>
      </c>
      <c r="AI120" s="136" t="str">
        <f t="shared" si="640"/>
        <v>KPI Q1</v>
      </c>
      <c r="AJ120" s="144" t="str">
        <f t="shared" si="640"/>
        <v>Quality</v>
      </c>
      <c r="AK120" s="144" t="str">
        <f t="shared" si="602"/>
        <v>Management Feed Back Score</v>
      </c>
      <c r="AL120" s="145" t="str">
        <f t="shared" si="602"/>
        <v>Percentage</v>
      </c>
      <c r="AM120" s="199" t="str">
        <f>IF(AM$7&gt;$D$3,"",_xlfn.XLOOKUP(AM$8,'HR mthly'!$I$6:$T$6,'HR mthly'!$I$26:$T$26))</f>
        <v>R</v>
      </c>
      <c r="AN120" s="199" t="str">
        <f>IF(AN$7&gt;$D$3,"",_xlfn.XLOOKUP(AN$8,'HR mthly'!$I$6:$T$6,'HR mthly'!$I$26:$T$26))</f>
        <v>R</v>
      </c>
      <c r="AO120" s="199" t="str">
        <f>IF(AO$7&gt;$D$3,"",_xlfn.XLOOKUP(AO$8,'HR mthly'!$I$6:$T$6,'HR mthly'!$I$26:$T$26))</f>
        <v>R</v>
      </c>
      <c r="AP120" s="199" t="str">
        <f>IF(AP$7&gt;$D$3,"",_xlfn.XLOOKUP(AP$8,'HR mthly'!$I$6:$T$6,'HR mthly'!$I$26:$T$26))</f>
        <v>R</v>
      </c>
      <c r="AQ120" s="199" t="str">
        <f>IF(AQ$7&gt;$D$3,"",_xlfn.XLOOKUP(AQ$8,'HR mthly'!$I$6:$T$6,'HR mthly'!$I$26:$T$26))</f>
        <v>R</v>
      </c>
      <c r="AR120" s="199" t="str">
        <f>IF(AR$7&gt;$D$3,"",_xlfn.XLOOKUP(AR$8,'HR mthly'!$I$6:$T$6,'HR mthly'!$I$26:$T$26))</f>
        <v>R</v>
      </c>
      <c r="AS120" s="199" t="str">
        <f>IF(AS$7&gt;$D$3,"",_xlfn.XLOOKUP(AS$8,'HR mthly'!$I$6:$T$6,'HR mthly'!$I$26:$T$26))</f>
        <v>R</v>
      </c>
      <c r="AT120" s="199" t="str">
        <f>IF(AT$7&gt;$D$3,"",_xlfn.XLOOKUP(AT$8,'HR mthly'!$I$6:$T$6,'HR mthly'!$I$26:$T$26))</f>
        <v>R</v>
      </c>
      <c r="AU120" s="199" t="str">
        <f>IF(AU$7&gt;$D$3,"",_xlfn.XLOOKUP(AU$8,'HR mthly'!$I$6:$T$6,'HR mthly'!$I$26:$T$26))</f>
        <v>R</v>
      </c>
      <c r="AV120" s="199" t="str">
        <f>IF(AV$7&gt;$D$3,"",_xlfn.XLOOKUP(AV$8,'HR mthly'!$I$6:$T$6,'HR mthly'!$I$26:$T$26))</f>
        <v>R</v>
      </c>
      <c r="AW120" s="199" t="str">
        <f>IF(AW$7&gt;$D$3,"",_xlfn.XLOOKUP(AW$8,'HR mthly'!$I$6:$T$6,'HR mthly'!$I$26:$T$26))</f>
        <v>R</v>
      </c>
      <c r="AX120" s="199" t="str">
        <f>IF(AX$7&gt;$D$3,"",_xlfn.XLOOKUP(AX$8,'HR mthly'!$I$6:$T$6,'HR mthly'!$I$26:$T$26))</f>
        <v>R</v>
      </c>
      <c r="AY120" s="199" t="str">
        <f>IF(AY$7&gt;$D$3,"",_xlfn.XLOOKUP(AY$8,'HR mthly'!$I$6:$T$6,'HR mthly'!$I$26:$T$26))</f>
        <v>R</v>
      </c>
      <c r="AZ120" s="199" t="str">
        <f>IF(AZ$7&gt;$D$3,"",_xlfn.XLOOKUP(AZ$8,'HR mthly'!$I$6:$T$6,'HR mthly'!$I$26:$T$26))</f>
        <v>R</v>
      </c>
      <c r="BA120" s="199" t="str">
        <f>IF(BA$7&gt;$D$3,"",_xlfn.XLOOKUP(BA$8,'HR mthly'!$I$6:$T$6,'HR mthly'!$I$26:$T$26))</f>
        <v>R</v>
      </c>
      <c r="BB120" s="199" t="str">
        <f>IF(BB$7&gt;$D$3,"",_xlfn.XLOOKUP(BB$8,'HR mthly'!$I$6:$T$6,'HR mthly'!$I$26:$T$26))</f>
        <v>R</v>
      </c>
      <c r="BC120" s="199" t="str">
        <f>IF(BC$7&gt;$D$3,"",_xlfn.XLOOKUP(BC$8,'HR mthly'!$I$6:$T$6,'HR mthly'!$I$26:$T$26))</f>
        <v>R</v>
      </c>
      <c r="BD120" s="199" t="str">
        <f>IF(BD$7&gt;$D$3,"",_xlfn.XLOOKUP(BD$8,'HR mthly'!$I$6:$T$6,'HR mthly'!$I$26:$T$26))</f>
        <v>R</v>
      </c>
      <c r="BE120" s="199" t="str">
        <f>IF(BE$7&gt;$D$3,"",_xlfn.XLOOKUP(BE$8,'HR mthly'!$I$6:$T$6,'HR mthly'!$I$26:$T$26))</f>
        <v>R</v>
      </c>
      <c r="BF120" s="199" t="str">
        <f>IF(BF$7&gt;$D$3,"",_xlfn.XLOOKUP(BF$8,'HR mthly'!$I$6:$T$6,'HR mthly'!$I$26:$T$26))</f>
        <v>R</v>
      </c>
      <c r="BG120" s="199" t="str">
        <f>IF(BG$7&gt;$D$3,"",_xlfn.XLOOKUP(BG$8,'HR mthly'!$I$6:$T$6,'HR mthly'!$I$26:$T$26))</f>
        <v>R</v>
      </c>
      <c r="BH120" s="199" t="str">
        <f>IF(BH$7&gt;$D$3,"",_xlfn.XLOOKUP(BH$8,'HR mthly'!$I$6:$T$6,'HR mthly'!$I$26:$T$26))</f>
        <v>R</v>
      </c>
      <c r="BI120" s="199" t="str">
        <f>IF(BI$7&gt;$D$3,"",_xlfn.XLOOKUP(BI$8,'HR mthly'!$I$6:$T$6,'HR mthly'!$I$26:$T$26))</f>
        <v>R</v>
      </c>
      <c r="BJ120" s="199" t="str">
        <f>IF(BJ$7&gt;$D$3,"",_xlfn.XLOOKUP(BJ$8,'HR mthly'!$I$6:$T$6,'HR mthly'!$I$26:$T$26))</f>
        <v>R</v>
      </c>
      <c r="BK120" s="199" t="str">
        <f>IF(BK$7&gt;$D$3,"",_xlfn.XLOOKUP(BK$8,'HR mthly'!$I$6:$T$6,'HR mthly'!$I$26:$T$26))</f>
        <v>R</v>
      </c>
      <c r="BL120" s="199" t="str">
        <f>IF(BL$7&gt;$D$3,"",_xlfn.XLOOKUP(BL$8,'HR mthly'!$I$6:$T$6,'HR mthly'!$I$26:$T$26))</f>
        <v>R</v>
      </c>
      <c r="BM120" s="199" t="str">
        <f>IF(BM$7&gt;$D$3,"",_xlfn.XLOOKUP(BM$8,'HR mthly'!$I$6:$T$6,'HR mthly'!$I$26:$T$26))</f>
        <v>R</v>
      </c>
      <c r="BN120" s="199" t="str">
        <f>IF(BN$7&gt;$D$3,"",_xlfn.XLOOKUP(BN$8,'HR mthly'!$I$6:$T$6,'HR mthly'!$I$26:$T$26))</f>
        <v>R</v>
      </c>
      <c r="BO120" s="199" t="str">
        <f>IF(BO$7&gt;$D$3,"",_xlfn.XLOOKUP(BO$8,'HR mthly'!$I$6:$T$6,'HR mthly'!$I$26:$T$26))</f>
        <v>R</v>
      </c>
      <c r="BP120" s="199" t="str">
        <f>IF(BP$7&gt;$D$3,"",_xlfn.XLOOKUP(BP$8,'HR mthly'!$I$6:$T$6,'HR mthly'!$I$26:$T$26))</f>
        <v>R</v>
      </c>
      <c r="BQ120" s="199" t="str">
        <f>IF(BQ$7&gt;$D$3,"",_xlfn.XLOOKUP(BQ$8,'HR mthly'!$I$6:$T$6,'HR mthly'!$I$26:$T$26))</f>
        <v>R</v>
      </c>
      <c r="BR120" s="199" t="str">
        <f>IF(BR$7&gt;$D$3,"",_xlfn.XLOOKUP(BR$8,'HR mthly'!$I$6:$T$6,'HR mthly'!$I$26:$T$26))</f>
        <v>R</v>
      </c>
      <c r="BS120" s="199" t="str">
        <f>IF(BS$7&gt;$D$3,"",_xlfn.XLOOKUP(BS$8,'HR mthly'!$I$6:$T$6,'HR mthly'!$I$26:$T$26))</f>
        <v>R</v>
      </c>
      <c r="BT120" s="199" t="str">
        <f>IF(BT$7&gt;$D$3,"",_xlfn.XLOOKUP(BT$8,'HR mthly'!$I$6:$T$6,'HR mthly'!$I$26:$T$26))</f>
        <v>R</v>
      </c>
      <c r="BU120" s="199" t="str">
        <f>IF(BU$7&gt;$D$3,"",_xlfn.XLOOKUP(BU$8,'HR mthly'!$I$6:$T$6,'HR mthly'!$I$26:$T$26))</f>
        <v>R</v>
      </c>
      <c r="BV120" s="199" t="str">
        <f>IF(BV$7&gt;$D$3,"",_xlfn.XLOOKUP(BV$8,'HR mthly'!$I$6:$T$6,'HR mthly'!$I$26:$T$26))</f>
        <v>R</v>
      </c>
      <c r="BW120" s="199" t="str">
        <f>IF(BW$7&gt;$D$3,"",_xlfn.XLOOKUP(BW$8,'HR mthly'!$I$6:$T$6,'HR mthly'!$I$26:$T$26))</f>
        <v>R</v>
      </c>
      <c r="BX120" s="199" t="str">
        <f>IF(BX$7&gt;$D$3,"",_xlfn.XLOOKUP(BX$8,'HR mthly'!$I$6:$T$6,'HR mthly'!$I$26:$T$26))</f>
        <v>R</v>
      </c>
      <c r="BY120" s="199" t="str">
        <f>IF(BY$7&gt;$D$3,"",_xlfn.XLOOKUP(BY$8,'HR mthly'!$I$6:$T$6,'HR mthly'!$I$26:$T$26))</f>
        <v>R</v>
      </c>
      <c r="BZ120" s="199" t="str">
        <f>IF(BZ$7&gt;$D$3,"",_xlfn.XLOOKUP(BZ$8,'HR mthly'!$I$6:$T$6,'HR mthly'!$I$26:$T$26))</f>
        <v>R</v>
      </c>
      <c r="CA120" s="199" t="str">
        <f>IF(CA$7&gt;$D$3,"",_xlfn.XLOOKUP(CA$8,'HR mthly'!$I$6:$T$6,'HR mthly'!$I$26:$T$26))</f>
        <v>R</v>
      </c>
      <c r="CB120" s="199" t="str">
        <f>IF(CB$7&gt;$D$3,"",_xlfn.XLOOKUP(CB$8,'HR mthly'!$I$6:$T$6,'HR mthly'!$I$26:$T$26))</f>
        <v>R</v>
      </c>
      <c r="CC120" s="199" t="str">
        <f>IF(CC$7&gt;$D$3,"",_xlfn.XLOOKUP(CC$8,'HR mthly'!$I$6:$T$6,'HR mthly'!$I$26:$T$26))</f>
        <v/>
      </c>
      <c r="CD120" s="199" t="str">
        <f>IF(CD$7&gt;$D$3,"",_xlfn.XLOOKUP(CD$8,'HR mthly'!$I$6:$T$6,'HR mthly'!$I$26:$T$26))</f>
        <v/>
      </c>
      <c r="CE120" s="199" t="str">
        <f>IF(CE$7&gt;$D$3,"",_xlfn.XLOOKUP(CE$8,'HR mthly'!$I$6:$T$6,'HR mthly'!$I$26:$T$26))</f>
        <v/>
      </c>
      <c r="CF120" s="199" t="str">
        <f>IF(CF$7&gt;$D$3,"",_xlfn.XLOOKUP(CF$8,'HR mthly'!$I$6:$T$6,'HR mthly'!$I$26:$T$26))</f>
        <v/>
      </c>
      <c r="CG120" s="199" t="str">
        <f>IF(CG$7&gt;$D$3,"",_xlfn.XLOOKUP(CG$8,'HR mthly'!$I$6:$T$6,'HR mthly'!$I$26:$T$26))</f>
        <v/>
      </c>
      <c r="CH120" s="199" t="str">
        <f>IF(CH$7&gt;$D$3,"",_xlfn.XLOOKUP(CH$8,'HR mthly'!$I$6:$T$6,'HR mthly'!$I$26:$T$26))</f>
        <v/>
      </c>
      <c r="CI120" s="199" t="str">
        <f>IF(CI$7&gt;$D$3,"",_xlfn.XLOOKUP(CI$8,'HR mthly'!$I$6:$T$6,'HR mthly'!$I$26:$T$26))</f>
        <v/>
      </c>
      <c r="CJ120" s="199" t="str">
        <f>IF(CJ$7&gt;$D$3,"",_xlfn.XLOOKUP(CJ$8,'HR mthly'!$I$6:$T$6,'HR mthly'!$I$26:$T$26))</f>
        <v/>
      </c>
      <c r="CK120" s="199" t="str">
        <f>IF(CK$7&gt;$D$3,"",_xlfn.XLOOKUP(CK$8,'HR mthly'!$I$6:$T$6,'HR mthly'!$I$26:$T$26))</f>
        <v/>
      </c>
      <c r="CL120" s="199" t="str">
        <f>IF(CL$7&gt;$D$3,"",_xlfn.XLOOKUP(CL$8,'HR mthly'!$I$6:$T$6,'HR mthly'!$I$26:$T$26))</f>
        <v/>
      </c>
      <c r="CM120" s="199" t="str">
        <f>IF(CM$7&gt;$D$3,"",_xlfn.XLOOKUP(CM$8,'HR mthly'!$I$6:$T$6,'HR mthly'!$I$26:$T$26))</f>
        <v/>
      </c>
      <c r="CO120" s="465" t="str">
        <f t="shared" si="641"/>
        <v>HR-KPI Q1</v>
      </c>
      <c r="CP120" s="136" t="str">
        <f t="shared" si="642"/>
        <v>KPI Q1</v>
      </c>
      <c r="CQ120" s="144" t="str">
        <f t="shared" si="642"/>
        <v>Quality</v>
      </c>
      <c r="CR120" s="144" t="str">
        <f t="shared" si="605"/>
        <v>Management Feed Back Score</v>
      </c>
      <c r="CS120" s="145" t="str">
        <f t="shared" si="605"/>
        <v>Percentage</v>
      </c>
      <c r="CT120" s="207" t="s">
        <v>246</v>
      </c>
      <c r="CU120" s="423" t="str">
        <f>IF(CU$7&gt;$D$3,"",_xlfn.XLOOKUP(CU$7,IT!$M$6:$BM$6,IT!$M$16:$BM$16))</f>
        <v>Blank</v>
      </c>
      <c r="CV120" s="323">
        <f>IF(CV$7&gt;$D$3,"",IF(AN120="OD","OD",IF(AN120="Missed","Missed",IF(AN120="TBC","TBC",IF(AN120="Undefined","Undefined",_xlfn.XLOOKUP(CV$8,'HR mthly'!$I$6:$T$6,'HR mthly'!$I$25:$T$25)/_xlfn.XLOOKUP(CV$8,'HR mthly'!$I$6:$T$6,'HR mthly'!$I$24:$T$24))))))</f>
        <v>0.80000000000000016</v>
      </c>
      <c r="CW120" s="323">
        <f>IF(CW$7&gt;$D$3,"",IF(AO120="OD","OD",IF(AO120="Missed","Missed",IF(AO120="TBC","TBC",IF(AO120="Undefined","Undefined",_xlfn.XLOOKUP(CW$8,'HR mthly'!$I$6:$T$6,'HR mthly'!$I$25:$T$25)/_xlfn.XLOOKUP(CW$8,'HR mthly'!$I$6:$T$6,'HR mthly'!$I$24:$T$24))))))</f>
        <v>0.80000000000000016</v>
      </c>
      <c r="CX120" s="323">
        <f>IF(CX$7&gt;$D$3,"",IF(AP120="OD","OD",IF(AP120="Missed","Missed",IF(AP120="TBC","TBC",IF(AP120="Undefined","Undefined",_xlfn.XLOOKUP(CX$8,'HR mthly'!$I$6:$T$6,'HR mthly'!$I$25:$T$25)/_xlfn.XLOOKUP(CX$8,'HR mthly'!$I$6:$T$6,'HR mthly'!$I$24:$T$24))))))</f>
        <v>0.80000000000000016</v>
      </c>
      <c r="CY120" s="323">
        <f>IF(CY$7&gt;$D$3,"",IF(AQ120="OD","OD",IF(AQ120="Missed","Missed",IF(AQ120="TBC","TBC",IF(AQ120="Undefined","Undefined",_xlfn.XLOOKUP(CY$8,'HR mthly'!$I$6:$T$6,'HR mthly'!$I$25:$T$25)/_xlfn.XLOOKUP(CY$8,'HR mthly'!$I$6:$T$6,'HR mthly'!$I$24:$T$24))))))</f>
        <v>0.80000000000000016</v>
      </c>
      <c r="CZ120" s="323">
        <f>IF(CZ$7&gt;$D$3,"",IF(AR120="OD","OD",IF(AR120="Missed","Missed",IF(AR120="TBC","TBC",IF(AR120="Undefined","Undefined",_xlfn.XLOOKUP(CZ$8,'HR mthly'!$I$6:$T$6,'HR mthly'!$I$25:$T$25)/_xlfn.XLOOKUP(CZ$8,'HR mthly'!$I$6:$T$6,'HR mthly'!$I$24:$T$24))))))</f>
        <v>0.80000000000000016</v>
      </c>
      <c r="DA120" s="323">
        <f>IF(DA$7&gt;$D$3,"",IF(AS120="OD","OD",IF(AS120="Missed","Missed",IF(AS120="TBC","TBC",IF(AS120="Undefined","Undefined",_xlfn.XLOOKUP(DA$8,'HR mthly'!$I$6:$T$6,'HR mthly'!$I$25:$T$25)/_xlfn.XLOOKUP(DA$8,'HR mthly'!$I$6:$T$6,'HR mthly'!$I$24:$T$24))))))</f>
        <v>0.80000000000000016</v>
      </c>
      <c r="DB120" s="323">
        <f>IF(DB$7&gt;$D$3,"",IF(AT120="OD","OD",IF(AT120="Missed","Missed",IF(AT120="TBC","TBC",IF(AT120="Undefined","Undefined",_xlfn.XLOOKUP(DB$8,'HR mthly'!$I$6:$T$6,'HR mthly'!$I$25:$T$25)/_xlfn.XLOOKUP(DB$8,'HR mthly'!$I$6:$T$6,'HR mthly'!$I$24:$T$24))))))</f>
        <v>0.80000000000000016</v>
      </c>
      <c r="DC120" s="323">
        <f>IF(DC$7&gt;$D$3,"",IF(AU120="OD","OD",IF(AU120="Missed","Missed",IF(AU120="TBC","TBC",IF(AU120="Undefined","Undefined",_xlfn.XLOOKUP(DC$8,'HR mthly'!$I$6:$T$6,'HR mthly'!$I$25:$T$25)/_xlfn.XLOOKUP(DC$8,'HR mthly'!$I$6:$T$6,'HR mthly'!$I$24:$T$24))))))</f>
        <v>0.80000000000000016</v>
      </c>
      <c r="DD120" s="323">
        <f>IF(DD$7&gt;$D$3,"",IF(AV120="OD","OD",IF(AV120="Missed","Missed",IF(AV120="TBC","TBC",IF(AV120="Undefined","Undefined",_xlfn.XLOOKUP(DD$8,'HR mthly'!$I$6:$T$6,'HR mthly'!$I$25:$T$25)/_xlfn.XLOOKUP(DD$8,'HR mthly'!$I$6:$T$6,'HR mthly'!$I$24:$T$24))))))</f>
        <v>0.80000000000000016</v>
      </c>
      <c r="DE120" s="323">
        <f>IF(DE$7&gt;$D$3,"",IF(AW120="OD","OD",IF(AW120="Missed","Missed",IF(AW120="TBC","TBC",IF(AW120="Undefined","Undefined",_xlfn.XLOOKUP(DE$8,'HR mthly'!$I$6:$T$6,'HR mthly'!$I$25:$T$25)/_xlfn.XLOOKUP(DE$8,'HR mthly'!$I$6:$T$6,'HR mthly'!$I$24:$T$24))))))</f>
        <v>0.80000000000000016</v>
      </c>
      <c r="DF120" s="323">
        <f>IF(DF$7&gt;$D$3,"",IF(AX120="OD","OD",IF(AX120="Missed","Missed",IF(AX120="TBC","TBC",IF(AX120="Undefined","Undefined",_xlfn.XLOOKUP(DF$8,'HR mthly'!$I$6:$T$6,'HR mthly'!$I$25:$T$25)/_xlfn.XLOOKUP(DF$8,'HR mthly'!$I$6:$T$6,'HR mthly'!$I$24:$T$24))))))</f>
        <v>0.80000000000000016</v>
      </c>
      <c r="DG120" s="323">
        <f>IF(DG$7&gt;$D$3,"",IF(AY120="OD","OD",IF(AY120="Missed","Missed",IF(AY120="TBC","TBC",IF(AY120="Undefined","Undefined",_xlfn.XLOOKUP(DG$8,'HR mthly'!$I$6:$T$6,'HR mthly'!$I$25:$T$25)/_xlfn.XLOOKUP(DG$8,'HR mthly'!$I$6:$T$6,'HR mthly'!$I$24:$T$24))))))</f>
        <v>0.80000000000000016</v>
      </c>
      <c r="DH120" s="323">
        <f>IF(DH$7&gt;$D$3,"",IF(AZ120="OD","OD",IF(AZ120="Missed","Missed",IF(AZ120="TBC","TBC",IF(AZ120="Undefined","Undefined",_xlfn.XLOOKUP(DH$8,'HR mthly'!$I$6:$T$6,'HR mthly'!$I$25:$T$25)/_xlfn.XLOOKUP(DH$8,'HR mthly'!$I$6:$T$6,'HR mthly'!$I$24:$T$24))))))</f>
        <v>0.80000000000000016</v>
      </c>
      <c r="DI120" s="323">
        <f>IF(DI$7&gt;$D$3,"",IF(BA120="OD","OD",IF(BA120="Missed","Missed",IF(BA120="TBC","TBC",IF(BA120="Undefined","Undefined",_xlfn.XLOOKUP(DI$8,'HR mthly'!$I$6:$T$6,'HR mthly'!$I$25:$T$25)/_xlfn.XLOOKUP(DI$8,'HR mthly'!$I$6:$T$6,'HR mthly'!$I$24:$T$24))))))</f>
        <v>0.80000000000000016</v>
      </c>
      <c r="DJ120" s="323">
        <f>IF(DJ$7&gt;$D$3,"",IF(BB120="OD","OD",IF(BB120="Missed","Missed",IF(BB120="TBC","TBC",IF(BB120="Undefined","Undefined",_xlfn.XLOOKUP(DJ$8,'HR mthly'!$I$6:$T$6,'HR mthly'!$I$25:$T$25)/_xlfn.XLOOKUP(DJ$8,'HR mthly'!$I$6:$T$6,'HR mthly'!$I$24:$T$24))))))</f>
        <v>0.80000000000000016</v>
      </c>
      <c r="DK120" s="323">
        <f>IF(DK$7&gt;$D$3,"",IF(BC120="OD","OD",IF(BC120="Missed","Missed",IF(BC120="TBC","TBC",IF(BC120="Undefined","Undefined",_xlfn.XLOOKUP(DK$8,'HR mthly'!$I$6:$T$6,'HR mthly'!$I$25:$T$25)/_xlfn.XLOOKUP(DK$8,'HR mthly'!$I$6:$T$6,'HR mthly'!$I$24:$T$24))))))</f>
        <v>0.80000000000000016</v>
      </c>
      <c r="DL120" s="323">
        <f>IF(DL$7&gt;$D$3,"",IF(BD120="OD","OD",IF(BD120="Missed","Missed",IF(BD120="TBC","TBC",IF(BD120="Undefined","Undefined",_xlfn.XLOOKUP(DL$8,'HR mthly'!$I$6:$T$6,'HR mthly'!$I$25:$T$25)/_xlfn.XLOOKUP(DL$8,'HR mthly'!$I$6:$T$6,'HR mthly'!$I$24:$T$24))))))</f>
        <v>0.80000000000000016</v>
      </c>
      <c r="DM120" s="323">
        <f>IF(DM$7&gt;$D$3,"",IF(BE120="OD","OD",IF(BE120="Missed","Missed",IF(BE120="TBC","TBC",IF(BE120="Undefined","Undefined",_xlfn.XLOOKUP(DM$8,'HR mthly'!$I$6:$T$6,'HR mthly'!$I$25:$T$25)/_xlfn.XLOOKUP(DM$8,'HR mthly'!$I$6:$T$6,'HR mthly'!$I$24:$T$24))))))</f>
        <v>0.80000000000000016</v>
      </c>
      <c r="DN120" s="323">
        <f>IF(DN$7&gt;$D$3,"",IF(BF120="OD","OD",IF(BF120="Missed","Missed",IF(BF120="TBC","TBC",IF(BF120="Undefined","Undefined",_xlfn.XLOOKUP(DN$8,'HR mthly'!$I$6:$T$6,'HR mthly'!$I$25:$T$25)/_xlfn.XLOOKUP(DN$8,'HR mthly'!$I$6:$T$6,'HR mthly'!$I$24:$T$24))))))</f>
        <v>0.80000000000000016</v>
      </c>
      <c r="DO120" s="323">
        <f>IF(DO$7&gt;$D$3,"",IF(BG120="OD","OD",IF(BG120="Missed","Missed",IF(BG120="TBC","TBC",IF(BG120="Undefined","Undefined",_xlfn.XLOOKUP(DO$8,'HR mthly'!$I$6:$T$6,'HR mthly'!$I$25:$T$25)/_xlfn.XLOOKUP(DO$8,'HR mthly'!$I$6:$T$6,'HR mthly'!$I$24:$T$24))))))</f>
        <v>0.80000000000000016</v>
      </c>
      <c r="DP120" s="323">
        <f>IF(DP$7&gt;$D$3,"",IF(BH120="OD","OD",IF(BH120="Missed","Missed",IF(BH120="TBC","TBC",IF(BH120="Undefined","Undefined",_xlfn.XLOOKUP(DP$8,'HR mthly'!$I$6:$T$6,'HR mthly'!$I$25:$T$25)/_xlfn.XLOOKUP(DP$8,'HR mthly'!$I$6:$T$6,'HR mthly'!$I$24:$T$24))))))</f>
        <v>0.80000000000000016</v>
      </c>
      <c r="DQ120" s="323">
        <f>IF(DQ$7&gt;$D$3,"",IF(BI120="OD","OD",IF(BI120="Missed","Missed",IF(BI120="TBC","TBC",IF(BI120="Undefined","Undefined",_xlfn.XLOOKUP(DQ$8,'HR mthly'!$I$6:$T$6,'HR mthly'!$I$25:$T$25)/_xlfn.XLOOKUP(DQ$8,'HR mthly'!$I$6:$T$6,'HR mthly'!$I$24:$T$24))))))</f>
        <v>0.80000000000000016</v>
      </c>
      <c r="DR120" s="323">
        <f>IF(DR$7&gt;$D$3,"",IF(BJ120="OD","OD",IF(BJ120="Missed","Missed",IF(BJ120="TBC","TBC",IF(BJ120="Undefined","Undefined",_xlfn.XLOOKUP(DR$8,'HR mthly'!$I$6:$T$6,'HR mthly'!$I$25:$T$25)/_xlfn.XLOOKUP(DR$8,'HR mthly'!$I$6:$T$6,'HR mthly'!$I$24:$T$24))))))</f>
        <v>0.80000000000000016</v>
      </c>
      <c r="DS120" s="323">
        <f>IF(DS$7&gt;$D$3,"",IF(BK120="OD","OD",IF(BK120="Missed","Missed",IF(BK120="TBC","TBC",IF(BK120="Undefined","Undefined",_xlfn.XLOOKUP(DS$8,'HR mthly'!$I$6:$T$6,'HR mthly'!$I$25:$T$25)/_xlfn.XLOOKUP(DS$8,'HR mthly'!$I$6:$T$6,'HR mthly'!$I$24:$T$24))))))</f>
        <v>0.80000000000000016</v>
      </c>
      <c r="DT120" s="323">
        <f>IF(DT$7&gt;$D$3,"",IF(BL120="OD","OD",IF(BL120="Missed","Missed",IF(BL120="TBC","TBC",IF(BL120="Undefined","Undefined",_xlfn.XLOOKUP(DT$8,'HR mthly'!$I$6:$T$6,'HR mthly'!$I$25:$T$25)/_xlfn.XLOOKUP(DT$8,'HR mthly'!$I$6:$T$6,'HR mthly'!$I$24:$T$24))))))</f>
        <v>0.80000000000000016</v>
      </c>
      <c r="DU120" s="323">
        <f>IF(DU$7&gt;$D$3,"",IF(BM120="OD","OD",IF(BM120="Missed","Missed",IF(BM120="TBC","TBC",IF(BM120="Undefined","Undefined",_xlfn.XLOOKUP(DU$8,'HR mthly'!$I$6:$T$6,'HR mthly'!$I$25:$T$25)/_xlfn.XLOOKUP(DU$8,'HR mthly'!$I$6:$T$6,'HR mthly'!$I$24:$T$24))))))</f>
        <v>0.80000000000000016</v>
      </c>
      <c r="DV120" s="323">
        <f>IF(DV$7&gt;$D$3,"",IF(BN120="OD","OD",IF(BN120="Missed","Missed",IF(BN120="TBC","TBC",IF(BN120="Undefined","Undefined",_xlfn.XLOOKUP(DV$8,'HR mthly'!$I$6:$T$6,'HR mthly'!$I$25:$T$25)/_xlfn.XLOOKUP(DV$8,'HR mthly'!$I$6:$T$6,'HR mthly'!$I$24:$T$24))))))</f>
        <v>0.80000000000000016</v>
      </c>
      <c r="DW120" s="323">
        <f>IF(DW$7&gt;$D$3,"",IF(BO120="OD","OD",IF(BO120="Missed","Missed",IF(BO120="TBC","TBC",IF(BO120="Undefined","Undefined",_xlfn.XLOOKUP(DW$8,'HR mthly'!$I$6:$T$6,'HR mthly'!$I$25:$T$25)/_xlfn.XLOOKUP(DW$8,'HR mthly'!$I$6:$T$6,'HR mthly'!$I$24:$T$24))))))</f>
        <v>0.80000000000000016</v>
      </c>
      <c r="DX120" s="323">
        <f>IF(DX$7&gt;$D$3,"",IF(BP120="OD","OD",IF(BP120="Missed","Missed",IF(BP120="TBC","TBC",IF(BP120="Undefined","Undefined",_xlfn.XLOOKUP(DX$8,'HR mthly'!$I$6:$T$6,'HR mthly'!$I$25:$T$25)/_xlfn.XLOOKUP(DX$8,'HR mthly'!$I$6:$T$6,'HR mthly'!$I$24:$T$24))))))</f>
        <v>0.80000000000000016</v>
      </c>
      <c r="DY120" s="323">
        <f>IF(DY$7&gt;$D$3,"",IF(BQ120="OD","OD",IF(BQ120="Missed","Missed",IF(BQ120="TBC","TBC",IF(BQ120="Undefined","Undefined",_xlfn.XLOOKUP(DY$8,'HR mthly'!$I$6:$T$6,'HR mthly'!$I$25:$T$25)/_xlfn.XLOOKUP(DY$8,'HR mthly'!$I$6:$T$6,'HR mthly'!$I$24:$T$24))))))</f>
        <v>0.80000000000000016</v>
      </c>
      <c r="DZ120" s="323">
        <f>IF(DZ$7&gt;$D$3,"",IF(BR120="OD","OD",IF(BR120="Missed","Missed",IF(BR120="TBC","TBC",IF(BR120="Undefined","Undefined",_xlfn.XLOOKUP(DZ$8,'HR mthly'!$I$6:$T$6,'HR mthly'!$I$25:$T$25)/_xlfn.XLOOKUP(DZ$8,'HR mthly'!$I$6:$T$6,'HR mthly'!$I$24:$T$24))))))</f>
        <v>0.80000000000000016</v>
      </c>
      <c r="EA120" s="323">
        <f>IF(EA$7&gt;$D$3,"",IF(BS120="OD","OD",IF(BS120="Missed","Missed",IF(BS120="TBC","TBC",IF(BS120="Undefined","Undefined",_xlfn.XLOOKUP(EA$8,'HR mthly'!$I$6:$T$6,'HR mthly'!$I$25:$T$25)/_xlfn.XLOOKUP(EA$8,'HR mthly'!$I$6:$T$6,'HR mthly'!$I$24:$T$24))))))</f>
        <v>0.80000000000000016</v>
      </c>
      <c r="EB120" s="323">
        <f>IF(EB$7&gt;$D$3,"",IF(BT120="OD","OD",IF(BT120="Missed","Missed",IF(BT120="TBC","TBC",IF(BT120="Undefined","Undefined",_xlfn.XLOOKUP(EB$8,'HR mthly'!$I$6:$T$6,'HR mthly'!$I$25:$T$25)/_xlfn.XLOOKUP(EB$8,'HR mthly'!$I$6:$T$6,'HR mthly'!$I$24:$T$24))))))</f>
        <v>0.80000000000000016</v>
      </c>
      <c r="EC120" s="323">
        <f>IF(EC$7&gt;$D$3,"",IF(BU120="OD","OD",IF(BU120="Missed","Missed",IF(BU120="TBC","TBC",IF(BU120="Undefined","Undefined",_xlfn.XLOOKUP(EC$8,'HR mthly'!$I$6:$T$6,'HR mthly'!$I$25:$T$25)/_xlfn.XLOOKUP(EC$8,'HR mthly'!$I$6:$T$6,'HR mthly'!$I$24:$T$24))))))</f>
        <v>0.80000000000000016</v>
      </c>
      <c r="ED120" s="323">
        <f>IF(ED$7&gt;$D$3,"",IF(BV120="OD","OD",IF(BV120="Missed","Missed",IF(BV120="TBC","TBC",IF(BV120="Undefined","Undefined",_xlfn.XLOOKUP(ED$8,'HR mthly'!$I$6:$T$6,'HR mthly'!$I$25:$T$25)/_xlfn.XLOOKUP(ED$8,'HR mthly'!$I$6:$T$6,'HR mthly'!$I$24:$T$24))))))</f>
        <v>0.80000000000000016</v>
      </c>
      <c r="EE120" s="323">
        <f>IF(EE$7&gt;$D$3,"",IF(BW120="OD","OD",IF(BW120="Missed","Missed",IF(BW120="TBC","TBC",IF(BW120="Undefined","Undefined",_xlfn.XLOOKUP(EE$8,'HR mthly'!$I$6:$T$6,'HR mthly'!$I$25:$T$25)/_xlfn.XLOOKUP(EE$8,'HR mthly'!$I$6:$T$6,'HR mthly'!$I$24:$T$24))))))</f>
        <v>0.80000000000000016</v>
      </c>
      <c r="EF120" s="323">
        <f>IF(EF$7&gt;$D$3,"",IF(BX120="OD","OD",IF(BX120="Missed","Missed",IF(BX120="TBC","TBC",IF(BX120="Undefined","Undefined",_xlfn.XLOOKUP(EF$8,'HR mthly'!$I$6:$T$6,'HR mthly'!$I$25:$T$25)/_xlfn.XLOOKUP(EF$8,'HR mthly'!$I$6:$T$6,'HR mthly'!$I$24:$T$24))))))</f>
        <v>0.80000000000000016</v>
      </c>
      <c r="EG120" s="323">
        <f>IF(EG$7&gt;$D$3,"",IF(BY120="OD","OD",IF(BY120="Missed","Missed",IF(BY120="TBC","TBC",IF(BY120="Undefined","Undefined",_xlfn.XLOOKUP(EG$8,'HR mthly'!$I$6:$T$6,'HR mthly'!$I$25:$T$25)/_xlfn.XLOOKUP(EG$8,'HR mthly'!$I$6:$T$6,'HR mthly'!$I$24:$T$24))))))</f>
        <v>0.80000000000000016</v>
      </c>
      <c r="EH120" s="323">
        <f>IF(EH$7&gt;$D$3,"",IF(BZ120="OD","OD",IF(BZ120="Missed","Missed",IF(BZ120="TBC","TBC",IF(BZ120="Undefined","Undefined",_xlfn.XLOOKUP(EH$8,'HR mthly'!$I$6:$T$6,'HR mthly'!$I$25:$T$25)/_xlfn.XLOOKUP(EH$8,'HR mthly'!$I$6:$T$6,'HR mthly'!$I$24:$T$24))))))</f>
        <v>0.80000000000000016</v>
      </c>
      <c r="EI120" s="323">
        <f>IF(EI$7&gt;$D$3,"",IF(CA120="OD","OD",IF(CA120="Missed","Missed",IF(CA120="TBC","TBC",IF(CA120="Undefined","Undefined",_xlfn.XLOOKUP(EI$8,'HR mthly'!$I$6:$T$6,'HR mthly'!$I$25:$T$25)/_xlfn.XLOOKUP(EI$8,'HR mthly'!$I$6:$T$6,'HR mthly'!$I$24:$T$24))))))</f>
        <v>0.80000000000000016</v>
      </c>
      <c r="EJ120" s="323">
        <f>IF(EJ$7&gt;$D$3,"",IF(CB120="OD","OD",IF(CB120="Missed","Missed",IF(CB120="TBC","TBC",IF(CB120="Undefined","Undefined",_xlfn.XLOOKUP(EJ$8,'HR mthly'!$I$6:$T$6,'HR mthly'!$I$25:$T$25)/_xlfn.XLOOKUP(EJ$8,'HR mthly'!$I$6:$T$6,'HR mthly'!$I$24:$T$24))))))</f>
        <v>0.80000000000000016</v>
      </c>
      <c r="EK120" s="323" t="str">
        <f>IF(EK$7&gt;$D$3,"",IF(CC120="OD","OD",IF(CC120="Missed","Missed",IF(CC120="TBC","TBC",IF(CC120="Undefined","Undefined",_xlfn.XLOOKUP(EK$8,'HR mthly'!$I$6:$T$6,'HR mthly'!$I$25:$T$25)/_xlfn.XLOOKUP(EK$8,'HR mthly'!$I$6:$T$6,'HR mthly'!$I$24:$T$24))))))</f>
        <v/>
      </c>
      <c r="EL120" s="323" t="str">
        <f>IF(EL$7&gt;$D$3,"",IF(CD120="OD","OD",IF(CD120="Missed","Missed",IF(CD120="TBC","TBC",IF(CD120="Undefined","Undefined",_xlfn.XLOOKUP(EL$8,'HR mthly'!$I$6:$T$6,'HR mthly'!$I$25:$T$25)/_xlfn.XLOOKUP(EL$8,'HR mthly'!$I$6:$T$6,'HR mthly'!$I$24:$T$24))))))</f>
        <v/>
      </c>
      <c r="EM120" s="323" t="str">
        <f>IF(EM$7&gt;$D$3,"",IF(CE120="OD","OD",IF(CE120="Missed","Missed",IF(CE120="TBC","TBC",IF(CE120="Undefined","Undefined",_xlfn.XLOOKUP(EM$8,'HR mthly'!$I$6:$T$6,'HR mthly'!$I$25:$T$25)/_xlfn.XLOOKUP(EM$8,'HR mthly'!$I$6:$T$6,'HR mthly'!$I$24:$T$24))))))</f>
        <v/>
      </c>
      <c r="EN120" s="323" t="str">
        <f>IF(EN$7&gt;$D$3,"",IF(CF120="OD","OD",IF(CF120="Missed","Missed",IF(CF120="TBC","TBC",IF(CF120="Undefined","Undefined",_xlfn.XLOOKUP(EN$8,'HR mthly'!$I$6:$T$6,'HR mthly'!$I$25:$T$25)/_xlfn.XLOOKUP(EN$8,'HR mthly'!$I$6:$T$6,'HR mthly'!$I$24:$T$24))))))</f>
        <v/>
      </c>
      <c r="EO120" s="323" t="str">
        <f>IF(EO$7&gt;$D$3,"",IF(CG120="OD","OD",IF(CG120="Missed","Missed",IF(CG120="TBC","TBC",IF(CG120="Undefined","Undefined",_xlfn.XLOOKUP(EO$8,'HR mthly'!$I$6:$T$6,'HR mthly'!$I$25:$T$25)/_xlfn.XLOOKUP(EO$8,'HR mthly'!$I$6:$T$6,'HR mthly'!$I$24:$T$24))))))</f>
        <v/>
      </c>
      <c r="EP120" s="323" t="str">
        <f>IF(EP$7&gt;$D$3,"",IF(CH120="OD","OD",IF(CH120="Missed","Missed",IF(CH120="TBC","TBC",IF(CH120="Undefined","Undefined",_xlfn.XLOOKUP(EP$8,'HR mthly'!$I$6:$T$6,'HR mthly'!$I$25:$T$25)/_xlfn.XLOOKUP(EP$8,'HR mthly'!$I$6:$T$6,'HR mthly'!$I$24:$T$24))))))</f>
        <v/>
      </c>
      <c r="EQ120" s="323" t="str">
        <f>IF(EQ$7&gt;$D$3,"",IF(CI120="OD","OD",IF(CI120="Missed","Missed",IF(CI120="TBC","TBC",IF(CI120="Undefined","Undefined",_xlfn.XLOOKUP(EQ$8,'HR mthly'!$I$6:$T$6,'HR mthly'!$I$25:$T$25)/_xlfn.XLOOKUP(EQ$8,'HR mthly'!$I$6:$T$6,'HR mthly'!$I$24:$T$24))))))</f>
        <v/>
      </c>
      <c r="ER120" s="323" t="str">
        <f>IF(ER$7&gt;$D$3,"",IF(CJ120="OD","OD",IF(CJ120="Missed","Missed",IF(CJ120="TBC","TBC",IF(CJ120="Undefined","Undefined",_xlfn.XLOOKUP(ER$8,'HR mthly'!$I$6:$T$6,'HR mthly'!$I$25:$T$25)/_xlfn.XLOOKUP(ER$8,'HR mthly'!$I$6:$T$6,'HR mthly'!$I$24:$T$24))))))</f>
        <v/>
      </c>
      <c r="ES120" s="323" t="str">
        <f>IF(ES$7&gt;$D$3,"",IF(CK120="OD","OD",IF(CK120="Missed","Missed",IF(CK120="TBC","TBC",IF(CK120="Undefined","Undefined",_xlfn.XLOOKUP(ES$8,'HR mthly'!$I$6:$T$6,'HR mthly'!$I$25:$T$25)/_xlfn.XLOOKUP(ES$8,'HR mthly'!$I$6:$T$6,'HR mthly'!$I$24:$T$24))))))</f>
        <v/>
      </c>
      <c r="ET120" s="323" t="str">
        <f>IF(ET$7&gt;$D$3,"",IF(CL120="OD","OD",IF(CL120="Missed","Missed",IF(CL120="TBC","TBC",IF(CL120="Undefined","Undefined",_xlfn.XLOOKUP(ET$8,'HR mthly'!$I$6:$T$6,'HR mthly'!$I$25:$T$25)/_xlfn.XLOOKUP(ET$8,'HR mthly'!$I$6:$T$6,'HR mthly'!$I$24:$T$24))))))</f>
        <v/>
      </c>
      <c r="EU120" s="323" t="str">
        <f>IF(EU$7&gt;$D$3,"",IF(CM120="OD","OD",IF(CM120="Missed","Missed",IF(CM120="TBC","TBC",IF(CM120="Undefined","Undefined",_xlfn.XLOOKUP(EU$8,'HR mthly'!$I$6:$T$6,'HR mthly'!$I$25:$T$25)/_xlfn.XLOOKUP(EU$8,'HR mthly'!$I$6:$T$6,'HR mthly'!$I$24:$T$24))))))</f>
        <v/>
      </c>
      <c r="EW120" s="465" t="str">
        <f t="shared" si="643"/>
        <v>HR-KPI Q1</v>
      </c>
      <c r="EX120" s="136" t="str">
        <f t="shared" si="644"/>
        <v>KPI Q1</v>
      </c>
      <c r="EY120" s="144" t="str">
        <f t="shared" si="645"/>
        <v>Quality</v>
      </c>
      <c r="EZ120" s="144" t="str">
        <f t="shared" si="607"/>
        <v>Management Feed Back Score</v>
      </c>
      <c r="FA120" s="145" t="str">
        <f t="shared" si="608"/>
        <v>Percentage</v>
      </c>
      <c r="FB120" s="145" t="s">
        <v>251</v>
      </c>
      <c r="FC120" s="226"/>
      <c r="FD120" s="331">
        <f>IF(FD$7&gt;$D$3,"",_xlfn.XLOOKUP(FD$8,'HR mthly'!$I$6:$T$6,'HR mthly'!$I$25:$T$25))</f>
        <v>0.56000000000000005</v>
      </c>
      <c r="FE120" s="331">
        <f>IF(FE$7&gt;$D$3,"",_xlfn.XLOOKUP(FE$8,'HR mthly'!$I$6:$T$6,'HR mthly'!$I$25:$T$25))</f>
        <v>0.56000000000000005</v>
      </c>
      <c r="FF120" s="331">
        <f>IF(FF$7&gt;$D$3,"",_xlfn.XLOOKUP(FF$8,'HR mthly'!$I$6:$T$6,'HR mthly'!$I$25:$T$25))</f>
        <v>0.56000000000000005</v>
      </c>
      <c r="FG120" s="331">
        <f>IF(FG$7&gt;$D$3,"",_xlfn.XLOOKUP(FG$8,'HR mthly'!$I$6:$T$6,'HR mthly'!$I$25:$T$25))</f>
        <v>0.56000000000000005</v>
      </c>
      <c r="FH120" s="331">
        <f>IF(FH$7&gt;$D$3,"",_xlfn.XLOOKUP(FH$8,'HR mthly'!$I$6:$T$6,'HR mthly'!$I$25:$T$25))</f>
        <v>0.56000000000000005</v>
      </c>
      <c r="FI120" s="331">
        <f>IF(FI$7&gt;$D$3,"",_xlfn.XLOOKUP(FI$8,'HR mthly'!$I$6:$T$6,'HR mthly'!$I$25:$T$25))</f>
        <v>0.56000000000000005</v>
      </c>
      <c r="FJ120" s="331">
        <f>IF(FJ$7&gt;$D$3,"",_xlfn.XLOOKUP(FJ$8,'HR mthly'!$I$6:$T$6,'HR mthly'!$I$25:$T$25))</f>
        <v>0.56000000000000005</v>
      </c>
      <c r="FK120" s="331">
        <f>IF(FK$7&gt;$D$3,"",_xlfn.XLOOKUP(FK$8,'HR mthly'!$I$6:$T$6,'HR mthly'!$I$25:$T$25))</f>
        <v>0.56000000000000005</v>
      </c>
      <c r="FL120" s="331">
        <f>IF(FL$7&gt;$D$3,"",_xlfn.XLOOKUP(FL$8,'HR mthly'!$I$6:$T$6,'HR mthly'!$I$25:$T$25))</f>
        <v>0.56000000000000005</v>
      </c>
      <c r="FM120" s="331">
        <f>IF(FM$7&gt;$D$3,"",_xlfn.XLOOKUP(FM$8,'HR mthly'!$I$6:$T$6,'HR mthly'!$I$25:$T$25))</f>
        <v>0.56000000000000005</v>
      </c>
      <c r="FN120" s="331">
        <f>IF(FN$7&gt;$D$3,"",_xlfn.XLOOKUP(FN$8,'HR mthly'!$I$6:$T$6,'HR mthly'!$I$25:$T$25))</f>
        <v>0.56000000000000005</v>
      </c>
      <c r="FO120" s="331">
        <f>IF(FO$7&gt;$D$3,"",_xlfn.XLOOKUP(FO$8,'HR mthly'!$I$6:$T$6,'HR mthly'!$I$25:$T$25))</f>
        <v>0.56000000000000005</v>
      </c>
      <c r="FP120" s="331">
        <f>IF(FP$7&gt;$D$3,"",_xlfn.XLOOKUP(FP$8,'HR mthly'!$I$6:$T$6,'HR mthly'!$I$25:$T$25))</f>
        <v>0.56000000000000005</v>
      </c>
      <c r="FQ120" s="331">
        <f>IF(FQ$7&gt;$D$3,"",_xlfn.XLOOKUP(FQ$8,'HR mthly'!$I$6:$T$6,'HR mthly'!$I$25:$T$25))</f>
        <v>0.56000000000000005</v>
      </c>
      <c r="FR120" s="331">
        <f>IF(FR$7&gt;$D$3,"",_xlfn.XLOOKUP(FR$8,'HR mthly'!$I$6:$T$6,'HR mthly'!$I$25:$T$25))</f>
        <v>0.56000000000000005</v>
      </c>
      <c r="FS120" s="331">
        <f>IF(FS$7&gt;$D$3,"",_xlfn.XLOOKUP(FS$8,'HR mthly'!$I$6:$T$6,'HR mthly'!$I$25:$T$25))</f>
        <v>0.56000000000000005</v>
      </c>
      <c r="FT120" s="331">
        <f>IF(FT$7&gt;$D$3,"",_xlfn.XLOOKUP(FT$8,'HR mthly'!$I$6:$T$6,'HR mthly'!$I$25:$T$25))</f>
        <v>0.56000000000000005</v>
      </c>
      <c r="FU120" s="331">
        <f>IF(FU$7&gt;$D$3,"",_xlfn.XLOOKUP(FU$8,'HR mthly'!$I$6:$T$6,'HR mthly'!$I$25:$T$25))</f>
        <v>0.56000000000000005</v>
      </c>
      <c r="FV120" s="331">
        <f>IF(FV$7&gt;$D$3,"",_xlfn.XLOOKUP(FV$8,'HR mthly'!$I$6:$T$6,'HR mthly'!$I$25:$T$25))</f>
        <v>0.56000000000000005</v>
      </c>
      <c r="FW120" s="331">
        <f>IF(FW$7&gt;$D$3,"",_xlfn.XLOOKUP(FW$8,'HR mthly'!$I$6:$T$6,'HR mthly'!$I$25:$T$25))</f>
        <v>0.56000000000000005</v>
      </c>
      <c r="FX120" s="331">
        <f>IF(FX$7&gt;$D$3,"",_xlfn.XLOOKUP(FX$8,'HR mthly'!$I$6:$T$6,'HR mthly'!$I$25:$T$25))</f>
        <v>0.56000000000000005</v>
      </c>
      <c r="FY120" s="331">
        <f>IF(FY$7&gt;$D$3,"",_xlfn.XLOOKUP(FY$8,'HR mthly'!$I$6:$T$6,'HR mthly'!$I$25:$T$25))</f>
        <v>0.56000000000000005</v>
      </c>
      <c r="FZ120" s="331">
        <f>IF(FZ$7&gt;$D$3,"",_xlfn.XLOOKUP(FZ$8,'HR mthly'!$I$6:$T$6,'HR mthly'!$I$25:$T$25))</f>
        <v>0.56000000000000005</v>
      </c>
      <c r="GA120" s="331">
        <f>IF(GA$7&gt;$D$3,"",_xlfn.XLOOKUP(GA$8,'HR mthly'!$I$6:$T$6,'HR mthly'!$I$25:$T$25))</f>
        <v>0.56000000000000005</v>
      </c>
      <c r="GB120" s="331">
        <f>IF(GB$7&gt;$D$3,"",_xlfn.XLOOKUP(GB$8,'HR mthly'!$I$6:$T$6,'HR mthly'!$I$25:$T$25))</f>
        <v>0.56000000000000005</v>
      </c>
      <c r="GC120" s="331">
        <f>IF(GC$7&gt;$D$3,"",_xlfn.XLOOKUP(GC$8,'HR mthly'!$I$6:$T$6,'HR mthly'!$I$25:$T$25))</f>
        <v>0.56000000000000005</v>
      </c>
      <c r="GD120" s="331">
        <f>IF(GD$7&gt;$D$3,"",_xlfn.XLOOKUP(GD$8,'HR mthly'!$I$6:$T$6,'HR mthly'!$I$25:$T$25))</f>
        <v>0.56000000000000005</v>
      </c>
      <c r="GE120" s="331">
        <f>IF(GE$7&gt;$D$3,"",_xlfn.XLOOKUP(GE$8,'HR mthly'!$I$6:$T$6,'HR mthly'!$I$25:$T$25))</f>
        <v>0.56000000000000005</v>
      </c>
      <c r="GF120" s="331">
        <f>IF(GF$7&gt;$D$3,"",_xlfn.XLOOKUP(GF$8,'HR mthly'!$I$6:$T$6,'HR mthly'!$I$25:$T$25))</f>
        <v>0.56000000000000005</v>
      </c>
      <c r="GG120" s="331">
        <f>IF(GG$7&gt;$D$3,"",_xlfn.XLOOKUP(GG$8,'HR mthly'!$I$6:$T$6,'HR mthly'!$I$25:$T$25))</f>
        <v>0.56000000000000005</v>
      </c>
      <c r="GH120" s="331">
        <f>IF(GH$7&gt;$D$3,"",_xlfn.XLOOKUP(GH$8,'HR mthly'!$I$6:$T$6,'HR mthly'!$I$25:$T$25))</f>
        <v>0.56000000000000005</v>
      </c>
      <c r="GI120" s="331">
        <f>IF(GI$7&gt;$D$3,"",_xlfn.XLOOKUP(GI$8,'HR mthly'!$I$6:$T$6,'HR mthly'!$I$25:$T$25))</f>
        <v>0.56000000000000005</v>
      </c>
      <c r="GJ120" s="331">
        <f>IF(GJ$7&gt;$D$3,"",_xlfn.XLOOKUP(GJ$8,'HR mthly'!$I$6:$T$6,'HR mthly'!$I$25:$T$25))</f>
        <v>0.56000000000000005</v>
      </c>
      <c r="GK120" s="331">
        <f>IF(GK$7&gt;$D$3,"",_xlfn.XLOOKUP(GK$8,'HR mthly'!$I$6:$T$6,'HR mthly'!$I$25:$T$25))</f>
        <v>0.56000000000000005</v>
      </c>
      <c r="GL120" s="331">
        <f>IF(GL$7&gt;$D$3,"",_xlfn.XLOOKUP(GL$8,'HR mthly'!$I$6:$T$6,'HR mthly'!$I$25:$T$25))</f>
        <v>0.56000000000000005</v>
      </c>
      <c r="GM120" s="331">
        <f>IF(GM$7&gt;$D$3,"",_xlfn.XLOOKUP(GM$8,'HR mthly'!$I$6:$T$6,'HR mthly'!$I$25:$T$25))</f>
        <v>0.56000000000000005</v>
      </c>
      <c r="GN120" s="331">
        <f>IF(GN$7&gt;$D$3,"",_xlfn.XLOOKUP(GN$8,'HR mthly'!$I$6:$T$6,'HR mthly'!$I$25:$T$25))</f>
        <v>0.56000000000000005</v>
      </c>
      <c r="GO120" s="331">
        <f>IF(GO$7&gt;$D$3,"",_xlfn.XLOOKUP(GO$8,'HR mthly'!$I$6:$T$6,'HR mthly'!$I$25:$T$25))</f>
        <v>0.56000000000000005</v>
      </c>
      <c r="GP120" s="331">
        <f>IF(GP$7&gt;$D$3,"",_xlfn.XLOOKUP(GP$8,'HR mthly'!$I$6:$T$6,'HR mthly'!$I$25:$T$25))</f>
        <v>0.56000000000000005</v>
      </c>
      <c r="GQ120" s="331">
        <f>IF(GQ$7&gt;$D$3,"",_xlfn.XLOOKUP(GQ$8,'HR mthly'!$I$6:$T$6,'HR mthly'!$I$25:$T$25))</f>
        <v>0.56000000000000005</v>
      </c>
      <c r="GR120" s="331">
        <f>IF(GR$7&gt;$D$3,"",_xlfn.XLOOKUP(GR$8,'HR mthly'!$I$6:$T$6,'HR mthly'!$I$25:$T$25))</f>
        <v>0.56000000000000005</v>
      </c>
      <c r="GS120" s="331" t="str">
        <f>IF(GS$7&gt;$D$3,"",_xlfn.XLOOKUP(GS$8,'HR mthly'!$I$6:$T$6,'HR mthly'!$I$25:$T$25))</f>
        <v/>
      </c>
      <c r="GT120" s="331" t="str">
        <f>IF(GT$7&gt;$D$3,"",_xlfn.XLOOKUP(GT$8,'HR mthly'!$I$6:$T$6,'HR mthly'!$I$25:$T$25))</f>
        <v/>
      </c>
      <c r="GU120" s="331" t="str">
        <f>IF(GU$7&gt;$D$3,"",_xlfn.XLOOKUP(GU$8,'HR mthly'!$I$6:$T$6,'HR mthly'!$I$25:$T$25))</f>
        <v/>
      </c>
      <c r="GV120" s="331" t="str">
        <f>IF(GV$7&gt;$D$3,"",_xlfn.XLOOKUP(GV$8,'HR mthly'!$I$6:$T$6,'HR mthly'!$I$25:$T$25))</f>
        <v/>
      </c>
      <c r="GW120" s="331" t="str">
        <f>IF(GW$7&gt;$D$3,"",_xlfn.XLOOKUP(GW$8,'HR mthly'!$I$6:$T$6,'HR mthly'!$I$25:$T$25))</f>
        <v/>
      </c>
      <c r="GX120" s="331" t="str">
        <f>IF(GX$7&gt;$D$3,"",_xlfn.XLOOKUP(GX$8,'HR mthly'!$I$6:$T$6,'HR mthly'!$I$25:$T$25))</f>
        <v/>
      </c>
      <c r="GY120" s="331" t="str">
        <f>IF(GY$7&gt;$D$3,"",_xlfn.XLOOKUP(GY$8,'HR mthly'!$I$6:$T$6,'HR mthly'!$I$25:$T$25))</f>
        <v/>
      </c>
      <c r="GZ120" s="331" t="str">
        <f>IF(GZ$7&gt;$D$3,"",_xlfn.XLOOKUP(GZ$8,'HR mthly'!$I$6:$T$6,'HR mthly'!$I$25:$T$25))</f>
        <v/>
      </c>
      <c r="HA120" s="331" t="str">
        <f>IF(HA$7&gt;$D$3,"",_xlfn.XLOOKUP(HA$8,'HR mthly'!$I$6:$T$6,'HR mthly'!$I$25:$T$25))</f>
        <v/>
      </c>
      <c r="HB120" s="331" t="str">
        <f>IF(HB$7&gt;$D$3,"",_xlfn.XLOOKUP(HB$8,'HR mthly'!$I$6:$T$6,'HR mthly'!$I$25:$T$25))</f>
        <v/>
      </c>
      <c r="HC120" s="331" t="str">
        <f>IF(HC$7&gt;$D$3,"",_xlfn.XLOOKUP(HC$8,'HR mthly'!$I$6:$T$6,'HR mthly'!$I$25:$T$25))</f>
        <v/>
      </c>
      <c r="HE120" s="136" t="str">
        <f t="shared" si="646"/>
        <v>KPI Q1</v>
      </c>
      <c r="HF120" s="144" t="str">
        <f t="shared" si="647"/>
        <v>Quality</v>
      </c>
      <c r="HG120" s="144" t="str">
        <f t="shared" si="611"/>
        <v>Management Feed Back Score</v>
      </c>
      <c r="HH120" s="145" t="str">
        <f t="shared" si="612"/>
        <v>Percentage</v>
      </c>
      <c r="HI120" s="145" t="s">
        <v>44</v>
      </c>
      <c r="HJ120" s="226" t="s">
        <v>122</v>
      </c>
      <c r="HK120" s="331">
        <f>IF(HK$7&gt;$D$3,"",_xlfn.XLOOKUP(HK$8,'HR mthly'!$I$6:$T$6,'HR mthly'!$I$24:$T$24))</f>
        <v>0.7</v>
      </c>
      <c r="HL120" s="331">
        <f>IF(HL$7&gt;$D$3,"",_xlfn.XLOOKUP(HL$8,'HR mthly'!$I$6:$T$6,'HR mthly'!$I$24:$T$24))</f>
        <v>0.7</v>
      </c>
      <c r="HM120" s="331">
        <f>IF(HM$7&gt;$D$3,"",_xlfn.XLOOKUP(HM$8,'HR mthly'!$I$6:$T$6,'HR mthly'!$I$24:$T$24))</f>
        <v>0.7</v>
      </c>
      <c r="HN120" s="331">
        <f>IF(HN$7&gt;$D$3,"",_xlfn.XLOOKUP(HN$8,'HR mthly'!$I$6:$T$6,'HR mthly'!$I$24:$T$24))</f>
        <v>0.7</v>
      </c>
      <c r="HO120" s="331">
        <f>IF(HO$7&gt;$D$3,"",_xlfn.XLOOKUP(HO$8,'HR mthly'!$I$6:$T$6,'HR mthly'!$I$24:$T$24))</f>
        <v>0.7</v>
      </c>
      <c r="HP120" s="331">
        <f>IF(HP$7&gt;$D$3,"",_xlfn.XLOOKUP(HP$8,'HR mthly'!$I$6:$T$6,'HR mthly'!$I$24:$T$24))</f>
        <v>0.7</v>
      </c>
      <c r="HQ120" s="331">
        <f>IF(HQ$7&gt;$D$3,"",_xlfn.XLOOKUP(HQ$8,'HR mthly'!$I$6:$T$6,'HR mthly'!$I$24:$T$24))</f>
        <v>0.7</v>
      </c>
      <c r="HR120" s="331">
        <f>IF(HR$7&gt;$D$3,"",_xlfn.XLOOKUP(HR$8,'HR mthly'!$I$6:$T$6,'HR mthly'!$I$24:$T$24))</f>
        <v>0.7</v>
      </c>
      <c r="HS120" s="331">
        <f>IF(HS$7&gt;$D$3,"",_xlfn.XLOOKUP(HS$8,'HR mthly'!$I$6:$T$6,'HR mthly'!$I$24:$T$24))</f>
        <v>0.7</v>
      </c>
      <c r="HT120" s="331">
        <f>IF(HT$7&gt;$D$3,"",_xlfn.XLOOKUP(HT$8,'HR mthly'!$I$6:$T$6,'HR mthly'!$I$24:$T$24))</f>
        <v>0.7</v>
      </c>
      <c r="HU120" s="331">
        <f>IF(HU$7&gt;$D$3,"",_xlfn.XLOOKUP(HU$8,'HR mthly'!$I$6:$T$6,'HR mthly'!$I$24:$T$24))</f>
        <v>0.7</v>
      </c>
      <c r="HV120" s="331">
        <f>IF(HV$7&gt;$D$3,"",_xlfn.XLOOKUP(HV$8,'HR mthly'!$I$6:$T$6,'HR mthly'!$I$24:$T$24))</f>
        <v>0.7</v>
      </c>
      <c r="HW120" s="331">
        <f>IF(HW$7&gt;$D$3,"",_xlfn.XLOOKUP(HW$8,'HR mthly'!$I$6:$T$6,'HR mthly'!$I$24:$T$24))</f>
        <v>0.7</v>
      </c>
      <c r="HX120" s="331">
        <f>IF(HX$7&gt;$D$3,"",_xlfn.XLOOKUP(HX$8,'HR mthly'!$I$6:$T$6,'HR mthly'!$I$24:$T$24))</f>
        <v>0.7</v>
      </c>
      <c r="HY120" s="331">
        <f>IF(HY$7&gt;$D$3,"",_xlfn.XLOOKUP(HY$8,'HR mthly'!$I$6:$T$6,'HR mthly'!$I$24:$T$24))</f>
        <v>0.7</v>
      </c>
      <c r="HZ120" s="331">
        <f>IF(HZ$7&gt;$D$3,"",_xlfn.XLOOKUP(HZ$8,'HR mthly'!$I$6:$T$6,'HR mthly'!$I$24:$T$24))</f>
        <v>0.7</v>
      </c>
      <c r="IA120" s="331">
        <f>IF(IA$7&gt;$D$3,"",_xlfn.XLOOKUP(IA$8,'HR mthly'!$I$6:$T$6,'HR mthly'!$I$24:$T$24))</f>
        <v>0.7</v>
      </c>
      <c r="IB120" s="331">
        <f>IF(IB$7&gt;$D$3,"",_xlfn.XLOOKUP(IB$8,'HR mthly'!$I$6:$T$6,'HR mthly'!$I$24:$T$24))</f>
        <v>0.7</v>
      </c>
      <c r="IC120" s="331">
        <f>IF(IC$7&gt;$D$3,"",_xlfn.XLOOKUP(IC$8,'HR mthly'!$I$6:$T$6,'HR mthly'!$I$24:$T$24))</f>
        <v>0.7</v>
      </c>
      <c r="ID120" s="331">
        <f>IF(ID$7&gt;$D$3,"",_xlfn.XLOOKUP(ID$8,'HR mthly'!$I$6:$T$6,'HR mthly'!$I$24:$T$24))</f>
        <v>0.7</v>
      </c>
      <c r="IE120" s="331">
        <f>IF(IE$7&gt;$D$3,"",_xlfn.XLOOKUP(IE$8,'HR mthly'!$I$6:$T$6,'HR mthly'!$I$24:$T$24))</f>
        <v>0.7</v>
      </c>
      <c r="IF120" s="331">
        <f>IF(IF$7&gt;$D$3,"",_xlfn.XLOOKUP(IF$8,'HR mthly'!$I$6:$T$6,'HR mthly'!$I$24:$T$24))</f>
        <v>0.7</v>
      </c>
      <c r="IG120" s="331">
        <f>IF(IG$7&gt;$D$3,"",_xlfn.XLOOKUP(IG$8,'HR mthly'!$I$6:$T$6,'HR mthly'!$I$24:$T$24))</f>
        <v>0.7</v>
      </c>
      <c r="IH120" s="331">
        <f>IF(IH$7&gt;$D$3,"",_xlfn.XLOOKUP(IH$8,'HR mthly'!$I$6:$T$6,'HR mthly'!$I$24:$T$24))</f>
        <v>0.7</v>
      </c>
      <c r="II120" s="331">
        <f>IF(II$7&gt;$D$3,"",_xlfn.XLOOKUP(II$8,'HR mthly'!$I$6:$T$6,'HR mthly'!$I$24:$T$24))</f>
        <v>0.7</v>
      </c>
      <c r="IJ120" s="331">
        <f>IF(IJ$7&gt;$D$3,"",_xlfn.XLOOKUP(IJ$8,'HR mthly'!$I$6:$T$6,'HR mthly'!$I$24:$T$24))</f>
        <v>0.7</v>
      </c>
      <c r="IK120" s="331">
        <f>IF(IK$7&gt;$D$3,"",_xlfn.XLOOKUP(IK$8,'HR mthly'!$I$6:$T$6,'HR mthly'!$I$24:$T$24))</f>
        <v>0.7</v>
      </c>
      <c r="IL120" s="331">
        <f>IF(IL$7&gt;$D$3,"",_xlfn.XLOOKUP(IL$8,'HR mthly'!$I$6:$T$6,'HR mthly'!$I$24:$T$24))</f>
        <v>0.7</v>
      </c>
      <c r="IM120" s="331">
        <f>IF(IM$7&gt;$D$3,"",_xlfn.XLOOKUP(IM$8,'HR mthly'!$I$6:$T$6,'HR mthly'!$I$24:$T$24))</f>
        <v>0.7</v>
      </c>
      <c r="IN120" s="331">
        <f>IF(IN$7&gt;$D$3,"",_xlfn.XLOOKUP(IN$8,'HR mthly'!$I$6:$T$6,'HR mthly'!$I$24:$T$24))</f>
        <v>0.7</v>
      </c>
      <c r="IO120" s="331">
        <f>IF(IO$7&gt;$D$3,"",_xlfn.XLOOKUP(IO$8,'HR mthly'!$I$6:$T$6,'HR mthly'!$I$24:$T$24))</f>
        <v>0.7</v>
      </c>
      <c r="IP120" s="331">
        <f>IF(IP$7&gt;$D$3,"",_xlfn.XLOOKUP(IP$8,'HR mthly'!$I$6:$T$6,'HR mthly'!$I$24:$T$24))</f>
        <v>0.7</v>
      </c>
      <c r="IQ120" s="331">
        <f>IF(IQ$7&gt;$D$3,"",_xlfn.XLOOKUP(IQ$8,'HR mthly'!$I$6:$T$6,'HR mthly'!$I$24:$T$24))</f>
        <v>0.7</v>
      </c>
      <c r="IR120" s="331">
        <f>IF(IR$7&gt;$D$3,"",_xlfn.XLOOKUP(IR$8,'HR mthly'!$I$6:$T$6,'HR mthly'!$I$24:$T$24))</f>
        <v>0.7</v>
      </c>
      <c r="IS120" s="331">
        <f>IF(IS$7&gt;$D$3,"",_xlfn.XLOOKUP(IS$8,'HR mthly'!$I$6:$T$6,'HR mthly'!$I$24:$T$24))</f>
        <v>0.7</v>
      </c>
      <c r="IT120" s="331">
        <f>IF(IT$7&gt;$D$3,"",_xlfn.XLOOKUP(IT$8,'HR mthly'!$I$6:$T$6,'HR mthly'!$I$24:$T$24))</f>
        <v>0.7</v>
      </c>
      <c r="IU120" s="331">
        <f>IF(IU$7&gt;$D$3,"",_xlfn.XLOOKUP(IU$8,'HR mthly'!$I$6:$T$6,'HR mthly'!$I$24:$T$24))</f>
        <v>0.7</v>
      </c>
      <c r="IV120" s="331">
        <f>IF(IV$7&gt;$D$3,"",_xlfn.XLOOKUP(IV$8,'HR mthly'!$I$6:$T$6,'HR mthly'!$I$24:$T$24))</f>
        <v>0.7</v>
      </c>
      <c r="IW120" s="331">
        <f>IF(IW$7&gt;$D$3,"",_xlfn.XLOOKUP(IW$8,'HR mthly'!$I$6:$T$6,'HR mthly'!$I$24:$T$24))</f>
        <v>0.7</v>
      </c>
      <c r="IX120" s="331">
        <f>IF(IX$7&gt;$D$3,"",_xlfn.XLOOKUP(IX$8,'HR mthly'!$I$6:$T$6,'HR mthly'!$I$24:$T$24))</f>
        <v>0.7</v>
      </c>
      <c r="IY120" s="331">
        <f>IF(IY$7&gt;$D$3,"",_xlfn.XLOOKUP(IY$8,'HR mthly'!$I$6:$T$6,'HR mthly'!$I$24:$T$24))</f>
        <v>0.7</v>
      </c>
      <c r="IZ120" s="331" t="str">
        <f>IF(IZ$7&gt;$D$3,"",_xlfn.XLOOKUP(IZ$8,'HR mthly'!$I$6:$T$6,'HR mthly'!$I$24:$T$24))</f>
        <v/>
      </c>
      <c r="JA120" s="331" t="str">
        <f>IF(JA$7&gt;$D$3,"",_xlfn.XLOOKUP(JA$8,'HR mthly'!$I$6:$T$6,'HR mthly'!$I$24:$T$24))</f>
        <v/>
      </c>
      <c r="JB120" s="331" t="str">
        <f>IF(JB$7&gt;$D$3,"",_xlfn.XLOOKUP(JB$8,'HR mthly'!$I$6:$T$6,'HR mthly'!$I$24:$T$24))</f>
        <v/>
      </c>
      <c r="JC120" s="331" t="str">
        <f>IF(JC$7&gt;$D$3,"",_xlfn.XLOOKUP(JC$8,'HR mthly'!$I$6:$T$6,'HR mthly'!$I$24:$T$24))</f>
        <v/>
      </c>
      <c r="JD120" s="331" t="str">
        <f>IF(JD$7&gt;$D$3,"",_xlfn.XLOOKUP(JD$8,'HR mthly'!$I$6:$T$6,'HR mthly'!$I$24:$T$24))</f>
        <v/>
      </c>
      <c r="JE120" s="331" t="str">
        <f>IF(JE$7&gt;$D$3,"",_xlfn.XLOOKUP(JE$8,'HR mthly'!$I$6:$T$6,'HR mthly'!$I$24:$T$24))</f>
        <v/>
      </c>
      <c r="JF120" s="331" t="str">
        <f>IF(JF$7&gt;$D$3,"",_xlfn.XLOOKUP(JF$8,'HR mthly'!$I$6:$T$6,'HR mthly'!$I$24:$T$24))</f>
        <v/>
      </c>
      <c r="JG120" s="331" t="str">
        <f>IF(JG$7&gt;$D$3,"",_xlfn.XLOOKUP(JG$8,'HR mthly'!$I$6:$T$6,'HR mthly'!$I$24:$T$24))</f>
        <v/>
      </c>
      <c r="JH120" s="331" t="str">
        <f>IF(JH$7&gt;$D$3,"",_xlfn.XLOOKUP(JH$8,'HR mthly'!$I$6:$T$6,'HR mthly'!$I$24:$T$24))</f>
        <v/>
      </c>
      <c r="JI120" s="331" t="str">
        <f>IF(JI$7&gt;$D$3,"",_xlfn.XLOOKUP(JI$8,'HR mthly'!$I$6:$T$6,'HR mthly'!$I$24:$T$24))</f>
        <v/>
      </c>
      <c r="JJ120" s="331" t="str">
        <f>IF(JJ$7&gt;$D$3,"",_xlfn.XLOOKUP(JJ$8,'HR mthly'!$I$6:$T$6,'HR mthly'!$I$24:$T$24))</f>
        <v/>
      </c>
      <c r="JM120" s="136" t="str">
        <f t="shared" si="648"/>
        <v>KPI Q1</v>
      </c>
      <c r="JN120" s="144" t="str">
        <f t="shared" si="649"/>
        <v>Quality</v>
      </c>
      <c r="JO120" s="244" t="str">
        <f t="shared" si="615"/>
        <v>Management Feed Back Score</v>
      </c>
      <c r="JP120" s="145" t="str">
        <f t="shared" si="616"/>
        <v>Percentage</v>
      </c>
      <c r="JQ120" s="145" t="s">
        <v>284</v>
      </c>
      <c r="JR120" s="226" t="str">
        <f>IFERROR(AVERAGE(FC120:$FC120),"")</f>
        <v/>
      </c>
      <c r="JS120" s="331">
        <f>IFERROR(AVERAGE($FC120:FD120),"")</f>
        <v>0.56000000000000005</v>
      </c>
      <c r="JT120" s="331">
        <f>IFERROR(AVERAGE($FC120:FE120),"")</f>
        <v>0.56000000000000005</v>
      </c>
      <c r="JU120" s="331">
        <f>IFERROR(AVERAGE($FC120:FF120),"")</f>
        <v>0.56000000000000005</v>
      </c>
      <c r="JV120" s="331">
        <f>IFERROR(AVERAGE($FC120:FG120),"")</f>
        <v>0.56000000000000005</v>
      </c>
      <c r="JW120" s="331">
        <f>IFERROR(AVERAGE($FC120:FH120),"")</f>
        <v>0.56000000000000005</v>
      </c>
      <c r="JX120" s="331">
        <f>IFERROR(AVERAGE($FC120:FI120),"")</f>
        <v>0.56000000000000005</v>
      </c>
      <c r="JY120" s="331">
        <f>IFERROR(AVERAGE($FC120:FJ120),"")</f>
        <v>0.56000000000000005</v>
      </c>
      <c r="JZ120" s="331">
        <f>IFERROR(AVERAGE($FC120:FK120),"")</f>
        <v>0.56000000000000005</v>
      </c>
      <c r="KA120" s="331">
        <f>IFERROR(AVERAGE($FC120:FL120),"")</f>
        <v>0.56000000000000005</v>
      </c>
      <c r="KB120" s="331">
        <f>IFERROR(AVERAGE($FC120:FM120),"")</f>
        <v>0.56000000000000016</v>
      </c>
      <c r="KC120" s="331">
        <f>IFERROR(AVERAGE($FC120:FN120),"")</f>
        <v>0.56000000000000016</v>
      </c>
      <c r="KD120" s="331">
        <f>IFERROR(AVERAGE($FC120:FO120),"")</f>
        <v>0.56000000000000016</v>
      </c>
      <c r="KE120" s="331">
        <f>IFERROR(AVERAGE($FC120:FP120),"")</f>
        <v>0.56000000000000028</v>
      </c>
      <c r="KF120" s="331">
        <f>IFERROR(AVERAGE($FC120:FQ120),"")</f>
        <v>0.56000000000000028</v>
      </c>
      <c r="KG120" s="331">
        <f>IFERROR(AVERAGE($FC120:FR120),"")</f>
        <v>0.56000000000000028</v>
      </c>
      <c r="KH120" s="331">
        <f>IFERROR(AVERAGE($FC120:FS120),"")</f>
        <v>0.56000000000000028</v>
      </c>
      <c r="KI120" s="331">
        <f>IFERROR(AVERAGE($FC120:FT120),"")</f>
        <v>0.56000000000000028</v>
      </c>
      <c r="KJ120" s="331">
        <f>IFERROR(AVERAGE($FC120:FU120),"")</f>
        <v>0.56000000000000028</v>
      </c>
      <c r="KK120" s="331">
        <f>IFERROR(AVERAGE($FC120:FV120),"")</f>
        <v>0.56000000000000028</v>
      </c>
      <c r="KL120" s="331">
        <f>IFERROR(AVERAGE($FC120:FW120),"")</f>
        <v>0.56000000000000028</v>
      </c>
      <c r="KM120" s="331">
        <f>IFERROR(AVERAGE($FC120:FX120),"")</f>
        <v>0.56000000000000028</v>
      </c>
      <c r="KN120" s="331">
        <f>IFERROR(AVERAGE($FC120:FY120),"")</f>
        <v>0.56000000000000039</v>
      </c>
      <c r="KO120" s="331">
        <f>IFERROR(AVERAGE($FC120:FZ120),"")</f>
        <v>0.56000000000000039</v>
      </c>
      <c r="KP120" s="331">
        <f>IFERROR(AVERAGE($FC120:GA120),"")</f>
        <v>0.56000000000000039</v>
      </c>
      <c r="KQ120" s="331">
        <f>IFERROR(AVERAGE($FC120:GB120),"")</f>
        <v>0.56000000000000039</v>
      </c>
      <c r="KR120" s="331">
        <f>IFERROR(AVERAGE($FC120:GC120),"")</f>
        <v>0.56000000000000039</v>
      </c>
      <c r="KS120" s="331">
        <f>IFERROR(AVERAGE($FC120:GD120),"")</f>
        <v>0.56000000000000039</v>
      </c>
      <c r="KT120" s="331">
        <f>IFERROR(AVERAGE($FC120:GE120),"")</f>
        <v>0.56000000000000039</v>
      </c>
      <c r="KU120" s="331">
        <f>IFERROR(AVERAGE($FC120:GF120),"")</f>
        <v>0.56000000000000028</v>
      </c>
      <c r="KV120" s="331">
        <f>IFERROR(AVERAGE($FC120:GG120),"")</f>
        <v>0.56000000000000028</v>
      </c>
      <c r="KW120" s="331">
        <f>IFERROR(AVERAGE($FC120:GH120),"")</f>
        <v>0.56000000000000016</v>
      </c>
      <c r="KX120" s="331">
        <f>IFERROR(AVERAGE($FC120:GI120),"")</f>
        <v>0.56000000000000016</v>
      </c>
      <c r="KY120" s="331">
        <f>IFERROR(AVERAGE($FC120:GJ120),"")</f>
        <v>0.56000000000000016</v>
      </c>
      <c r="KZ120" s="331">
        <f>IFERROR(AVERAGE($FC120:GK120),"")</f>
        <v>0.56000000000000005</v>
      </c>
      <c r="LA120" s="331">
        <f>IFERROR(AVERAGE($FC120:GL120),"")</f>
        <v>0.56000000000000005</v>
      </c>
      <c r="LB120" s="331">
        <f>IFERROR(AVERAGE($FC120:GM120),"")</f>
        <v>0.56000000000000005</v>
      </c>
      <c r="LC120" s="331">
        <f>IFERROR(AVERAGE($FC120:GN120),"")</f>
        <v>0.55999999999999994</v>
      </c>
      <c r="LD120" s="331">
        <f>IFERROR(AVERAGE($FC120:GO120),"")</f>
        <v>0.55999999999999994</v>
      </c>
      <c r="LE120" s="331">
        <f>IFERROR(AVERAGE($FC120:GP120),"")</f>
        <v>0.55999999999999994</v>
      </c>
      <c r="LF120" s="331">
        <f>IFERROR(AVERAGE($FC120:GQ120),"")</f>
        <v>0.55999999999999983</v>
      </c>
      <c r="LG120" s="331">
        <f>IFERROR(AVERAGE($FC120:GR120),"")</f>
        <v>0.55999999999999983</v>
      </c>
      <c r="LH120" s="331">
        <f>IFERROR(AVERAGE($FC120:GS120),"")</f>
        <v>0.55999999999999983</v>
      </c>
      <c r="LI120" s="331">
        <f>IFERROR(AVERAGE($FC120:GT120),"")</f>
        <v>0.55999999999999983</v>
      </c>
      <c r="LJ120" s="331">
        <f>IFERROR(AVERAGE($FC120:GU120),"")</f>
        <v>0.55999999999999983</v>
      </c>
      <c r="LK120" s="331">
        <f>IFERROR(AVERAGE($FC120:GV120),"")</f>
        <v>0.55999999999999983</v>
      </c>
      <c r="LL120" s="331">
        <f>IFERROR(AVERAGE($FC120:GW120),"")</f>
        <v>0.55999999999999983</v>
      </c>
      <c r="LM120" s="331">
        <f>IFERROR(AVERAGE($FC120:GX120),"")</f>
        <v>0.55999999999999983</v>
      </c>
      <c r="LN120" s="331">
        <f>IFERROR(AVERAGE($FC120:GY120),"")</f>
        <v>0.55999999999999983</v>
      </c>
      <c r="LO120" s="331">
        <f>IFERROR(AVERAGE($FC120:GZ120),"")</f>
        <v>0.55999999999999983</v>
      </c>
      <c r="LP120" s="331">
        <f>IFERROR(AVERAGE($FC120:HA120),"")</f>
        <v>0.55999999999999983</v>
      </c>
      <c r="LQ120" s="331">
        <f>IFERROR(AVERAGE($FC120:HB120),"")</f>
        <v>0.55999999999999983</v>
      </c>
      <c r="LR120" s="331">
        <f>IFERROR(AVERAGE($FC120:HC120),"")</f>
        <v>0.55999999999999983</v>
      </c>
      <c r="LT120" s="136" t="str">
        <f t="shared" si="651"/>
        <v>KPI Q1</v>
      </c>
      <c r="LU120" s="144" t="str">
        <f t="shared" si="652"/>
        <v>Quality</v>
      </c>
      <c r="LV120" s="144" t="str">
        <f t="shared" si="619"/>
        <v>Management Feed Back Score</v>
      </c>
      <c r="LW120" s="145" t="str">
        <f t="shared" si="620"/>
        <v>Percentage</v>
      </c>
      <c r="LX120" s="145" t="s">
        <v>285</v>
      </c>
      <c r="LY120" s="226" t="str">
        <f>IFERROR(AVERAGE($HJ120:HJ120),"")</f>
        <v/>
      </c>
      <c r="LZ120" s="331">
        <f>IFERROR(IF(LAD$7&gt;$D$3,"",AVERAGE($HJ120:HK120)),"")</f>
        <v>0.7</v>
      </c>
      <c r="MA120" s="331">
        <f>IFERROR(IF(LAE$7&gt;$D$3,"",AVERAGE($HJ120:HL120)),"")</f>
        <v>0.7</v>
      </c>
      <c r="MB120" s="331">
        <f>IFERROR(IF(LAF$7&gt;$D$3,"",AVERAGE($HJ120:HM120)),"")</f>
        <v>0.69999999999999984</v>
      </c>
      <c r="MC120" s="331">
        <f>IFERROR(IF(LAG$7&gt;$D$3,"",AVERAGE($HJ120:HN120)),"")</f>
        <v>0.7</v>
      </c>
      <c r="MD120" s="331">
        <f>IFERROR(IF(LAH$7&gt;$D$3,"",AVERAGE($HJ120:HO120)),"")</f>
        <v>0.7</v>
      </c>
      <c r="ME120" s="331">
        <f>IFERROR(IF(LAI$7&gt;$D$3,"",AVERAGE($HJ120:HP120)),"")</f>
        <v>0.70000000000000007</v>
      </c>
      <c r="MF120" s="331">
        <f>IFERROR(IF(LAJ$7&gt;$D$3,"",AVERAGE($HJ120:HQ120)),"")</f>
        <v>0.70000000000000007</v>
      </c>
      <c r="MG120" s="331">
        <f>IFERROR(IF(LAK$7&gt;$D$3,"",AVERAGE($HJ120:HR120)),"")</f>
        <v>0.70000000000000007</v>
      </c>
      <c r="MH120" s="331">
        <f>IFERROR(IF(LAL$7&gt;$D$3,"",AVERAGE($HJ120:HS120)),"")</f>
        <v>0.70000000000000007</v>
      </c>
      <c r="MI120" s="331">
        <f>IFERROR(IF(LAM$7&gt;$D$3,"",AVERAGE($HJ120:HT120)),"")</f>
        <v>0.70000000000000007</v>
      </c>
      <c r="MJ120" s="331">
        <f>IFERROR(IF(LAN$7&gt;$D$3,"",AVERAGE($HJ120:HU120)),"")</f>
        <v>0.70000000000000007</v>
      </c>
      <c r="MK120" s="331">
        <f>IFERROR(IF(LAO$7&gt;$D$3,"",AVERAGE($HJ120:HV120)),"")</f>
        <v>0.70000000000000007</v>
      </c>
      <c r="ML120" s="331">
        <f>IFERROR(IF(LAP$7&gt;$D$3,"",AVERAGE($HJ120:HW120)),"")</f>
        <v>0.7</v>
      </c>
      <c r="MM120" s="331">
        <f>IFERROR(IF(LAQ$7&gt;$D$3,"",AVERAGE($HJ120:HX120)),"")</f>
        <v>0.7</v>
      </c>
      <c r="MN120" s="331">
        <f>IFERROR(IF(LAR$7&gt;$D$3,"",AVERAGE($HJ120:HY120)),"")</f>
        <v>0.69999999999999984</v>
      </c>
      <c r="MO120" s="331">
        <f>IFERROR(IF(LAS$7&gt;$D$3,"",AVERAGE($HJ120:HZ120)),"")</f>
        <v>0.69999999999999984</v>
      </c>
      <c r="MP120" s="331">
        <f>IFERROR(IF(LAT$7&gt;$D$3,"",AVERAGE($HJ120:IA120)),"")</f>
        <v>0.69999999999999984</v>
      </c>
      <c r="MQ120" s="331">
        <f>IFERROR(IF(LAU$7&gt;$D$3,"",AVERAGE($HJ120:IB120)),"")</f>
        <v>0.69999999999999973</v>
      </c>
      <c r="MR120" s="331">
        <f>IFERROR(IF(LAV$7&gt;$D$3,"",AVERAGE($HJ120:IC120)),"")</f>
        <v>0.69999999999999973</v>
      </c>
      <c r="MS120" s="331">
        <f>IFERROR(IF(LAW$7&gt;$D$3,"",AVERAGE($HJ120:ID120)),"")</f>
        <v>0.69999999999999973</v>
      </c>
      <c r="MT120" s="331">
        <f>IFERROR(IF(LAX$7&gt;$D$3,"",AVERAGE($HJ120:IE120)),"")</f>
        <v>0.69999999999999973</v>
      </c>
      <c r="MU120" s="331">
        <f>IFERROR(IF(LAY$7&gt;$D$3,"",AVERAGE($HJ120:IF120)),"")</f>
        <v>0.69999999999999973</v>
      </c>
      <c r="MV120" s="331">
        <f>IFERROR(IF(LAZ$7&gt;$D$3,"",AVERAGE($HJ120:IG120)),"")</f>
        <v>0.69999999999999973</v>
      </c>
      <c r="MW120" s="331">
        <f>IFERROR(IF(LBA$7&gt;$D$3,"",AVERAGE($HJ120:IH120)),"")</f>
        <v>0.69999999999999973</v>
      </c>
      <c r="MX120" s="331">
        <f>IFERROR(IF(LBB$7&gt;$D$3,"",AVERAGE($HJ120:II120)),"")</f>
        <v>0.69999999999999973</v>
      </c>
      <c r="MY120" s="331">
        <f>IFERROR(IF(LBC$7&gt;$D$3,"",AVERAGE($HJ120:IJ120)),"")</f>
        <v>0.69999999999999973</v>
      </c>
      <c r="MZ120" s="331">
        <f>IFERROR(IF(LBD$7&gt;$D$3,"",AVERAGE($HJ120:IK120)),"")</f>
        <v>0.69999999999999973</v>
      </c>
      <c r="NA120" s="331">
        <f>IFERROR(IF(LBE$7&gt;$D$3,"",AVERAGE($HJ120:IL120)),"")</f>
        <v>0.69999999999999962</v>
      </c>
      <c r="NB120" s="331">
        <f>IFERROR(IF(LBF$7&gt;$D$3,"",AVERAGE($HJ120:IM120)),"")</f>
        <v>0.69999999999999962</v>
      </c>
      <c r="NC120" s="331">
        <f>IFERROR(IF(LBG$7&gt;$D$3,"",AVERAGE($HJ120:IN120)),"")</f>
        <v>0.69999999999999962</v>
      </c>
      <c r="ND120" s="331">
        <f>IFERROR(IF(LBH$7&gt;$D$3,"",AVERAGE($HJ120:IO120)),"")</f>
        <v>0.69999999999999962</v>
      </c>
      <c r="NE120" s="331">
        <f>IFERROR(IF(LBI$7&gt;$D$3,"",AVERAGE($HJ120:IP120)),"")</f>
        <v>0.69999999999999962</v>
      </c>
      <c r="NF120" s="331">
        <f>IFERROR(IF(LBJ$7&gt;$D$3,"",AVERAGE($HJ120:IQ120)),"")</f>
        <v>0.69999999999999962</v>
      </c>
      <c r="NG120" s="331">
        <f>IFERROR(IF(LBK$7&gt;$D$3,"",AVERAGE($HJ120:IR120)),"")</f>
        <v>0.69999999999999962</v>
      </c>
      <c r="NH120" s="331">
        <f>IFERROR(IF(LBL$7&gt;$D$3,"",AVERAGE($HJ120:IS120)),"")</f>
        <v>0.69999999999999962</v>
      </c>
      <c r="NI120" s="331">
        <f>IFERROR(IF(LBM$7&gt;$D$3,"",AVERAGE($HJ120:IT120)),"")</f>
        <v>0.69999999999999962</v>
      </c>
      <c r="NJ120" s="331">
        <f>IFERROR(IF(LBN$7&gt;$D$3,"",AVERAGE($HJ120:IU120)),"")</f>
        <v>0.69999999999999962</v>
      </c>
      <c r="NK120" s="331">
        <f>IFERROR(IF(LBO$7&gt;$D$3,"",AVERAGE($HJ120:IV120)),"")</f>
        <v>0.69999999999999962</v>
      </c>
      <c r="NL120" s="331">
        <f>IFERROR(IF(LBP$7&gt;$D$3,"",AVERAGE($HJ120:IW120)),"")</f>
        <v>0.69999999999999951</v>
      </c>
      <c r="NM120" s="331">
        <f>IFERROR(IF(LBQ$7&gt;$D$3,"",AVERAGE($HJ120:IX120)),"")</f>
        <v>0.69999999999999951</v>
      </c>
      <c r="NN120" s="331">
        <f>IFERROR(IF(LBR$7&gt;$D$3,"",AVERAGE($HJ120:IY120)),"")</f>
        <v>0.69999999999999951</v>
      </c>
      <c r="NO120" s="331">
        <f>IFERROR(IF(LBS$7&gt;$D$3,"",AVERAGE($HJ120:IZ120)),"")</f>
        <v>0.69999999999999951</v>
      </c>
      <c r="NP120" s="331">
        <f>IFERROR(IF(LBT$7&gt;$D$3,"",AVERAGE($HJ120:JA120)),"")</f>
        <v>0.69999999999999951</v>
      </c>
      <c r="NQ120" s="331">
        <f>IFERROR(IF(LBU$7&gt;$D$3,"",AVERAGE($HJ120:JB120)),"")</f>
        <v>0.69999999999999951</v>
      </c>
      <c r="NR120" s="331">
        <f>IFERROR(IF(LBV$7&gt;$D$3,"",AVERAGE($HJ120:JC120)),"")</f>
        <v>0.69999999999999951</v>
      </c>
      <c r="NS120" s="331">
        <f>IFERROR(IF(LBW$7&gt;$D$3,"",AVERAGE($HJ120:JD120)),"")</f>
        <v>0.69999999999999951</v>
      </c>
      <c r="NT120" s="331">
        <f>IFERROR(IF(LBX$7&gt;$D$3,"",AVERAGE($HJ120:JE120)),"")</f>
        <v>0.69999999999999951</v>
      </c>
      <c r="NU120" s="331">
        <f>IFERROR(IF(LBY$7&gt;$D$3,"",AVERAGE($HJ120:JF120)),"")</f>
        <v>0.69999999999999951</v>
      </c>
      <c r="NV120" s="331">
        <f>IFERROR(IF(LBZ$7&gt;$D$3,"",AVERAGE($HJ120:JG120)),"")</f>
        <v>0.69999999999999951</v>
      </c>
      <c r="NW120" s="331">
        <f>IFERROR(IF(LCA$7&gt;$D$3,"",AVERAGE($HJ120:JH120)),"")</f>
        <v>0.69999999999999951</v>
      </c>
      <c r="NX120" s="331">
        <f>IFERROR(IF(LCB$7&gt;$D$3,"",AVERAGE($HJ120:JI120)),"")</f>
        <v>0.69999999999999951</v>
      </c>
      <c r="NY120" s="331">
        <f>IFERROR(IF(LCC$7&gt;$D$3,"",AVERAGE($HJ120:JJ120)),"")</f>
        <v>0.69999999999999951</v>
      </c>
    </row>
    <row r="121" spans="1:389" x14ac:dyDescent="0.3">
      <c r="A121" t="str">
        <f t="shared" si="623"/>
        <v>HR-KPI Q2</v>
      </c>
      <c r="B121" s="307"/>
      <c r="C121" s="136" t="str">
        <f>+'KPI Stats'!C120</f>
        <v>KPI Q2</v>
      </c>
      <c r="D121" s="144" t="str">
        <f>+'KPI Stats'!D120</f>
        <v>Quality</v>
      </c>
      <c r="E121" s="144" t="str">
        <f>+'KPI Stats'!E120</f>
        <v>Avg Score Value</v>
      </c>
      <c r="F121" s="145" t="str">
        <f>+'KPI Stats'!F120</f>
        <v>Score</v>
      </c>
      <c r="G121" s="169" t="str">
        <f>+'KPI Stats'!G120</f>
        <v>Under</v>
      </c>
      <c r="J121" s="69" t="str">
        <f t="shared" si="624"/>
        <v>OD</v>
      </c>
      <c r="K121" s="264">
        <f t="shared" si="625"/>
        <v>0</v>
      </c>
      <c r="L121" s="278">
        <f t="shared" si="626"/>
        <v>4</v>
      </c>
      <c r="M121" s="376" t="str">
        <f t="shared" si="627"/>
        <v>OD</v>
      </c>
      <c r="P121" s="69" t="str">
        <f t="shared" si="628"/>
        <v>OD</v>
      </c>
      <c r="Q121" s="264">
        <f t="shared" si="629"/>
        <v>0</v>
      </c>
      <c r="R121" s="278">
        <f t="shared" si="629"/>
        <v>0</v>
      </c>
      <c r="S121" s="378" t="str">
        <f t="shared" si="630"/>
        <v>OD</v>
      </c>
      <c r="T121" s="379" t="str">
        <f t="shared" si="630"/>
        <v>OD</v>
      </c>
      <c r="U121" s="295" t="str">
        <f>IF(F115&lt;$Q$4,"Not Complete",IF(Q121=R121,"Same −",IF($G121="Over",IF(Q121&lt;R121,"Better ↑","Worse ↓"),IF($G121="Under",IF(Q121&gt;R121,"Better ↑","Worse ↓"),"err"))))</f>
        <v>Same −</v>
      </c>
      <c r="X121" s="69" t="str">
        <f t="shared" si="631"/>
        <v>R</v>
      </c>
      <c r="Y121" s="264">
        <f t="shared" si="632"/>
        <v>2.1958974358974368</v>
      </c>
      <c r="Z121" s="278">
        <f t="shared" si="633"/>
        <v>3.0256410256410255</v>
      </c>
      <c r="AA121" s="376">
        <f t="shared" si="634"/>
        <v>0.72576271186440711</v>
      </c>
      <c r="AB121" s="295" t="str">
        <f>IF(F120&lt;$AA$3,"TBC",IF(Y121=Z121,"Same −",IF($G121="Over",IF(Z121&lt;Y121,"Better ↑ ","Worse ↓ "),IF($G121="Under",IF(Y121&gt;Z121,"Better ↑ ","Worse ↓ "),"err"))))</f>
        <v xml:space="preserve">Worse ↓ </v>
      </c>
      <c r="AC121" s="69" t="e">
        <f t="shared" si="635"/>
        <v>#DIV/0!</v>
      </c>
      <c r="AD121" s="114" t="b">
        <f t="shared" si="636"/>
        <v>0</v>
      </c>
      <c r="AE121" s="114" t="b">
        <f t="shared" si="637"/>
        <v>0</v>
      </c>
      <c r="AF121" s="252" t="e">
        <f t="shared" si="638"/>
        <v>#DIV/0!</v>
      </c>
      <c r="AH121" s="465" t="str">
        <f t="shared" si="639"/>
        <v>HR-KPI Q2</v>
      </c>
      <c r="AI121" s="136" t="str">
        <f t="shared" ref="AI121" si="670">+C121</f>
        <v>KPI Q2</v>
      </c>
      <c r="AJ121" s="144" t="str">
        <f t="shared" ref="AJ121" si="671">+D121</f>
        <v>Quality</v>
      </c>
      <c r="AK121" s="144" t="str">
        <f t="shared" ref="AK121" si="672">+E121</f>
        <v>Avg Score Value</v>
      </c>
      <c r="AL121" s="145" t="str">
        <f t="shared" ref="AL121" si="673">+F121</f>
        <v>Score</v>
      </c>
      <c r="AM121" s="199" t="str">
        <f>IF(AM$7&gt;$D$3,"",_xlfn.XLOOKUP(AM$8,'HR mthly'!$I$6:$T$6,'HR mthly'!$I$29:$T$29))</f>
        <v>R</v>
      </c>
      <c r="AN121" s="199" t="str">
        <f>IF(AN$7&gt;$D$3,"",_xlfn.XLOOKUP(AN$8,'HR mthly'!$I$6:$T$6,'HR mthly'!$I$29:$T$29))</f>
        <v>R</v>
      </c>
      <c r="AO121" s="199" t="str">
        <f>IF(AO$7&gt;$D$3,"",_xlfn.XLOOKUP(AO$8,'HR mthly'!$I$6:$T$6,'HR mthly'!$I$29:$T$29))</f>
        <v>R</v>
      </c>
      <c r="AP121" s="199" t="str">
        <f>IF(AP$7&gt;$D$3,"",_xlfn.XLOOKUP(AP$8,'HR mthly'!$I$6:$T$6,'HR mthly'!$I$29:$T$29))</f>
        <v>R</v>
      </c>
      <c r="AQ121" s="199" t="str">
        <f>IF(AQ$7&gt;$D$3,"",_xlfn.XLOOKUP(AQ$8,'HR mthly'!$I$6:$T$6,'HR mthly'!$I$29:$T$29))</f>
        <v>R</v>
      </c>
      <c r="AR121" s="199" t="str">
        <f>IF(AR$7&gt;$D$3,"",_xlfn.XLOOKUP(AR$8,'HR mthly'!$I$6:$T$6,'HR mthly'!$I$29:$T$29))</f>
        <v>R</v>
      </c>
      <c r="AS121" s="199" t="str">
        <f>IF(AS$7&gt;$D$3,"",_xlfn.XLOOKUP(AS$8,'HR mthly'!$I$6:$T$6,'HR mthly'!$I$29:$T$29))</f>
        <v>R</v>
      </c>
      <c r="AT121" s="199" t="str">
        <f>IF(AT$7&gt;$D$3,"",_xlfn.XLOOKUP(AT$8,'HR mthly'!$I$6:$T$6,'HR mthly'!$I$29:$T$29))</f>
        <v>R</v>
      </c>
      <c r="AU121" s="199" t="str">
        <f>IF(AU$7&gt;$D$3,"",_xlfn.XLOOKUP(AU$8,'HR mthly'!$I$6:$T$6,'HR mthly'!$I$29:$T$29))</f>
        <v>R</v>
      </c>
      <c r="AV121" s="199" t="str">
        <f>IF(AV$7&gt;$D$3,"",_xlfn.XLOOKUP(AV$8,'HR mthly'!$I$6:$T$6,'HR mthly'!$I$29:$T$29))</f>
        <v>A</v>
      </c>
      <c r="AW121" s="199" t="str">
        <f>IF(AW$7&gt;$D$3,"",_xlfn.XLOOKUP(AW$8,'HR mthly'!$I$6:$T$6,'HR mthly'!$I$29:$T$29))</f>
        <v>A</v>
      </c>
      <c r="AX121" s="199" t="str">
        <f>IF(AX$7&gt;$D$3,"",_xlfn.XLOOKUP(AX$8,'HR mthly'!$I$6:$T$6,'HR mthly'!$I$29:$T$29))</f>
        <v>A</v>
      </c>
      <c r="AY121" s="199" t="str">
        <f>IF(AY$7&gt;$D$3,"",_xlfn.XLOOKUP(AY$8,'HR mthly'!$I$6:$T$6,'HR mthly'!$I$29:$T$29))</f>
        <v>A</v>
      </c>
      <c r="AZ121" s="199" t="str">
        <f>IF(AZ$7&gt;$D$3,"",_xlfn.XLOOKUP(AZ$8,'HR mthly'!$I$6:$T$6,'HR mthly'!$I$29:$T$29))</f>
        <v>A</v>
      </c>
      <c r="BA121" s="199" t="str">
        <f>IF(BA$7&gt;$D$3,"",_xlfn.XLOOKUP(BA$8,'HR mthly'!$I$6:$T$6,'HR mthly'!$I$29:$T$29))</f>
        <v>A</v>
      </c>
      <c r="BB121" s="199" t="str">
        <f>IF(BB$7&gt;$D$3,"",_xlfn.XLOOKUP(BB$8,'HR mthly'!$I$6:$T$6,'HR mthly'!$I$29:$T$29))</f>
        <v>A</v>
      </c>
      <c r="BC121" s="199" t="str">
        <f>IF(BC$7&gt;$D$3,"",_xlfn.XLOOKUP(BC$8,'HR mthly'!$I$6:$T$6,'HR mthly'!$I$29:$T$29))</f>
        <v>A</v>
      </c>
      <c r="BD121" s="199" t="str">
        <f>IF(BD$7&gt;$D$3,"",_xlfn.XLOOKUP(BD$8,'HR mthly'!$I$6:$T$6,'HR mthly'!$I$29:$T$29))</f>
        <v>A</v>
      </c>
      <c r="BE121" s="199" t="str">
        <f>IF(BE$7&gt;$D$3,"",_xlfn.XLOOKUP(BE$8,'HR mthly'!$I$6:$T$6,'HR mthly'!$I$29:$T$29))</f>
        <v>A</v>
      </c>
      <c r="BF121" s="199" t="str">
        <f>IF(BF$7&gt;$D$3,"",_xlfn.XLOOKUP(BF$8,'HR mthly'!$I$6:$T$6,'HR mthly'!$I$29:$T$29))</f>
        <v>A</v>
      </c>
      <c r="BG121" s="199" t="str">
        <f>IF(BG$7&gt;$D$3,"",_xlfn.XLOOKUP(BG$8,'HR mthly'!$I$6:$T$6,'HR mthly'!$I$29:$T$29))</f>
        <v>A</v>
      </c>
      <c r="BH121" s="199" t="str">
        <f>IF(BH$7&gt;$D$3,"",_xlfn.XLOOKUP(BH$8,'HR mthly'!$I$6:$T$6,'HR mthly'!$I$29:$T$29))</f>
        <v>A</v>
      </c>
      <c r="BI121" s="199" t="str">
        <f>IF(BI$7&gt;$D$3,"",_xlfn.XLOOKUP(BI$8,'HR mthly'!$I$6:$T$6,'HR mthly'!$I$29:$T$29))</f>
        <v>A</v>
      </c>
      <c r="BJ121" s="199" t="str">
        <f>IF(BJ$7&gt;$D$3,"",_xlfn.XLOOKUP(BJ$8,'HR mthly'!$I$6:$T$6,'HR mthly'!$I$29:$T$29))</f>
        <v>A</v>
      </c>
      <c r="BK121" s="199" t="str">
        <f>IF(BK$7&gt;$D$3,"",_xlfn.XLOOKUP(BK$8,'HR mthly'!$I$6:$T$6,'HR mthly'!$I$29:$T$29))</f>
        <v>A</v>
      </c>
      <c r="BL121" s="199" t="str">
        <f>IF(BL$7&gt;$D$3,"",_xlfn.XLOOKUP(BL$8,'HR mthly'!$I$6:$T$6,'HR mthly'!$I$29:$T$29))</f>
        <v>A</v>
      </c>
      <c r="BM121" s="199" t="str">
        <f>IF(BM$7&gt;$D$3,"",_xlfn.XLOOKUP(BM$8,'HR mthly'!$I$6:$T$6,'HR mthly'!$I$29:$T$29))</f>
        <v>A</v>
      </c>
      <c r="BN121" s="199" t="str">
        <f>IF(BN$7&gt;$D$3,"",_xlfn.XLOOKUP(BN$8,'HR mthly'!$I$6:$T$6,'HR mthly'!$I$29:$T$29))</f>
        <v>A</v>
      </c>
      <c r="BO121" s="199" t="str">
        <f>IF(BO$7&gt;$D$3,"",_xlfn.XLOOKUP(BO$8,'HR mthly'!$I$6:$T$6,'HR mthly'!$I$29:$T$29))</f>
        <v>A</v>
      </c>
      <c r="BP121" s="199" t="str">
        <f>IF(BP$7&gt;$D$3,"",_xlfn.XLOOKUP(BP$8,'HR mthly'!$I$6:$T$6,'HR mthly'!$I$29:$T$29))</f>
        <v>A</v>
      </c>
      <c r="BQ121" s="199" t="str">
        <f>IF(BQ$7&gt;$D$3,"",_xlfn.XLOOKUP(BQ$8,'HR mthly'!$I$6:$T$6,'HR mthly'!$I$29:$T$29))</f>
        <v>A</v>
      </c>
      <c r="BR121" s="199" t="str">
        <f>IF(BR$7&gt;$D$3,"",_xlfn.XLOOKUP(BR$8,'HR mthly'!$I$6:$T$6,'HR mthly'!$I$29:$T$29))</f>
        <v>OD</v>
      </c>
      <c r="BS121" s="199" t="str">
        <f>IF(BS$7&gt;$D$3,"",_xlfn.XLOOKUP(BS$8,'HR mthly'!$I$6:$T$6,'HR mthly'!$I$29:$T$29))</f>
        <v>OD</v>
      </c>
      <c r="BT121" s="199" t="str">
        <f>IF(BT$7&gt;$D$3,"",_xlfn.XLOOKUP(BT$8,'HR mthly'!$I$6:$T$6,'HR mthly'!$I$29:$T$29))</f>
        <v>OD</v>
      </c>
      <c r="BU121" s="199" t="str">
        <f>IF(BU$7&gt;$D$3,"",_xlfn.XLOOKUP(BU$8,'HR mthly'!$I$6:$T$6,'HR mthly'!$I$29:$T$29))</f>
        <v>OD</v>
      </c>
      <c r="BV121" s="199" t="str">
        <f>IF(BV$7&gt;$D$3,"",_xlfn.XLOOKUP(BV$8,'HR mthly'!$I$6:$T$6,'HR mthly'!$I$29:$T$29))</f>
        <v>OD</v>
      </c>
      <c r="BW121" s="199" t="str">
        <f>IF(BW$7&gt;$D$3,"",_xlfn.XLOOKUP(BW$8,'HR mthly'!$I$6:$T$6,'HR mthly'!$I$29:$T$29))</f>
        <v>OD</v>
      </c>
      <c r="BX121" s="199" t="str">
        <f>IF(BX$7&gt;$D$3,"",_xlfn.XLOOKUP(BX$8,'HR mthly'!$I$6:$T$6,'HR mthly'!$I$29:$T$29))</f>
        <v>OD</v>
      </c>
      <c r="BY121" s="199" t="str">
        <f>IF(BY$7&gt;$D$3,"",_xlfn.XLOOKUP(BY$8,'HR mthly'!$I$6:$T$6,'HR mthly'!$I$29:$T$29))</f>
        <v>OD</v>
      </c>
      <c r="BZ121" s="199" t="str">
        <f>IF(BZ$7&gt;$D$3,"",_xlfn.XLOOKUP(BZ$8,'HR mthly'!$I$6:$T$6,'HR mthly'!$I$29:$T$29))</f>
        <v>OD</v>
      </c>
      <c r="CA121" s="199" t="str">
        <f>IF(CA$7&gt;$D$3,"",_xlfn.XLOOKUP(CA$8,'HR mthly'!$I$6:$T$6,'HR mthly'!$I$29:$T$29))</f>
        <v>OD</v>
      </c>
      <c r="CB121" s="199" t="str">
        <f>IF(CB$7&gt;$D$3,"",_xlfn.XLOOKUP(CB$8,'HR mthly'!$I$6:$T$6,'HR mthly'!$I$29:$T$29))</f>
        <v>OD</v>
      </c>
      <c r="CC121" s="199" t="str">
        <f>IF(CC$7&gt;$D$3,"",_xlfn.XLOOKUP(CC$8,'HR mthly'!$I$6:$T$6,'HR mthly'!$I$29:$T$29))</f>
        <v/>
      </c>
      <c r="CD121" s="199" t="str">
        <f>IF(CD$7&gt;$D$3,"",_xlfn.XLOOKUP(CD$8,'HR mthly'!$I$6:$T$6,'HR mthly'!$I$29:$T$29))</f>
        <v/>
      </c>
      <c r="CE121" s="199" t="str">
        <f>IF(CE$7&gt;$D$3,"",_xlfn.XLOOKUP(CE$8,'HR mthly'!$I$6:$T$6,'HR mthly'!$I$29:$T$29))</f>
        <v/>
      </c>
      <c r="CF121" s="199" t="str">
        <f>IF(CF$7&gt;$D$3,"",_xlfn.XLOOKUP(CF$8,'HR mthly'!$I$6:$T$6,'HR mthly'!$I$29:$T$29))</f>
        <v/>
      </c>
      <c r="CG121" s="199" t="str">
        <f>IF(CG$7&gt;$D$3,"",_xlfn.XLOOKUP(CG$8,'HR mthly'!$I$6:$T$6,'HR mthly'!$I$29:$T$29))</f>
        <v/>
      </c>
      <c r="CH121" s="199" t="str">
        <f>IF(CH$7&gt;$D$3,"",_xlfn.XLOOKUP(CH$8,'HR mthly'!$I$6:$T$6,'HR mthly'!$I$29:$T$29))</f>
        <v/>
      </c>
      <c r="CI121" s="199" t="str">
        <f>IF(CI$7&gt;$D$3,"",_xlfn.XLOOKUP(CI$8,'HR mthly'!$I$6:$T$6,'HR mthly'!$I$29:$T$29))</f>
        <v/>
      </c>
      <c r="CJ121" s="199" t="str">
        <f>IF(CJ$7&gt;$D$3,"",_xlfn.XLOOKUP(CJ$8,'HR mthly'!$I$6:$T$6,'HR mthly'!$I$29:$T$29))</f>
        <v/>
      </c>
      <c r="CK121" s="199" t="str">
        <f>IF(CK$7&gt;$D$3,"",_xlfn.XLOOKUP(CK$8,'HR mthly'!$I$6:$T$6,'HR mthly'!$I$29:$T$29))</f>
        <v/>
      </c>
      <c r="CL121" s="199" t="str">
        <f>IF(CL$7&gt;$D$3,"",_xlfn.XLOOKUP(CL$8,'HR mthly'!$I$6:$T$6,'HR mthly'!$I$29:$T$29))</f>
        <v/>
      </c>
      <c r="CM121" s="199" t="str">
        <f>IF(CM$7&gt;$D$3,"",_xlfn.XLOOKUP(CM$8,'HR mthly'!$I$6:$T$6,'HR mthly'!$I$29:$T$29))</f>
        <v/>
      </c>
      <c r="CO121" s="465" t="str">
        <f t="shared" si="641"/>
        <v>HR-KPI Q2</v>
      </c>
      <c r="CP121" s="136" t="str">
        <f t="shared" ref="CP121" si="674">+C121</f>
        <v>KPI Q2</v>
      </c>
      <c r="CQ121" s="144" t="str">
        <f t="shared" ref="CQ121" si="675">+D121</f>
        <v>Quality</v>
      </c>
      <c r="CR121" s="144" t="str">
        <f t="shared" ref="CR121" si="676">+E121</f>
        <v>Avg Score Value</v>
      </c>
      <c r="CS121" s="145" t="str">
        <f t="shared" ref="CS121" si="677">+F121</f>
        <v>Score</v>
      </c>
      <c r="CT121" s="207" t="s">
        <v>246</v>
      </c>
      <c r="CU121" s="423" t="str">
        <f>IF(CU$7&gt;$D$3,"",_xlfn.XLOOKUP(CU$7,IT!$M$6:$BM$6,IT!$M$16:$BM$16))</f>
        <v>Blank</v>
      </c>
      <c r="CV121" s="323">
        <f>IF(CV$7&gt;$D$3,"",IF(AN121="OD","OD",IF(AN121="Missed","Missed",IF(AN121="TBC","TBC",IF(AN121="Undefined","Undefined",_xlfn.XLOOKUP(CV$8,'HR mthly'!$I$6:$T$6,'HR mthly'!$I$28:$T$28)/_xlfn.XLOOKUP(CV$8,'HR mthly'!$I$6:$T$6,'HR mthly'!$I$27:$T$27))))))</f>
        <v>0.91666666666666663</v>
      </c>
      <c r="CW121" s="323">
        <f>IF(CW$7&gt;$D$3,"",IF(AO121="OD","OD",IF(AO121="Missed","Missed",IF(AO121="TBC","TBC",IF(AO121="Undefined","Undefined",_xlfn.XLOOKUP(CW$8,'HR mthly'!$I$6:$T$6,'HR mthly'!$I$28:$T$28)/_xlfn.XLOOKUP(CW$8,'HR mthly'!$I$6:$T$6,'HR mthly'!$I$27:$T$27))))))</f>
        <v>0.91666666666666663</v>
      </c>
      <c r="CX121" s="323">
        <f>IF(CX$7&gt;$D$3,"",IF(AP121="OD","OD",IF(AP121="Missed","Missed",IF(AP121="TBC","TBC",IF(AP121="Undefined","Undefined",_xlfn.XLOOKUP(CX$8,'HR mthly'!$I$6:$T$6,'HR mthly'!$I$28:$T$28)/_xlfn.XLOOKUP(CX$8,'HR mthly'!$I$6:$T$6,'HR mthly'!$I$27:$T$27))))))</f>
        <v>0.91666666666666663</v>
      </c>
      <c r="CY121" s="323">
        <f>IF(CY$7&gt;$D$3,"",IF(AQ121="OD","OD",IF(AQ121="Missed","Missed",IF(AQ121="TBC","TBC",IF(AQ121="Undefined","Undefined",_xlfn.XLOOKUP(CY$8,'HR mthly'!$I$6:$T$6,'HR mthly'!$I$28:$T$28)/_xlfn.XLOOKUP(CY$8,'HR mthly'!$I$6:$T$6,'HR mthly'!$I$27:$T$27))))))</f>
        <v>0.91666666666666663</v>
      </c>
      <c r="CZ121" s="323">
        <f>IF(CZ$7&gt;$D$3,"",IF(AR121="OD","OD",IF(AR121="Missed","Missed",IF(AR121="TBC","TBC",IF(AR121="Undefined","Undefined",_xlfn.XLOOKUP(CZ$8,'HR mthly'!$I$6:$T$6,'HR mthly'!$I$28:$T$28)/_xlfn.XLOOKUP(CZ$8,'HR mthly'!$I$6:$T$6,'HR mthly'!$I$27:$T$27))))))</f>
        <v>0.8666666666666667</v>
      </c>
      <c r="DA121" s="323">
        <f>IF(DA$7&gt;$D$3,"",IF(AS121="OD","OD",IF(AS121="Missed","Missed",IF(AS121="TBC","TBC",IF(AS121="Undefined","Undefined",_xlfn.XLOOKUP(DA$8,'HR mthly'!$I$6:$T$6,'HR mthly'!$I$28:$T$28)/_xlfn.XLOOKUP(DA$8,'HR mthly'!$I$6:$T$6,'HR mthly'!$I$27:$T$27))))))</f>
        <v>0.8666666666666667</v>
      </c>
      <c r="DB121" s="323">
        <f>IF(DB$7&gt;$D$3,"",IF(AT121="OD","OD",IF(AT121="Missed","Missed",IF(AT121="TBC","TBC",IF(AT121="Undefined","Undefined",_xlfn.XLOOKUP(DB$8,'HR mthly'!$I$6:$T$6,'HR mthly'!$I$28:$T$28)/_xlfn.XLOOKUP(DB$8,'HR mthly'!$I$6:$T$6,'HR mthly'!$I$27:$T$27))))))</f>
        <v>0.8666666666666667</v>
      </c>
      <c r="DC121" s="323">
        <f>IF(DC$7&gt;$D$3,"",IF(AU121="OD","OD",IF(AU121="Missed","Missed",IF(AU121="TBC","TBC",IF(AU121="Undefined","Undefined",_xlfn.XLOOKUP(DC$8,'HR mthly'!$I$6:$T$6,'HR mthly'!$I$28:$T$28)/_xlfn.XLOOKUP(DC$8,'HR mthly'!$I$6:$T$6,'HR mthly'!$I$27:$T$27))))))</f>
        <v>0.8666666666666667</v>
      </c>
      <c r="DD121" s="323">
        <f>IF(DD$7&gt;$D$3,"",IF(AV121="OD","OD",IF(AV121="Missed","Missed",IF(AV121="TBC","TBC",IF(AV121="Undefined","Undefined",_xlfn.XLOOKUP(DD$8,'HR mthly'!$I$6:$T$6,'HR mthly'!$I$28:$T$28)/_xlfn.XLOOKUP(DD$8,'HR mthly'!$I$6:$T$6,'HR mthly'!$I$27:$T$27))))))</f>
        <v>0.97333333333333327</v>
      </c>
      <c r="DE121" s="323">
        <f>IF(DE$7&gt;$D$3,"",IF(AW121="OD","OD",IF(AW121="Missed","Missed",IF(AW121="TBC","TBC",IF(AW121="Undefined","Undefined",_xlfn.XLOOKUP(DE$8,'HR mthly'!$I$6:$T$6,'HR mthly'!$I$28:$T$28)/_xlfn.XLOOKUP(DE$8,'HR mthly'!$I$6:$T$6,'HR mthly'!$I$27:$T$27))))))</f>
        <v>0.97333333333333327</v>
      </c>
      <c r="DF121" s="323">
        <f>IF(DF$7&gt;$D$3,"",IF(AX121="OD","OD",IF(AX121="Missed","Missed",IF(AX121="TBC","TBC",IF(AX121="Undefined","Undefined",_xlfn.XLOOKUP(DF$8,'HR mthly'!$I$6:$T$6,'HR mthly'!$I$28:$T$28)/_xlfn.XLOOKUP(DF$8,'HR mthly'!$I$6:$T$6,'HR mthly'!$I$27:$T$27))))))</f>
        <v>0.97333333333333327</v>
      </c>
      <c r="DG121" s="323">
        <f>IF(DG$7&gt;$D$3,"",IF(AY121="OD","OD",IF(AY121="Missed","Missed",IF(AY121="TBC","TBC",IF(AY121="Undefined","Undefined",_xlfn.XLOOKUP(DG$8,'HR mthly'!$I$6:$T$6,'HR mthly'!$I$28:$T$28)/_xlfn.XLOOKUP(DG$8,'HR mthly'!$I$6:$T$6,'HR mthly'!$I$27:$T$27))))))</f>
        <v>0.97333333333333327</v>
      </c>
      <c r="DH121" s="323">
        <f>IF(DH$7&gt;$D$3,"",IF(AZ121="OD","OD",IF(AZ121="Missed","Missed",IF(AZ121="TBC","TBC",IF(AZ121="Undefined","Undefined",_xlfn.XLOOKUP(DH$8,'HR mthly'!$I$6:$T$6,'HR mthly'!$I$28:$T$28)/_xlfn.XLOOKUP(DH$8,'HR mthly'!$I$6:$T$6,'HR mthly'!$I$27:$T$27))))))</f>
        <v>0.97333333333333327</v>
      </c>
      <c r="DI121" s="323">
        <f>IF(DI$7&gt;$D$3,"",IF(BA121="OD","OD",IF(BA121="Missed","Missed",IF(BA121="TBC","TBC",IF(BA121="Undefined","Undefined",_xlfn.XLOOKUP(DI$8,'HR mthly'!$I$6:$T$6,'HR mthly'!$I$28:$T$28)/_xlfn.XLOOKUP(DI$8,'HR mthly'!$I$6:$T$6,'HR mthly'!$I$27:$T$27))))))</f>
        <v>0.97333333333333327</v>
      </c>
      <c r="DJ121" s="323">
        <f>IF(DJ$7&gt;$D$3,"",IF(BB121="OD","OD",IF(BB121="Missed","Missed",IF(BB121="TBC","TBC",IF(BB121="Undefined","Undefined",_xlfn.XLOOKUP(DJ$8,'HR mthly'!$I$6:$T$6,'HR mthly'!$I$28:$T$28)/_xlfn.XLOOKUP(DJ$8,'HR mthly'!$I$6:$T$6,'HR mthly'!$I$27:$T$27))))))</f>
        <v>0.97333333333333327</v>
      </c>
      <c r="DK121" s="323">
        <f>IF(DK$7&gt;$D$3,"",IF(BC121="OD","OD",IF(BC121="Missed","Missed",IF(BC121="TBC","TBC",IF(BC121="Undefined","Undefined",_xlfn.XLOOKUP(DK$8,'HR mthly'!$I$6:$T$6,'HR mthly'!$I$28:$T$28)/_xlfn.XLOOKUP(DK$8,'HR mthly'!$I$6:$T$6,'HR mthly'!$I$27:$T$27))))))</f>
        <v>0.97333333333333327</v>
      </c>
      <c r="DL121" s="323">
        <f>IF(DL$7&gt;$D$3,"",IF(BD121="OD","OD",IF(BD121="Missed","Missed",IF(BD121="TBC","TBC",IF(BD121="Undefined","Undefined",_xlfn.XLOOKUP(DL$8,'HR mthly'!$I$6:$T$6,'HR mthly'!$I$28:$T$28)/_xlfn.XLOOKUP(DL$8,'HR mthly'!$I$6:$T$6,'HR mthly'!$I$27:$T$27))))))</f>
        <v>0.97333333333333327</v>
      </c>
      <c r="DM121" s="323">
        <f>IF(DM$7&gt;$D$3,"",IF(BE121="OD","OD",IF(BE121="Missed","Missed",IF(BE121="TBC","TBC",IF(BE121="Undefined","Undefined",_xlfn.XLOOKUP(DM$8,'HR mthly'!$I$6:$T$6,'HR mthly'!$I$28:$T$28)/_xlfn.XLOOKUP(DM$8,'HR mthly'!$I$6:$T$6,'HR mthly'!$I$27:$T$27))))))</f>
        <v>0.97333333333333327</v>
      </c>
      <c r="DN121" s="323">
        <f>IF(DN$7&gt;$D$3,"",IF(BF121="OD","OD",IF(BF121="Missed","Missed",IF(BF121="TBC","TBC",IF(BF121="Undefined","Undefined",_xlfn.XLOOKUP(DN$8,'HR mthly'!$I$6:$T$6,'HR mthly'!$I$28:$T$28)/_xlfn.XLOOKUP(DN$8,'HR mthly'!$I$6:$T$6,'HR mthly'!$I$27:$T$27))))))</f>
        <v>0.97333333333333327</v>
      </c>
      <c r="DO121" s="323">
        <f>IF(DO$7&gt;$D$3,"",IF(BG121="OD","OD",IF(BG121="Missed","Missed",IF(BG121="TBC","TBC",IF(BG121="Undefined","Undefined",_xlfn.XLOOKUP(DO$8,'HR mthly'!$I$6:$T$6,'HR mthly'!$I$28:$T$28)/_xlfn.XLOOKUP(DO$8,'HR mthly'!$I$6:$T$6,'HR mthly'!$I$27:$T$27))))))</f>
        <v>0.97333333333333327</v>
      </c>
      <c r="DP121" s="323">
        <f>IF(DP$7&gt;$D$3,"",IF(BH121="OD","OD",IF(BH121="Missed","Missed",IF(BH121="TBC","TBC",IF(BH121="Undefined","Undefined",_xlfn.XLOOKUP(DP$8,'HR mthly'!$I$6:$T$6,'HR mthly'!$I$28:$T$28)/_xlfn.XLOOKUP(DP$8,'HR mthly'!$I$6:$T$6,'HR mthly'!$I$27:$T$27))))))</f>
        <v>0.97333333333333327</v>
      </c>
      <c r="DQ121" s="323">
        <f>IF(DQ$7&gt;$D$3,"",IF(BI121="OD","OD",IF(BI121="Missed","Missed",IF(BI121="TBC","TBC",IF(BI121="Undefined","Undefined",_xlfn.XLOOKUP(DQ$8,'HR mthly'!$I$6:$T$6,'HR mthly'!$I$28:$T$28)/_xlfn.XLOOKUP(DQ$8,'HR mthly'!$I$6:$T$6,'HR mthly'!$I$27:$T$27))))))</f>
        <v>0.97333333333333327</v>
      </c>
      <c r="DR121" s="323">
        <f>IF(DR$7&gt;$D$3,"",IF(BJ121="OD","OD",IF(BJ121="Missed","Missed",IF(BJ121="TBC","TBC",IF(BJ121="Undefined","Undefined",_xlfn.XLOOKUP(DR$8,'HR mthly'!$I$6:$T$6,'HR mthly'!$I$28:$T$28)/_xlfn.XLOOKUP(DR$8,'HR mthly'!$I$6:$T$6,'HR mthly'!$I$27:$T$27))))))</f>
        <v>0.97333333333333327</v>
      </c>
      <c r="DS121" s="323">
        <f>IF(DS$7&gt;$D$3,"",IF(BK121="OD","OD",IF(BK121="Missed","Missed",IF(BK121="TBC","TBC",IF(BK121="Undefined","Undefined",_xlfn.XLOOKUP(DS$8,'HR mthly'!$I$6:$T$6,'HR mthly'!$I$28:$T$28)/_xlfn.XLOOKUP(DS$8,'HR mthly'!$I$6:$T$6,'HR mthly'!$I$27:$T$27))))))</f>
        <v>0.97333333333333327</v>
      </c>
      <c r="DT121" s="323">
        <f>IF(DT$7&gt;$D$3,"",IF(BL121="OD","OD",IF(BL121="Missed","Missed",IF(BL121="TBC","TBC",IF(BL121="Undefined","Undefined",_xlfn.XLOOKUP(DT$8,'HR mthly'!$I$6:$T$6,'HR mthly'!$I$28:$T$28)/_xlfn.XLOOKUP(DT$8,'HR mthly'!$I$6:$T$6,'HR mthly'!$I$27:$T$27))))))</f>
        <v>0.97333333333333327</v>
      </c>
      <c r="DU121" s="323">
        <f>IF(DU$7&gt;$D$3,"",IF(BM121="OD","OD",IF(BM121="Missed","Missed",IF(BM121="TBC","TBC",IF(BM121="Undefined","Undefined",_xlfn.XLOOKUP(DU$8,'HR mthly'!$I$6:$T$6,'HR mthly'!$I$28:$T$28)/_xlfn.XLOOKUP(DU$8,'HR mthly'!$I$6:$T$6,'HR mthly'!$I$27:$T$27))))))</f>
        <v>0.97333333333333327</v>
      </c>
      <c r="DV121" s="323">
        <f>IF(DV$7&gt;$D$3,"",IF(BN121="OD","OD",IF(BN121="Missed","Missed",IF(BN121="TBC","TBC",IF(BN121="Undefined","Undefined",_xlfn.XLOOKUP(DV$8,'HR mthly'!$I$6:$T$6,'HR mthly'!$I$28:$T$28)/_xlfn.XLOOKUP(DV$8,'HR mthly'!$I$6:$T$6,'HR mthly'!$I$27:$T$27))))))</f>
        <v>0.97333333333333327</v>
      </c>
      <c r="DW121" s="323">
        <f>IF(DW$7&gt;$D$3,"",IF(BO121="OD","OD",IF(BO121="Missed","Missed",IF(BO121="TBC","TBC",IF(BO121="Undefined","Undefined",_xlfn.XLOOKUP(DW$8,'HR mthly'!$I$6:$T$6,'HR mthly'!$I$28:$T$28)/_xlfn.XLOOKUP(DW$8,'HR mthly'!$I$6:$T$6,'HR mthly'!$I$27:$T$27))))))</f>
        <v>0.97333333333333327</v>
      </c>
      <c r="DX121" s="323">
        <f>IF(DX$7&gt;$D$3,"",IF(BP121="OD","OD",IF(BP121="Missed","Missed",IF(BP121="TBC","TBC",IF(BP121="Undefined","Undefined",_xlfn.XLOOKUP(DX$8,'HR mthly'!$I$6:$T$6,'HR mthly'!$I$28:$T$28)/_xlfn.XLOOKUP(DX$8,'HR mthly'!$I$6:$T$6,'HR mthly'!$I$27:$T$27))))))</f>
        <v>0.97333333333333327</v>
      </c>
      <c r="DY121" s="323">
        <f>IF(DY$7&gt;$D$3,"",IF(BQ121="OD","OD",IF(BQ121="Missed","Missed",IF(BQ121="TBC","TBC",IF(BQ121="Undefined","Undefined",_xlfn.XLOOKUP(DY$8,'HR mthly'!$I$6:$T$6,'HR mthly'!$I$28:$T$28)/_xlfn.XLOOKUP(DY$8,'HR mthly'!$I$6:$T$6,'HR mthly'!$I$27:$T$27))))))</f>
        <v>0.97333333333333327</v>
      </c>
      <c r="DZ121" s="323" t="str">
        <f>IF(DZ$7&gt;$D$3,"",IF(BR121="OD","OD",IF(BR121="Missed","Missed",IF(BR121="TBC","TBC",IF(BR121="Undefined","Undefined",_xlfn.XLOOKUP(DZ$8,'HR mthly'!$I$6:$T$6,'HR mthly'!$I$28:$T$28)/_xlfn.XLOOKUP(DZ$8,'HR mthly'!$I$6:$T$6,'HR mthly'!$I$27:$T$27))))))</f>
        <v>OD</v>
      </c>
      <c r="EA121" s="323" t="str">
        <f>IF(EA$7&gt;$D$3,"",IF(BS121="OD","OD",IF(BS121="Missed","Missed",IF(BS121="TBC","TBC",IF(BS121="Undefined","Undefined",_xlfn.XLOOKUP(EA$8,'HR mthly'!$I$6:$T$6,'HR mthly'!$I$28:$T$28)/_xlfn.XLOOKUP(EA$8,'HR mthly'!$I$6:$T$6,'HR mthly'!$I$27:$T$27))))))</f>
        <v>OD</v>
      </c>
      <c r="EB121" s="323" t="str">
        <f>IF(EB$7&gt;$D$3,"",IF(BT121="OD","OD",IF(BT121="Missed","Missed",IF(BT121="TBC","TBC",IF(BT121="Undefined","Undefined",_xlfn.XLOOKUP(EB$8,'HR mthly'!$I$6:$T$6,'HR mthly'!$I$28:$T$28)/_xlfn.XLOOKUP(EB$8,'HR mthly'!$I$6:$T$6,'HR mthly'!$I$27:$T$27))))))</f>
        <v>OD</v>
      </c>
      <c r="EC121" s="323" t="str">
        <f>IF(EC$7&gt;$D$3,"",IF(BU121="OD","OD",IF(BU121="Missed","Missed",IF(BU121="TBC","TBC",IF(BU121="Undefined","Undefined",_xlfn.XLOOKUP(EC$8,'HR mthly'!$I$6:$T$6,'HR mthly'!$I$28:$T$28)/_xlfn.XLOOKUP(EC$8,'HR mthly'!$I$6:$T$6,'HR mthly'!$I$27:$T$27))))))</f>
        <v>OD</v>
      </c>
      <c r="ED121" s="323" t="str">
        <f>IF(ED$7&gt;$D$3,"",IF(BV121="OD","OD",IF(BV121="Missed","Missed",IF(BV121="TBC","TBC",IF(BV121="Undefined","Undefined",_xlfn.XLOOKUP(ED$8,'HR mthly'!$I$6:$T$6,'HR mthly'!$I$28:$T$28)/_xlfn.XLOOKUP(ED$8,'HR mthly'!$I$6:$T$6,'HR mthly'!$I$27:$T$27))))))</f>
        <v>OD</v>
      </c>
      <c r="EE121" s="323" t="str">
        <f>IF(EE$7&gt;$D$3,"",IF(BW121="OD","OD",IF(BW121="Missed","Missed",IF(BW121="TBC","TBC",IF(BW121="Undefined","Undefined",_xlfn.XLOOKUP(EE$8,'HR mthly'!$I$6:$T$6,'HR mthly'!$I$28:$T$28)/_xlfn.XLOOKUP(EE$8,'HR mthly'!$I$6:$T$6,'HR mthly'!$I$27:$T$27))))))</f>
        <v>OD</v>
      </c>
      <c r="EF121" s="323" t="str">
        <f>IF(EF$7&gt;$D$3,"",IF(BX121="OD","OD",IF(BX121="Missed","Missed",IF(BX121="TBC","TBC",IF(BX121="Undefined","Undefined",_xlfn.XLOOKUP(EF$8,'HR mthly'!$I$6:$T$6,'HR mthly'!$I$28:$T$28)/_xlfn.XLOOKUP(EF$8,'HR mthly'!$I$6:$T$6,'HR mthly'!$I$27:$T$27))))))</f>
        <v>OD</v>
      </c>
      <c r="EG121" s="323" t="str">
        <f>IF(EG$7&gt;$D$3,"",IF(BY121="OD","OD",IF(BY121="Missed","Missed",IF(BY121="TBC","TBC",IF(BY121="Undefined","Undefined",_xlfn.XLOOKUP(EG$8,'HR mthly'!$I$6:$T$6,'HR mthly'!$I$28:$T$28)/_xlfn.XLOOKUP(EG$8,'HR mthly'!$I$6:$T$6,'HR mthly'!$I$27:$T$27))))))</f>
        <v>OD</v>
      </c>
      <c r="EH121" s="323" t="str">
        <f>IF(EH$7&gt;$D$3,"",IF(BZ121="OD","OD",IF(BZ121="Missed","Missed",IF(BZ121="TBC","TBC",IF(BZ121="Undefined","Undefined",_xlfn.XLOOKUP(EH$8,'HR mthly'!$I$6:$T$6,'HR mthly'!$I$28:$T$28)/_xlfn.XLOOKUP(EH$8,'HR mthly'!$I$6:$T$6,'HR mthly'!$I$27:$T$27))))))</f>
        <v>OD</v>
      </c>
      <c r="EI121" s="323" t="str">
        <f>IF(EI$7&gt;$D$3,"",IF(CA121="OD","OD",IF(CA121="Missed","Missed",IF(CA121="TBC","TBC",IF(CA121="Undefined","Undefined",_xlfn.XLOOKUP(EI$8,'HR mthly'!$I$6:$T$6,'HR mthly'!$I$28:$T$28)/_xlfn.XLOOKUP(EI$8,'HR mthly'!$I$6:$T$6,'HR mthly'!$I$27:$T$27))))))</f>
        <v>OD</v>
      </c>
      <c r="EJ121" s="323" t="str">
        <f>IF(EJ$7&gt;$D$3,"",IF(CB121="OD","OD",IF(CB121="Missed","Missed",IF(CB121="TBC","TBC",IF(CB121="Undefined","Undefined",_xlfn.XLOOKUP(EJ$8,'HR mthly'!$I$6:$T$6,'HR mthly'!$I$28:$T$28)/_xlfn.XLOOKUP(EJ$8,'HR mthly'!$I$6:$T$6,'HR mthly'!$I$27:$T$27))))))</f>
        <v>OD</v>
      </c>
      <c r="EK121" s="323" t="str">
        <f>IF(EK$7&gt;$D$3,"",IF(CC121="OD","OD",IF(CC121="Missed","Missed",IF(CC121="TBC","TBC",IF(CC121="Undefined","Undefined",_xlfn.XLOOKUP(EK$8,'HR mthly'!$I$6:$T$6,'HR mthly'!$I$28:$T$28)/_xlfn.XLOOKUP(EK$8,'HR mthly'!$I$6:$T$6,'HR mthly'!$I$27:$T$27))))))</f>
        <v/>
      </c>
      <c r="EL121" s="323" t="str">
        <f>IF(EL$7&gt;$D$3,"",IF(CD121="OD","OD",IF(CD121="Missed","Missed",IF(CD121="TBC","TBC",IF(CD121="Undefined","Undefined",_xlfn.XLOOKUP(EL$8,'HR mthly'!$I$6:$T$6,'HR mthly'!$I$28:$T$28)/_xlfn.XLOOKUP(EL$8,'HR mthly'!$I$6:$T$6,'HR mthly'!$I$27:$T$27))))))</f>
        <v/>
      </c>
      <c r="EM121" s="323" t="str">
        <f>IF(EM$7&gt;$D$3,"",IF(CE121="OD","OD",IF(CE121="Missed","Missed",IF(CE121="TBC","TBC",IF(CE121="Undefined","Undefined",_xlfn.XLOOKUP(EM$8,'HR mthly'!$I$6:$T$6,'HR mthly'!$I$28:$T$28)/_xlfn.XLOOKUP(EM$8,'HR mthly'!$I$6:$T$6,'HR mthly'!$I$27:$T$27))))))</f>
        <v/>
      </c>
      <c r="EN121" s="323" t="str">
        <f>IF(EN$7&gt;$D$3,"",IF(CF121="OD","OD",IF(CF121="Missed","Missed",IF(CF121="TBC","TBC",IF(CF121="Undefined","Undefined",_xlfn.XLOOKUP(EN$8,'HR mthly'!$I$6:$T$6,'HR mthly'!$I$28:$T$28)/_xlfn.XLOOKUP(EN$8,'HR mthly'!$I$6:$T$6,'HR mthly'!$I$27:$T$27))))))</f>
        <v/>
      </c>
      <c r="EO121" s="323" t="str">
        <f>IF(EO$7&gt;$D$3,"",IF(CG121="OD","OD",IF(CG121="Missed","Missed",IF(CG121="TBC","TBC",IF(CG121="Undefined","Undefined",_xlfn.XLOOKUP(EO$8,'HR mthly'!$I$6:$T$6,'HR mthly'!$I$28:$T$28)/_xlfn.XLOOKUP(EO$8,'HR mthly'!$I$6:$T$6,'HR mthly'!$I$27:$T$27))))))</f>
        <v/>
      </c>
      <c r="EP121" s="323" t="str">
        <f>IF(EP$7&gt;$D$3,"",IF(CH121="OD","OD",IF(CH121="Missed","Missed",IF(CH121="TBC","TBC",IF(CH121="Undefined","Undefined",_xlfn.XLOOKUP(EP$8,'HR mthly'!$I$6:$T$6,'HR mthly'!$I$28:$T$28)/_xlfn.XLOOKUP(EP$8,'HR mthly'!$I$6:$T$6,'HR mthly'!$I$27:$T$27))))))</f>
        <v/>
      </c>
      <c r="EQ121" s="323" t="str">
        <f>IF(EQ$7&gt;$D$3,"",IF(CI121="OD","OD",IF(CI121="Missed","Missed",IF(CI121="TBC","TBC",IF(CI121="Undefined","Undefined",_xlfn.XLOOKUP(EQ$8,'HR mthly'!$I$6:$T$6,'HR mthly'!$I$28:$T$28)/_xlfn.XLOOKUP(EQ$8,'HR mthly'!$I$6:$T$6,'HR mthly'!$I$27:$T$27))))))</f>
        <v/>
      </c>
      <c r="ER121" s="323" t="str">
        <f>IF(ER$7&gt;$D$3,"",IF(CJ121="OD","OD",IF(CJ121="Missed","Missed",IF(CJ121="TBC","TBC",IF(CJ121="Undefined","Undefined",_xlfn.XLOOKUP(ER$8,'HR mthly'!$I$6:$T$6,'HR mthly'!$I$28:$T$28)/_xlfn.XLOOKUP(ER$8,'HR mthly'!$I$6:$T$6,'HR mthly'!$I$27:$T$27))))))</f>
        <v/>
      </c>
      <c r="ES121" s="323" t="str">
        <f>IF(ES$7&gt;$D$3,"",IF(CK121="OD","OD",IF(CK121="Missed","Missed",IF(CK121="TBC","TBC",IF(CK121="Undefined","Undefined",_xlfn.XLOOKUP(ES$8,'HR mthly'!$I$6:$T$6,'HR mthly'!$I$28:$T$28)/_xlfn.XLOOKUP(ES$8,'HR mthly'!$I$6:$T$6,'HR mthly'!$I$27:$T$27))))))</f>
        <v/>
      </c>
      <c r="ET121" s="323" t="str">
        <f>IF(ET$7&gt;$D$3,"",IF(CL121="OD","OD",IF(CL121="Missed","Missed",IF(CL121="TBC","TBC",IF(CL121="Undefined","Undefined",_xlfn.XLOOKUP(ET$8,'HR mthly'!$I$6:$T$6,'HR mthly'!$I$28:$T$28)/_xlfn.XLOOKUP(ET$8,'HR mthly'!$I$6:$T$6,'HR mthly'!$I$27:$T$27))))))</f>
        <v/>
      </c>
      <c r="EU121" s="323" t="str">
        <f>IF(EU$7&gt;$D$3,"",IF(CM121="OD","OD",IF(CM121="Missed","Missed",IF(CM121="TBC","TBC",IF(CM121="Undefined","Undefined",_xlfn.XLOOKUP(EU$8,'HR mthly'!$I$6:$T$6,'HR mthly'!$I$28:$T$28)/_xlfn.XLOOKUP(EU$8,'HR mthly'!$I$6:$T$6,'HR mthly'!$I$27:$T$27))))))</f>
        <v/>
      </c>
      <c r="EW121" s="465" t="str">
        <f t="shared" si="643"/>
        <v>HR-KPI Q2</v>
      </c>
      <c r="EX121" s="136" t="str">
        <f t="shared" si="644"/>
        <v>KPI Q2</v>
      </c>
      <c r="EY121" s="144" t="str">
        <f t="shared" si="645"/>
        <v>Quality</v>
      </c>
      <c r="EZ121" s="144" t="str">
        <f t="shared" si="607"/>
        <v>Avg Score Value</v>
      </c>
      <c r="FA121" s="145" t="str">
        <f t="shared" si="608"/>
        <v>Score</v>
      </c>
      <c r="FB121" s="145" t="s">
        <v>251</v>
      </c>
      <c r="FC121" s="226"/>
      <c r="FD121" s="332">
        <f>IF(FD$7&gt;$D$3,"",_xlfn.XLOOKUP(FD$8,'HR mthly'!$I$6:$T$6,'HR mthly'!$I$28:$T$28))</f>
        <v>2.75</v>
      </c>
      <c r="FE121" s="332">
        <f>IF(FE$7&gt;$D$3,"",_xlfn.XLOOKUP(FE$8,'HR mthly'!$I$6:$T$6,'HR mthly'!$I$28:$T$28))</f>
        <v>2.75</v>
      </c>
      <c r="FF121" s="332">
        <f>IF(FF$7&gt;$D$3,"",_xlfn.XLOOKUP(FF$8,'HR mthly'!$I$6:$T$6,'HR mthly'!$I$28:$T$28))</f>
        <v>2.75</v>
      </c>
      <c r="FG121" s="332">
        <f>IF(FG$7&gt;$D$3,"",_xlfn.XLOOKUP(FG$8,'HR mthly'!$I$6:$T$6,'HR mthly'!$I$28:$T$28))</f>
        <v>2.75</v>
      </c>
      <c r="FH121" s="332">
        <f>IF(FH$7&gt;$D$3,"",_xlfn.XLOOKUP(FH$8,'HR mthly'!$I$6:$T$6,'HR mthly'!$I$28:$T$28))</f>
        <v>2.6</v>
      </c>
      <c r="FI121" s="332">
        <f>IF(FI$7&gt;$D$3,"",_xlfn.XLOOKUP(FI$8,'HR mthly'!$I$6:$T$6,'HR mthly'!$I$28:$T$28))</f>
        <v>2.6</v>
      </c>
      <c r="FJ121" s="332">
        <f>IF(FJ$7&gt;$D$3,"",_xlfn.XLOOKUP(FJ$8,'HR mthly'!$I$6:$T$6,'HR mthly'!$I$28:$T$28))</f>
        <v>2.6</v>
      </c>
      <c r="FK121" s="332">
        <f>IF(FK$7&gt;$D$3,"",_xlfn.XLOOKUP(FK$8,'HR mthly'!$I$6:$T$6,'HR mthly'!$I$28:$T$28))</f>
        <v>2.6</v>
      </c>
      <c r="FL121" s="332">
        <f>IF(FL$7&gt;$D$3,"",_xlfn.XLOOKUP(FL$8,'HR mthly'!$I$6:$T$6,'HR mthly'!$I$28:$T$28))</f>
        <v>2.92</v>
      </c>
      <c r="FM121" s="332">
        <f>IF(FM$7&gt;$D$3,"",_xlfn.XLOOKUP(FM$8,'HR mthly'!$I$6:$T$6,'HR mthly'!$I$28:$T$28))</f>
        <v>2.92</v>
      </c>
      <c r="FN121" s="332">
        <f>IF(FN$7&gt;$D$3,"",_xlfn.XLOOKUP(FN$8,'HR mthly'!$I$6:$T$6,'HR mthly'!$I$28:$T$28))</f>
        <v>2.92</v>
      </c>
      <c r="FO121" s="332">
        <f>IF(FO$7&gt;$D$3,"",_xlfn.XLOOKUP(FO$8,'HR mthly'!$I$6:$T$6,'HR mthly'!$I$28:$T$28))</f>
        <v>2.92</v>
      </c>
      <c r="FP121" s="332">
        <f>IF(FP$7&gt;$D$3,"",_xlfn.XLOOKUP(FP$8,'HR mthly'!$I$6:$T$6,'HR mthly'!$I$28:$T$28))</f>
        <v>2.92</v>
      </c>
      <c r="FQ121" s="332">
        <f>IF(FQ$7&gt;$D$3,"",_xlfn.XLOOKUP(FQ$8,'HR mthly'!$I$6:$T$6,'HR mthly'!$I$28:$T$28))</f>
        <v>2.92</v>
      </c>
      <c r="FR121" s="332">
        <f>IF(FR$7&gt;$D$3,"",_xlfn.XLOOKUP(FR$8,'HR mthly'!$I$6:$T$6,'HR mthly'!$I$28:$T$28))</f>
        <v>2.92</v>
      </c>
      <c r="FS121" s="332">
        <f>IF(FS$7&gt;$D$3,"",_xlfn.XLOOKUP(FS$8,'HR mthly'!$I$6:$T$6,'HR mthly'!$I$28:$T$28))</f>
        <v>2.92</v>
      </c>
      <c r="FT121" s="332">
        <f>IF(FT$7&gt;$D$3,"",_xlfn.XLOOKUP(FT$8,'HR mthly'!$I$6:$T$6,'HR mthly'!$I$28:$T$28))</f>
        <v>2.92</v>
      </c>
      <c r="FU121" s="332">
        <f>IF(FU$7&gt;$D$3,"",_xlfn.XLOOKUP(FU$8,'HR mthly'!$I$6:$T$6,'HR mthly'!$I$28:$T$28))</f>
        <v>2.92</v>
      </c>
      <c r="FV121" s="332">
        <f>IF(FV$7&gt;$D$3,"",_xlfn.XLOOKUP(FV$8,'HR mthly'!$I$6:$T$6,'HR mthly'!$I$28:$T$28))</f>
        <v>2.92</v>
      </c>
      <c r="FW121" s="332">
        <f>IF(FW$7&gt;$D$3,"",_xlfn.XLOOKUP(FW$8,'HR mthly'!$I$6:$T$6,'HR mthly'!$I$28:$T$28))</f>
        <v>2.92</v>
      </c>
      <c r="FX121" s="332">
        <f>IF(FX$7&gt;$D$3,"",_xlfn.XLOOKUP(FX$8,'HR mthly'!$I$6:$T$6,'HR mthly'!$I$28:$T$28))</f>
        <v>2.92</v>
      </c>
      <c r="FY121" s="332">
        <f>IF(FY$7&gt;$D$3,"",_xlfn.XLOOKUP(FY$8,'HR mthly'!$I$6:$T$6,'HR mthly'!$I$28:$T$28))</f>
        <v>2.92</v>
      </c>
      <c r="FZ121" s="332">
        <f>IF(FZ$7&gt;$D$3,"",_xlfn.XLOOKUP(FZ$8,'HR mthly'!$I$6:$T$6,'HR mthly'!$I$28:$T$28))</f>
        <v>2.92</v>
      </c>
      <c r="GA121" s="332">
        <f>IF(GA$7&gt;$D$3,"",_xlfn.XLOOKUP(GA$8,'HR mthly'!$I$6:$T$6,'HR mthly'!$I$28:$T$28))</f>
        <v>2.92</v>
      </c>
      <c r="GB121" s="332">
        <f>IF(GB$7&gt;$D$3,"",_xlfn.XLOOKUP(GB$8,'HR mthly'!$I$6:$T$6,'HR mthly'!$I$28:$T$28))</f>
        <v>2.92</v>
      </c>
      <c r="GC121" s="332">
        <f>IF(GC$7&gt;$D$3,"",_xlfn.XLOOKUP(GC$8,'HR mthly'!$I$6:$T$6,'HR mthly'!$I$28:$T$28))</f>
        <v>2.92</v>
      </c>
      <c r="GD121" s="332">
        <f>IF(GD$7&gt;$D$3,"",_xlfn.XLOOKUP(GD$8,'HR mthly'!$I$6:$T$6,'HR mthly'!$I$28:$T$28))</f>
        <v>2.92</v>
      </c>
      <c r="GE121" s="332">
        <f>IF(GE$7&gt;$D$3,"",_xlfn.XLOOKUP(GE$8,'HR mthly'!$I$6:$T$6,'HR mthly'!$I$28:$T$28))</f>
        <v>2.92</v>
      </c>
      <c r="GF121" s="332">
        <f>IF(GF$7&gt;$D$3,"",_xlfn.XLOOKUP(GF$8,'HR mthly'!$I$6:$T$6,'HR mthly'!$I$28:$T$28))</f>
        <v>2.92</v>
      </c>
      <c r="GG121" s="332">
        <f>IF(GG$7&gt;$D$3,"",_xlfn.XLOOKUP(GG$8,'HR mthly'!$I$6:$T$6,'HR mthly'!$I$28:$T$28))</f>
        <v>2.92</v>
      </c>
      <c r="GH121" s="332">
        <f>IF(GH$7&gt;$D$3,"",_xlfn.XLOOKUP(GH$8,'HR mthly'!$I$6:$T$6,'HR mthly'!$I$28:$T$28))</f>
        <v>0</v>
      </c>
      <c r="GI121" s="332">
        <f>IF(GI$7&gt;$D$3,"",_xlfn.XLOOKUP(GI$8,'HR mthly'!$I$6:$T$6,'HR mthly'!$I$28:$T$28))</f>
        <v>0</v>
      </c>
      <c r="GJ121" s="332">
        <f>IF(GJ$7&gt;$D$3,"",_xlfn.XLOOKUP(GJ$8,'HR mthly'!$I$6:$T$6,'HR mthly'!$I$28:$T$28))</f>
        <v>0</v>
      </c>
      <c r="GK121" s="332">
        <f>IF(GK$7&gt;$D$3,"",_xlfn.XLOOKUP(GK$8,'HR mthly'!$I$6:$T$6,'HR mthly'!$I$28:$T$28))</f>
        <v>0</v>
      </c>
      <c r="GL121" s="332">
        <f>IF(GL$7&gt;$D$3,"",_xlfn.XLOOKUP(GL$8,'HR mthly'!$I$6:$T$6,'HR mthly'!$I$28:$T$28))</f>
        <v>0</v>
      </c>
      <c r="GM121" s="332">
        <f>IF(GM$7&gt;$D$3,"",_xlfn.XLOOKUP(GM$8,'HR mthly'!$I$6:$T$6,'HR mthly'!$I$28:$T$28))</f>
        <v>0</v>
      </c>
      <c r="GN121" s="332">
        <f>IF(GN$7&gt;$D$3,"",_xlfn.XLOOKUP(GN$8,'HR mthly'!$I$6:$T$6,'HR mthly'!$I$28:$T$28))</f>
        <v>0</v>
      </c>
      <c r="GO121" s="332">
        <f>IF(GO$7&gt;$D$3,"",_xlfn.XLOOKUP(GO$8,'HR mthly'!$I$6:$T$6,'HR mthly'!$I$28:$T$28))</f>
        <v>0</v>
      </c>
      <c r="GP121" s="332">
        <f>IF(GP$7&gt;$D$3,"",_xlfn.XLOOKUP(GP$8,'HR mthly'!$I$6:$T$6,'HR mthly'!$I$28:$T$28))</f>
        <v>0</v>
      </c>
      <c r="GQ121" s="332">
        <f>IF(GQ$7&gt;$D$3,"",_xlfn.XLOOKUP(GQ$8,'HR mthly'!$I$6:$T$6,'HR mthly'!$I$28:$T$28))</f>
        <v>0</v>
      </c>
      <c r="GR121" s="332">
        <f>IF(GR$7&gt;$D$3,"",_xlfn.XLOOKUP(GR$8,'HR mthly'!$I$6:$T$6,'HR mthly'!$I$28:$T$28))</f>
        <v>0</v>
      </c>
      <c r="GS121" s="332" t="str">
        <f>IF(GS$7&gt;$D$3,"",_xlfn.XLOOKUP(GS$8,'HR mthly'!$I$6:$T$6,'HR mthly'!$I$28:$T$28))</f>
        <v/>
      </c>
      <c r="GT121" s="332" t="str">
        <f>IF(GT$7&gt;$D$3,"",_xlfn.XLOOKUP(GT$8,'HR mthly'!$I$6:$T$6,'HR mthly'!$I$28:$T$28))</f>
        <v/>
      </c>
      <c r="GU121" s="332" t="str">
        <f>IF(GU$7&gt;$D$3,"",_xlfn.XLOOKUP(GU$8,'HR mthly'!$I$6:$T$6,'HR mthly'!$I$28:$T$28))</f>
        <v/>
      </c>
      <c r="GV121" s="332" t="str">
        <f>IF(GV$7&gt;$D$3,"",_xlfn.XLOOKUP(GV$8,'HR mthly'!$I$6:$T$6,'HR mthly'!$I$28:$T$28))</f>
        <v/>
      </c>
      <c r="GW121" s="332" t="str">
        <f>IF(GW$7&gt;$D$3,"",_xlfn.XLOOKUP(GW$8,'HR mthly'!$I$6:$T$6,'HR mthly'!$I$28:$T$28))</f>
        <v/>
      </c>
      <c r="GX121" s="332" t="str">
        <f>IF(GX$7&gt;$D$3,"",_xlfn.XLOOKUP(GX$8,'HR mthly'!$I$6:$T$6,'HR mthly'!$I$28:$T$28))</f>
        <v/>
      </c>
      <c r="GY121" s="332" t="str">
        <f>IF(GY$7&gt;$D$3,"",_xlfn.XLOOKUP(GY$8,'HR mthly'!$I$6:$T$6,'HR mthly'!$I$28:$T$28))</f>
        <v/>
      </c>
      <c r="GZ121" s="332" t="str">
        <f>IF(GZ$7&gt;$D$3,"",_xlfn.XLOOKUP(GZ$8,'HR mthly'!$I$6:$T$6,'HR mthly'!$I$28:$T$28))</f>
        <v/>
      </c>
      <c r="HA121" s="332" t="str">
        <f>IF(HA$7&gt;$D$3,"",_xlfn.XLOOKUP(HA$8,'HR mthly'!$I$6:$T$6,'HR mthly'!$I$28:$T$28))</f>
        <v/>
      </c>
      <c r="HB121" s="332" t="str">
        <f>IF(HB$7&gt;$D$3,"",_xlfn.XLOOKUP(HB$8,'HR mthly'!$I$6:$T$6,'HR mthly'!$I$28:$T$28))</f>
        <v/>
      </c>
      <c r="HC121" s="332" t="str">
        <f>IF(HC$7&gt;$D$3,"",_xlfn.XLOOKUP(HC$8,'HR mthly'!$I$6:$T$6,'HR mthly'!$I$28:$T$28))</f>
        <v/>
      </c>
      <c r="HE121" s="136" t="str">
        <f t="shared" si="646"/>
        <v>KPI Q2</v>
      </c>
      <c r="HF121" s="144" t="str">
        <f t="shared" si="647"/>
        <v>Quality</v>
      </c>
      <c r="HG121" s="144" t="str">
        <f t="shared" si="611"/>
        <v>Avg Score Value</v>
      </c>
      <c r="HH121" s="145" t="str">
        <f t="shared" si="612"/>
        <v>Score</v>
      </c>
      <c r="HI121" s="145" t="s">
        <v>44</v>
      </c>
      <c r="HJ121" s="226" t="s">
        <v>122</v>
      </c>
      <c r="HK121" s="332">
        <f>IF(HK$7&gt;$D$3,"",_xlfn.XLOOKUP(HK$8,'HR mthly'!$I$6:$T$6,'HR mthly'!$I$27:$T$27))</f>
        <v>3</v>
      </c>
      <c r="HL121" s="332">
        <f>IF(HL$7&gt;$D$3,"",_xlfn.XLOOKUP(HL$8,'HR mthly'!$I$6:$T$6,'HR mthly'!$I$27:$T$27))</f>
        <v>3</v>
      </c>
      <c r="HM121" s="332">
        <f>IF(HM$7&gt;$D$3,"",_xlfn.XLOOKUP(HM$8,'HR mthly'!$I$6:$T$6,'HR mthly'!$I$27:$T$27))</f>
        <v>3</v>
      </c>
      <c r="HN121" s="332">
        <f>IF(HN$7&gt;$D$3,"",_xlfn.XLOOKUP(HN$8,'HR mthly'!$I$6:$T$6,'HR mthly'!$I$27:$T$27))</f>
        <v>3</v>
      </c>
      <c r="HO121" s="332">
        <f>IF(HO$7&gt;$D$3,"",_xlfn.XLOOKUP(HO$8,'HR mthly'!$I$6:$T$6,'HR mthly'!$I$27:$T$27))</f>
        <v>3</v>
      </c>
      <c r="HP121" s="332">
        <f>IF(HP$7&gt;$D$3,"",_xlfn.XLOOKUP(HP$8,'HR mthly'!$I$6:$T$6,'HR mthly'!$I$27:$T$27))</f>
        <v>3</v>
      </c>
      <c r="HQ121" s="332">
        <f>IF(HQ$7&gt;$D$3,"",_xlfn.XLOOKUP(HQ$8,'HR mthly'!$I$6:$T$6,'HR mthly'!$I$27:$T$27))</f>
        <v>3</v>
      </c>
      <c r="HR121" s="332">
        <f>IF(HR$7&gt;$D$3,"",_xlfn.XLOOKUP(HR$8,'HR mthly'!$I$6:$T$6,'HR mthly'!$I$27:$T$27))</f>
        <v>3</v>
      </c>
      <c r="HS121" s="332">
        <f>IF(HS$7&gt;$D$3,"",_xlfn.XLOOKUP(HS$8,'HR mthly'!$I$6:$T$6,'HR mthly'!$I$27:$T$27))</f>
        <v>3</v>
      </c>
      <c r="HT121" s="332">
        <f>IF(HT$7&gt;$D$3,"",_xlfn.XLOOKUP(HT$8,'HR mthly'!$I$6:$T$6,'HR mthly'!$I$27:$T$27))</f>
        <v>3</v>
      </c>
      <c r="HU121" s="332">
        <f>IF(HU$7&gt;$D$3,"",_xlfn.XLOOKUP(HU$8,'HR mthly'!$I$6:$T$6,'HR mthly'!$I$27:$T$27))</f>
        <v>3</v>
      </c>
      <c r="HV121" s="332">
        <f>IF(HV$7&gt;$D$3,"",_xlfn.XLOOKUP(HV$8,'HR mthly'!$I$6:$T$6,'HR mthly'!$I$27:$T$27))</f>
        <v>3</v>
      </c>
      <c r="HW121" s="332">
        <f>IF(HW$7&gt;$D$3,"",_xlfn.XLOOKUP(HW$8,'HR mthly'!$I$6:$T$6,'HR mthly'!$I$27:$T$27))</f>
        <v>3</v>
      </c>
      <c r="HX121" s="332">
        <f>IF(HX$7&gt;$D$3,"",_xlfn.XLOOKUP(HX$8,'HR mthly'!$I$6:$T$6,'HR mthly'!$I$27:$T$27))</f>
        <v>3</v>
      </c>
      <c r="HY121" s="332">
        <f>IF(HY$7&gt;$D$3,"",_xlfn.XLOOKUP(HY$8,'HR mthly'!$I$6:$T$6,'HR mthly'!$I$27:$T$27))</f>
        <v>3</v>
      </c>
      <c r="HZ121" s="332">
        <f>IF(HZ$7&gt;$D$3,"",_xlfn.XLOOKUP(HZ$8,'HR mthly'!$I$6:$T$6,'HR mthly'!$I$27:$T$27))</f>
        <v>3</v>
      </c>
      <c r="IA121" s="332">
        <f>IF(IA$7&gt;$D$3,"",_xlfn.XLOOKUP(IA$8,'HR mthly'!$I$6:$T$6,'HR mthly'!$I$27:$T$27))</f>
        <v>3</v>
      </c>
      <c r="IB121" s="332">
        <f>IF(IB$7&gt;$D$3,"",_xlfn.XLOOKUP(IB$8,'HR mthly'!$I$6:$T$6,'HR mthly'!$I$27:$T$27))</f>
        <v>3</v>
      </c>
      <c r="IC121" s="332">
        <f>IF(IC$7&gt;$D$3,"",_xlfn.XLOOKUP(IC$8,'HR mthly'!$I$6:$T$6,'HR mthly'!$I$27:$T$27))</f>
        <v>3</v>
      </c>
      <c r="ID121" s="332">
        <f>IF(ID$7&gt;$D$3,"",_xlfn.XLOOKUP(ID$8,'HR mthly'!$I$6:$T$6,'HR mthly'!$I$27:$T$27))</f>
        <v>3</v>
      </c>
      <c r="IE121" s="332">
        <f>IF(IE$7&gt;$D$3,"",_xlfn.XLOOKUP(IE$8,'HR mthly'!$I$6:$T$6,'HR mthly'!$I$27:$T$27))</f>
        <v>3</v>
      </c>
      <c r="IF121" s="332">
        <f>IF(IF$7&gt;$D$3,"",_xlfn.XLOOKUP(IF$8,'HR mthly'!$I$6:$T$6,'HR mthly'!$I$27:$T$27))</f>
        <v>3</v>
      </c>
      <c r="IG121" s="332">
        <f>IF(IG$7&gt;$D$3,"",_xlfn.XLOOKUP(IG$8,'HR mthly'!$I$6:$T$6,'HR mthly'!$I$27:$T$27))</f>
        <v>3</v>
      </c>
      <c r="IH121" s="332">
        <f>IF(IH$7&gt;$D$3,"",_xlfn.XLOOKUP(IH$8,'HR mthly'!$I$6:$T$6,'HR mthly'!$I$27:$T$27))</f>
        <v>3</v>
      </c>
      <c r="II121" s="332">
        <f>IF(II$7&gt;$D$3,"",_xlfn.XLOOKUP(II$8,'HR mthly'!$I$6:$T$6,'HR mthly'!$I$27:$T$27))</f>
        <v>3</v>
      </c>
      <c r="IJ121" s="332">
        <f>IF(IJ$7&gt;$D$3,"",_xlfn.XLOOKUP(IJ$8,'HR mthly'!$I$6:$T$6,'HR mthly'!$I$27:$T$27))</f>
        <v>3</v>
      </c>
      <c r="IK121" s="332">
        <f>IF(IK$7&gt;$D$3,"",_xlfn.XLOOKUP(IK$8,'HR mthly'!$I$6:$T$6,'HR mthly'!$I$27:$T$27))</f>
        <v>3</v>
      </c>
      <c r="IL121" s="332">
        <f>IF(IL$7&gt;$D$3,"",_xlfn.XLOOKUP(IL$8,'HR mthly'!$I$6:$T$6,'HR mthly'!$I$27:$T$27))</f>
        <v>3</v>
      </c>
      <c r="IM121" s="332">
        <f>IF(IM$7&gt;$D$3,"",_xlfn.XLOOKUP(IM$8,'HR mthly'!$I$6:$T$6,'HR mthly'!$I$27:$T$27))</f>
        <v>3</v>
      </c>
      <c r="IN121" s="332">
        <f>IF(IN$7&gt;$D$3,"",_xlfn.XLOOKUP(IN$8,'HR mthly'!$I$6:$T$6,'HR mthly'!$I$27:$T$27))</f>
        <v>3</v>
      </c>
      <c r="IO121" s="332">
        <f>IF(IO$7&gt;$D$3,"",_xlfn.XLOOKUP(IO$8,'HR mthly'!$I$6:$T$6,'HR mthly'!$I$27:$T$27))</f>
        <v>3</v>
      </c>
      <c r="IP121" s="332">
        <f>IF(IP$7&gt;$D$3,"",_xlfn.XLOOKUP(IP$8,'HR mthly'!$I$6:$T$6,'HR mthly'!$I$27:$T$27))</f>
        <v>3</v>
      </c>
      <c r="IQ121" s="332">
        <f>IF(IQ$7&gt;$D$3,"",_xlfn.XLOOKUP(IQ$8,'HR mthly'!$I$6:$T$6,'HR mthly'!$I$27:$T$27))</f>
        <v>3</v>
      </c>
      <c r="IR121" s="332">
        <f>IF(IR$7&gt;$D$3,"",_xlfn.XLOOKUP(IR$8,'HR mthly'!$I$6:$T$6,'HR mthly'!$I$27:$T$27))</f>
        <v>3</v>
      </c>
      <c r="IS121" s="332">
        <f>IF(IS$7&gt;$D$3,"",_xlfn.XLOOKUP(IS$8,'HR mthly'!$I$6:$T$6,'HR mthly'!$I$27:$T$27))</f>
        <v>3</v>
      </c>
      <c r="IT121" s="332">
        <f>IF(IT$7&gt;$D$3,"",_xlfn.XLOOKUP(IT$8,'HR mthly'!$I$6:$T$6,'HR mthly'!$I$27:$T$27))</f>
        <v>3</v>
      </c>
      <c r="IU121" s="332">
        <f>IF(IU$7&gt;$D$3,"",_xlfn.XLOOKUP(IU$8,'HR mthly'!$I$6:$T$6,'HR mthly'!$I$27:$T$27))</f>
        <v>3</v>
      </c>
      <c r="IV121" s="332">
        <f>IF(IV$7&gt;$D$3,"",_xlfn.XLOOKUP(IV$8,'HR mthly'!$I$6:$T$6,'HR mthly'!$I$27:$T$27))</f>
        <v>3</v>
      </c>
      <c r="IW121" s="332">
        <f>IF(IW$7&gt;$D$3,"",_xlfn.XLOOKUP(IW$8,'HR mthly'!$I$6:$T$6,'HR mthly'!$I$27:$T$27))</f>
        <v>4</v>
      </c>
      <c r="IX121" s="332">
        <f>IF(IX$7&gt;$D$3,"",_xlfn.XLOOKUP(IX$8,'HR mthly'!$I$6:$T$6,'HR mthly'!$I$27:$T$27))</f>
        <v>4</v>
      </c>
      <c r="IY121" s="332">
        <f>IF(IY$7&gt;$D$3,"",_xlfn.XLOOKUP(IY$8,'HR mthly'!$I$6:$T$6,'HR mthly'!$I$27:$T$27))</f>
        <v>4</v>
      </c>
      <c r="IZ121" s="332" t="str">
        <f>IF(IZ$7&gt;$D$3,"",_xlfn.XLOOKUP(IZ$8,'HR mthly'!$I$6:$T$6,'HR mthly'!$I$27:$T$27))</f>
        <v/>
      </c>
      <c r="JA121" s="332" t="str">
        <f>IF(JA$7&gt;$D$3,"",_xlfn.XLOOKUP(JA$8,'HR mthly'!$I$6:$T$6,'HR mthly'!$I$27:$T$27))</f>
        <v/>
      </c>
      <c r="JB121" s="332" t="str">
        <f>IF(JB$7&gt;$D$3,"",_xlfn.XLOOKUP(JB$8,'HR mthly'!$I$6:$T$6,'HR mthly'!$I$27:$T$27))</f>
        <v/>
      </c>
      <c r="JC121" s="332" t="str">
        <f>IF(JC$7&gt;$D$3,"",_xlfn.XLOOKUP(JC$8,'HR mthly'!$I$6:$T$6,'HR mthly'!$I$27:$T$27))</f>
        <v/>
      </c>
      <c r="JD121" s="332" t="str">
        <f>IF(JD$7&gt;$D$3,"",_xlfn.XLOOKUP(JD$8,'HR mthly'!$I$6:$T$6,'HR mthly'!$I$27:$T$27))</f>
        <v/>
      </c>
      <c r="JE121" s="332" t="str">
        <f>IF(JE$7&gt;$D$3,"",_xlfn.XLOOKUP(JE$8,'HR mthly'!$I$6:$T$6,'HR mthly'!$I$27:$T$27))</f>
        <v/>
      </c>
      <c r="JF121" s="332" t="str">
        <f>IF(JF$7&gt;$D$3,"",_xlfn.XLOOKUP(JF$8,'HR mthly'!$I$6:$T$6,'HR mthly'!$I$27:$T$27))</f>
        <v/>
      </c>
      <c r="JG121" s="332" t="str">
        <f>IF(JG$7&gt;$D$3,"",_xlfn.XLOOKUP(JG$8,'HR mthly'!$I$6:$T$6,'HR mthly'!$I$27:$T$27))</f>
        <v/>
      </c>
      <c r="JH121" s="332" t="str">
        <f>IF(JH$7&gt;$D$3,"",_xlfn.XLOOKUP(JH$8,'HR mthly'!$I$6:$T$6,'HR mthly'!$I$27:$T$27))</f>
        <v/>
      </c>
      <c r="JI121" s="332" t="str">
        <f>IF(JI$7&gt;$D$3,"",_xlfn.XLOOKUP(JI$8,'HR mthly'!$I$6:$T$6,'HR mthly'!$I$27:$T$27))</f>
        <v/>
      </c>
      <c r="JJ121" s="332" t="str">
        <f>IF(JJ$7&gt;$D$3,"",_xlfn.XLOOKUP(JJ$8,'HR mthly'!$I$6:$T$6,'HR mthly'!$I$27:$T$27))</f>
        <v/>
      </c>
      <c r="JM121" s="136" t="str">
        <f t="shared" si="648"/>
        <v>KPI Q2</v>
      </c>
      <c r="JN121" s="144" t="str">
        <f t="shared" si="649"/>
        <v>Quality</v>
      </c>
      <c r="JO121" s="244" t="str">
        <f t="shared" si="615"/>
        <v>Avg Score Value</v>
      </c>
      <c r="JP121" s="145" t="str">
        <f t="shared" si="616"/>
        <v>Score</v>
      </c>
      <c r="JQ121" s="145" t="s">
        <v>284</v>
      </c>
      <c r="JR121" s="226" t="str">
        <f>IFERROR(AVERAGE(FC121:$FC121),"")</f>
        <v/>
      </c>
      <c r="JS121" s="332">
        <f>IFERROR(AVERAGE($FC121:FD121),"")</f>
        <v>2.75</v>
      </c>
      <c r="JT121" s="332">
        <f>IFERROR(AVERAGE($FC121:FE121),"")</f>
        <v>2.75</v>
      </c>
      <c r="JU121" s="332">
        <f>IFERROR(AVERAGE($FC121:FF121),"")</f>
        <v>2.75</v>
      </c>
      <c r="JV121" s="332">
        <f>IFERROR(AVERAGE($FC121:FG121),"")</f>
        <v>2.75</v>
      </c>
      <c r="JW121" s="332">
        <f>IFERROR(AVERAGE($FC121:FH121),"")</f>
        <v>2.7199999999999998</v>
      </c>
      <c r="JX121" s="332">
        <f>IFERROR(AVERAGE($FC121:FI121),"")</f>
        <v>2.6999999999999997</v>
      </c>
      <c r="JY121" s="332">
        <f>IFERROR(AVERAGE($FC121:FJ121),"")</f>
        <v>2.6857142857142859</v>
      </c>
      <c r="JZ121" s="332">
        <f>IFERROR(AVERAGE($FC121:FK121),"")</f>
        <v>2.6750000000000003</v>
      </c>
      <c r="KA121" s="332">
        <f>IFERROR(AVERAGE($FC121:FL121),"")</f>
        <v>2.7022222222222223</v>
      </c>
      <c r="KB121" s="332">
        <f>IFERROR(AVERAGE($FC121:FM121),"")</f>
        <v>2.7240000000000002</v>
      </c>
      <c r="KC121" s="332">
        <f>IFERROR(AVERAGE($FC121:FN121),"")</f>
        <v>2.7418181818181822</v>
      </c>
      <c r="KD121" s="332">
        <f>IFERROR(AVERAGE($FC121:FO121),"")</f>
        <v>2.7566666666666673</v>
      </c>
      <c r="KE121" s="332">
        <f>IFERROR(AVERAGE($FC121:FP121),"")</f>
        <v>2.7692307692307696</v>
      </c>
      <c r="KF121" s="332">
        <f>IFERROR(AVERAGE($FC121:FQ121),"")</f>
        <v>2.7800000000000007</v>
      </c>
      <c r="KG121" s="332">
        <f>IFERROR(AVERAGE($FC121:FR121),"")</f>
        <v>2.7893333333333339</v>
      </c>
      <c r="KH121" s="332">
        <f>IFERROR(AVERAGE($FC121:FS121),"")</f>
        <v>2.7975000000000008</v>
      </c>
      <c r="KI121" s="332">
        <f>IFERROR(AVERAGE($FC121:FT121),"")</f>
        <v>2.804705882352942</v>
      </c>
      <c r="KJ121" s="332">
        <f>IFERROR(AVERAGE($FC121:FU121),"")</f>
        <v>2.8111111111111118</v>
      </c>
      <c r="KK121" s="332">
        <f>IFERROR(AVERAGE($FC121:FV121),"")</f>
        <v>2.8168421052631589</v>
      </c>
      <c r="KL121" s="332">
        <f>IFERROR(AVERAGE($FC121:FW121),"")</f>
        <v>2.822000000000001</v>
      </c>
      <c r="KM121" s="332">
        <f>IFERROR(AVERAGE($FC121:FX121),"")</f>
        <v>2.8266666666666675</v>
      </c>
      <c r="KN121" s="332">
        <f>IFERROR(AVERAGE($FC121:FY121),"")</f>
        <v>2.8309090909090919</v>
      </c>
      <c r="KO121" s="332">
        <f>IFERROR(AVERAGE($FC121:FZ121),"")</f>
        <v>2.8347826086956531</v>
      </c>
      <c r="KP121" s="332">
        <f>IFERROR(AVERAGE($FC121:GA121),"")</f>
        <v>2.8383333333333343</v>
      </c>
      <c r="KQ121" s="332">
        <f>IFERROR(AVERAGE($FC121:GB121),"")</f>
        <v>2.841600000000001</v>
      </c>
      <c r="KR121" s="332">
        <f>IFERROR(AVERAGE($FC121:GC121),"")</f>
        <v>2.8446153846153854</v>
      </c>
      <c r="KS121" s="332">
        <f>IFERROR(AVERAGE($FC121:GD121),"")</f>
        <v>2.8474074074074083</v>
      </c>
      <c r="KT121" s="332">
        <f>IFERROR(AVERAGE($FC121:GE121),"")</f>
        <v>2.850000000000001</v>
      </c>
      <c r="KU121" s="332">
        <f>IFERROR(AVERAGE($FC121:GF121),"")</f>
        <v>2.852413793103449</v>
      </c>
      <c r="KV121" s="332">
        <f>IFERROR(AVERAGE($FC121:GG121),"")</f>
        <v>2.8546666666666676</v>
      </c>
      <c r="KW121" s="332">
        <f>IFERROR(AVERAGE($FC121:GH121),"")</f>
        <v>2.7625806451612913</v>
      </c>
      <c r="KX121" s="332">
        <f>IFERROR(AVERAGE($FC121:GI121),"")</f>
        <v>2.6762500000000009</v>
      </c>
      <c r="KY121" s="332">
        <f>IFERROR(AVERAGE($FC121:GJ121),"")</f>
        <v>2.5951515151515161</v>
      </c>
      <c r="KZ121" s="332">
        <f>IFERROR(AVERAGE($FC121:GK121),"")</f>
        <v>2.5188235294117653</v>
      </c>
      <c r="LA121" s="332">
        <f>IFERROR(AVERAGE($FC121:GL121),"")</f>
        <v>2.4468571428571435</v>
      </c>
      <c r="LB121" s="332">
        <f>IFERROR(AVERAGE($FC121:GM121),"")</f>
        <v>2.3788888888888895</v>
      </c>
      <c r="LC121" s="332">
        <f>IFERROR(AVERAGE($FC121:GN121),"")</f>
        <v>2.3145945945945954</v>
      </c>
      <c r="LD121" s="332">
        <f>IFERROR(AVERAGE($FC121:GO121),"")</f>
        <v>2.2536842105263166</v>
      </c>
      <c r="LE121" s="332">
        <f>IFERROR(AVERAGE($FC121:GP121),"")</f>
        <v>2.1958974358974368</v>
      </c>
      <c r="LF121" s="332">
        <f>IFERROR(AVERAGE($FC121:GQ121),"")</f>
        <v>2.1410000000000009</v>
      </c>
      <c r="LG121" s="332">
        <f>IFERROR(AVERAGE($FC121:GR121),"")</f>
        <v>2.0887804878048786</v>
      </c>
      <c r="LH121" s="332">
        <f>IFERROR(AVERAGE($FC121:GS121),"")</f>
        <v>2.0887804878048786</v>
      </c>
      <c r="LI121" s="332">
        <f>IFERROR(AVERAGE($FC121:GT121),"")</f>
        <v>2.0887804878048786</v>
      </c>
      <c r="LJ121" s="332">
        <f>IFERROR(AVERAGE($FC121:GU121),"")</f>
        <v>2.0887804878048786</v>
      </c>
      <c r="LK121" s="332">
        <f>IFERROR(AVERAGE($FC121:GV121),"")</f>
        <v>2.0887804878048786</v>
      </c>
      <c r="LL121" s="332">
        <f>IFERROR(AVERAGE($FC121:GW121),"")</f>
        <v>2.0887804878048786</v>
      </c>
      <c r="LM121" s="332">
        <f>IFERROR(AVERAGE($FC121:GX121),"")</f>
        <v>2.0887804878048786</v>
      </c>
      <c r="LN121" s="332">
        <f>IFERROR(AVERAGE($FC121:GY121),"")</f>
        <v>2.0887804878048786</v>
      </c>
      <c r="LO121" s="332">
        <f>IFERROR(AVERAGE($FC121:GZ121),"")</f>
        <v>2.0887804878048786</v>
      </c>
      <c r="LP121" s="332">
        <f>IFERROR(AVERAGE($FC121:HA121),"")</f>
        <v>2.0887804878048786</v>
      </c>
      <c r="LQ121" s="332">
        <f>IFERROR(AVERAGE($FC121:HB121),"")</f>
        <v>2.0887804878048786</v>
      </c>
      <c r="LR121" s="332">
        <f>IFERROR(AVERAGE($FC121:HC121),"")</f>
        <v>2.0887804878048786</v>
      </c>
      <c r="LT121" s="136" t="str">
        <f t="shared" si="651"/>
        <v>KPI Q2</v>
      </c>
      <c r="LU121" s="144" t="str">
        <f t="shared" si="652"/>
        <v>Quality</v>
      </c>
      <c r="LV121" s="144" t="str">
        <f t="shared" si="619"/>
        <v>Avg Score Value</v>
      </c>
      <c r="LW121" s="145" t="str">
        <f t="shared" si="620"/>
        <v>Score</v>
      </c>
      <c r="LX121" s="145" t="s">
        <v>285</v>
      </c>
      <c r="LY121" s="226" t="str">
        <f>IFERROR(AVERAGE($HJ121:HJ121),"")</f>
        <v/>
      </c>
      <c r="LZ121" s="332">
        <f>IFERROR(IF(LAD$7&gt;$D$3,"",AVERAGE($HJ121:HK121)),"")</f>
        <v>3</v>
      </c>
      <c r="MA121" s="332">
        <f>IFERROR(IF(LAE$7&gt;$D$3,"",AVERAGE($HJ121:HL121)),"")</f>
        <v>3</v>
      </c>
      <c r="MB121" s="332">
        <f>IFERROR(IF(LAF$7&gt;$D$3,"",AVERAGE($HJ121:HM121)),"")</f>
        <v>3</v>
      </c>
      <c r="MC121" s="332">
        <f>IFERROR(IF(LAG$7&gt;$D$3,"",AVERAGE($HJ121:HN121)),"")</f>
        <v>3</v>
      </c>
      <c r="MD121" s="332">
        <f>IFERROR(IF(LAH$7&gt;$D$3,"",AVERAGE($HJ121:HO121)),"")</f>
        <v>3</v>
      </c>
      <c r="ME121" s="332">
        <f>IFERROR(IF(LAI$7&gt;$D$3,"",AVERAGE($HJ121:HP121)),"")</f>
        <v>3</v>
      </c>
      <c r="MF121" s="332">
        <f>IFERROR(IF(LAJ$7&gt;$D$3,"",AVERAGE($HJ121:HQ121)),"")</f>
        <v>3</v>
      </c>
      <c r="MG121" s="332">
        <f>IFERROR(IF(LAK$7&gt;$D$3,"",AVERAGE($HJ121:HR121)),"")</f>
        <v>3</v>
      </c>
      <c r="MH121" s="332">
        <f>IFERROR(IF(LAL$7&gt;$D$3,"",AVERAGE($HJ121:HS121)),"")</f>
        <v>3</v>
      </c>
      <c r="MI121" s="332">
        <f>IFERROR(IF(LAM$7&gt;$D$3,"",AVERAGE($HJ121:HT121)),"")</f>
        <v>3</v>
      </c>
      <c r="MJ121" s="332">
        <f>IFERROR(IF(LAN$7&gt;$D$3,"",AVERAGE($HJ121:HU121)),"")</f>
        <v>3</v>
      </c>
      <c r="MK121" s="332">
        <f>IFERROR(IF(LAO$7&gt;$D$3,"",AVERAGE($HJ121:HV121)),"")</f>
        <v>3</v>
      </c>
      <c r="ML121" s="332">
        <f>IFERROR(IF(LAP$7&gt;$D$3,"",AVERAGE($HJ121:HW121)),"")</f>
        <v>3</v>
      </c>
      <c r="MM121" s="332">
        <f>IFERROR(IF(LAQ$7&gt;$D$3,"",AVERAGE($HJ121:HX121)),"")</f>
        <v>3</v>
      </c>
      <c r="MN121" s="332">
        <f>IFERROR(IF(LAR$7&gt;$D$3,"",AVERAGE($HJ121:HY121)),"")</f>
        <v>3</v>
      </c>
      <c r="MO121" s="332">
        <f>IFERROR(IF(LAS$7&gt;$D$3,"",AVERAGE($HJ121:HZ121)),"")</f>
        <v>3</v>
      </c>
      <c r="MP121" s="332">
        <f>IFERROR(IF(LAT$7&gt;$D$3,"",AVERAGE($HJ121:IA121)),"")</f>
        <v>3</v>
      </c>
      <c r="MQ121" s="332">
        <f>IFERROR(IF(LAU$7&gt;$D$3,"",AVERAGE($HJ121:IB121)),"")</f>
        <v>3</v>
      </c>
      <c r="MR121" s="332">
        <f>IFERROR(IF(LAV$7&gt;$D$3,"",AVERAGE($HJ121:IC121)),"")</f>
        <v>3</v>
      </c>
      <c r="MS121" s="332">
        <f>IFERROR(IF(LAW$7&gt;$D$3,"",AVERAGE($HJ121:ID121)),"")</f>
        <v>3</v>
      </c>
      <c r="MT121" s="332">
        <f>IFERROR(IF(LAX$7&gt;$D$3,"",AVERAGE($HJ121:IE121)),"")</f>
        <v>3</v>
      </c>
      <c r="MU121" s="332">
        <f>IFERROR(IF(LAY$7&gt;$D$3,"",AVERAGE($HJ121:IF121)),"")</f>
        <v>3</v>
      </c>
      <c r="MV121" s="332">
        <f>IFERROR(IF(LAZ$7&gt;$D$3,"",AVERAGE($HJ121:IG121)),"")</f>
        <v>3</v>
      </c>
      <c r="MW121" s="332">
        <f>IFERROR(IF(LBA$7&gt;$D$3,"",AVERAGE($HJ121:IH121)),"")</f>
        <v>3</v>
      </c>
      <c r="MX121" s="332">
        <f>IFERROR(IF(LBB$7&gt;$D$3,"",AVERAGE($HJ121:II121)),"")</f>
        <v>3</v>
      </c>
      <c r="MY121" s="332">
        <f>IFERROR(IF(LBC$7&gt;$D$3,"",AVERAGE($HJ121:IJ121)),"")</f>
        <v>3</v>
      </c>
      <c r="MZ121" s="332">
        <f>IFERROR(IF(LBD$7&gt;$D$3,"",AVERAGE($HJ121:IK121)),"")</f>
        <v>3</v>
      </c>
      <c r="NA121" s="332">
        <f>IFERROR(IF(LBE$7&gt;$D$3,"",AVERAGE($HJ121:IL121)),"")</f>
        <v>3</v>
      </c>
      <c r="NB121" s="332">
        <f>IFERROR(IF(LBF$7&gt;$D$3,"",AVERAGE($HJ121:IM121)),"")</f>
        <v>3</v>
      </c>
      <c r="NC121" s="332">
        <f>IFERROR(IF(LBG$7&gt;$D$3,"",AVERAGE($HJ121:IN121)),"")</f>
        <v>3</v>
      </c>
      <c r="ND121" s="332">
        <f>IFERROR(IF(LBH$7&gt;$D$3,"",AVERAGE($HJ121:IO121)),"")</f>
        <v>3</v>
      </c>
      <c r="NE121" s="332">
        <f>IFERROR(IF(LBI$7&gt;$D$3,"",AVERAGE($HJ121:IP121)),"")</f>
        <v>3</v>
      </c>
      <c r="NF121" s="332">
        <f>IFERROR(IF(LBJ$7&gt;$D$3,"",AVERAGE($HJ121:IQ121)),"")</f>
        <v>3</v>
      </c>
      <c r="NG121" s="332">
        <f>IFERROR(IF(LBK$7&gt;$D$3,"",AVERAGE($HJ121:IR121)),"")</f>
        <v>3</v>
      </c>
      <c r="NH121" s="332">
        <f>IFERROR(IF(LBL$7&gt;$D$3,"",AVERAGE($HJ121:IS121)),"")</f>
        <v>3</v>
      </c>
      <c r="NI121" s="332">
        <f>IFERROR(IF(LBM$7&gt;$D$3,"",AVERAGE($HJ121:IT121)),"")</f>
        <v>3</v>
      </c>
      <c r="NJ121" s="332">
        <f>IFERROR(IF(LBN$7&gt;$D$3,"",AVERAGE($HJ121:IU121)),"")</f>
        <v>3</v>
      </c>
      <c r="NK121" s="332">
        <f>IFERROR(IF(LBO$7&gt;$D$3,"",AVERAGE($HJ121:IV121)),"")</f>
        <v>3</v>
      </c>
      <c r="NL121" s="332">
        <f>IFERROR(IF(LBP$7&gt;$D$3,"",AVERAGE($HJ121:IW121)),"")</f>
        <v>3.0256410256410255</v>
      </c>
      <c r="NM121" s="332">
        <f>IFERROR(IF(LBQ$7&gt;$D$3,"",AVERAGE($HJ121:IX121)),"")</f>
        <v>3.05</v>
      </c>
      <c r="NN121" s="332">
        <f>IFERROR(IF(LBR$7&gt;$D$3,"",AVERAGE($HJ121:IY121)),"")</f>
        <v>3.0731707317073171</v>
      </c>
      <c r="NO121" s="332">
        <f>IFERROR(IF(LBS$7&gt;$D$3,"",AVERAGE($HJ121:IZ121)),"")</f>
        <v>3.0731707317073171</v>
      </c>
      <c r="NP121" s="332">
        <f>IFERROR(IF(LBT$7&gt;$D$3,"",AVERAGE($HJ121:JA121)),"")</f>
        <v>3.0731707317073171</v>
      </c>
      <c r="NQ121" s="332">
        <f>IFERROR(IF(LBU$7&gt;$D$3,"",AVERAGE($HJ121:JB121)),"")</f>
        <v>3.0731707317073171</v>
      </c>
      <c r="NR121" s="332">
        <f>IFERROR(IF(LBV$7&gt;$D$3,"",AVERAGE($HJ121:JC121)),"")</f>
        <v>3.0731707317073171</v>
      </c>
      <c r="NS121" s="332">
        <f>IFERROR(IF(LBW$7&gt;$D$3,"",AVERAGE($HJ121:JD121)),"")</f>
        <v>3.0731707317073171</v>
      </c>
      <c r="NT121" s="332">
        <f>IFERROR(IF(LBX$7&gt;$D$3,"",AVERAGE($HJ121:JE121)),"")</f>
        <v>3.0731707317073171</v>
      </c>
      <c r="NU121" s="332">
        <f>IFERROR(IF(LBY$7&gt;$D$3,"",AVERAGE($HJ121:JF121)),"")</f>
        <v>3.0731707317073171</v>
      </c>
      <c r="NV121" s="332">
        <f>IFERROR(IF(LBZ$7&gt;$D$3,"",AVERAGE($HJ121:JG121)),"")</f>
        <v>3.0731707317073171</v>
      </c>
      <c r="NW121" s="332">
        <f>IFERROR(IF(LCA$7&gt;$D$3,"",AVERAGE($HJ121:JH121)),"")</f>
        <v>3.0731707317073171</v>
      </c>
      <c r="NX121" s="332">
        <f>IFERROR(IF(LCB$7&gt;$D$3,"",AVERAGE($HJ121:JI121)),"")</f>
        <v>3.0731707317073171</v>
      </c>
      <c r="NY121" s="332">
        <f>IFERROR(IF(LCC$7&gt;$D$3,"",AVERAGE($HJ121:JJ121)),"")</f>
        <v>3.0731707317073171</v>
      </c>
    </row>
    <row r="122" spans="1:389" x14ac:dyDescent="0.3">
      <c r="A122" t="str">
        <f t="shared" si="623"/>
        <v>HR-KPI C1</v>
      </c>
      <c r="B122" s="307"/>
      <c r="C122" s="136" t="str">
        <f>+'KPI Stats'!C121</f>
        <v>KPI C1</v>
      </c>
      <c r="D122" s="144" t="str">
        <f>+'KPI Stats'!D121</f>
        <v>Cost</v>
      </c>
      <c r="E122" s="144" t="str">
        <f>+'KPI Stats'!E121</f>
        <v>Head Count - Heads</v>
      </c>
      <c r="F122" s="145" t="str">
        <f>+'KPI Stats'!F121</f>
        <v>Count</v>
      </c>
      <c r="G122" s="169" t="str">
        <f>+'KPI Stats'!G121</f>
        <v>Over</v>
      </c>
      <c r="J122" s="69" t="str">
        <f t="shared" si="624"/>
        <v>A</v>
      </c>
      <c r="K122" s="264">
        <f t="shared" si="625"/>
        <v>798</v>
      </c>
      <c r="L122" s="278">
        <f t="shared" si="626"/>
        <v>759</v>
      </c>
      <c r="M122" s="376">
        <f t="shared" si="627"/>
        <v>0.95112781954887216</v>
      </c>
      <c r="P122" s="69" t="str">
        <f t="shared" si="628"/>
        <v>A</v>
      </c>
      <c r="Q122" s="264">
        <f t="shared" si="629"/>
        <v>798</v>
      </c>
      <c r="R122" s="278">
        <f t="shared" si="629"/>
        <v>798</v>
      </c>
      <c r="S122" s="378">
        <f t="shared" si="630"/>
        <v>0.95112781954887216</v>
      </c>
      <c r="T122" s="379">
        <f t="shared" si="630"/>
        <v>0.95112781954887216</v>
      </c>
      <c r="U122" s="295" t="str">
        <f>IF(F115&lt;$Q$4,"Not Complete",IF(Q122=R122,"Same −",IF($G122="Over",IF(Q122&lt;R122,"Better ↑","Worse ↓"),IF($G122="Under",IF(Q122&gt;R122,"Better ↑","Worse ↓"),"err"))))</f>
        <v>Same −</v>
      </c>
      <c r="X122" s="69" t="str">
        <f t="shared" si="631"/>
        <v>A</v>
      </c>
      <c r="Y122" s="264">
        <f t="shared" si="632"/>
        <v>773.53846153846155</v>
      </c>
      <c r="Z122" s="278">
        <f t="shared" si="633"/>
        <v>759</v>
      </c>
      <c r="AA122" s="376">
        <f t="shared" si="634"/>
        <v>0.98120525059665875</v>
      </c>
      <c r="AB122" s="295" t="str">
        <f>IF(F121&lt;$AA$3,"TBC",IF(Y122=Z122,"Same −",IF($G122="Over",IF(Z122&gt;Y122,"Better ↑ ","Worse ↓ "),IF($G122="Under",IF(Y122&lt;Z122,"Better ↑ ","Worse ↓ "),"err"))))</f>
        <v xml:space="preserve">Worse ↓ </v>
      </c>
      <c r="AC122" s="69" t="e">
        <f t="shared" si="635"/>
        <v>#DIV/0!</v>
      </c>
      <c r="AD122" s="114" t="b">
        <f t="shared" si="636"/>
        <v>0</v>
      </c>
      <c r="AE122" s="114" t="b">
        <f t="shared" si="637"/>
        <v>0</v>
      </c>
      <c r="AF122" s="252" t="e">
        <f t="shared" si="638"/>
        <v>#DIV/0!</v>
      </c>
      <c r="AH122" s="465" t="str">
        <f t="shared" si="639"/>
        <v>HR-KPI C1</v>
      </c>
      <c r="AI122" s="136" t="str">
        <f t="shared" ref="AI122" si="678">+C122</f>
        <v>KPI C1</v>
      </c>
      <c r="AJ122" s="144" t="str">
        <f t="shared" ref="AJ122" si="679">+D122</f>
        <v>Cost</v>
      </c>
      <c r="AK122" s="144" t="str">
        <f t="shared" ref="AK122" si="680">+E122</f>
        <v>Head Count - Heads</v>
      </c>
      <c r="AL122" s="145" t="str">
        <f t="shared" ref="AL122" si="681">+F122</f>
        <v>Count</v>
      </c>
      <c r="AM122" s="199" t="str">
        <f>IF(AM$7&gt;$D$3,"",_xlfn.XLOOKUP(AM$8,'HR mthly'!$I$6:$T$6,'HR mthly'!$I$33:$T$33))</f>
        <v>G</v>
      </c>
      <c r="AN122" s="199" t="str">
        <f>IF(AN$7&gt;$D$3,"",_xlfn.XLOOKUP(AN$8,'HR mthly'!$I$6:$T$6,'HR mthly'!$I$33:$T$33))</f>
        <v>G</v>
      </c>
      <c r="AO122" s="199" t="str">
        <f>IF(AO$7&gt;$D$3,"",_xlfn.XLOOKUP(AO$8,'HR mthly'!$I$6:$T$6,'HR mthly'!$I$33:$T$33))</f>
        <v>G</v>
      </c>
      <c r="AP122" s="199" t="str">
        <f>IF(AP$7&gt;$D$3,"",_xlfn.XLOOKUP(AP$8,'HR mthly'!$I$6:$T$6,'HR mthly'!$I$33:$T$33))</f>
        <v>G</v>
      </c>
      <c r="AQ122" s="199" t="str">
        <f>IF(AQ$7&gt;$D$3,"",_xlfn.XLOOKUP(AQ$8,'HR mthly'!$I$6:$T$6,'HR mthly'!$I$33:$T$33))</f>
        <v>G</v>
      </c>
      <c r="AR122" s="199" t="str">
        <f>IF(AR$7&gt;$D$3,"",_xlfn.XLOOKUP(AR$8,'HR mthly'!$I$6:$T$6,'HR mthly'!$I$33:$T$33))</f>
        <v>G</v>
      </c>
      <c r="AS122" s="199" t="str">
        <f>IF(AS$7&gt;$D$3,"",_xlfn.XLOOKUP(AS$8,'HR mthly'!$I$6:$T$6,'HR mthly'!$I$33:$T$33))</f>
        <v>G</v>
      </c>
      <c r="AT122" s="199" t="str">
        <f>IF(AT$7&gt;$D$3,"",_xlfn.XLOOKUP(AT$8,'HR mthly'!$I$6:$T$6,'HR mthly'!$I$33:$T$33))</f>
        <v>G</v>
      </c>
      <c r="AU122" s="199" t="str">
        <f>IF(AU$7&gt;$D$3,"",_xlfn.XLOOKUP(AU$8,'HR mthly'!$I$6:$T$6,'HR mthly'!$I$33:$T$33))</f>
        <v>G</v>
      </c>
      <c r="AV122" s="199" t="str">
        <f>IF(AV$7&gt;$D$3,"",_xlfn.XLOOKUP(AV$8,'HR mthly'!$I$6:$T$6,'HR mthly'!$I$33:$T$33))</f>
        <v>A</v>
      </c>
      <c r="AW122" s="199" t="str">
        <f>IF(AW$7&gt;$D$3,"",_xlfn.XLOOKUP(AW$8,'HR mthly'!$I$6:$T$6,'HR mthly'!$I$33:$T$33))</f>
        <v>A</v>
      </c>
      <c r="AX122" s="199" t="str">
        <f>IF(AX$7&gt;$D$3,"",_xlfn.XLOOKUP(AX$8,'HR mthly'!$I$6:$T$6,'HR mthly'!$I$33:$T$33))</f>
        <v>A</v>
      </c>
      <c r="AY122" s="199" t="str">
        <f>IF(AY$7&gt;$D$3,"",_xlfn.XLOOKUP(AY$8,'HR mthly'!$I$6:$T$6,'HR mthly'!$I$33:$T$33))</f>
        <v>A</v>
      </c>
      <c r="AZ122" s="199" t="str">
        <f>IF(AZ$7&gt;$D$3,"",_xlfn.XLOOKUP(AZ$8,'HR mthly'!$I$6:$T$6,'HR mthly'!$I$33:$T$33))</f>
        <v>A</v>
      </c>
      <c r="BA122" s="199" t="str">
        <f>IF(BA$7&gt;$D$3,"",_xlfn.XLOOKUP(BA$8,'HR mthly'!$I$6:$T$6,'HR mthly'!$I$33:$T$33))</f>
        <v>A</v>
      </c>
      <c r="BB122" s="199" t="str">
        <f>IF(BB$7&gt;$D$3,"",_xlfn.XLOOKUP(BB$8,'HR mthly'!$I$6:$T$6,'HR mthly'!$I$33:$T$33))</f>
        <v>A</v>
      </c>
      <c r="BC122" s="199" t="str">
        <f>IF(BC$7&gt;$D$3,"",_xlfn.XLOOKUP(BC$8,'HR mthly'!$I$6:$T$6,'HR mthly'!$I$33:$T$33))</f>
        <v>A</v>
      </c>
      <c r="BD122" s="199" t="str">
        <f>IF(BD$7&gt;$D$3,"",_xlfn.XLOOKUP(BD$8,'HR mthly'!$I$6:$T$6,'HR mthly'!$I$33:$T$33))</f>
        <v>A</v>
      </c>
      <c r="BE122" s="199" t="str">
        <f>IF(BE$7&gt;$D$3,"",_xlfn.XLOOKUP(BE$8,'HR mthly'!$I$6:$T$6,'HR mthly'!$I$33:$T$33))</f>
        <v>A</v>
      </c>
      <c r="BF122" s="199" t="str">
        <f>IF(BF$7&gt;$D$3,"",_xlfn.XLOOKUP(BF$8,'HR mthly'!$I$6:$T$6,'HR mthly'!$I$33:$T$33))</f>
        <v>A</v>
      </c>
      <c r="BG122" s="199" t="str">
        <f>IF(BG$7&gt;$D$3,"",_xlfn.XLOOKUP(BG$8,'HR mthly'!$I$6:$T$6,'HR mthly'!$I$33:$T$33))</f>
        <v>A</v>
      </c>
      <c r="BH122" s="199" t="str">
        <f>IF(BH$7&gt;$D$3,"",_xlfn.XLOOKUP(BH$8,'HR mthly'!$I$6:$T$6,'HR mthly'!$I$33:$T$33))</f>
        <v>A</v>
      </c>
      <c r="BI122" s="199" t="str">
        <f>IF(BI$7&gt;$D$3,"",_xlfn.XLOOKUP(BI$8,'HR mthly'!$I$6:$T$6,'HR mthly'!$I$33:$T$33))</f>
        <v>A</v>
      </c>
      <c r="BJ122" s="199" t="str">
        <f>IF(BJ$7&gt;$D$3,"",_xlfn.XLOOKUP(BJ$8,'HR mthly'!$I$6:$T$6,'HR mthly'!$I$33:$T$33))</f>
        <v>A</v>
      </c>
      <c r="BK122" s="199" t="str">
        <f>IF(BK$7&gt;$D$3,"",_xlfn.XLOOKUP(BK$8,'HR mthly'!$I$6:$T$6,'HR mthly'!$I$33:$T$33))</f>
        <v>A</v>
      </c>
      <c r="BL122" s="199" t="str">
        <f>IF(BL$7&gt;$D$3,"",_xlfn.XLOOKUP(BL$8,'HR mthly'!$I$6:$T$6,'HR mthly'!$I$33:$T$33))</f>
        <v>A</v>
      </c>
      <c r="BM122" s="199" t="str">
        <f>IF(BM$7&gt;$D$3,"",_xlfn.XLOOKUP(BM$8,'HR mthly'!$I$6:$T$6,'HR mthly'!$I$33:$T$33))</f>
        <v>A</v>
      </c>
      <c r="BN122" s="199" t="str">
        <f>IF(BN$7&gt;$D$3,"",_xlfn.XLOOKUP(BN$8,'HR mthly'!$I$6:$T$6,'HR mthly'!$I$33:$T$33))</f>
        <v>A</v>
      </c>
      <c r="BO122" s="199" t="str">
        <f>IF(BO$7&gt;$D$3,"",_xlfn.XLOOKUP(BO$8,'HR mthly'!$I$6:$T$6,'HR mthly'!$I$33:$T$33))</f>
        <v>A</v>
      </c>
      <c r="BP122" s="199" t="str">
        <f>IF(BP$7&gt;$D$3,"",_xlfn.XLOOKUP(BP$8,'HR mthly'!$I$6:$T$6,'HR mthly'!$I$33:$T$33))</f>
        <v>A</v>
      </c>
      <c r="BQ122" s="199" t="str">
        <f>IF(BQ$7&gt;$D$3,"",_xlfn.XLOOKUP(BQ$8,'HR mthly'!$I$6:$T$6,'HR mthly'!$I$33:$T$33))</f>
        <v>A</v>
      </c>
      <c r="BR122" s="199" t="str">
        <f>IF(BR$7&gt;$D$3,"",_xlfn.XLOOKUP(BR$8,'HR mthly'!$I$6:$T$6,'HR mthly'!$I$33:$T$33))</f>
        <v>A</v>
      </c>
      <c r="BS122" s="199" t="str">
        <f>IF(BS$7&gt;$D$3,"",_xlfn.XLOOKUP(BS$8,'HR mthly'!$I$6:$T$6,'HR mthly'!$I$33:$T$33))</f>
        <v>A</v>
      </c>
      <c r="BT122" s="199" t="str">
        <f>IF(BT$7&gt;$D$3,"",_xlfn.XLOOKUP(BT$8,'HR mthly'!$I$6:$T$6,'HR mthly'!$I$33:$T$33))</f>
        <v>A</v>
      </c>
      <c r="BU122" s="199" t="str">
        <f>IF(BU$7&gt;$D$3,"",_xlfn.XLOOKUP(BU$8,'HR mthly'!$I$6:$T$6,'HR mthly'!$I$33:$T$33))</f>
        <v>A</v>
      </c>
      <c r="BV122" s="199" t="str">
        <f>IF(BV$7&gt;$D$3,"",_xlfn.XLOOKUP(BV$8,'HR mthly'!$I$6:$T$6,'HR mthly'!$I$33:$T$33))</f>
        <v>A</v>
      </c>
      <c r="BW122" s="199" t="str">
        <f>IF(BW$7&gt;$D$3,"",_xlfn.XLOOKUP(BW$8,'HR mthly'!$I$6:$T$6,'HR mthly'!$I$33:$T$33))</f>
        <v>A</v>
      </c>
      <c r="BX122" s="199" t="str">
        <f>IF(BX$7&gt;$D$3,"",_xlfn.XLOOKUP(BX$8,'HR mthly'!$I$6:$T$6,'HR mthly'!$I$33:$T$33))</f>
        <v>A</v>
      </c>
      <c r="BY122" s="199" t="str">
        <f>IF(BY$7&gt;$D$3,"",_xlfn.XLOOKUP(BY$8,'HR mthly'!$I$6:$T$6,'HR mthly'!$I$33:$T$33))</f>
        <v>A</v>
      </c>
      <c r="BZ122" s="199" t="str">
        <f>IF(BZ$7&gt;$D$3,"",_xlfn.XLOOKUP(BZ$8,'HR mthly'!$I$6:$T$6,'HR mthly'!$I$33:$T$33))</f>
        <v>A</v>
      </c>
      <c r="CA122" s="199" t="str">
        <f>IF(CA$7&gt;$D$3,"",_xlfn.XLOOKUP(CA$8,'HR mthly'!$I$6:$T$6,'HR mthly'!$I$33:$T$33))</f>
        <v>A</v>
      </c>
      <c r="CB122" s="199" t="str">
        <f>IF(CB$7&gt;$D$3,"",_xlfn.XLOOKUP(CB$8,'HR mthly'!$I$6:$T$6,'HR mthly'!$I$33:$T$33))</f>
        <v>A</v>
      </c>
      <c r="CC122" s="199" t="str">
        <f>IF(CC$7&gt;$D$3,"",_xlfn.XLOOKUP(CC$8,'HR mthly'!$I$6:$T$6,'HR mthly'!$I$33:$T$33))</f>
        <v/>
      </c>
      <c r="CD122" s="199" t="str">
        <f>IF(CD$7&gt;$D$3,"",_xlfn.XLOOKUP(CD$8,'HR mthly'!$I$6:$T$6,'HR mthly'!$I$33:$T$33))</f>
        <v/>
      </c>
      <c r="CE122" s="199" t="str">
        <f>IF(CE$7&gt;$D$3,"",_xlfn.XLOOKUP(CE$8,'HR mthly'!$I$6:$T$6,'HR mthly'!$I$33:$T$33))</f>
        <v/>
      </c>
      <c r="CF122" s="199" t="str">
        <f>IF(CF$7&gt;$D$3,"",_xlfn.XLOOKUP(CF$8,'HR mthly'!$I$6:$T$6,'HR mthly'!$I$33:$T$33))</f>
        <v/>
      </c>
      <c r="CG122" s="199" t="str">
        <f>IF(CG$7&gt;$D$3,"",_xlfn.XLOOKUP(CG$8,'HR mthly'!$I$6:$T$6,'HR mthly'!$I$33:$T$33))</f>
        <v/>
      </c>
      <c r="CH122" s="199" t="str">
        <f>IF(CH$7&gt;$D$3,"",_xlfn.XLOOKUP(CH$8,'HR mthly'!$I$6:$T$6,'HR mthly'!$I$33:$T$33))</f>
        <v/>
      </c>
      <c r="CI122" s="199" t="str">
        <f>IF(CI$7&gt;$D$3,"",_xlfn.XLOOKUP(CI$8,'HR mthly'!$I$6:$T$6,'HR mthly'!$I$33:$T$33))</f>
        <v/>
      </c>
      <c r="CJ122" s="199" t="str">
        <f>IF(CJ$7&gt;$D$3,"",_xlfn.XLOOKUP(CJ$8,'HR mthly'!$I$6:$T$6,'HR mthly'!$I$33:$T$33))</f>
        <v/>
      </c>
      <c r="CK122" s="199" t="str">
        <f>IF(CK$7&gt;$D$3,"",_xlfn.XLOOKUP(CK$8,'HR mthly'!$I$6:$T$6,'HR mthly'!$I$33:$T$33))</f>
        <v/>
      </c>
      <c r="CL122" s="199" t="str">
        <f>IF(CL$7&gt;$D$3,"",_xlfn.XLOOKUP(CL$8,'HR mthly'!$I$6:$T$6,'HR mthly'!$I$33:$T$33))</f>
        <v/>
      </c>
      <c r="CM122" s="199" t="str">
        <f>IF(CM$7&gt;$D$3,"",_xlfn.XLOOKUP(CM$8,'HR mthly'!$I$6:$T$6,'HR mthly'!$I$33:$T$33))</f>
        <v/>
      </c>
      <c r="CO122" s="465" t="str">
        <f t="shared" si="641"/>
        <v>HR-KPI C1</v>
      </c>
      <c r="CP122" s="136" t="str">
        <f t="shared" ref="CP122" si="682">+C122</f>
        <v>KPI C1</v>
      </c>
      <c r="CQ122" s="144" t="str">
        <f t="shared" ref="CQ122" si="683">+D122</f>
        <v>Cost</v>
      </c>
      <c r="CR122" s="144" t="str">
        <f t="shared" ref="CR122" si="684">+E122</f>
        <v>Head Count - Heads</v>
      </c>
      <c r="CS122" s="145" t="str">
        <f t="shared" ref="CS122" si="685">+F122</f>
        <v>Count</v>
      </c>
      <c r="CT122" s="207" t="s">
        <v>246</v>
      </c>
      <c r="CU122" s="423" t="str">
        <f>IF(CU$7&gt;$D$3,"",_xlfn.XLOOKUP(CU$7,IT!$M$6:$BM$6,IT!$M$16:$BM$16))</f>
        <v>Blank</v>
      </c>
      <c r="CV122" s="323">
        <f>IF(CV$7&gt;$D$3,"",IF(AN122="OD","OD",IF(AN122="Missed","Missed",IF(AN122="TBC","TBC",IF(AN122="Undefined","Undefined",_xlfn.XLOOKUP(CV$8,'HR mthly'!$I$6:$T$6,'HR mthly'!$I$31:$T$31)/_xlfn.XLOOKUP(CV$8,'HR mthly'!$I$6:$T$6,'HR mthly'!$I$32:$T$32))))))</f>
        <v>1.006631299734748</v>
      </c>
      <c r="CW122" s="323">
        <f>IF(CW$7&gt;$D$3,"",IF(AO122="OD","OD",IF(AO122="Missed","Missed",IF(AO122="TBC","TBC",IF(AO122="Undefined","Undefined",_xlfn.XLOOKUP(CW$8,'HR mthly'!$I$6:$T$6,'HR mthly'!$I$31:$T$31)/_xlfn.XLOOKUP(CW$8,'HR mthly'!$I$6:$T$6,'HR mthly'!$I$32:$T$32))))))</f>
        <v>1.006631299734748</v>
      </c>
      <c r="CX122" s="323">
        <f>IF(CX$7&gt;$D$3,"",IF(AP122="OD","OD",IF(AP122="Missed","Missed",IF(AP122="TBC","TBC",IF(AP122="Undefined","Undefined",_xlfn.XLOOKUP(CX$8,'HR mthly'!$I$6:$T$6,'HR mthly'!$I$31:$T$31)/_xlfn.XLOOKUP(CX$8,'HR mthly'!$I$6:$T$6,'HR mthly'!$I$32:$T$32))))))</f>
        <v>1.006631299734748</v>
      </c>
      <c r="CY122" s="323">
        <f>IF(CY$7&gt;$D$3,"",IF(AQ122="OD","OD",IF(AQ122="Missed","Missed",IF(AQ122="TBC","TBC",IF(AQ122="Undefined","Undefined",_xlfn.XLOOKUP(CY$8,'HR mthly'!$I$6:$T$6,'HR mthly'!$I$31:$T$31)/_xlfn.XLOOKUP(CY$8,'HR mthly'!$I$6:$T$6,'HR mthly'!$I$32:$T$32))))))</f>
        <v>1.006631299734748</v>
      </c>
      <c r="CZ122" s="323">
        <f>IF(CZ$7&gt;$D$3,"",IF(AR122="OD","OD",IF(AR122="Missed","Missed",IF(AR122="TBC","TBC",IF(AR122="Undefined","Undefined",_xlfn.XLOOKUP(CZ$8,'HR mthly'!$I$6:$T$6,'HR mthly'!$I$31:$T$31)/_xlfn.XLOOKUP(CZ$8,'HR mthly'!$I$6:$T$6,'HR mthly'!$I$32:$T$32))))))</f>
        <v>1.006631299734748</v>
      </c>
      <c r="DA122" s="323">
        <f>IF(DA$7&gt;$D$3,"",IF(AS122="OD","OD",IF(AS122="Missed","Missed",IF(AS122="TBC","TBC",IF(AS122="Undefined","Undefined",_xlfn.XLOOKUP(DA$8,'HR mthly'!$I$6:$T$6,'HR mthly'!$I$31:$T$31)/_xlfn.XLOOKUP(DA$8,'HR mthly'!$I$6:$T$6,'HR mthly'!$I$32:$T$32))))))</f>
        <v>1.006631299734748</v>
      </c>
      <c r="DB122" s="323">
        <f>IF(DB$7&gt;$D$3,"",IF(AT122="OD","OD",IF(AT122="Missed","Missed",IF(AT122="TBC","TBC",IF(AT122="Undefined","Undefined",_xlfn.XLOOKUP(DB$8,'HR mthly'!$I$6:$T$6,'HR mthly'!$I$31:$T$31)/_xlfn.XLOOKUP(DB$8,'HR mthly'!$I$6:$T$6,'HR mthly'!$I$32:$T$32))))))</f>
        <v>1.006631299734748</v>
      </c>
      <c r="DC122" s="323">
        <f>IF(DC$7&gt;$D$3,"",IF(AU122="OD","OD",IF(AU122="Missed","Missed",IF(AU122="TBC","TBC",IF(AU122="Undefined","Undefined",_xlfn.XLOOKUP(DC$8,'HR mthly'!$I$6:$T$6,'HR mthly'!$I$31:$T$31)/_xlfn.XLOOKUP(DC$8,'HR mthly'!$I$6:$T$6,'HR mthly'!$I$32:$T$32))))))</f>
        <v>1.006631299734748</v>
      </c>
      <c r="DD122" s="323">
        <f>IF(DD$7&gt;$D$3,"",IF(AV122="OD","OD",IF(AV122="Missed","Missed",IF(AV122="TBC","TBC",IF(AV122="Undefined","Undefined",_xlfn.XLOOKUP(DD$8,'HR mthly'!$I$6:$T$6,'HR mthly'!$I$31:$T$31)/_xlfn.XLOOKUP(DD$8,'HR mthly'!$I$6:$T$6,'HR mthly'!$I$32:$T$32))))))</f>
        <v>0.99215686274509807</v>
      </c>
      <c r="DE122" s="323">
        <f>IF(DE$7&gt;$D$3,"",IF(AW122="OD","OD",IF(AW122="Missed","Missed",IF(AW122="TBC","TBC",IF(AW122="Undefined","Undefined",_xlfn.XLOOKUP(DE$8,'HR mthly'!$I$6:$T$6,'HR mthly'!$I$31:$T$31)/_xlfn.XLOOKUP(DE$8,'HR mthly'!$I$6:$T$6,'HR mthly'!$I$32:$T$32))))))</f>
        <v>0.99215686274509807</v>
      </c>
      <c r="DF122" s="323">
        <f>IF(DF$7&gt;$D$3,"",IF(AX122="OD","OD",IF(AX122="Missed","Missed",IF(AX122="TBC","TBC",IF(AX122="Undefined","Undefined",_xlfn.XLOOKUP(DF$8,'HR mthly'!$I$6:$T$6,'HR mthly'!$I$31:$T$31)/_xlfn.XLOOKUP(DF$8,'HR mthly'!$I$6:$T$6,'HR mthly'!$I$32:$T$32))))))</f>
        <v>0.99215686274509807</v>
      </c>
      <c r="DG122" s="323">
        <f>IF(DG$7&gt;$D$3,"",IF(AY122="OD","OD",IF(AY122="Missed","Missed",IF(AY122="TBC","TBC",IF(AY122="Undefined","Undefined",_xlfn.XLOOKUP(DG$8,'HR mthly'!$I$6:$T$6,'HR mthly'!$I$31:$T$31)/_xlfn.XLOOKUP(DG$8,'HR mthly'!$I$6:$T$6,'HR mthly'!$I$32:$T$32))))))</f>
        <v>0.99215686274509807</v>
      </c>
      <c r="DH122" s="323">
        <f>IF(DH$7&gt;$D$3,"",IF(AZ122="OD","OD",IF(AZ122="Missed","Missed",IF(AZ122="TBC","TBC",IF(AZ122="Undefined","Undefined",_xlfn.XLOOKUP(DH$8,'HR mthly'!$I$6:$T$6,'HR mthly'!$I$31:$T$31)/_xlfn.XLOOKUP(DH$8,'HR mthly'!$I$6:$T$6,'HR mthly'!$I$32:$T$32))))))</f>
        <v>0.99215686274509807</v>
      </c>
      <c r="DI122" s="323">
        <f>IF(DI$7&gt;$D$3,"",IF(BA122="OD","OD",IF(BA122="Missed","Missed",IF(BA122="TBC","TBC",IF(BA122="Undefined","Undefined",_xlfn.XLOOKUP(DI$8,'HR mthly'!$I$6:$T$6,'HR mthly'!$I$31:$T$31)/_xlfn.XLOOKUP(DI$8,'HR mthly'!$I$6:$T$6,'HR mthly'!$I$32:$T$32))))))</f>
        <v>0.99215686274509807</v>
      </c>
      <c r="DJ122" s="323">
        <f>IF(DJ$7&gt;$D$3,"",IF(BB122="OD","OD",IF(BB122="Missed","Missed",IF(BB122="TBC","TBC",IF(BB122="Undefined","Undefined",_xlfn.XLOOKUP(DJ$8,'HR mthly'!$I$6:$T$6,'HR mthly'!$I$31:$T$31)/_xlfn.XLOOKUP(DJ$8,'HR mthly'!$I$6:$T$6,'HR mthly'!$I$32:$T$32))))))</f>
        <v>0.99215686274509807</v>
      </c>
      <c r="DK122" s="323">
        <f>IF(DK$7&gt;$D$3,"",IF(BC122="OD","OD",IF(BC122="Missed","Missed",IF(BC122="TBC","TBC",IF(BC122="Undefined","Undefined",_xlfn.XLOOKUP(DK$8,'HR mthly'!$I$6:$T$6,'HR mthly'!$I$31:$T$31)/_xlfn.XLOOKUP(DK$8,'HR mthly'!$I$6:$T$6,'HR mthly'!$I$32:$T$32))))))</f>
        <v>0.99215686274509807</v>
      </c>
      <c r="DL122" s="323">
        <f>IF(DL$7&gt;$D$3,"",IF(BD122="OD","OD",IF(BD122="Missed","Missed",IF(BD122="TBC","TBC",IF(BD122="Undefined","Undefined",_xlfn.XLOOKUP(DL$8,'HR mthly'!$I$6:$T$6,'HR mthly'!$I$31:$T$31)/_xlfn.XLOOKUP(DL$8,'HR mthly'!$I$6:$T$6,'HR mthly'!$I$32:$T$32))))))</f>
        <v>0.96934865900383138</v>
      </c>
      <c r="DM122" s="323">
        <f>IF(DM$7&gt;$D$3,"",IF(BE122="OD","OD",IF(BE122="Missed","Missed",IF(BE122="TBC","TBC",IF(BE122="Undefined","Undefined",_xlfn.XLOOKUP(DM$8,'HR mthly'!$I$6:$T$6,'HR mthly'!$I$31:$T$31)/_xlfn.XLOOKUP(DM$8,'HR mthly'!$I$6:$T$6,'HR mthly'!$I$32:$T$32))))))</f>
        <v>0.96934865900383138</v>
      </c>
      <c r="DN122" s="323">
        <f>IF(DN$7&gt;$D$3,"",IF(BF122="OD","OD",IF(BF122="Missed","Missed",IF(BF122="TBC","TBC",IF(BF122="Undefined","Undefined",_xlfn.XLOOKUP(DN$8,'HR mthly'!$I$6:$T$6,'HR mthly'!$I$31:$T$31)/_xlfn.XLOOKUP(DN$8,'HR mthly'!$I$6:$T$6,'HR mthly'!$I$32:$T$32))))))</f>
        <v>0.96934865900383138</v>
      </c>
      <c r="DO122" s="323">
        <f>IF(DO$7&gt;$D$3,"",IF(BG122="OD","OD",IF(BG122="Missed","Missed",IF(BG122="TBC","TBC",IF(BG122="Undefined","Undefined",_xlfn.XLOOKUP(DO$8,'HR mthly'!$I$6:$T$6,'HR mthly'!$I$31:$T$31)/_xlfn.XLOOKUP(DO$8,'HR mthly'!$I$6:$T$6,'HR mthly'!$I$32:$T$32))))))</f>
        <v>0.96934865900383138</v>
      </c>
      <c r="DP122" s="323">
        <f>IF(DP$7&gt;$D$3,"",IF(BH122="OD","OD",IF(BH122="Missed","Missed",IF(BH122="TBC","TBC",IF(BH122="Undefined","Undefined",_xlfn.XLOOKUP(DP$8,'HR mthly'!$I$6:$T$6,'HR mthly'!$I$31:$T$31)/_xlfn.XLOOKUP(DP$8,'HR mthly'!$I$6:$T$6,'HR mthly'!$I$32:$T$32))))))</f>
        <v>0.96934865900383138</v>
      </c>
      <c r="DQ122" s="323">
        <f>IF(DQ$7&gt;$D$3,"",IF(BI122="OD","OD",IF(BI122="Missed","Missed",IF(BI122="TBC","TBC",IF(BI122="Undefined","Undefined",_xlfn.XLOOKUP(DQ$8,'HR mthly'!$I$6:$T$6,'HR mthly'!$I$31:$T$31)/_xlfn.XLOOKUP(DQ$8,'HR mthly'!$I$6:$T$6,'HR mthly'!$I$32:$T$32))))))</f>
        <v>0.971830985915493</v>
      </c>
      <c r="DR122" s="323">
        <f>IF(DR$7&gt;$D$3,"",IF(BJ122="OD","OD",IF(BJ122="Missed","Missed",IF(BJ122="TBC","TBC",IF(BJ122="Undefined","Undefined",_xlfn.XLOOKUP(DR$8,'HR mthly'!$I$6:$T$6,'HR mthly'!$I$31:$T$31)/_xlfn.XLOOKUP(DR$8,'HR mthly'!$I$6:$T$6,'HR mthly'!$I$32:$T$32))))))</f>
        <v>0.971830985915493</v>
      </c>
      <c r="DS122" s="323">
        <f>IF(DS$7&gt;$D$3,"",IF(BK122="OD","OD",IF(BK122="Missed","Missed",IF(BK122="TBC","TBC",IF(BK122="Undefined","Undefined",_xlfn.XLOOKUP(DS$8,'HR mthly'!$I$6:$T$6,'HR mthly'!$I$31:$T$31)/_xlfn.XLOOKUP(DS$8,'HR mthly'!$I$6:$T$6,'HR mthly'!$I$32:$T$32))))))</f>
        <v>0.971830985915493</v>
      </c>
      <c r="DT122" s="323">
        <f>IF(DT$7&gt;$D$3,"",IF(BL122="OD","OD",IF(BL122="Missed","Missed",IF(BL122="TBC","TBC",IF(BL122="Undefined","Undefined",_xlfn.XLOOKUP(DT$8,'HR mthly'!$I$6:$T$6,'HR mthly'!$I$31:$T$31)/_xlfn.XLOOKUP(DT$8,'HR mthly'!$I$6:$T$6,'HR mthly'!$I$32:$T$32))))))</f>
        <v>0.971830985915493</v>
      </c>
      <c r="DU122" s="323">
        <f>IF(DU$7&gt;$D$3,"",IF(BM122="OD","OD",IF(BM122="Missed","Missed",IF(BM122="TBC","TBC",IF(BM122="Undefined","Undefined",_xlfn.XLOOKUP(DU$8,'HR mthly'!$I$6:$T$6,'HR mthly'!$I$31:$T$31)/_xlfn.XLOOKUP(DU$8,'HR mthly'!$I$6:$T$6,'HR mthly'!$I$32:$T$32))))))</f>
        <v>0.9743260590500642</v>
      </c>
      <c r="DV122" s="323">
        <f>IF(DV$7&gt;$D$3,"",IF(BN122="OD","OD",IF(BN122="Missed","Missed",IF(BN122="TBC","TBC",IF(BN122="Undefined","Undefined",_xlfn.XLOOKUP(DV$8,'HR mthly'!$I$6:$T$6,'HR mthly'!$I$31:$T$31)/_xlfn.XLOOKUP(DV$8,'HR mthly'!$I$6:$T$6,'HR mthly'!$I$32:$T$32))))))</f>
        <v>0.9743260590500642</v>
      </c>
      <c r="DW122" s="323">
        <f>IF(DW$7&gt;$D$3,"",IF(BO122="OD","OD",IF(BO122="Missed","Missed",IF(BO122="TBC","TBC",IF(BO122="Undefined","Undefined",_xlfn.XLOOKUP(DW$8,'HR mthly'!$I$6:$T$6,'HR mthly'!$I$31:$T$31)/_xlfn.XLOOKUP(DW$8,'HR mthly'!$I$6:$T$6,'HR mthly'!$I$32:$T$32))))))</f>
        <v>0.9743260590500642</v>
      </c>
      <c r="DX122" s="323">
        <f>IF(DX$7&gt;$D$3,"",IF(BP122="OD","OD",IF(BP122="Missed","Missed",IF(BP122="TBC","TBC",IF(BP122="Undefined","Undefined",_xlfn.XLOOKUP(DX$8,'HR mthly'!$I$6:$T$6,'HR mthly'!$I$31:$T$31)/_xlfn.XLOOKUP(DX$8,'HR mthly'!$I$6:$T$6,'HR mthly'!$I$32:$T$32))))))</f>
        <v>0.9743260590500642</v>
      </c>
      <c r="DY122" s="323">
        <f>IF(DY$7&gt;$D$3,"",IF(BQ122="OD","OD",IF(BQ122="Missed","Missed",IF(BQ122="TBC","TBC",IF(BQ122="Undefined","Undefined",_xlfn.XLOOKUP(DY$8,'HR mthly'!$I$6:$T$6,'HR mthly'!$I$31:$T$31)/_xlfn.XLOOKUP(DY$8,'HR mthly'!$I$6:$T$6,'HR mthly'!$I$32:$T$32))))))</f>
        <v>0.9743260590500642</v>
      </c>
      <c r="DZ122" s="323">
        <f>IF(DZ$7&gt;$D$3,"",IF(BR122="OD","OD",IF(BR122="Missed","Missed",IF(BR122="TBC","TBC",IF(BR122="Undefined","Undefined",_xlfn.XLOOKUP(DZ$8,'HR mthly'!$I$6:$T$6,'HR mthly'!$I$31:$T$31)/_xlfn.XLOOKUP(DZ$8,'HR mthly'!$I$6:$T$6,'HR mthly'!$I$32:$T$32))))))</f>
        <v>0.97058823529411764</v>
      </c>
      <c r="EA122" s="323">
        <f>IF(EA$7&gt;$D$3,"",IF(BS122="OD","OD",IF(BS122="Missed","Missed",IF(BS122="TBC","TBC",IF(BS122="Undefined","Undefined",_xlfn.XLOOKUP(EA$8,'HR mthly'!$I$6:$T$6,'HR mthly'!$I$31:$T$31)/_xlfn.XLOOKUP(EA$8,'HR mthly'!$I$6:$T$6,'HR mthly'!$I$32:$T$32))))))</f>
        <v>0.97058823529411764</v>
      </c>
      <c r="EB122" s="323">
        <f>IF(EB$7&gt;$D$3,"",IF(BT122="OD","OD",IF(BT122="Missed","Missed",IF(BT122="TBC","TBC",IF(BT122="Undefined","Undefined",_xlfn.XLOOKUP(EB$8,'HR mthly'!$I$6:$T$6,'HR mthly'!$I$31:$T$31)/_xlfn.XLOOKUP(EB$8,'HR mthly'!$I$6:$T$6,'HR mthly'!$I$32:$T$32))))))</f>
        <v>0.97058823529411764</v>
      </c>
      <c r="EC122" s="323">
        <f>IF(EC$7&gt;$D$3,"",IF(BU122="OD","OD",IF(BU122="Missed","Missed",IF(BU122="TBC","TBC",IF(BU122="Undefined","Undefined",_xlfn.XLOOKUP(EC$8,'HR mthly'!$I$6:$T$6,'HR mthly'!$I$31:$T$31)/_xlfn.XLOOKUP(EC$8,'HR mthly'!$I$6:$T$6,'HR mthly'!$I$32:$T$32))))))</f>
        <v>0.97058823529411764</v>
      </c>
      <c r="ED122" s="323">
        <f>IF(ED$7&gt;$D$3,"",IF(BV122="OD","OD",IF(BV122="Missed","Missed",IF(BV122="TBC","TBC",IF(BV122="Undefined","Undefined",_xlfn.XLOOKUP(ED$8,'HR mthly'!$I$6:$T$6,'HR mthly'!$I$31:$T$31)/_xlfn.XLOOKUP(ED$8,'HR mthly'!$I$6:$T$6,'HR mthly'!$I$32:$T$32))))))</f>
        <v>0.96197718631178708</v>
      </c>
      <c r="EE122" s="323">
        <f>IF(EE$7&gt;$D$3,"",IF(BW122="OD","OD",IF(BW122="Missed","Missed",IF(BW122="TBC","TBC",IF(BW122="Undefined","Undefined",_xlfn.XLOOKUP(EE$8,'HR mthly'!$I$6:$T$6,'HR mthly'!$I$31:$T$31)/_xlfn.XLOOKUP(EE$8,'HR mthly'!$I$6:$T$6,'HR mthly'!$I$32:$T$32))))))</f>
        <v>0.96197718631178708</v>
      </c>
      <c r="EF122" s="323">
        <f>IF(EF$7&gt;$D$3,"",IF(BX122="OD","OD",IF(BX122="Missed","Missed",IF(BX122="TBC","TBC",IF(BX122="Undefined","Undefined",_xlfn.XLOOKUP(EF$8,'HR mthly'!$I$6:$T$6,'HR mthly'!$I$31:$T$31)/_xlfn.XLOOKUP(EF$8,'HR mthly'!$I$6:$T$6,'HR mthly'!$I$32:$T$32))))))</f>
        <v>0.96197718631178708</v>
      </c>
      <c r="EG122" s="323">
        <f>IF(EG$7&gt;$D$3,"",IF(BY122="OD","OD",IF(BY122="Missed","Missed",IF(BY122="TBC","TBC",IF(BY122="Undefined","Undefined",_xlfn.XLOOKUP(EG$8,'HR mthly'!$I$6:$T$6,'HR mthly'!$I$31:$T$31)/_xlfn.XLOOKUP(EG$8,'HR mthly'!$I$6:$T$6,'HR mthly'!$I$32:$T$32))))))</f>
        <v>0.96197718631178708</v>
      </c>
      <c r="EH122" s="323">
        <f>IF(EH$7&gt;$D$3,"",IF(BZ122="OD","OD",IF(BZ122="Missed","Missed",IF(BZ122="TBC","TBC",IF(BZ122="Undefined","Undefined",_xlfn.XLOOKUP(EH$8,'HR mthly'!$I$6:$T$6,'HR mthly'!$I$31:$T$31)/_xlfn.XLOOKUP(EH$8,'HR mthly'!$I$6:$T$6,'HR mthly'!$I$32:$T$32))))))</f>
        <v>0.95112781954887216</v>
      </c>
      <c r="EI122" s="323">
        <f>IF(EI$7&gt;$D$3,"",IF(CA122="OD","OD",IF(CA122="Missed","Missed",IF(CA122="TBC","TBC",IF(CA122="Undefined","Undefined",_xlfn.XLOOKUP(EI$8,'HR mthly'!$I$6:$T$6,'HR mthly'!$I$31:$T$31)/_xlfn.XLOOKUP(EI$8,'HR mthly'!$I$6:$T$6,'HR mthly'!$I$32:$T$32))))))</f>
        <v>0.95112781954887216</v>
      </c>
      <c r="EJ122" s="323">
        <f>IF(EJ$7&gt;$D$3,"",IF(CB122="OD","OD",IF(CB122="Missed","Missed",IF(CB122="TBC","TBC",IF(CB122="Undefined","Undefined",_xlfn.XLOOKUP(EJ$8,'HR mthly'!$I$6:$T$6,'HR mthly'!$I$31:$T$31)/_xlfn.XLOOKUP(EJ$8,'HR mthly'!$I$6:$T$6,'HR mthly'!$I$32:$T$32))))))</f>
        <v>0.95112781954887216</v>
      </c>
      <c r="EK122" s="323" t="str">
        <f>IF(EK$7&gt;$D$3,"",IF(CC122="OD","OD",IF(CC122="Missed","Missed",IF(CC122="TBC","TBC",IF(CC122="Undefined","Undefined",_xlfn.XLOOKUP(EK$8,'HR mthly'!$I$6:$T$6,'HR mthly'!$I$31:$T$31)/_xlfn.XLOOKUP(EK$8,'HR mthly'!$I$6:$T$6,'HR mthly'!$I$32:$T$32))))))</f>
        <v/>
      </c>
      <c r="EL122" s="323" t="str">
        <f>IF(EL$7&gt;$D$3,"",IF(CD122="OD","OD",IF(CD122="Missed","Missed",IF(CD122="TBC","TBC",IF(CD122="Undefined","Undefined",_xlfn.XLOOKUP(EL$8,'HR mthly'!$I$6:$T$6,'HR mthly'!$I$31:$T$31)/_xlfn.XLOOKUP(EL$8,'HR mthly'!$I$6:$T$6,'HR mthly'!$I$32:$T$32))))))</f>
        <v/>
      </c>
      <c r="EM122" s="323" t="str">
        <f>IF(EM$7&gt;$D$3,"",IF(CE122="OD","OD",IF(CE122="Missed","Missed",IF(CE122="TBC","TBC",IF(CE122="Undefined","Undefined",_xlfn.XLOOKUP(EM$8,'HR mthly'!$I$6:$T$6,'HR mthly'!$I$31:$T$31)/_xlfn.XLOOKUP(EM$8,'HR mthly'!$I$6:$T$6,'HR mthly'!$I$32:$T$32))))))</f>
        <v/>
      </c>
      <c r="EN122" s="323" t="str">
        <f>IF(EN$7&gt;$D$3,"",IF(CF122="OD","OD",IF(CF122="Missed","Missed",IF(CF122="TBC","TBC",IF(CF122="Undefined","Undefined",_xlfn.XLOOKUP(EN$8,'HR mthly'!$I$6:$T$6,'HR mthly'!$I$31:$T$31)/_xlfn.XLOOKUP(EN$8,'HR mthly'!$I$6:$T$6,'HR mthly'!$I$32:$T$32))))))</f>
        <v/>
      </c>
      <c r="EO122" s="323" t="str">
        <f>IF(EO$7&gt;$D$3,"",IF(CG122="OD","OD",IF(CG122="Missed","Missed",IF(CG122="TBC","TBC",IF(CG122="Undefined","Undefined",_xlfn.XLOOKUP(EO$8,'HR mthly'!$I$6:$T$6,'HR mthly'!$I$31:$T$31)/_xlfn.XLOOKUP(EO$8,'HR mthly'!$I$6:$T$6,'HR mthly'!$I$32:$T$32))))))</f>
        <v/>
      </c>
      <c r="EP122" s="323" t="str">
        <f>IF(EP$7&gt;$D$3,"",IF(CH122="OD","OD",IF(CH122="Missed","Missed",IF(CH122="TBC","TBC",IF(CH122="Undefined","Undefined",_xlfn.XLOOKUP(EP$8,'HR mthly'!$I$6:$T$6,'HR mthly'!$I$31:$T$31)/_xlfn.XLOOKUP(EP$8,'HR mthly'!$I$6:$T$6,'HR mthly'!$I$32:$T$32))))))</f>
        <v/>
      </c>
      <c r="EQ122" s="323" t="str">
        <f>IF(EQ$7&gt;$D$3,"",IF(CI122="OD","OD",IF(CI122="Missed","Missed",IF(CI122="TBC","TBC",IF(CI122="Undefined","Undefined",_xlfn.XLOOKUP(EQ$8,'HR mthly'!$I$6:$T$6,'HR mthly'!$I$31:$T$31)/_xlfn.XLOOKUP(EQ$8,'HR mthly'!$I$6:$T$6,'HR mthly'!$I$32:$T$32))))))</f>
        <v/>
      </c>
      <c r="ER122" s="323" t="str">
        <f>IF(ER$7&gt;$D$3,"",IF(CJ122="OD","OD",IF(CJ122="Missed","Missed",IF(CJ122="TBC","TBC",IF(CJ122="Undefined","Undefined",_xlfn.XLOOKUP(ER$8,'HR mthly'!$I$6:$T$6,'HR mthly'!$I$31:$T$31)/_xlfn.XLOOKUP(ER$8,'HR mthly'!$I$6:$T$6,'HR mthly'!$I$32:$T$32))))))</f>
        <v/>
      </c>
      <c r="ES122" s="323" t="str">
        <f>IF(ES$7&gt;$D$3,"",IF(CK122="OD","OD",IF(CK122="Missed","Missed",IF(CK122="TBC","TBC",IF(CK122="Undefined","Undefined",_xlfn.XLOOKUP(ES$8,'HR mthly'!$I$6:$T$6,'HR mthly'!$I$31:$T$31)/_xlfn.XLOOKUP(ES$8,'HR mthly'!$I$6:$T$6,'HR mthly'!$I$32:$T$32))))))</f>
        <v/>
      </c>
      <c r="ET122" s="323" t="str">
        <f>IF(ET$7&gt;$D$3,"",IF(CL122="OD","OD",IF(CL122="Missed","Missed",IF(CL122="TBC","TBC",IF(CL122="Undefined","Undefined",_xlfn.XLOOKUP(ET$8,'HR mthly'!$I$6:$T$6,'HR mthly'!$I$31:$T$31)/_xlfn.XLOOKUP(ET$8,'HR mthly'!$I$6:$T$6,'HR mthly'!$I$32:$T$32))))))</f>
        <v/>
      </c>
      <c r="EU122" s="323" t="str">
        <f>IF(EU$7&gt;$D$3,"",IF(CM122="OD","OD",IF(CM122="Missed","Missed",IF(CM122="TBC","TBC",IF(CM122="Undefined","Undefined",_xlfn.XLOOKUP(EU$8,'HR mthly'!$I$6:$T$6,'HR mthly'!$I$31:$T$31)/_xlfn.XLOOKUP(EU$8,'HR mthly'!$I$6:$T$6,'HR mthly'!$I$32:$T$32))))))</f>
        <v/>
      </c>
      <c r="EW122" s="465" t="str">
        <f t="shared" si="643"/>
        <v>HR-KPI C1</v>
      </c>
      <c r="EX122" s="136" t="str">
        <f t="shared" si="644"/>
        <v>KPI C1</v>
      </c>
      <c r="EY122" s="144" t="str">
        <f t="shared" si="645"/>
        <v>Cost</v>
      </c>
      <c r="EZ122" s="144" t="str">
        <f t="shared" si="607"/>
        <v>Head Count - Heads</v>
      </c>
      <c r="FA122" s="145" t="str">
        <f t="shared" si="608"/>
        <v>Count</v>
      </c>
      <c r="FB122" s="145" t="s">
        <v>251</v>
      </c>
      <c r="FC122" s="226"/>
      <c r="FD122" s="332">
        <f>IF(FD$7&gt;$D$3,"",_xlfn.XLOOKUP(FD$8,'HR mthly'!$I$6:$T$6,'HR mthly'!$I$32:$T$32))</f>
        <v>754</v>
      </c>
      <c r="FE122" s="332">
        <f>IF(FE$7&gt;$D$3,"",_xlfn.XLOOKUP(FE$8,'HR mthly'!$I$6:$T$6,'HR mthly'!$I$32:$T$32))</f>
        <v>754</v>
      </c>
      <c r="FF122" s="332">
        <f>IF(FF$7&gt;$D$3,"",_xlfn.XLOOKUP(FF$8,'HR mthly'!$I$6:$T$6,'HR mthly'!$I$32:$T$32))</f>
        <v>754</v>
      </c>
      <c r="FG122" s="332">
        <f>IF(FG$7&gt;$D$3,"",_xlfn.XLOOKUP(FG$8,'HR mthly'!$I$6:$T$6,'HR mthly'!$I$32:$T$32))</f>
        <v>754</v>
      </c>
      <c r="FH122" s="332">
        <f>IF(FH$7&gt;$D$3,"",_xlfn.XLOOKUP(FH$8,'HR mthly'!$I$6:$T$6,'HR mthly'!$I$32:$T$32))</f>
        <v>754</v>
      </c>
      <c r="FI122" s="332">
        <f>IF(FI$7&gt;$D$3,"",_xlfn.XLOOKUP(FI$8,'HR mthly'!$I$6:$T$6,'HR mthly'!$I$32:$T$32))</f>
        <v>754</v>
      </c>
      <c r="FJ122" s="332">
        <f>IF(FJ$7&gt;$D$3,"",_xlfn.XLOOKUP(FJ$8,'HR mthly'!$I$6:$T$6,'HR mthly'!$I$32:$T$32))</f>
        <v>754</v>
      </c>
      <c r="FK122" s="332">
        <f>IF(FK$7&gt;$D$3,"",_xlfn.XLOOKUP(FK$8,'HR mthly'!$I$6:$T$6,'HR mthly'!$I$32:$T$32))</f>
        <v>754</v>
      </c>
      <c r="FL122" s="332">
        <f>IF(FL$7&gt;$D$3,"",_xlfn.XLOOKUP(FL$8,'HR mthly'!$I$6:$T$6,'HR mthly'!$I$32:$T$32))</f>
        <v>765</v>
      </c>
      <c r="FM122" s="332">
        <f>IF(FM$7&gt;$D$3,"",_xlfn.XLOOKUP(FM$8,'HR mthly'!$I$6:$T$6,'HR mthly'!$I$32:$T$32))</f>
        <v>765</v>
      </c>
      <c r="FN122" s="332">
        <f>IF(FN$7&gt;$D$3,"",_xlfn.XLOOKUP(FN$8,'HR mthly'!$I$6:$T$6,'HR mthly'!$I$32:$T$32))</f>
        <v>765</v>
      </c>
      <c r="FO122" s="332">
        <f>IF(FO$7&gt;$D$3,"",_xlfn.XLOOKUP(FO$8,'HR mthly'!$I$6:$T$6,'HR mthly'!$I$32:$T$32))</f>
        <v>765</v>
      </c>
      <c r="FP122" s="332">
        <f>IF(FP$7&gt;$D$3,"",_xlfn.XLOOKUP(FP$8,'HR mthly'!$I$6:$T$6,'HR mthly'!$I$32:$T$32))</f>
        <v>765</v>
      </c>
      <c r="FQ122" s="332">
        <f>IF(FQ$7&gt;$D$3,"",_xlfn.XLOOKUP(FQ$8,'HR mthly'!$I$6:$T$6,'HR mthly'!$I$32:$T$32))</f>
        <v>765</v>
      </c>
      <c r="FR122" s="332">
        <f>IF(FR$7&gt;$D$3,"",_xlfn.XLOOKUP(FR$8,'HR mthly'!$I$6:$T$6,'HR mthly'!$I$32:$T$32))</f>
        <v>765</v>
      </c>
      <c r="FS122" s="332">
        <f>IF(FS$7&gt;$D$3,"",_xlfn.XLOOKUP(FS$8,'HR mthly'!$I$6:$T$6,'HR mthly'!$I$32:$T$32))</f>
        <v>765</v>
      </c>
      <c r="FT122" s="332">
        <f>IF(FT$7&gt;$D$3,"",_xlfn.XLOOKUP(FT$8,'HR mthly'!$I$6:$T$6,'HR mthly'!$I$32:$T$32))</f>
        <v>783</v>
      </c>
      <c r="FU122" s="332">
        <f>IF(FU$7&gt;$D$3,"",_xlfn.XLOOKUP(FU$8,'HR mthly'!$I$6:$T$6,'HR mthly'!$I$32:$T$32))</f>
        <v>783</v>
      </c>
      <c r="FV122" s="332">
        <f>IF(FV$7&gt;$D$3,"",_xlfn.XLOOKUP(FV$8,'HR mthly'!$I$6:$T$6,'HR mthly'!$I$32:$T$32))</f>
        <v>783</v>
      </c>
      <c r="FW122" s="332">
        <f>IF(FW$7&gt;$D$3,"",_xlfn.XLOOKUP(FW$8,'HR mthly'!$I$6:$T$6,'HR mthly'!$I$32:$T$32))</f>
        <v>783</v>
      </c>
      <c r="FX122" s="332">
        <f>IF(FX$7&gt;$D$3,"",_xlfn.XLOOKUP(FX$8,'HR mthly'!$I$6:$T$6,'HR mthly'!$I$32:$T$32))</f>
        <v>783</v>
      </c>
      <c r="FY122" s="332">
        <f>IF(FY$7&gt;$D$3,"",_xlfn.XLOOKUP(FY$8,'HR mthly'!$I$6:$T$6,'HR mthly'!$I$32:$T$32))</f>
        <v>781</v>
      </c>
      <c r="FZ122" s="332">
        <f>IF(FZ$7&gt;$D$3,"",_xlfn.XLOOKUP(FZ$8,'HR mthly'!$I$6:$T$6,'HR mthly'!$I$32:$T$32))</f>
        <v>781</v>
      </c>
      <c r="GA122" s="332">
        <f>IF(GA$7&gt;$D$3,"",_xlfn.XLOOKUP(GA$8,'HR mthly'!$I$6:$T$6,'HR mthly'!$I$32:$T$32))</f>
        <v>781</v>
      </c>
      <c r="GB122" s="332">
        <f>IF(GB$7&gt;$D$3,"",_xlfn.XLOOKUP(GB$8,'HR mthly'!$I$6:$T$6,'HR mthly'!$I$32:$T$32))</f>
        <v>781</v>
      </c>
      <c r="GC122" s="332">
        <f>IF(GC$7&gt;$D$3,"",_xlfn.XLOOKUP(GC$8,'HR mthly'!$I$6:$T$6,'HR mthly'!$I$32:$T$32))</f>
        <v>779</v>
      </c>
      <c r="GD122" s="332">
        <f>IF(GD$7&gt;$D$3,"",_xlfn.XLOOKUP(GD$8,'HR mthly'!$I$6:$T$6,'HR mthly'!$I$32:$T$32))</f>
        <v>779</v>
      </c>
      <c r="GE122" s="332">
        <f>IF(GE$7&gt;$D$3,"",_xlfn.XLOOKUP(GE$8,'HR mthly'!$I$6:$T$6,'HR mthly'!$I$32:$T$32))</f>
        <v>779</v>
      </c>
      <c r="GF122" s="332">
        <f>IF(GF$7&gt;$D$3,"",_xlfn.XLOOKUP(GF$8,'HR mthly'!$I$6:$T$6,'HR mthly'!$I$32:$T$32))</f>
        <v>779</v>
      </c>
      <c r="GG122" s="332">
        <f>IF(GG$7&gt;$D$3,"",_xlfn.XLOOKUP(GG$8,'HR mthly'!$I$6:$T$6,'HR mthly'!$I$32:$T$32))</f>
        <v>779</v>
      </c>
      <c r="GH122" s="332">
        <f>IF(GH$7&gt;$D$3,"",_xlfn.XLOOKUP(GH$8,'HR mthly'!$I$6:$T$6,'HR mthly'!$I$32:$T$32))</f>
        <v>782</v>
      </c>
      <c r="GI122" s="332">
        <f>IF(GI$7&gt;$D$3,"",_xlfn.XLOOKUP(GI$8,'HR mthly'!$I$6:$T$6,'HR mthly'!$I$32:$T$32))</f>
        <v>782</v>
      </c>
      <c r="GJ122" s="332">
        <f>IF(GJ$7&gt;$D$3,"",_xlfn.XLOOKUP(GJ$8,'HR mthly'!$I$6:$T$6,'HR mthly'!$I$32:$T$32))</f>
        <v>782</v>
      </c>
      <c r="GK122" s="332">
        <f>IF(GK$7&gt;$D$3,"",_xlfn.XLOOKUP(GK$8,'HR mthly'!$I$6:$T$6,'HR mthly'!$I$32:$T$32))</f>
        <v>782</v>
      </c>
      <c r="GL122" s="332">
        <f>IF(GL$7&gt;$D$3,"",_xlfn.XLOOKUP(GL$8,'HR mthly'!$I$6:$T$6,'HR mthly'!$I$32:$T$32))</f>
        <v>789</v>
      </c>
      <c r="GM122" s="332">
        <f>IF(GM$7&gt;$D$3,"",_xlfn.XLOOKUP(GM$8,'HR mthly'!$I$6:$T$6,'HR mthly'!$I$32:$T$32))</f>
        <v>789</v>
      </c>
      <c r="GN122" s="332">
        <f>IF(GN$7&gt;$D$3,"",_xlfn.XLOOKUP(GN$8,'HR mthly'!$I$6:$T$6,'HR mthly'!$I$32:$T$32))</f>
        <v>789</v>
      </c>
      <c r="GO122" s="332">
        <f>IF(GO$7&gt;$D$3,"",_xlfn.XLOOKUP(GO$8,'HR mthly'!$I$6:$T$6,'HR mthly'!$I$32:$T$32))</f>
        <v>789</v>
      </c>
      <c r="GP122" s="332">
        <f>IF(GP$7&gt;$D$3,"",_xlfn.XLOOKUP(GP$8,'HR mthly'!$I$6:$T$6,'HR mthly'!$I$32:$T$32))</f>
        <v>798</v>
      </c>
      <c r="GQ122" s="332">
        <f>IF(GQ$7&gt;$D$3,"",_xlfn.XLOOKUP(GQ$8,'HR mthly'!$I$6:$T$6,'HR mthly'!$I$32:$T$32))</f>
        <v>798</v>
      </c>
      <c r="GR122" s="332">
        <f>IF(GR$7&gt;$D$3,"",_xlfn.XLOOKUP(GR$8,'HR mthly'!$I$6:$T$6,'HR mthly'!$I$32:$T$32))</f>
        <v>798</v>
      </c>
      <c r="GS122" s="332" t="str">
        <f>IF(GS$7&gt;$D$3,"",_xlfn.XLOOKUP(GS$8,'HR mthly'!$I$6:$T$6,'HR mthly'!$I$32:$T$32))</f>
        <v/>
      </c>
      <c r="GT122" s="332" t="str">
        <f>IF(GT$7&gt;$D$3,"",_xlfn.XLOOKUP(GT$8,'HR mthly'!$I$6:$T$6,'HR mthly'!$I$32:$T$32))</f>
        <v/>
      </c>
      <c r="GU122" s="332" t="str">
        <f>IF(GU$7&gt;$D$3,"",_xlfn.XLOOKUP(GU$8,'HR mthly'!$I$6:$T$6,'HR mthly'!$I$32:$T$32))</f>
        <v/>
      </c>
      <c r="GV122" s="332" t="str">
        <f>IF(GV$7&gt;$D$3,"",_xlfn.XLOOKUP(GV$8,'HR mthly'!$I$6:$T$6,'HR mthly'!$I$32:$T$32))</f>
        <v/>
      </c>
      <c r="GW122" s="332" t="str">
        <f>IF(GW$7&gt;$D$3,"",_xlfn.XLOOKUP(GW$8,'HR mthly'!$I$6:$T$6,'HR mthly'!$I$32:$T$32))</f>
        <v/>
      </c>
      <c r="GX122" s="332" t="str">
        <f>IF(GX$7&gt;$D$3,"",_xlfn.XLOOKUP(GX$8,'HR mthly'!$I$6:$T$6,'HR mthly'!$I$32:$T$32))</f>
        <v/>
      </c>
      <c r="GY122" s="332" t="str">
        <f>IF(GY$7&gt;$D$3,"",_xlfn.XLOOKUP(GY$8,'HR mthly'!$I$6:$T$6,'HR mthly'!$I$32:$T$32))</f>
        <v/>
      </c>
      <c r="GZ122" s="332" t="str">
        <f>IF(GZ$7&gt;$D$3,"",_xlfn.XLOOKUP(GZ$8,'HR mthly'!$I$6:$T$6,'HR mthly'!$I$32:$T$32))</f>
        <v/>
      </c>
      <c r="HA122" s="332" t="str">
        <f>IF(HA$7&gt;$D$3,"",_xlfn.XLOOKUP(HA$8,'HR mthly'!$I$6:$T$6,'HR mthly'!$I$32:$T$32))</f>
        <v/>
      </c>
      <c r="HB122" s="332" t="str">
        <f>IF(HB$7&gt;$D$3,"",_xlfn.XLOOKUP(HB$8,'HR mthly'!$I$6:$T$6,'HR mthly'!$I$32:$T$32))</f>
        <v/>
      </c>
      <c r="HC122" s="332" t="str">
        <f>IF(HC$7&gt;$D$3,"",_xlfn.XLOOKUP(HC$8,'HR mthly'!$I$6:$T$6,'HR mthly'!$I$32:$T$32))</f>
        <v/>
      </c>
      <c r="HE122" s="136" t="str">
        <f t="shared" si="646"/>
        <v>KPI C1</v>
      </c>
      <c r="HF122" s="144" t="str">
        <f t="shared" si="647"/>
        <v>Cost</v>
      </c>
      <c r="HG122" s="144" t="str">
        <f t="shared" si="611"/>
        <v>Head Count - Heads</v>
      </c>
      <c r="HH122" s="145" t="str">
        <f t="shared" si="612"/>
        <v>Count</v>
      </c>
      <c r="HI122" s="145" t="s">
        <v>44</v>
      </c>
      <c r="HJ122" s="226" t="s">
        <v>122</v>
      </c>
      <c r="HK122" s="332">
        <f>IF(HK$7&gt;$D$3,"",_xlfn.XLOOKUP(HK$8,'HR mthly'!$I$6:$T$6,'HR mthly'!$I$31:$T$31))</f>
        <v>759</v>
      </c>
      <c r="HL122" s="332">
        <f>IF(HL$7&gt;$D$3,"",_xlfn.XLOOKUP(HL$8,'HR mthly'!$I$6:$T$6,'HR mthly'!$I$31:$T$31))</f>
        <v>759</v>
      </c>
      <c r="HM122" s="332">
        <f>IF(HM$7&gt;$D$3,"",_xlfn.XLOOKUP(HM$8,'HR mthly'!$I$6:$T$6,'HR mthly'!$I$31:$T$31))</f>
        <v>759</v>
      </c>
      <c r="HN122" s="332">
        <f>IF(HN$7&gt;$D$3,"",_xlfn.XLOOKUP(HN$8,'HR mthly'!$I$6:$T$6,'HR mthly'!$I$31:$T$31))</f>
        <v>759</v>
      </c>
      <c r="HO122" s="332">
        <f>IF(HO$7&gt;$D$3,"",_xlfn.XLOOKUP(HO$8,'HR mthly'!$I$6:$T$6,'HR mthly'!$I$31:$T$31))</f>
        <v>759</v>
      </c>
      <c r="HP122" s="332">
        <f>IF(HP$7&gt;$D$3,"",_xlfn.XLOOKUP(HP$8,'HR mthly'!$I$6:$T$6,'HR mthly'!$I$31:$T$31))</f>
        <v>759</v>
      </c>
      <c r="HQ122" s="332">
        <f>IF(HQ$7&gt;$D$3,"",_xlfn.XLOOKUP(HQ$8,'HR mthly'!$I$6:$T$6,'HR mthly'!$I$31:$T$31))</f>
        <v>759</v>
      </c>
      <c r="HR122" s="332">
        <f>IF(HR$7&gt;$D$3,"",_xlfn.XLOOKUP(HR$8,'HR mthly'!$I$6:$T$6,'HR mthly'!$I$31:$T$31))</f>
        <v>759</v>
      </c>
      <c r="HS122" s="332">
        <f>IF(HS$7&gt;$D$3,"",_xlfn.XLOOKUP(HS$8,'HR mthly'!$I$6:$T$6,'HR mthly'!$I$31:$T$31))</f>
        <v>759</v>
      </c>
      <c r="HT122" s="332">
        <f>IF(HT$7&gt;$D$3,"",_xlfn.XLOOKUP(HT$8,'HR mthly'!$I$6:$T$6,'HR mthly'!$I$31:$T$31))</f>
        <v>759</v>
      </c>
      <c r="HU122" s="332">
        <f>IF(HU$7&gt;$D$3,"",_xlfn.XLOOKUP(HU$8,'HR mthly'!$I$6:$T$6,'HR mthly'!$I$31:$T$31))</f>
        <v>759</v>
      </c>
      <c r="HV122" s="332">
        <f>IF(HV$7&gt;$D$3,"",_xlfn.XLOOKUP(HV$8,'HR mthly'!$I$6:$T$6,'HR mthly'!$I$31:$T$31))</f>
        <v>759</v>
      </c>
      <c r="HW122" s="332">
        <f>IF(HW$7&gt;$D$3,"",_xlfn.XLOOKUP(HW$8,'HR mthly'!$I$6:$T$6,'HR mthly'!$I$31:$T$31))</f>
        <v>759</v>
      </c>
      <c r="HX122" s="332">
        <f>IF(HX$7&gt;$D$3,"",_xlfn.XLOOKUP(HX$8,'HR mthly'!$I$6:$T$6,'HR mthly'!$I$31:$T$31))</f>
        <v>759</v>
      </c>
      <c r="HY122" s="332">
        <f>IF(HY$7&gt;$D$3,"",_xlfn.XLOOKUP(HY$8,'HR mthly'!$I$6:$T$6,'HR mthly'!$I$31:$T$31))</f>
        <v>759</v>
      </c>
      <c r="HZ122" s="332">
        <f>IF(HZ$7&gt;$D$3,"",_xlfn.XLOOKUP(HZ$8,'HR mthly'!$I$6:$T$6,'HR mthly'!$I$31:$T$31))</f>
        <v>759</v>
      </c>
      <c r="IA122" s="332">
        <f>IF(IA$7&gt;$D$3,"",_xlfn.XLOOKUP(IA$8,'HR mthly'!$I$6:$T$6,'HR mthly'!$I$31:$T$31))</f>
        <v>759</v>
      </c>
      <c r="IB122" s="332">
        <f>IF(IB$7&gt;$D$3,"",_xlfn.XLOOKUP(IB$8,'HR mthly'!$I$6:$T$6,'HR mthly'!$I$31:$T$31))</f>
        <v>759</v>
      </c>
      <c r="IC122" s="332">
        <f>IF(IC$7&gt;$D$3,"",_xlfn.XLOOKUP(IC$8,'HR mthly'!$I$6:$T$6,'HR mthly'!$I$31:$T$31))</f>
        <v>759</v>
      </c>
      <c r="ID122" s="332">
        <f>IF(ID$7&gt;$D$3,"",_xlfn.XLOOKUP(ID$8,'HR mthly'!$I$6:$T$6,'HR mthly'!$I$31:$T$31))</f>
        <v>759</v>
      </c>
      <c r="IE122" s="332">
        <f>IF(IE$7&gt;$D$3,"",_xlfn.XLOOKUP(IE$8,'HR mthly'!$I$6:$T$6,'HR mthly'!$I$31:$T$31))</f>
        <v>759</v>
      </c>
      <c r="IF122" s="332">
        <f>IF(IF$7&gt;$D$3,"",_xlfn.XLOOKUP(IF$8,'HR mthly'!$I$6:$T$6,'HR mthly'!$I$31:$T$31))</f>
        <v>759</v>
      </c>
      <c r="IG122" s="332">
        <f>IF(IG$7&gt;$D$3,"",_xlfn.XLOOKUP(IG$8,'HR mthly'!$I$6:$T$6,'HR mthly'!$I$31:$T$31))</f>
        <v>759</v>
      </c>
      <c r="IH122" s="332">
        <f>IF(IH$7&gt;$D$3,"",_xlfn.XLOOKUP(IH$8,'HR mthly'!$I$6:$T$6,'HR mthly'!$I$31:$T$31))</f>
        <v>759</v>
      </c>
      <c r="II122" s="332">
        <f>IF(II$7&gt;$D$3,"",_xlfn.XLOOKUP(II$8,'HR mthly'!$I$6:$T$6,'HR mthly'!$I$31:$T$31))</f>
        <v>759</v>
      </c>
      <c r="IJ122" s="332">
        <f>IF(IJ$7&gt;$D$3,"",_xlfn.XLOOKUP(IJ$8,'HR mthly'!$I$6:$T$6,'HR mthly'!$I$31:$T$31))</f>
        <v>759</v>
      </c>
      <c r="IK122" s="332">
        <f>IF(IK$7&gt;$D$3,"",_xlfn.XLOOKUP(IK$8,'HR mthly'!$I$6:$T$6,'HR mthly'!$I$31:$T$31))</f>
        <v>759</v>
      </c>
      <c r="IL122" s="332">
        <f>IF(IL$7&gt;$D$3,"",_xlfn.XLOOKUP(IL$8,'HR mthly'!$I$6:$T$6,'HR mthly'!$I$31:$T$31))</f>
        <v>759</v>
      </c>
      <c r="IM122" s="332">
        <f>IF(IM$7&gt;$D$3,"",_xlfn.XLOOKUP(IM$8,'HR mthly'!$I$6:$T$6,'HR mthly'!$I$31:$T$31))</f>
        <v>759</v>
      </c>
      <c r="IN122" s="332">
        <f>IF(IN$7&gt;$D$3,"",_xlfn.XLOOKUP(IN$8,'HR mthly'!$I$6:$T$6,'HR mthly'!$I$31:$T$31))</f>
        <v>759</v>
      </c>
      <c r="IO122" s="332">
        <f>IF(IO$7&gt;$D$3,"",_xlfn.XLOOKUP(IO$8,'HR mthly'!$I$6:$T$6,'HR mthly'!$I$31:$T$31))</f>
        <v>759</v>
      </c>
      <c r="IP122" s="332">
        <f>IF(IP$7&gt;$D$3,"",_xlfn.XLOOKUP(IP$8,'HR mthly'!$I$6:$T$6,'HR mthly'!$I$31:$T$31))</f>
        <v>759</v>
      </c>
      <c r="IQ122" s="332">
        <f>IF(IQ$7&gt;$D$3,"",_xlfn.XLOOKUP(IQ$8,'HR mthly'!$I$6:$T$6,'HR mthly'!$I$31:$T$31))</f>
        <v>759</v>
      </c>
      <c r="IR122" s="332">
        <f>IF(IR$7&gt;$D$3,"",_xlfn.XLOOKUP(IR$8,'HR mthly'!$I$6:$T$6,'HR mthly'!$I$31:$T$31))</f>
        <v>759</v>
      </c>
      <c r="IS122" s="332">
        <f>IF(IS$7&gt;$D$3,"",_xlfn.XLOOKUP(IS$8,'HR mthly'!$I$6:$T$6,'HR mthly'!$I$31:$T$31))</f>
        <v>759</v>
      </c>
      <c r="IT122" s="332">
        <f>IF(IT$7&gt;$D$3,"",_xlfn.XLOOKUP(IT$8,'HR mthly'!$I$6:$T$6,'HR mthly'!$I$31:$T$31))</f>
        <v>759</v>
      </c>
      <c r="IU122" s="332">
        <f>IF(IU$7&gt;$D$3,"",_xlfn.XLOOKUP(IU$8,'HR mthly'!$I$6:$T$6,'HR mthly'!$I$31:$T$31))</f>
        <v>759</v>
      </c>
      <c r="IV122" s="332">
        <f>IF(IV$7&gt;$D$3,"",_xlfn.XLOOKUP(IV$8,'HR mthly'!$I$6:$T$6,'HR mthly'!$I$31:$T$31))</f>
        <v>759</v>
      </c>
      <c r="IW122" s="332">
        <f>IF(IW$7&gt;$D$3,"",_xlfn.XLOOKUP(IW$8,'HR mthly'!$I$6:$T$6,'HR mthly'!$I$31:$T$31))</f>
        <v>759</v>
      </c>
      <c r="IX122" s="332">
        <f>IF(IX$7&gt;$D$3,"",_xlfn.XLOOKUP(IX$8,'HR mthly'!$I$6:$T$6,'HR mthly'!$I$31:$T$31))</f>
        <v>759</v>
      </c>
      <c r="IY122" s="332">
        <f>IF(IY$7&gt;$D$3,"",_xlfn.XLOOKUP(IY$8,'HR mthly'!$I$6:$T$6,'HR mthly'!$I$31:$T$31))</f>
        <v>759</v>
      </c>
      <c r="IZ122" s="332" t="str">
        <f>IF(IZ$7&gt;$D$3,"",_xlfn.XLOOKUP(IZ$8,'HR mthly'!$I$6:$T$6,'HR mthly'!$I$31:$T$31))</f>
        <v/>
      </c>
      <c r="JA122" s="332" t="str">
        <f>IF(JA$7&gt;$D$3,"",_xlfn.XLOOKUP(JA$8,'HR mthly'!$I$6:$T$6,'HR mthly'!$I$31:$T$31))</f>
        <v/>
      </c>
      <c r="JB122" s="332" t="str">
        <f>IF(JB$7&gt;$D$3,"",_xlfn.XLOOKUP(JB$8,'HR mthly'!$I$6:$T$6,'HR mthly'!$I$31:$T$31))</f>
        <v/>
      </c>
      <c r="JC122" s="332" t="str">
        <f>IF(JC$7&gt;$D$3,"",_xlfn.XLOOKUP(JC$8,'HR mthly'!$I$6:$T$6,'HR mthly'!$I$31:$T$31))</f>
        <v/>
      </c>
      <c r="JD122" s="332" t="str">
        <f>IF(JD$7&gt;$D$3,"",_xlfn.XLOOKUP(JD$8,'HR mthly'!$I$6:$T$6,'HR mthly'!$I$31:$T$31))</f>
        <v/>
      </c>
      <c r="JE122" s="332" t="str">
        <f>IF(JE$7&gt;$D$3,"",_xlfn.XLOOKUP(JE$8,'HR mthly'!$I$6:$T$6,'HR mthly'!$I$31:$T$31))</f>
        <v/>
      </c>
      <c r="JF122" s="332" t="str">
        <f>IF(JF$7&gt;$D$3,"",_xlfn.XLOOKUP(JF$8,'HR mthly'!$I$6:$T$6,'HR mthly'!$I$31:$T$31))</f>
        <v/>
      </c>
      <c r="JG122" s="332" t="str">
        <f>IF(JG$7&gt;$D$3,"",_xlfn.XLOOKUP(JG$8,'HR mthly'!$I$6:$T$6,'HR mthly'!$I$31:$T$31))</f>
        <v/>
      </c>
      <c r="JH122" s="332" t="str">
        <f>IF(JH$7&gt;$D$3,"",_xlfn.XLOOKUP(JH$8,'HR mthly'!$I$6:$T$6,'HR mthly'!$I$31:$T$31))</f>
        <v/>
      </c>
      <c r="JI122" s="332" t="str">
        <f>IF(JI$7&gt;$D$3,"",_xlfn.XLOOKUP(JI$8,'HR mthly'!$I$6:$T$6,'HR mthly'!$I$31:$T$31))</f>
        <v/>
      </c>
      <c r="JJ122" s="332" t="str">
        <f>IF(JJ$7&gt;$D$3,"",_xlfn.XLOOKUP(JJ$8,'HR mthly'!$I$6:$T$6,'HR mthly'!$I$31:$T$31))</f>
        <v/>
      </c>
      <c r="JM122" s="136" t="str">
        <f t="shared" si="648"/>
        <v>KPI C1</v>
      </c>
      <c r="JN122" s="144" t="str">
        <f t="shared" si="649"/>
        <v>Cost</v>
      </c>
      <c r="JO122" s="244" t="str">
        <f t="shared" si="615"/>
        <v>Head Count - Heads</v>
      </c>
      <c r="JP122" s="145" t="str">
        <f t="shared" si="616"/>
        <v>Count</v>
      </c>
      <c r="JQ122" s="145" t="s">
        <v>284</v>
      </c>
      <c r="JR122" s="226" t="str">
        <f>IFERROR(AVERAGE(FC122:$FC122),"")</f>
        <v/>
      </c>
      <c r="JS122" s="332">
        <f>IFERROR(AVERAGE($FC122:FD122),"")</f>
        <v>754</v>
      </c>
      <c r="JT122" s="332">
        <f>IFERROR(AVERAGE($FC122:FE122),"")</f>
        <v>754</v>
      </c>
      <c r="JU122" s="332">
        <f>IFERROR(AVERAGE($FC122:FF122),"")</f>
        <v>754</v>
      </c>
      <c r="JV122" s="332">
        <f>IFERROR(AVERAGE($FC122:FG122),"")</f>
        <v>754</v>
      </c>
      <c r="JW122" s="332">
        <f>IFERROR(AVERAGE($FC122:FH122),"")</f>
        <v>754</v>
      </c>
      <c r="JX122" s="332">
        <f>IFERROR(AVERAGE($FC122:FI122),"")</f>
        <v>754</v>
      </c>
      <c r="JY122" s="332">
        <f>IFERROR(AVERAGE($FC122:FJ122),"")</f>
        <v>754</v>
      </c>
      <c r="JZ122" s="332">
        <f>IFERROR(AVERAGE($FC122:FK122),"")</f>
        <v>754</v>
      </c>
      <c r="KA122" s="332">
        <f>IFERROR(AVERAGE($FC122:FL122),"")</f>
        <v>755.22222222222217</v>
      </c>
      <c r="KB122" s="332">
        <f>IFERROR(AVERAGE($FC122:FM122),"")</f>
        <v>756.2</v>
      </c>
      <c r="KC122" s="332">
        <f>IFERROR(AVERAGE($FC122:FN122),"")</f>
        <v>757</v>
      </c>
      <c r="KD122" s="332">
        <f>IFERROR(AVERAGE($FC122:FO122),"")</f>
        <v>757.66666666666663</v>
      </c>
      <c r="KE122" s="332">
        <f>IFERROR(AVERAGE($FC122:FP122),"")</f>
        <v>758.23076923076928</v>
      </c>
      <c r="KF122" s="332">
        <f>IFERROR(AVERAGE($FC122:FQ122),"")</f>
        <v>758.71428571428567</v>
      </c>
      <c r="KG122" s="332">
        <f>IFERROR(AVERAGE($FC122:FR122),"")</f>
        <v>759.13333333333333</v>
      </c>
      <c r="KH122" s="332">
        <f>IFERROR(AVERAGE($FC122:FS122),"")</f>
        <v>759.5</v>
      </c>
      <c r="KI122" s="332">
        <f>IFERROR(AVERAGE($FC122:FT122),"")</f>
        <v>760.88235294117646</v>
      </c>
      <c r="KJ122" s="332">
        <f>IFERROR(AVERAGE($FC122:FU122),"")</f>
        <v>762.11111111111109</v>
      </c>
      <c r="KK122" s="332">
        <f>IFERROR(AVERAGE($FC122:FV122),"")</f>
        <v>763.21052631578948</v>
      </c>
      <c r="KL122" s="332">
        <f>IFERROR(AVERAGE($FC122:FW122),"")</f>
        <v>764.2</v>
      </c>
      <c r="KM122" s="332">
        <f>IFERROR(AVERAGE($FC122:FX122),"")</f>
        <v>765.09523809523807</v>
      </c>
      <c r="KN122" s="332">
        <f>IFERROR(AVERAGE($FC122:FY122),"")</f>
        <v>765.81818181818187</v>
      </c>
      <c r="KO122" s="332">
        <f>IFERROR(AVERAGE($FC122:FZ122),"")</f>
        <v>766.47826086956525</v>
      </c>
      <c r="KP122" s="332">
        <f>IFERROR(AVERAGE($FC122:GA122),"")</f>
        <v>767.08333333333337</v>
      </c>
      <c r="KQ122" s="332">
        <f>IFERROR(AVERAGE($FC122:GB122),"")</f>
        <v>767.64</v>
      </c>
      <c r="KR122" s="332">
        <f>IFERROR(AVERAGE($FC122:GC122),"")</f>
        <v>768.07692307692309</v>
      </c>
      <c r="KS122" s="332">
        <f>IFERROR(AVERAGE($FC122:GD122),"")</f>
        <v>768.48148148148152</v>
      </c>
      <c r="KT122" s="332">
        <f>IFERROR(AVERAGE($FC122:GE122),"")</f>
        <v>768.85714285714289</v>
      </c>
      <c r="KU122" s="332">
        <f>IFERROR(AVERAGE($FC122:GF122),"")</f>
        <v>769.20689655172418</v>
      </c>
      <c r="KV122" s="332">
        <f>IFERROR(AVERAGE($FC122:GG122),"")</f>
        <v>769.5333333333333</v>
      </c>
      <c r="KW122" s="332">
        <f>IFERROR(AVERAGE($FC122:GH122),"")</f>
        <v>769.93548387096769</v>
      </c>
      <c r="KX122" s="332">
        <f>IFERROR(AVERAGE($FC122:GI122),"")</f>
        <v>770.3125</v>
      </c>
      <c r="KY122" s="332">
        <f>IFERROR(AVERAGE($FC122:GJ122),"")</f>
        <v>770.66666666666663</v>
      </c>
      <c r="KZ122" s="332">
        <f>IFERROR(AVERAGE($FC122:GK122),"")</f>
        <v>771</v>
      </c>
      <c r="LA122" s="332">
        <f>IFERROR(AVERAGE($FC122:GL122),"")</f>
        <v>771.51428571428573</v>
      </c>
      <c r="LB122" s="332">
        <f>IFERROR(AVERAGE($FC122:GM122),"")</f>
        <v>772</v>
      </c>
      <c r="LC122" s="332">
        <f>IFERROR(AVERAGE($FC122:GN122),"")</f>
        <v>772.45945945945948</v>
      </c>
      <c r="LD122" s="332">
        <f>IFERROR(AVERAGE($FC122:GO122),"")</f>
        <v>772.89473684210532</v>
      </c>
      <c r="LE122" s="332">
        <f>IFERROR(AVERAGE($FC122:GP122),"")</f>
        <v>773.53846153846155</v>
      </c>
      <c r="LF122" s="332">
        <f>IFERROR(AVERAGE($FC122:GQ122),"")</f>
        <v>774.15</v>
      </c>
      <c r="LG122" s="332">
        <f>IFERROR(AVERAGE($FC122:GR122),"")</f>
        <v>774.73170731707319</v>
      </c>
      <c r="LH122" s="332">
        <f>IFERROR(AVERAGE($FC122:GS122),"")</f>
        <v>774.73170731707319</v>
      </c>
      <c r="LI122" s="332">
        <f>IFERROR(AVERAGE($FC122:GT122),"")</f>
        <v>774.73170731707319</v>
      </c>
      <c r="LJ122" s="332">
        <f>IFERROR(AVERAGE($FC122:GU122),"")</f>
        <v>774.73170731707319</v>
      </c>
      <c r="LK122" s="332">
        <f>IFERROR(AVERAGE($FC122:GV122),"")</f>
        <v>774.73170731707319</v>
      </c>
      <c r="LL122" s="332">
        <f>IFERROR(AVERAGE($FC122:GW122),"")</f>
        <v>774.73170731707319</v>
      </c>
      <c r="LM122" s="332">
        <f>IFERROR(AVERAGE($FC122:GX122),"")</f>
        <v>774.73170731707319</v>
      </c>
      <c r="LN122" s="332">
        <f>IFERROR(AVERAGE($FC122:GY122),"")</f>
        <v>774.73170731707319</v>
      </c>
      <c r="LO122" s="332">
        <f>IFERROR(AVERAGE($FC122:GZ122),"")</f>
        <v>774.73170731707319</v>
      </c>
      <c r="LP122" s="332">
        <f>IFERROR(AVERAGE($FC122:HA122),"")</f>
        <v>774.73170731707319</v>
      </c>
      <c r="LQ122" s="332">
        <f>IFERROR(AVERAGE($FC122:HB122),"")</f>
        <v>774.73170731707319</v>
      </c>
      <c r="LR122" s="332">
        <f>IFERROR(AVERAGE($FC122:HC122),"")</f>
        <v>774.73170731707319</v>
      </c>
      <c r="LT122" s="136" t="str">
        <f t="shared" si="651"/>
        <v>KPI C1</v>
      </c>
      <c r="LU122" s="144" t="str">
        <f t="shared" si="652"/>
        <v>Cost</v>
      </c>
      <c r="LV122" s="144" t="str">
        <f t="shared" si="619"/>
        <v>Head Count - Heads</v>
      </c>
      <c r="LW122" s="145" t="str">
        <f t="shared" si="620"/>
        <v>Count</v>
      </c>
      <c r="LX122" s="145" t="s">
        <v>285</v>
      </c>
      <c r="LY122" s="226" t="str">
        <f>IFERROR(AVERAGE($HJ122:HJ122),"")</f>
        <v/>
      </c>
      <c r="LZ122" s="332">
        <f>IFERROR(IF(LAD$7&gt;$D$3,"",AVERAGE($HJ122:HK122)),"")</f>
        <v>759</v>
      </c>
      <c r="MA122" s="332">
        <f>IFERROR(IF(LAE$7&gt;$D$3,"",AVERAGE($HJ122:HL122)),"")</f>
        <v>759</v>
      </c>
      <c r="MB122" s="332">
        <f>IFERROR(IF(LAF$7&gt;$D$3,"",AVERAGE($HJ122:HM122)),"")</f>
        <v>759</v>
      </c>
      <c r="MC122" s="332">
        <f>IFERROR(IF(LAG$7&gt;$D$3,"",AVERAGE($HJ122:HN122)),"")</f>
        <v>759</v>
      </c>
      <c r="MD122" s="332">
        <f>IFERROR(IF(LAH$7&gt;$D$3,"",AVERAGE($HJ122:HO122)),"")</f>
        <v>759</v>
      </c>
      <c r="ME122" s="332">
        <f>IFERROR(IF(LAI$7&gt;$D$3,"",AVERAGE($HJ122:HP122)),"")</f>
        <v>759</v>
      </c>
      <c r="MF122" s="332">
        <f>IFERROR(IF(LAJ$7&gt;$D$3,"",AVERAGE($HJ122:HQ122)),"")</f>
        <v>759</v>
      </c>
      <c r="MG122" s="332">
        <f>IFERROR(IF(LAK$7&gt;$D$3,"",AVERAGE($HJ122:HR122)),"")</f>
        <v>759</v>
      </c>
      <c r="MH122" s="332">
        <f>IFERROR(IF(LAL$7&gt;$D$3,"",AVERAGE($HJ122:HS122)),"")</f>
        <v>759</v>
      </c>
      <c r="MI122" s="332">
        <f>IFERROR(IF(LAM$7&gt;$D$3,"",AVERAGE($HJ122:HT122)),"")</f>
        <v>759</v>
      </c>
      <c r="MJ122" s="332">
        <f>IFERROR(IF(LAN$7&gt;$D$3,"",AVERAGE($HJ122:HU122)),"")</f>
        <v>759</v>
      </c>
      <c r="MK122" s="332">
        <f>IFERROR(IF(LAO$7&gt;$D$3,"",AVERAGE($HJ122:HV122)),"")</f>
        <v>759</v>
      </c>
      <c r="ML122" s="332">
        <f>IFERROR(IF(LAP$7&gt;$D$3,"",AVERAGE($HJ122:HW122)),"")</f>
        <v>759</v>
      </c>
      <c r="MM122" s="332">
        <f>IFERROR(IF(LAQ$7&gt;$D$3,"",AVERAGE($HJ122:HX122)),"")</f>
        <v>759</v>
      </c>
      <c r="MN122" s="332">
        <f>IFERROR(IF(LAR$7&gt;$D$3,"",AVERAGE($HJ122:HY122)),"")</f>
        <v>759</v>
      </c>
      <c r="MO122" s="332">
        <f>IFERROR(IF(LAS$7&gt;$D$3,"",AVERAGE($HJ122:HZ122)),"")</f>
        <v>759</v>
      </c>
      <c r="MP122" s="332">
        <f>IFERROR(IF(LAT$7&gt;$D$3,"",AVERAGE($HJ122:IA122)),"")</f>
        <v>759</v>
      </c>
      <c r="MQ122" s="332">
        <f>IFERROR(IF(LAU$7&gt;$D$3,"",AVERAGE($HJ122:IB122)),"")</f>
        <v>759</v>
      </c>
      <c r="MR122" s="332">
        <f>IFERROR(IF(LAV$7&gt;$D$3,"",AVERAGE($HJ122:IC122)),"")</f>
        <v>759</v>
      </c>
      <c r="MS122" s="332">
        <f>IFERROR(IF(LAW$7&gt;$D$3,"",AVERAGE($HJ122:ID122)),"")</f>
        <v>759</v>
      </c>
      <c r="MT122" s="332">
        <f>IFERROR(IF(LAX$7&gt;$D$3,"",AVERAGE($HJ122:IE122)),"")</f>
        <v>759</v>
      </c>
      <c r="MU122" s="332">
        <f>IFERROR(IF(LAY$7&gt;$D$3,"",AVERAGE($HJ122:IF122)),"")</f>
        <v>759</v>
      </c>
      <c r="MV122" s="332">
        <f>IFERROR(IF(LAZ$7&gt;$D$3,"",AVERAGE($HJ122:IG122)),"")</f>
        <v>759</v>
      </c>
      <c r="MW122" s="332">
        <f>IFERROR(IF(LBA$7&gt;$D$3,"",AVERAGE($HJ122:IH122)),"")</f>
        <v>759</v>
      </c>
      <c r="MX122" s="332">
        <f>IFERROR(IF(LBB$7&gt;$D$3,"",AVERAGE($HJ122:II122)),"")</f>
        <v>759</v>
      </c>
      <c r="MY122" s="332">
        <f>IFERROR(IF(LBC$7&gt;$D$3,"",AVERAGE($HJ122:IJ122)),"")</f>
        <v>759</v>
      </c>
      <c r="MZ122" s="332">
        <f>IFERROR(IF(LBD$7&gt;$D$3,"",AVERAGE($HJ122:IK122)),"")</f>
        <v>759</v>
      </c>
      <c r="NA122" s="332">
        <f>IFERROR(IF(LBE$7&gt;$D$3,"",AVERAGE($HJ122:IL122)),"")</f>
        <v>759</v>
      </c>
      <c r="NB122" s="332">
        <f>IFERROR(IF(LBF$7&gt;$D$3,"",AVERAGE($HJ122:IM122)),"")</f>
        <v>759</v>
      </c>
      <c r="NC122" s="332">
        <f>IFERROR(IF(LBG$7&gt;$D$3,"",AVERAGE($HJ122:IN122)),"")</f>
        <v>759</v>
      </c>
      <c r="ND122" s="332">
        <f>IFERROR(IF(LBH$7&gt;$D$3,"",AVERAGE($HJ122:IO122)),"")</f>
        <v>759</v>
      </c>
      <c r="NE122" s="332">
        <f>IFERROR(IF(LBI$7&gt;$D$3,"",AVERAGE($HJ122:IP122)),"")</f>
        <v>759</v>
      </c>
      <c r="NF122" s="332">
        <f>IFERROR(IF(LBJ$7&gt;$D$3,"",AVERAGE($HJ122:IQ122)),"")</f>
        <v>759</v>
      </c>
      <c r="NG122" s="332">
        <f>IFERROR(IF(LBK$7&gt;$D$3,"",AVERAGE($HJ122:IR122)),"")</f>
        <v>759</v>
      </c>
      <c r="NH122" s="332">
        <f>IFERROR(IF(LBL$7&gt;$D$3,"",AVERAGE($HJ122:IS122)),"")</f>
        <v>759</v>
      </c>
      <c r="NI122" s="332">
        <f>IFERROR(IF(LBM$7&gt;$D$3,"",AVERAGE($HJ122:IT122)),"")</f>
        <v>759</v>
      </c>
      <c r="NJ122" s="332">
        <f>IFERROR(IF(LBN$7&gt;$D$3,"",AVERAGE($HJ122:IU122)),"")</f>
        <v>759</v>
      </c>
      <c r="NK122" s="332">
        <f>IFERROR(IF(LBO$7&gt;$D$3,"",AVERAGE($HJ122:IV122)),"")</f>
        <v>759</v>
      </c>
      <c r="NL122" s="332">
        <f>IFERROR(IF(LBP$7&gt;$D$3,"",AVERAGE($HJ122:IW122)),"")</f>
        <v>759</v>
      </c>
      <c r="NM122" s="332">
        <f>IFERROR(IF(LBQ$7&gt;$D$3,"",AVERAGE($HJ122:IX122)),"")</f>
        <v>759</v>
      </c>
      <c r="NN122" s="332">
        <f>IFERROR(IF(LBR$7&gt;$D$3,"",AVERAGE($HJ122:IY122)),"")</f>
        <v>759</v>
      </c>
      <c r="NO122" s="332">
        <f>IFERROR(IF(LBS$7&gt;$D$3,"",AVERAGE($HJ122:IZ122)),"")</f>
        <v>759</v>
      </c>
      <c r="NP122" s="332">
        <f>IFERROR(IF(LBT$7&gt;$D$3,"",AVERAGE($HJ122:JA122)),"")</f>
        <v>759</v>
      </c>
      <c r="NQ122" s="332">
        <f>IFERROR(IF(LBU$7&gt;$D$3,"",AVERAGE($HJ122:JB122)),"")</f>
        <v>759</v>
      </c>
      <c r="NR122" s="332">
        <f>IFERROR(IF(LBV$7&gt;$D$3,"",AVERAGE($HJ122:JC122)),"")</f>
        <v>759</v>
      </c>
      <c r="NS122" s="332">
        <f>IFERROR(IF(LBW$7&gt;$D$3,"",AVERAGE($HJ122:JD122)),"")</f>
        <v>759</v>
      </c>
      <c r="NT122" s="332">
        <f>IFERROR(IF(LBX$7&gt;$D$3,"",AVERAGE($HJ122:JE122)),"")</f>
        <v>759</v>
      </c>
      <c r="NU122" s="332">
        <f>IFERROR(IF(LBY$7&gt;$D$3,"",AVERAGE($HJ122:JF122)),"")</f>
        <v>759</v>
      </c>
      <c r="NV122" s="332">
        <f>IFERROR(IF(LBZ$7&gt;$D$3,"",AVERAGE($HJ122:JG122)),"")</f>
        <v>759</v>
      </c>
      <c r="NW122" s="332">
        <f>IFERROR(IF(LCA$7&gt;$D$3,"",AVERAGE($HJ122:JH122)),"")</f>
        <v>759</v>
      </c>
      <c r="NX122" s="332">
        <f>IFERROR(IF(LCB$7&gt;$D$3,"",AVERAGE($HJ122:JI122)),"")</f>
        <v>759</v>
      </c>
      <c r="NY122" s="332">
        <f>IFERROR(IF(LCC$7&gt;$D$3,"",AVERAGE($HJ122:JJ122)),"")</f>
        <v>759</v>
      </c>
    </row>
    <row r="123" spans="1:389" ht="15" thickBot="1" x14ac:dyDescent="0.35">
      <c r="A123" t="str">
        <f t="shared" si="623"/>
        <v>HR-KPI C2</v>
      </c>
      <c r="B123" s="138"/>
      <c r="C123" s="138" t="str">
        <f>+'KPI Stats'!C122</f>
        <v>KPI C2</v>
      </c>
      <c r="D123" s="146" t="str">
        <f>+'KPI Stats'!D122</f>
        <v>Cost</v>
      </c>
      <c r="E123" s="146" t="str">
        <f>+'KPI Stats'!E122</f>
        <v>Job Evaluation Progress actions against project plan</v>
      </c>
      <c r="F123" s="147" t="str">
        <f>+'KPI Stats'!F122</f>
        <v>Percentage</v>
      </c>
      <c r="G123" s="170" t="str">
        <f>+'KPI Stats'!G122</f>
        <v>Under</v>
      </c>
      <c r="H123" s="154"/>
      <c r="J123" s="160" t="str">
        <f t="shared" si="624"/>
        <v>A</v>
      </c>
      <c r="K123" s="338">
        <f t="shared" si="625"/>
        <v>0.95</v>
      </c>
      <c r="L123" s="339">
        <f t="shared" si="626"/>
        <v>1</v>
      </c>
      <c r="M123" s="377">
        <f t="shared" si="627"/>
        <v>0.95</v>
      </c>
      <c r="P123" s="160" t="str">
        <f t="shared" si="628"/>
        <v>A</v>
      </c>
      <c r="Q123" s="338">
        <f t="shared" si="629"/>
        <v>0.95</v>
      </c>
      <c r="R123" s="339">
        <f t="shared" si="629"/>
        <v>0.95</v>
      </c>
      <c r="S123" s="380">
        <f t="shared" si="630"/>
        <v>0.95</v>
      </c>
      <c r="T123" s="381">
        <f t="shared" si="630"/>
        <v>0.95</v>
      </c>
      <c r="U123" s="296" t="str">
        <f>IF(F115&lt;$Q$4,"Not Complete",IF(Q123=R123,"Same −",IF($G123="Over",IF(Q123&lt;R123,"Better ↑","Worse ↓"),IF($G123="Under",IF(Q123&gt;R123,"Better ↑","Worse ↓"),"err"))))</f>
        <v>Same −</v>
      </c>
      <c r="X123" s="160" t="str">
        <f t="shared" si="631"/>
        <v>G</v>
      </c>
      <c r="Y123" s="338">
        <f t="shared" si="632"/>
        <v>0.83205128205128143</v>
      </c>
      <c r="Z123" s="339">
        <f t="shared" si="633"/>
        <v>0.81282051282051293</v>
      </c>
      <c r="AA123" s="377">
        <f t="shared" si="634"/>
        <v>1.02365930599369</v>
      </c>
      <c r="AB123" s="296" t="str">
        <f>IF(F122&lt;$AA$3,"TBC",IF(Y123=Z123,"Same −",IF($G123="Over",IF(Z123&lt;Y123,"Better ↑ ","Worse ↓ "),IF($G123="Under",IF(Y123&gt;Z123,"Better ↑ ","Worse ↓ "),"err"))))</f>
        <v xml:space="preserve">Better ↑ </v>
      </c>
      <c r="AC123" s="160" t="e">
        <f t="shared" si="635"/>
        <v>#DIV/0!</v>
      </c>
      <c r="AD123" s="164" t="b">
        <f t="shared" si="636"/>
        <v>0</v>
      </c>
      <c r="AE123" s="164" t="b">
        <f t="shared" si="637"/>
        <v>0</v>
      </c>
      <c r="AF123" s="255" t="e">
        <f t="shared" si="638"/>
        <v>#DIV/0!</v>
      </c>
      <c r="AH123" s="465" t="str">
        <f t="shared" si="639"/>
        <v>HR-KPI C2</v>
      </c>
      <c r="AI123" s="138" t="str">
        <f t="shared" si="640"/>
        <v>KPI C2</v>
      </c>
      <c r="AJ123" s="146" t="str">
        <f t="shared" si="640"/>
        <v>Cost</v>
      </c>
      <c r="AK123" s="146" t="str">
        <f t="shared" si="602"/>
        <v>Job Evaluation Progress actions against project plan</v>
      </c>
      <c r="AL123" s="147" t="str">
        <f t="shared" si="602"/>
        <v>Percentage</v>
      </c>
      <c r="AM123" s="200" t="str">
        <f>IF(AM$7&gt;$D$3,"",_xlfn.XLOOKUP(AM$8,'HR mthly'!$I$6:$T$6,'HR mthly'!$I$36:$T$36))</f>
        <v>G</v>
      </c>
      <c r="AN123" s="200" t="str">
        <f>IF(AN$7&gt;$D$3,"",_xlfn.XLOOKUP(AN$8,'HR mthly'!$I$6:$T$6,'HR mthly'!$I$36:$T$36))</f>
        <v>G</v>
      </c>
      <c r="AO123" s="200" t="str">
        <f>IF(AO$7&gt;$D$3,"",_xlfn.XLOOKUP(AO$8,'HR mthly'!$I$6:$T$6,'HR mthly'!$I$36:$T$36))</f>
        <v>G</v>
      </c>
      <c r="AP123" s="200" t="str">
        <f>IF(AP$7&gt;$D$3,"",_xlfn.XLOOKUP(AP$8,'HR mthly'!$I$6:$T$6,'HR mthly'!$I$36:$T$36))</f>
        <v>G</v>
      </c>
      <c r="AQ123" s="200" t="str">
        <f>IF(AQ$7&gt;$D$3,"",_xlfn.XLOOKUP(AQ$8,'HR mthly'!$I$6:$T$6,'HR mthly'!$I$36:$T$36))</f>
        <v>G</v>
      </c>
      <c r="AR123" s="200" t="str">
        <f>IF(AR$7&gt;$D$3,"",_xlfn.XLOOKUP(AR$8,'HR mthly'!$I$6:$T$6,'HR mthly'!$I$36:$T$36))</f>
        <v>G</v>
      </c>
      <c r="AS123" s="200" t="str">
        <f>IF(AS$7&gt;$D$3,"",_xlfn.XLOOKUP(AS$8,'HR mthly'!$I$6:$T$6,'HR mthly'!$I$36:$T$36))</f>
        <v>G</v>
      </c>
      <c r="AT123" s="200" t="str">
        <f>IF(AT$7&gt;$D$3,"",_xlfn.XLOOKUP(AT$8,'HR mthly'!$I$6:$T$6,'HR mthly'!$I$36:$T$36))</f>
        <v>G</v>
      </c>
      <c r="AU123" s="200" t="str">
        <f>IF(AU$7&gt;$D$3,"",_xlfn.XLOOKUP(AU$8,'HR mthly'!$I$6:$T$6,'HR mthly'!$I$36:$T$36))</f>
        <v>G</v>
      </c>
      <c r="AV123" s="200" t="str">
        <f>IF(AV$7&gt;$D$3,"",_xlfn.XLOOKUP(AV$8,'HR mthly'!$I$6:$T$6,'HR mthly'!$I$36:$T$36))</f>
        <v>G</v>
      </c>
      <c r="AW123" s="200" t="str">
        <f>IF(AW$7&gt;$D$3,"",_xlfn.XLOOKUP(AW$8,'HR mthly'!$I$6:$T$6,'HR mthly'!$I$36:$T$36))</f>
        <v>G</v>
      </c>
      <c r="AX123" s="200" t="str">
        <f>IF(AX$7&gt;$D$3,"",_xlfn.XLOOKUP(AX$8,'HR mthly'!$I$6:$T$6,'HR mthly'!$I$36:$T$36))</f>
        <v>G</v>
      </c>
      <c r="AY123" s="200" t="str">
        <f>IF(AY$7&gt;$D$3,"",_xlfn.XLOOKUP(AY$8,'HR mthly'!$I$6:$T$6,'HR mthly'!$I$36:$T$36))</f>
        <v>G</v>
      </c>
      <c r="AZ123" s="200" t="str">
        <f>IF(AZ$7&gt;$D$3,"",_xlfn.XLOOKUP(AZ$8,'HR mthly'!$I$6:$T$6,'HR mthly'!$I$36:$T$36))</f>
        <v>G</v>
      </c>
      <c r="BA123" s="200" t="str">
        <f>IF(BA$7&gt;$D$3,"",_xlfn.XLOOKUP(BA$8,'HR mthly'!$I$6:$T$6,'HR mthly'!$I$36:$T$36))</f>
        <v>G</v>
      </c>
      <c r="BB123" s="200" t="str">
        <f>IF(BB$7&gt;$D$3,"",_xlfn.XLOOKUP(BB$8,'HR mthly'!$I$6:$T$6,'HR mthly'!$I$36:$T$36))</f>
        <v>G</v>
      </c>
      <c r="BC123" s="200" t="str">
        <f>IF(BC$7&gt;$D$3,"",_xlfn.XLOOKUP(BC$8,'HR mthly'!$I$6:$T$6,'HR mthly'!$I$36:$T$36))</f>
        <v>G</v>
      </c>
      <c r="BD123" s="200" t="str">
        <f>IF(BD$7&gt;$D$3,"",_xlfn.XLOOKUP(BD$8,'HR mthly'!$I$6:$T$6,'HR mthly'!$I$36:$T$36))</f>
        <v>G</v>
      </c>
      <c r="BE123" s="200" t="str">
        <f>IF(BE$7&gt;$D$3,"",_xlfn.XLOOKUP(BE$8,'HR mthly'!$I$6:$T$6,'HR mthly'!$I$36:$T$36))</f>
        <v>G</v>
      </c>
      <c r="BF123" s="200" t="str">
        <f>IF(BF$7&gt;$D$3,"",_xlfn.XLOOKUP(BF$8,'HR mthly'!$I$6:$T$6,'HR mthly'!$I$36:$T$36))</f>
        <v>G</v>
      </c>
      <c r="BG123" s="200" t="str">
        <f>IF(BG$7&gt;$D$3,"",_xlfn.XLOOKUP(BG$8,'HR mthly'!$I$6:$T$6,'HR mthly'!$I$36:$T$36))</f>
        <v>G</v>
      </c>
      <c r="BH123" s="200" t="str">
        <f>IF(BH$7&gt;$D$3,"",_xlfn.XLOOKUP(BH$8,'HR mthly'!$I$6:$T$6,'HR mthly'!$I$36:$T$36))</f>
        <v>G</v>
      </c>
      <c r="BI123" s="200" t="str">
        <f>IF(BI$7&gt;$D$3,"",_xlfn.XLOOKUP(BI$8,'HR mthly'!$I$6:$T$6,'HR mthly'!$I$36:$T$36))</f>
        <v>R</v>
      </c>
      <c r="BJ123" s="200" t="str">
        <f>IF(BJ$7&gt;$D$3,"",_xlfn.XLOOKUP(BJ$8,'HR mthly'!$I$6:$T$6,'HR mthly'!$I$36:$T$36))</f>
        <v>R</v>
      </c>
      <c r="BK123" s="200" t="str">
        <f>IF(BK$7&gt;$D$3,"",_xlfn.XLOOKUP(BK$8,'HR mthly'!$I$6:$T$6,'HR mthly'!$I$36:$T$36))</f>
        <v>R</v>
      </c>
      <c r="BL123" s="200" t="str">
        <f>IF(BL$7&gt;$D$3,"",_xlfn.XLOOKUP(BL$8,'HR mthly'!$I$6:$T$6,'HR mthly'!$I$36:$T$36))</f>
        <v>R</v>
      </c>
      <c r="BM123" s="200" t="str">
        <f>IF(BM$7&gt;$D$3,"",_xlfn.XLOOKUP(BM$8,'HR mthly'!$I$6:$T$6,'HR mthly'!$I$36:$T$36))</f>
        <v>R</v>
      </c>
      <c r="BN123" s="200" t="str">
        <f>IF(BN$7&gt;$D$3,"",_xlfn.XLOOKUP(BN$8,'HR mthly'!$I$6:$T$6,'HR mthly'!$I$36:$T$36))</f>
        <v>R</v>
      </c>
      <c r="BO123" s="200" t="str">
        <f>IF(BO$7&gt;$D$3,"",_xlfn.XLOOKUP(BO$8,'HR mthly'!$I$6:$T$6,'HR mthly'!$I$36:$T$36))</f>
        <v>R</v>
      </c>
      <c r="BP123" s="200" t="str">
        <f>IF(BP$7&gt;$D$3,"",_xlfn.XLOOKUP(BP$8,'HR mthly'!$I$6:$T$6,'HR mthly'!$I$36:$T$36))</f>
        <v>R</v>
      </c>
      <c r="BQ123" s="200" t="str">
        <f>IF(BQ$7&gt;$D$3,"",_xlfn.XLOOKUP(BQ$8,'HR mthly'!$I$6:$T$6,'HR mthly'!$I$36:$T$36))</f>
        <v>R</v>
      </c>
      <c r="BR123" s="200" t="str">
        <f>IF(BR$7&gt;$D$3,"",_xlfn.XLOOKUP(BR$8,'HR mthly'!$I$6:$T$6,'HR mthly'!$I$36:$T$36))</f>
        <v>R</v>
      </c>
      <c r="BS123" s="200" t="str">
        <f>IF(BS$7&gt;$D$3,"",_xlfn.XLOOKUP(BS$8,'HR mthly'!$I$6:$T$6,'HR mthly'!$I$36:$T$36))</f>
        <v>R</v>
      </c>
      <c r="BT123" s="200" t="str">
        <f>IF(BT$7&gt;$D$3,"",_xlfn.XLOOKUP(BT$8,'HR mthly'!$I$6:$T$6,'HR mthly'!$I$36:$T$36))</f>
        <v>R</v>
      </c>
      <c r="BU123" s="200" t="str">
        <f>IF(BU$7&gt;$D$3,"",_xlfn.XLOOKUP(BU$8,'HR mthly'!$I$6:$T$6,'HR mthly'!$I$36:$T$36))</f>
        <v>R</v>
      </c>
      <c r="BV123" s="200" t="str">
        <f>IF(BV$7&gt;$D$3,"",_xlfn.XLOOKUP(BV$8,'HR mthly'!$I$6:$T$6,'HR mthly'!$I$36:$T$36))</f>
        <v>R</v>
      </c>
      <c r="BW123" s="200" t="str">
        <f>IF(BW$7&gt;$D$3,"",_xlfn.XLOOKUP(BW$8,'HR mthly'!$I$6:$T$6,'HR mthly'!$I$36:$T$36))</f>
        <v>R</v>
      </c>
      <c r="BX123" s="200" t="str">
        <f>IF(BX$7&gt;$D$3,"",_xlfn.XLOOKUP(BX$8,'HR mthly'!$I$6:$T$6,'HR mthly'!$I$36:$T$36))</f>
        <v>R</v>
      </c>
      <c r="BY123" s="200" t="str">
        <f>IF(BY$7&gt;$D$3,"",_xlfn.XLOOKUP(BY$8,'HR mthly'!$I$6:$T$6,'HR mthly'!$I$36:$T$36))</f>
        <v>R</v>
      </c>
      <c r="BZ123" s="200" t="str">
        <f>IF(BZ$7&gt;$D$3,"",_xlfn.XLOOKUP(BZ$8,'HR mthly'!$I$6:$T$6,'HR mthly'!$I$36:$T$36))</f>
        <v>A</v>
      </c>
      <c r="CA123" s="200" t="str">
        <f>IF(CA$7&gt;$D$3,"",_xlfn.XLOOKUP(CA$8,'HR mthly'!$I$6:$T$6,'HR mthly'!$I$36:$T$36))</f>
        <v>A</v>
      </c>
      <c r="CB123" s="200" t="str">
        <f>IF(CB$7&gt;$D$3,"",_xlfn.XLOOKUP(CB$8,'HR mthly'!$I$6:$T$6,'HR mthly'!$I$36:$T$36))</f>
        <v>A</v>
      </c>
      <c r="CC123" s="200" t="str">
        <f>IF(CC$7&gt;$D$3,"",_xlfn.XLOOKUP(CC$8,'HR mthly'!$I$6:$T$6,'HR mthly'!$I$36:$T$36))</f>
        <v/>
      </c>
      <c r="CD123" s="200" t="str">
        <f>IF(CD$7&gt;$D$3,"",_xlfn.XLOOKUP(CD$8,'HR mthly'!$I$6:$T$6,'HR mthly'!$I$36:$T$36))</f>
        <v/>
      </c>
      <c r="CE123" s="200" t="str">
        <f>IF(CE$7&gt;$D$3,"",_xlfn.XLOOKUP(CE$8,'HR mthly'!$I$6:$T$6,'HR mthly'!$I$36:$T$36))</f>
        <v/>
      </c>
      <c r="CF123" s="200" t="str">
        <f>IF(CF$7&gt;$D$3,"",_xlfn.XLOOKUP(CF$8,'HR mthly'!$I$6:$T$6,'HR mthly'!$I$36:$T$36))</f>
        <v/>
      </c>
      <c r="CG123" s="200" t="str">
        <f>IF(CG$7&gt;$D$3,"",_xlfn.XLOOKUP(CG$8,'HR mthly'!$I$6:$T$6,'HR mthly'!$I$36:$T$36))</f>
        <v/>
      </c>
      <c r="CH123" s="200" t="str">
        <f>IF(CH$7&gt;$D$3,"",_xlfn.XLOOKUP(CH$8,'HR mthly'!$I$6:$T$6,'HR mthly'!$I$36:$T$36))</f>
        <v/>
      </c>
      <c r="CI123" s="200" t="str">
        <f>IF(CI$7&gt;$D$3,"",_xlfn.XLOOKUP(CI$8,'HR mthly'!$I$6:$T$6,'HR mthly'!$I$36:$T$36))</f>
        <v/>
      </c>
      <c r="CJ123" s="200" t="str">
        <f>IF(CJ$7&gt;$D$3,"",_xlfn.XLOOKUP(CJ$8,'HR mthly'!$I$6:$T$6,'HR mthly'!$I$36:$T$36))</f>
        <v/>
      </c>
      <c r="CK123" s="200" t="str">
        <f>IF(CK$7&gt;$D$3,"",_xlfn.XLOOKUP(CK$8,'HR mthly'!$I$6:$T$6,'HR mthly'!$I$36:$T$36))</f>
        <v/>
      </c>
      <c r="CL123" s="200" t="str">
        <f>IF(CL$7&gt;$D$3,"",_xlfn.XLOOKUP(CL$8,'HR mthly'!$I$6:$T$6,'HR mthly'!$I$36:$T$36))</f>
        <v/>
      </c>
      <c r="CM123" s="200" t="str">
        <f>IF(CM$7&gt;$D$3,"",_xlfn.XLOOKUP(CM$8,'HR mthly'!$I$6:$T$6,'HR mthly'!$I$36:$T$36))</f>
        <v/>
      </c>
      <c r="CO123" s="465" t="str">
        <f t="shared" si="641"/>
        <v>HR-KPI C2</v>
      </c>
      <c r="CP123" s="138" t="str">
        <f t="shared" si="642"/>
        <v>KPI C2</v>
      </c>
      <c r="CQ123" s="146" t="str">
        <f t="shared" si="642"/>
        <v>Cost</v>
      </c>
      <c r="CR123" s="146" t="str">
        <f t="shared" si="605"/>
        <v>Job Evaluation Progress actions against project plan</v>
      </c>
      <c r="CS123" s="147" t="str">
        <f t="shared" si="605"/>
        <v>Percentage</v>
      </c>
      <c r="CT123" s="208" t="s">
        <v>246</v>
      </c>
      <c r="CU123" s="424" t="str">
        <f>IF(CU$7&gt;$D$3,"",_xlfn.XLOOKUP(CU$7,IT!$M$6:$BM$6,IT!$M$16:$BM$16))</f>
        <v>Blank</v>
      </c>
      <c r="CV123" s="324" t="str">
        <f>IFERROR(IF(CV$7&gt;$D$3,"",IF(AN123="OD","OD",IF(AN123="Missed","Missed",IF(AN123="TBC","TBC",IF(AN123="Undefined","Undefined",IF(_xlfn.XLOOKUP(CV$8,'HR mthly'!$I$6:$T$6,'HR mthly'!$I$34:$T$34)=0,"Blank",_xlfn.XLOOKUP(CV$8,'HR mthly'!$I$6:$T$6,'HR mthly'!$I$35:$T$35)/_xlfn.XLOOKUP(CV$8,'HR mthly'!$I$6:$T$6,'HR mthly'!$I$34:$T$34))))))),"")</f>
        <v>Blank</v>
      </c>
      <c r="CW123" s="324" t="str">
        <f>IFERROR(IF(CW$7&gt;$D$3,"",IF(AO123="OD","OD",IF(AO123="Missed","Missed",IF(AO123="TBC","TBC",IF(AO123="Undefined","Undefined",IF(_xlfn.XLOOKUP(CW$8,'HR mthly'!$I$6:$T$6,'HR mthly'!$I$34:$T$34)=0,"Blank",_xlfn.XLOOKUP(CW$8,'HR mthly'!$I$6:$T$6,'HR mthly'!$I$35:$T$35)/_xlfn.XLOOKUP(CW$8,'HR mthly'!$I$6:$T$6,'HR mthly'!$I$34:$T$34))))))),"")</f>
        <v>Blank</v>
      </c>
      <c r="CX123" s="324" t="str">
        <f>IFERROR(IF(CX$7&gt;$D$3,"",IF(AP123="OD","OD",IF(AP123="Missed","Missed",IF(AP123="TBC","TBC",IF(AP123="Undefined","Undefined",IF(_xlfn.XLOOKUP(CX$8,'HR mthly'!$I$6:$T$6,'HR mthly'!$I$34:$T$34)=0,"Blank",_xlfn.XLOOKUP(CX$8,'HR mthly'!$I$6:$T$6,'HR mthly'!$I$35:$T$35)/_xlfn.XLOOKUP(CX$8,'HR mthly'!$I$6:$T$6,'HR mthly'!$I$34:$T$34))))))),"")</f>
        <v>Blank</v>
      </c>
      <c r="CY123" s="324" t="str">
        <f>IFERROR(IF(CY$7&gt;$D$3,"",IF(AQ123="OD","OD",IF(AQ123="Missed","Missed",IF(AQ123="TBC","TBC",IF(AQ123="Undefined","Undefined",IF(_xlfn.XLOOKUP(CY$8,'HR mthly'!$I$6:$T$6,'HR mthly'!$I$34:$T$34)=0,"Blank",_xlfn.XLOOKUP(CY$8,'HR mthly'!$I$6:$T$6,'HR mthly'!$I$35:$T$35)/_xlfn.XLOOKUP(CY$8,'HR mthly'!$I$6:$T$6,'HR mthly'!$I$34:$T$34))))))),"")</f>
        <v>Blank</v>
      </c>
      <c r="CZ123" s="324">
        <f>IFERROR(IF(CZ$7&gt;$D$3,"",IF(AR123="OD","OD",IF(AR123="Missed","Missed",IF(AR123="TBC","TBC",IF(AR123="Undefined","Undefined",IF(_xlfn.XLOOKUP(CZ$8,'HR mthly'!$I$6:$T$6,'HR mthly'!$I$34:$T$34)=0,"Blank",_xlfn.XLOOKUP(CZ$8,'HR mthly'!$I$6:$T$6,'HR mthly'!$I$35:$T$35)/_xlfn.XLOOKUP(CZ$8,'HR mthly'!$I$6:$T$6,'HR mthly'!$I$34:$T$34))))))),"")</f>
        <v>1.2857142857142858</v>
      </c>
      <c r="DA123" s="324">
        <f>IFERROR(IF(DA$7&gt;$D$3,"",IF(AS123="OD","OD",IF(AS123="Missed","Missed",IF(AS123="TBC","TBC",IF(AS123="Undefined","Undefined",IF(_xlfn.XLOOKUP(DA$8,'HR mthly'!$I$6:$T$6,'HR mthly'!$I$34:$T$34)=0,"Blank",_xlfn.XLOOKUP(DA$8,'HR mthly'!$I$6:$T$6,'HR mthly'!$I$35:$T$35)/_xlfn.XLOOKUP(DA$8,'HR mthly'!$I$6:$T$6,'HR mthly'!$I$34:$T$34))))))),"")</f>
        <v>1.2857142857142858</v>
      </c>
      <c r="DB123" s="324">
        <f>IFERROR(IF(DB$7&gt;$D$3,"",IF(AT123="OD","OD",IF(AT123="Missed","Missed",IF(AT123="TBC","TBC",IF(AT123="Undefined","Undefined",IF(_xlfn.XLOOKUP(DB$8,'HR mthly'!$I$6:$T$6,'HR mthly'!$I$34:$T$34)=0,"Blank",_xlfn.XLOOKUP(DB$8,'HR mthly'!$I$6:$T$6,'HR mthly'!$I$35:$T$35)/_xlfn.XLOOKUP(DB$8,'HR mthly'!$I$6:$T$6,'HR mthly'!$I$34:$T$34))))))),"")</f>
        <v>1.2857142857142858</v>
      </c>
      <c r="DC123" s="324">
        <f>IFERROR(IF(DC$7&gt;$D$3,"",IF(AU123="OD","OD",IF(AU123="Missed","Missed",IF(AU123="TBC","TBC",IF(AU123="Undefined","Undefined",IF(_xlfn.XLOOKUP(DC$8,'HR mthly'!$I$6:$T$6,'HR mthly'!$I$34:$T$34)=0,"Blank",_xlfn.XLOOKUP(DC$8,'HR mthly'!$I$6:$T$6,'HR mthly'!$I$35:$T$35)/_xlfn.XLOOKUP(DC$8,'HR mthly'!$I$6:$T$6,'HR mthly'!$I$34:$T$34))))))),"")</f>
        <v>1.2857142857142858</v>
      </c>
      <c r="DD123" s="324">
        <f>IFERROR(IF(DD$7&gt;$D$3,"",IF(AV123="OD","OD",IF(AV123="Missed","Missed",IF(AV123="TBC","TBC",IF(AV123="Undefined","Undefined",IF(_xlfn.XLOOKUP(DD$8,'HR mthly'!$I$6:$T$6,'HR mthly'!$I$34:$T$34)=0,"Blank",_xlfn.XLOOKUP(DD$8,'HR mthly'!$I$6:$T$6,'HR mthly'!$I$35:$T$35)/_xlfn.XLOOKUP(DD$8,'HR mthly'!$I$6:$T$6,'HR mthly'!$I$34:$T$34))))))),"")</f>
        <v>1.1874999999999998</v>
      </c>
      <c r="DE123" s="324">
        <f>IFERROR(IF(DE$7&gt;$D$3,"",IF(AW123="OD","OD",IF(AW123="Missed","Missed",IF(AW123="TBC","TBC",IF(AW123="Undefined","Undefined",IF(_xlfn.XLOOKUP(DE$8,'HR mthly'!$I$6:$T$6,'HR mthly'!$I$34:$T$34)=0,"Blank",_xlfn.XLOOKUP(DE$8,'HR mthly'!$I$6:$T$6,'HR mthly'!$I$35:$T$35)/_xlfn.XLOOKUP(DE$8,'HR mthly'!$I$6:$T$6,'HR mthly'!$I$34:$T$34))))))),"")</f>
        <v>1.1874999999999998</v>
      </c>
      <c r="DF123" s="324">
        <f>IFERROR(IF(DF$7&gt;$D$3,"",IF(AX123="OD","OD",IF(AX123="Missed","Missed",IF(AX123="TBC","TBC",IF(AX123="Undefined","Undefined",IF(_xlfn.XLOOKUP(DF$8,'HR mthly'!$I$6:$T$6,'HR mthly'!$I$34:$T$34)=0,"Blank",_xlfn.XLOOKUP(DF$8,'HR mthly'!$I$6:$T$6,'HR mthly'!$I$35:$T$35)/_xlfn.XLOOKUP(DF$8,'HR mthly'!$I$6:$T$6,'HR mthly'!$I$34:$T$34))))))),"")</f>
        <v>1.1874999999999998</v>
      </c>
      <c r="DG123" s="324">
        <f>IFERROR(IF(DG$7&gt;$D$3,"",IF(AY123="OD","OD",IF(AY123="Missed","Missed",IF(AY123="TBC","TBC",IF(AY123="Undefined","Undefined",IF(_xlfn.XLOOKUP(DG$8,'HR mthly'!$I$6:$T$6,'HR mthly'!$I$34:$T$34)=0,"Blank",_xlfn.XLOOKUP(DG$8,'HR mthly'!$I$6:$T$6,'HR mthly'!$I$35:$T$35)/_xlfn.XLOOKUP(DG$8,'HR mthly'!$I$6:$T$6,'HR mthly'!$I$34:$T$34))))))),"")</f>
        <v>1.1874999999999998</v>
      </c>
      <c r="DH123" s="324">
        <f>IFERROR(IF(DH$7&gt;$D$3,"",IF(AZ123="OD","OD",IF(AZ123="Missed","Missed",IF(AZ123="TBC","TBC",IF(AZ123="Undefined","Undefined",IF(_xlfn.XLOOKUP(DH$8,'HR mthly'!$I$6:$T$6,'HR mthly'!$I$34:$T$34)=0,"Blank",_xlfn.XLOOKUP(DH$8,'HR mthly'!$I$6:$T$6,'HR mthly'!$I$35:$T$35)/_xlfn.XLOOKUP(DH$8,'HR mthly'!$I$6:$T$6,'HR mthly'!$I$34:$T$34))))))),"")</f>
        <v>1.1874999999999998</v>
      </c>
      <c r="DI123" s="324">
        <f>IFERROR(IF(DI$7&gt;$D$3,"",IF(BA123="OD","OD",IF(BA123="Missed","Missed",IF(BA123="TBC","TBC",IF(BA123="Undefined","Undefined",IF(_xlfn.XLOOKUP(DI$8,'HR mthly'!$I$6:$T$6,'HR mthly'!$I$34:$T$34)=0,"Blank",_xlfn.XLOOKUP(DI$8,'HR mthly'!$I$6:$T$6,'HR mthly'!$I$35:$T$35)/_xlfn.XLOOKUP(DI$8,'HR mthly'!$I$6:$T$6,'HR mthly'!$I$34:$T$34))))))),"")</f>
        <v>1.1874999999999998</v>
      </c>
      <c r="DJ123" s="324">
        <f>IFERROR(IF(DJ$7&gt;$D$3,"",IF(BB123="OD","OD",IF(BB123="Missed","Missed",IF(BB123="TBC","TBC",IF(BB123="Undefined","Undefined",IF(_xlfn.XLOOKUP(DJ$8,'HR mthly'!$I$6:$T$6,'HR mthly'!$I$34:$T$34)=0,"Blank",_xlfn.XLOOKUP(DJ$8,'HR mthly'!$I$6:$T$6,'HR mthly'!$I$35:$T$35)/_xlfn.XLOOKUP(DJ$8,'HR mthly'!$I$6:$T$6,'HR mthly'!$I$34:$T$34))))))),"")</f>
        <v>1.1874999999999998</v>
      </c>
      <c r="DK123" s="324">
        <f>IFERROR(IF(DK$7&gt;$D$3,"",IF(BC123="OD","OD",IF(BC123="Missed","Missed",IF(BC123="TBC","TBC",IF(BC123="Undefined","Undefined",IF(_xlfn.XLOOKUP(DK$8,'HR mthly'!$I$6:$T$6,'HR mthly'!$I$34:$T$34)=0,"Blank",_xlfn.XLOOKUP(DK$8,'HR mthly'!$I$6:$T$6,'HR mthly'!$I$35:$T$35)/_xlfn.XLOOKUP(DK$8,'HR mthly'!$I$6:$T$6,'HR mthly'!$I$34:$T$34))))))),"")</f>
        <v>1.1874999999999998</v>
      </c>
      <c r="DL123" s="324">
        <f>IFERROR(IF(DL$7&gt;$D$3,"",IF(BD123="OD","OD",IF(BD123="Missed","Missed",IF(BD123="TBC","TBC",IF(BD123="Undefined","Undefined",IF(_xlfn.XLOOKUP(DL$8,'HR mthly'!$I$6:$T$6,'HR mthly'!$I$34:$T$34)=0,"Blank",_xlfn.XLOOKUP(DL$8,'HR mthly'!$I$6:$T$6,'HR mthly'!$I$35:$T$35)/_xlfn.XLOOKUP(DL$8,'HR mthly'!$I$6:$T$6,'HR mthly'!$I$34:$T$34))))))),"")</f>
        <v>1.1111111111111112</v>
      </c>
      <c r="DM123" s="324">
        <f>IFERROR(IF(DM$7&gt;$D$3,"",IF(BE123="OD","OD",IF(BE123="Missed","Missed",IF(BE123="TBC","TBC",IF(BE123="Undefined","Undefined",IF(_xlfn.XLOOKUP(DM$8,'HR mthly'!$I$6:$T$6,'HR mthly'!$I$34:$T$34)=0,"Blank",_xlfn.XLOOKUP(DM$8,'HR mthly'!$I$6:$T$6,'HR mthly'!$I$35:$T$35)/_xlfn.XLOOKUP(DM$8,'HR mthly'!$I$6:$T$6,'HR mthly'!$I$34:$T$34))))))),"")</f>
        <v>1.1111111111111112</v>
      </c>
      <c r="DN123" s="324">
        <f>IFERROR(IF(DN$7&gt;$D$3,"",IF(BF123="OD","OD",IF(BF123="Missed","Missed",IF(BF123="TBC","TBC",IF(BF123="Undefined","Undefined",IF(_xlfn.XLOOKUP(DN$8,'HR mthly'!$I$6:$T$6,'HR mthly'!$I$34:$T$34)=0,"Blank",_xlfn.XLOOKUP(DN$8,'HR mthly'!$I$6:$T$6,'HR mthly'!$I$35:$T$35)/_xlfn.XLOOKUP(DN$8,'HR mthly'!$I$6:$T$6,'HR mthly'!$I$34:$T$34))))))),"")</f>
        <v>1.1111111111111112</v>
      </c>
      <c r="DO123" s="324">
        <f>IFERROR(IF(DO$7&gt;$D$3,"",IF(BG123="OD","OD",IF(BG123="Missed","Missed",IF(BG123="TBC","TBC",IF(BG123="Undefined","Undefined",IF(_xlfn.XLOOKUP(DO$8,'HR mthly'!$I$6:$T$6,'HR mthly'!$I$34:$T$34)=0,"Blank",_xlfn.XLOOKUP(DO$8,'HR mthly'!$I$6:$T$6,'HR mthly'!$I$35:$T$35)/_xlfn.XLOOKUP(DO$8,'HR mthly'!$I$6:$T$6,'HR mthly'!$I$34:$T$34))))))),"")</f>
        <v>1.1111111111111112</v>
      </c>
      <c r="DP123" s="324">
        <f>IFERROR(IF(DP$7&gt;$D$3,"",IF(BH123="OD","OD",IF(BH123="Missed","Missed",IF(BH123="TBC","TBC",IF(BH123="Undefined","Undefined",IF(_xlfn.XLOOKUP(DP$8,'HR mthly'!$I$6:$T$6,'HR mthly'!$I$34:$T$34)=0,"Blank",_xlfn.XLOOKUP(DP$8,'HR mthly'!$I$6:$T$6,'HR mthly'!$I$35:$T$35)/_xlfn.XLOOKUP(DP$8,'HR mthly'!$I$6:$T$6,'HR mthly'!$I$34:$T$34))))))),"")</f>
        <v>1.1111111111111112</v>
      </c>
      <c r="DQ123" s="324">
        <f>IFERROR(IF(DQ$7&gt;$D$3,"",IF(BI123="OD","OD",IF(BI123="Missed","Missed",IF(BI123="TBC","TBC",IF(BI123="Undefined","Undefined",IF(_xlfn.XLOOKUP(DQ$8,'HR mthly'!$I$6:$T$6,'HR mthly'!$I$34:$T$34)=0,"Blank",_xlfn.XLOOKUP(DQ$8,'HR mthly'!$I$6:$T$6,'HR mthly'!$I$35:$T$35)/_xlfn.XLOOKUP(DQ$8,'HR mthly'!$I$6:$T$6,'HR mthly'!$I$34:$T$34))))))),"")</f>
        <v>0.9</v>
      </c>
      <c r="DR123" s="324">
        <f>IFERROR(IF(DR$7&gt;$D$3,"",IF(BJ123="OD","OD",IF(BJ123="Missed","Missed",IF(BJ123="TBC","TBC",IF(BJ123="Undefined","Undefined",IF(_xlfn.XLOOKUP(DR$8,'HR mthly'!$I$6:$T$6,'HR mthly'!$I$34:$T$34)=0,"Blank",_xlfn.XLOOKUP(DR$8,'HR mthly'!$I$6:$T$6,'HR mthly'!$I$35:$T$35)/_xlfn.XLOOKUP(DR$8,'HR mthly'!$I$6:$T$6,'HR mthly'!$I$34:$T$34))))))),"")</f>
        <v>0.9</v>
      </c>
      <c r="DS123" s="324">
        <f>IFERROR(IF(DS$7&gt;$D$3,"",IF(BK123="OD","OD",IF(BK123="Missed","Missed",IF(BK123="TBC","TBC",IF(BK123="Undefined","Undefined",IF(_xlfn.XLOOKUP(DS$8,'HR mthly'!$I$6:$T$6,'HR mthly'!$I$34:$T$34)=0,"Blank",_xlfn.XLOOKUP(DS$8,'HR mthly'!$I$6:$T$6,'HR mthly'!$I$35:$T$35)/_xlfn.XLOOKUP(DS$8,'HR mthly'!$I$6:$T$6,'HR mthly'!$I$34:$T$34))))))),"")</f>
        <v>0.9</v>
      </c>
      <c r="DT123" s="324">
        <f>IFERROR(IF(DT$7&gt;$D$3,"",IF(BL123="OD","OD",IF(BL123="Missed","Missed",IF(BL123="TBC","TBC",IF(BL123="Undefined","Undefined",IF(_xlfn.XLOOKUP(DT$8,'HR mthly'!$I$6:$T$6,'HR mthly'!$I$34:$T$34)=0,"Blank",_xlfn.XLOOKUP(DT$8,'HR mthly'!$I$6:$T$6,'HR mthly'!$I$35:$T$35)/_xlfn.XLOOKUP(DT$8,'HR mthly'!$I$6:$T$6,'HR mthly'!$I$34:$T$34))))))),"")</f>
        <v>0.9</v>
      </c>
      <c r="DU123" s="324">
        <f>IFERROR(IF(DU$7&gt;$D$3,"",IF(BM123="OD","OD",IF(BM123="Missed","Missed",IF(BM123="TBC","TBC",IF(BM123="Undefined","Undefined",IF(_xlfn.XLOOKUP(DU$8,'HR mthly'!$I$6:$T$6,'HR mthly'!$I$34:$T$34)=0,"Blank",_xlfn.XLOOKUP(DU$8,'HR mthly'!$I$6:$T$6,'HR mthly'!$I$35:$T$35)/_xlfn.XLOOKUP(DU$8,'HR mthly'!$I$6:$T$6,'HR mthly'!$I$34:$T$34))))))),"")</f>
        <v>0.9</v>
      </c>
      <c r="DV123" s="324">
        <f>IFERROR(IF(DV$7&gt;$D$3,"",IF(BN123="OD","OD",IF(BN123="Missed","Missed",IF(BN123="TBC","TBC",IF(BN123="Undefined","Undefined",IF(_xlfn.XLOOKUP(DV$8,'HR mthly'!$I$6:$T$6,'HR mthly'!$I$34:$T$34)=0,"Blank",_xlfn.XLOOKUP(DV$8,'HR mthly'!$I$6:$T$6,'HR mthly'!$I$35:$T$35)/_xlfn.XLOOKUP(DV$8,'HR mthly'!$I$6:$T$6,'HR mthly'!$I$34:$T$34))))))),"")</f>
        <v>0.9</v>
      </c>
      <c r="DW123" s="324">
        <f>IFERROR(IF(DW$7&gt;$D$3,"",IF(BO123="OD","OD",IF(BO123="Missed","Missed",IF(BO123="TBC","TBC",IF(BO123="Undefined","Undefined",IF(_xlfn.XLOOKUP(DW$8,'HR mthly'!$I$6:$T$6,'HR mthly'!$I$34:$T$34)=0,"Blank",_xlfn.XLOOKUP(DW$8,'HR mthly'!$I$6:$T$6,'HR mthly'!$I$35:$T$35)/_xlfn.XLOOKUP(DW$8,'HR mthly'!$I$6:$T$6,'HR mthly'!$I$34:$T$34))))))),"")</f>
        <v>0.9</v>
      </c>
      <c r="DX123" s="324">
        <f>IFERROR(IF(DX$7&gt;$D$3,"",IF(BP123="OD","OD",IF(BP123="Missed","Missed",IF(BP123="TBC","TBC",IF(BP123="Undefined","Undefined",IF(_xlfn.XLOOKUP(DX$8,'HR mthly'!$I$6:$T$6,'HR mthly'!$I$34:$T$34)=0,"Blank",_xlfn.XLOOKUP(DX$8,'HR mthly'!$I$6:$T$6,'HR mthly'!$I$35:$T$35)/_xlfn.XLOOKUP(DX$8,'HR mthly'!$I$6:$T$6,'HR mthly'!$I$34:$T$34))))))),"")</f>
        <v>0.9</v>
      </c>
      <c r="DY123" s="324">
        <f>IFERROR(IF(DY$7&gt;$D$3,"",IF(BQ123="OD","OD",IF(BQ123="Missed","Missed",IF(BQ123="TBC","TBC",IF(BQ123="Undefined","Undefined",IF(_xlfn.XLOOKUP(DY$8,'HR mthly'!$I$6:$T$6,'HR mthly'!$I$34:$T$34)=0,"Blank",_xlfn.XLOOKUP(DY$8,'HR mthly'!$I$6:$T$6,'HR mthly'!$I$35:$T$35)/_xlfn.XLOOKUP(DY$8,'HR mthly'!$I$6:$T$6,'HR mthly'!$I$34:$T$34))))))),"")</f>
        <v>0.9</v>
      </c>
      <c r="DZ123" s="324">
        <f>IFERROR(IF(DZ$7&gt;$D$3,"",IF(BR123="OD","OD",IF(BR123="Missed","Missed",IF(BR123="TBC","TBC",IF(BR123="Undefined","Undefined",IF(_xlfn.XLOOKUP(DZ$8,'HR mthly'!$I$6:$T$6,'HR mthly'!$I$34:$T$34)=0,"Blank",_xlfn.XLOOKUP(DZ$8,'HR mthly'!$I$6:$T$6,'HR mthly'!$I$35:$T$35)/_xlfn.XLOOKUP(DZ$8,'HR mthly'!$I$6:$T$6,'HR mthly'!$I$34:$T$34))))))),"")</f>
        <v>0.9</v>
      </c>
      <c r="EA123" s="324">
        <f>IFERROR(IF(EA$7&gt;$D$3,"",IF(BS123="OD","OD",IF(BS123="Missed","Missed",IF(BS123="TBC","TBC",IF(BS123="Undefined","Undefined",IF(_xlfn.XLOOKUP(EA$8,'HR mthly'!$I$6:$T$6,'HR mthly'!$I$34:$T$34)=0,"Blank",_xlfn.XLOOKUP(EA$8,'HR mthly'!$I$6:$T$6,'HR mthly'!$I$35:$T$35)/_xlfn.XLOOKUP(EA$8,'HR mthly'!$I$6:$T$6,'HR mthly'!$I$34:$T$34))))))),"")</f>
        <v>0.9</v>
      </c>
      <c r="EB123" s="324">
        <f>IFERROR(IF(EB$7&gt;$D$3,"",IF(BT123="OD","OD",IF(BT123="Missed","Missed",IF(BT123="TBC","TBC",IF(BT123="Undefined","Undefined",IF(_xlfn.XLOOKUP(EB$8,'HR mthly'!$I$6:$T$6,'HR mthly'!$I$34:$T$34)=0,"Blank",_xlfn.XLOOKUP(EB$8,'HR mthly'!$I$6:$T$6,'HR mthly'!$I$35:$T$35)/_xlfn.XLOOKUP(EB$8,'HR mthly'!$I$6:$T$6,'HR mthly'!$I$34:$T$34))))))),"")</f>
        <v>0.9</v>
      </c>
      <c r="EC123" s="324">
        <f>IFERROR(IF(EC$7&gt;$D$3,"",IF(BU123="OD","OD",IF(BU123="Missed","Missed",IF(BU123="TBC","TBC",IF(BU123="Undefined","Undefined",IF(_xlfn.XLOOKUP(EC$8,'HR mthly'!$I$6:$T$6,'HR mthly'!$I$34:$T$34)=0,"Blank",_xlfn.XLOOKUP(EC$8,'HR mthly'!$I$6:$T$6,'HR mthly'!$I$35:$T$35)/_xlfn.XLOOKUP(EC$8,'HR mthly'!$I$6:$T$6,'HR mthly'!$I$34:$T$34))))))),"")</f>
        <v>0.9</v>
      </c>
      <c r="ED123" s="324">
        <f>IFERROR(IF(ED$7&gt;$D$3,"",IF(BV123="OD","OD",IF(BV123="Missed","Missed",IF(BV123="TBC","TBC",IF(BV123="Undefined","Undefined",IF(_xlfn.XLOOKUP(ED$8,'HR mthly'!$I$6:$T$6,'HR mthly'!$I$34:$T$34)=0,"Blank",_xlfn.XLOOKUP(ED$8,'HR mthly'!$I$6:$T$6,'HR mthly'!$I$35:$T$35)/_xlfn.XLOOKUP(ED$8,'HR mthly'!$I$6:$T$6,'HR mthly'!$I$34:$T$34))))))),"")</f>
        <v>0.9</v>
      </c>
      <c r="EE123" s="324">
        <f>IFERROR(IF(EE$7&gt;$D$3,"",IF(BW123="OD","OD",IF(BW123="Missed","Missed",IF(BW123="TBC","TBC",IF(BW123="Undefined","Undefined",IF(_xlfn.XLOOKUP(EE$8,'HR mthly'!$I$6:$T$6,'HR mthly'!$I$34:$T$34)=0,"Blank",_xlfn.XLOOKUP(EE$8,'HR mthly'!$I$6:$T$6,'HR mthly'!$I$35:$T$35)/_xlfn.XLOOKUP(EE$8,'HR mthly'!$I$6:$T$6,'HR mthly'!$I$34:$T$34))))))),"")</f>
        <v>0.9</v>
      </c>
      <c r="EF123" s="324">
        <f>IFERROR(IF(EF$7&gt;$D$3,"",IF(BX123="OD","OD",IF(BX123="Missed","Missed",IF(BX123="TBC","TBC",IF(BX123="Undefined","Undefined",IF(_xlfn.XLOOKUP(EF$8,'HR mthly'!$I$6:$T$6,'HR mthly'!$I$34:$T$34)=0,"Blank",_xlfn.XLOOKUP(EF$8,'HR mthly'!$I$6:$T$6,'HR mthly'!$I$35:$T$35)/_xlfn.XLOOKUP(EF$8,'HR mthly'!$I$6:$T$6,'HR mthly'!$I$34:$T$34))))))),"")</f>
        <v>0.9</v>
      </c>
      <c r="EG123" s="324">
        <f>IFERROR(IF(EG$7&gt;$D$3,"",IF(BY123="OD","OD",IF(BY123="Missed","Missed",IF(BY123="TBC","TBC",IF(BY123="Undefined","Undefined",IF(_xlfn.XLOOKUP(EG$8,'HR mthly'!$I$6:$T$6,'HR mthly'!$I$34:$T$34)=0,"Blank",_xlfn.XLOOKUP(EG$8,'HR mthly'!$I$6:$T$6,'HR mthly'!$I$35:$T$35)/_xlfn.XLOOKUP(EG$8,'HR mthly'!$I$6:$T$6,'HR mthly'!$I$34:$T$34))))))),"")</f>
        <v>0.9</v>
      </c>
      <c r="EH123" s="324">
        <f>IFERROR(IF(EH$7&gt;$D$3,"",IF(BZ123="OD","OD",IF(BZ123="Missed","Missed",IF(BZ123="TBC","TBC",IF(BZ123="Undefined","Undefined",IF(_xlfn.XLOOKUP(EH$8,'HR mthly'!$I$6:$T$6,'HR mthly'!$I$34:$T$34)=0,"Blank",_xlfn.XLOOKUP(EH$8,'HR mthly'!$I$6:$T$6,'HR mthly'!$I$35:$T$35)/_xlfn.XLOOKUP(EH$8,'HR mthly'!$I$6:$T$6,'HR mthly'!$I$34:$T$34))))))),"")</f>
        <v>0.95</v>
      </c>
      <c r="EI123" s="324">
        <f>IFERROR(IF(EI$7&gt;$D$3,"",IF(CA123="OD","OD",IF(CA123="Missed","Missed",IF(CA123="TBC","TBC",IF(CA123="Undefined","Undefined",IF(_xlfn.XLOOKUP(EI$8,'HR mthly'!$I$6:$T$6,'HR mthly'!$I$34:$T$34)=0,"Blank",_xlfn.XLOOKUP(EI$8,'HR mthly'!$I$6:$T$6,'HR mthly'!$I$35:$T$35)/_xlfn.XLOOKUP(EI$8,'HR mthly'!$I$6:$T$6,'HR mthly'!$I$34:$T$34))))))),"")</f>
        <v>0.95</v>
      </c>
      <c r="EJ123" s="324">
        <f>IFERROR(IF(EJ$7&gt;$D$3,"",IF(CB123="OD","OD",IF(CB123="Missed","Missed",IF(CB123="TBC","TBC",IF(CB123="Undefined","Undefined",IF(_xlfn.XLOOKUP(EJ$8,'HR mthly'!$I$6:$T$6,'HR mthly'!$I$34:$T$34)=0,"Blank",_xlfn.XLOOKUP(EJ$8,'HR mthly'!$I$6:$T$6,'HR mthly'!$I$35:$T$35)/_xlfn.XLOOKUP(EJ$8,'HR mthly'!$I$6:$T$6,'HR mthly'!$I$34:$T$34))))))),"")</f>
        <v>0.95</v>
      </c>
      <c r="EK123" s="324" t="str">
        <f>IFERROR(IF(EK$7&gt;$D$3,"",IF(CC123="OD","OD",IF(CC123="Missed","Missed",IF(CC123="TBC","TBC",IF(CC123="Undefined","Undefined",IF(_xlfn.XLOOKUP(EK$8,'HR mthly'!$I$6:$T$6,'HR mthly'!$I$34:$T$34)=0,"Blank",_xlfn.XLOOKUP(EK$8,'HR mthly'!$I$6:$T$6,'HR mthly'!$I$35:$T$35)/_xlfn.XLOOKUP(EK$8,'HR mthly'!$I$6:$T$6,'HR mthly'!$I$34:$T$34))))))),"")</f>
        <v/>
      </c>
      <c r="EL123" s="324" t="str">
        <f>IFERROR(IF(EL$7&gt;$D$3,"",IF(CD123="OD","OD",IF(CD123="Missed","Missed",IF(CD123="TBC","TBC",IF(CD123="Undefined","Undefined",IF(_xlfn.XLOOKUP(EL$8,'HR mthly'!$I$6:$T$6,'HR mthly'!$I$34:$T$34)=0,"Blank",_xlfn.XLOOKUP(EL$8,'HR mthly'!$I$6:$T$6,'HR mthly'!$I$35:$T$35)/_xlfn.XLOOKUP(EL$8,'HR mthly'!$I$6:$T$6,'HR mthly'!$I$34:$T$34))))))),"")</f>
        <v/>
      </c>
      <c r="EM123" s="324" t="str">
        <f>IFERROR(IF(EM$7&gt;$D$3,"",IF(CE123="OD","OD",IF(CE123="Missed","Missed",IF(CE123="TBC","TBC",IF(CE123="Undefined","Undefined",IF(_xlfn.XLOOKUP(EM$8,'HR mthly'!$I$6:$T$6,'HR mthly'!$I$34:$T$34)=0,"Blank",_xlfn.XLOOKUP(EM$8,'HR mthly'!$I$6:$T$6,'HR mthly'!$I$35:$T$35)/_xlfn.XLOOKUP(EM$8,'HR mthly'!$I$6:$T$6,'HR mthly'!$I$34:$T$34))))))),"")</f>
        <v/>
      </c>
      <c r="EN123" s="324" t="str">
        <f>IFERROR(IF(EN$7&gt;$D$3,"",IF(CF123="OD","OD",IF(CF123="Missed","Missed",IF(CF123="TBC","TBC",IF(CF123="Undefined","Undefined",IF(_xlfn.XLOOKUP(EN$8,'HR mthly'!$I$6:$T$6,'HR mthly'!$I$34:$T$34)=0,"Blank",_xlfn.XLOOKUP(EN$8,'HR mthly'!$I$6:$T$6,'HR mthly'!$I$35:$T$35)/_xlfn.XLOOKUP(EN$8,'HR mthly'!$I$6:$T$6,'HR mthly'!$I$34:$T$34))))))),"")</f>
        <v/>
      </c>
      <c r="EO123" s="324" t="str">
        <f>IFERROR(IF(EO$7&gt;$D$3,"",IF(CG123="OD","OD",IF(CG123="Missed","Missed",IF(CG123="TBC","TBC",IF(CG123="Undefined","Undefined",IF(_xlfn.XLOOKUP(EO$8,'HR mthly'!$I$6:$T$6,'HR mthly'!$I$34:$T$34)=0,"Blank",_xlfn.XLOOKUP(EO$8,'HR mthly'!$I$6:$T$6,'HR mthly'!$I$35:$T$35)/_xlfn.XLOOKUP(EO$8,'HR mthly'!$I$6:$T$6,'HR mthly'!$I$34:$T$34))))))),"")</f>
        <v/>
      </c>
      <c r="EP123" s="324" t="str">
        <f>IFERROR(IF(EP$7&gt;$D$3,"",IF(CH123="OD","OD",IF(CH123="Missed","Missed",IF(CH123="TBC","TBC",IF(CH123="Undefined","Undefined",IF(_xlfn.XLOOKUP(EP$8,'HR mthly'!$I$6:$T$6,'HR mthly'!$I$34:$T$34)=0,"Blank",_xlfn.XLOOKUP(EP$8,'HR mthly'!$I$6:$T$6,'HR mthly'!$I$35:$T$35)/_xlfn.XLOOKUP(EP$8,'HR mthly'!$I$6:$T$6,'HR mthly'!$I$34:$T$34))))))),"")</f>
        <v/>
      </c>
      <c r="EQ123" s="324" t="str">
        <f>IFERROR(IF(EQ$7&gt;$D$3,"",IF(CI123="OD","OD",IF(CI123="Missed","Missed",IF(CI123="TBC","TBC",IF(CI123="Undefined","Undefined",IF(_xlfn.XLOOKUP(EQ$8,'HR mthly'!$I$6:$T$6,'HR mthly'!$I$34:$T$34)=0,"Blank",_xlfn.XLOOKUP(EQ$8,'HR mthly'!$I$6:$T$6,'HR mthly'!$I$35:$T$35)/_xlfn.XLOOKUP(EQ$8,'HR mthly'!$I$6:$T$6,'HR mthly'!$I$34:$T$34))))))),"")</f>
        <v/>
      </c>
      <c r="ER123" s="324" t="str">
        <f>IFERROR(IF(ER$7&gt;$D$3,"",IF(CJ123="OD","OD",IF(CJ123="Missed","Missed",IF(CJ123="TBC","TBC",IF(CJ123="Undefined","Undefined",IF(_xlfn.XLOOKUP(ER$8,'HR mthly'!$I$6:$T$6,'HR mthly'!$I$34:$T$34)=0,"Blank",_xlfn.XLOOKUP(ER$8,'HR mthly'!$I$6:$T$6,'HR mthly'!$I$35:$T$35)/_xlfn.XLOOKUP(ER$8,'HR mthly'!$I$6:$T$6,'HR mthly'!$I$34:$T$34))))))),"")</f>
        <v/>
      </c>
      <c r="ES123" s="324" t="str">
        <f>IFERROR(IF(ES$7&gt;$D$3,"",IF(CK123="OD","OD",IF(CK123="Missed","Missed",IF(CK123="TBC","TBC",IF(CK123="Undefined","Undefined",IF(_xlfn.XLOOKUP(ES$8,'HR mthly'!$I$6:$T$6,'HR mthly'!$I$34:$T$34)=0,"Blank",_xlfn.XLOOKUP(ES$8,'HR mthly'!$I$6:$T$6,'HR mthly'!$I$35:$T$35)/_xlfn.XLOOKUP(ES$8,'HR mthly'!$I$6:$T$6,'HR mthly'!$I$34:$T$34))))))),"")</f>
        <v/>
      </c>
      <c r="ET123" s="324" t="str">
        <f>IFERROR(IF(ET$7&gt;$D$3,"",IF(CL123="OD","OD",IF(CL123="Missed","Missed",IF(CL123="TBC","TBC",IF(CL123="Undefined","Undefined",IF(_xlfn.XLOOKUP(ET$8,'HR mthly'!$I$6:$T$6,'HR mthly'!$I$34:$T$34)=0,"Blank",_xlfn.XLOOKUP(ET$8,'HR mthly'!$I$6:$T$6,'HR mthly'!$I$35:$T$35)/_xlfn.XLOOKUP(ET$8,'HR mthly'!$I$6:$T$6,'HR mthly'!$I$34:$T$34))))))),"")</f>
        <v/>
      </c>
      <c r="EU123" s="324" t="str">
        <f>IFERROR(IF(EU$7&gt;$D$3,"",IF(CM123="OD","OD",IF(CM123="Missed","Missed",IF(CM123="TBC","TBC",IF(CM123="Undefined","Undefined",IF(_xlfn.XLOOKUP(EU$8,'HR mthly'!$I$6:$T$6,'HR mthly'!$I$34:$T$34)=0,"Blank",_xlfn.XLOOKUP(EU$8,'HR mthly'!$I$6:$T$6,'HR mthly'!$I$35:$T$35)/_xlfn.XLOOKUP(EU$8,'HR mthly'!$I$6:$T$6,'HR mthly'!$I$34:$T$34))))))),"")</f>
        <v/>
      </c>
      <c r="EW123" s="465" t="str">
        <f t="shared" si="643"/>
        <v>HR-KPI C2</v>
      </c>
      <c r="EX123" s="138" t="str">
        <f t="shared" si="644"/>
        <v>KPI C2</v>
      </c>
      <c r="EY123" s="146" t="str">
        <f t="shared" si="645"/>
        <v>Cost</v>
      </c>
      <c r="EZ123" s="146" t="str">
        <f t="shared" si="607"/>
        <v>Job Evaluation Progress actions against project plan</v>
      </c>
      <c r="FA123" s="147" t="str">
        <f t="shared" si="608"/>
        <v>Percentage</v>
      </c>
      <c r="FB123" s="147" t="s">
        <v>251</v>
      </c>
      <c r="FC123" s="227"/>
      <c r="FD123" s="333">
        <f>IFERROR(IF(FD$7&gt;$D$3,"",_xlfn.XLOOKUP(FD$8,'HR mthly'!$I$6:$T$6,'HR mthly'!$I$35:$T$35)),100%)</f>
        <v>0</v>
      </c>
      <c r="FE123" s="333">
        <f>IFERROR(IF(FE$7&gt;$D$3,"",_xlfn.XLOOKUP(FE$8,'HR mthly'!$I$6:$T$6,'HR mthly'!$I$35:$T$35)),100%)</f>
        <v>0</v>
      </c>
      <c r="FF123" s="333">
        <f>IFERROR(IF(FF$7&gt;$D$3,"",_xlfn.XLOOKUP(FF$8,'HR mthly'!$I$6:$T$6,'HR mthly'!$I$35:$T$35)),100%)</f>
        <v>0</v>
      </c>
      <c r="FG123" s="333">
        <f>IFERROR(IF(FG$7&gt;$D$3,"",_xlfn.XLOOKUP(FG$8,'HR mthly'!$I$6:$T$6,'HR mthly'!$I$35:$T$35)),100%)</f>
        <v>0</v>
      </c>
      <c r="FH123" s="333">
        <f>IFERROR(IF(FH$7&gt;$D$3,"",_xlfn.XLOOKUP(FH$8,'HR mthly'!$I$6:$T$6,'HR mthly'!$I$35:$T$35)),100%)</f>
        <v>0.9</v>
      </c>
      <c r="FI123" s="333">
        <f>IFERROR(IF(FI$7&gt;$D$3,"",_xlfn.XLOOKUP(FI$8,'HR mthly'!$I$6:$T$6,'HR mthly'!$I$35:$T$35)),100%)</f>
        <v>0.9</v>
      </c>
      <c r="FJ123" s="333">
        <f>IFERROR(IF(FJ$7&gt;$D$3,"",_xlfn.XLOOKUP(FJ$8,'HR mthly'!$I$6:$T$6,'HR mthly'!$I$35:$T$35)),100%)</f>
        <v>0.9</v>
      </c>
      <c r="FK123" s="333">
        <f>IFERROR(IF(FK$7&gt;$D$3,"",_xlfn.XLOOKUP(FK$8,'HR mthly'!$I$6:$T$6,'HR mthly'!$I$35:$T$35)),100%)</f>
        <v>0.9</v>
      </c>
      <c r="FL123" s="333">
        <f>IFERROR(IF(FL$7&gt;$D$3,"",_xlfn.XLOOKUP(FL$8,'HR mthly'!$I$6:$T$6,'HR mthly'!$I$35:$T$35)),100%)</f>
        <v>0.95</v>
      </c>
      <c r="FM123" s="333">
        <f>IFERROR(IF(FM$7&gt;$D$3,"",_xlfn.XLOOKUP(FM$8,'HR mthly'!$I$6:$T$6,'HR mthly'!$I$35:$T$35)),100%)</f>
        <v>0.95</v>
      </c>
      <c r="FN123" s="333">
        <f>IFERROR(IF(FN$7&gt;$D$3,"",_xlfn.XLOOKUP(FN$8,'HR mthly'!$I$6:$T$6,'HR mthly'!$I$35:$T$35)),100%)</f>
        <v>0.95</v>
      </c>
      <c r="FO123" s="333">
        <f>IFERROR(IF(FO$7&gt;$D$3,"",_xlfn.XLOOKUP(FO$8,'HR mthly'!$I$6:$T$6,'HR mthly'!$I$35:$T$35)),100%)</f>
        <v>0.95</v>
      </c>
      <c r="FP123" s="333">
        <f>IFERROR(IF(FP$7&gt;$D$3,"",_xlfn.XLOOKUP(FP$8,'HR mthly'!$I$6:$T$6,'HR mthly'!$I$35:$T$35)),100%)</f>
        <v>0.95</v>
      </c>
      <c r="FQ123" s="333">
        <f>IFERROR(IF(FQ$7&gt;$D$3,"",_xlfn.XLOOKUP(FQ$8,'HR mthly'!$I$6:$T$6,'HR mthly'!$I$35:$T$35)),100%)</f>
        <v>0.95</v>
      </c>
      <c r="FR123" s="333">
        <f>IFERROR(IF(FR$7&gt;$D$3,"",_xlfn.XLOOKUP(FR$8,'HR mthly'!$I$6:$T$6,'HR mthly'!$I$35:$T$35)),100%)</f>
        <v>0.95</v>
      </c>
      <c r="FS123" s="333">
        <f>IFERROR(IF(FS$7&gt;$D$3,"",_xlfn.XLOOKUP(FS$8,'HR mthly'!$I$6:$T$6,'HR mthly'!$I$35:$T$35)),100%)</f>
        <v>0.95</v>
      </c>
      <c r="FT123" s="333">
        <f>IFERROR(IF(FT$7&gt;$D$3,"",_xlfn.XLOOKUP(FT$8,'HR mthly'!$I$6:$T$6,'HR mthly'!$I$35:$T$35)),100%)</f>
        <v>1</v>
      </c>
      <c r="FU123" s="333">
        <f>IFERROR(IF(FU$7&gt;$D$3,"",_xlfn.XLOOKUP(FU$8,'HR mthly'!$I$6:$T$6,'HR mthly'!$I$35:$T$35)),100%)</f>
        <v>1</v>
      </c>
      <c r="FV123" s="333">
        <f>IFERROR(IF(FV$7&gt;$D$3,"",_xlfn.XLOOKUP(FV$8,'HR mthly'!$I$6:$T$6,'HR mthly'!$I$35:$T$35)),100%)</f>
        <v>1</v>
      </c>
      <c r="FW123" s="333">
        <f>IFERROR(IF(FW$7&gt;$D$3,"",_xlfn.XLOOKUP(FW$8,'HR mthly'!$I$6:$T$6,'HR mthly'!$I$35:$T$35)),100%)</f>
        <v>1</v>
      </c>
      <c r="FX123" s="333">
        <f>IFERROR(IF(FX$7&gt;$D$3,"",_xlfn.XLOOKUP(FX$8,'HR mthly'!$I$6:$T$6,'HR mthly'!$I$35:$T$35)),100%)</f>
        <v>1</v>
      </c>
      <c r="FY123" s="333">
        <f>IFERROR(IF(FY$7&gt;$D$3,"",_xlfn.XLOOKUP(FY$8,'HR mthly'!$I$6:$T$6,'HR mthly'!$I$35:$T$35)),100%)</f>
        <v>0.9</v>
      </c>
      <c r="FZ123" s="333">
        <f>IFERROR(IF(FZ$7&gt;$D$3,"",_xlfn.XLOOKUP(FZ$8,'HR mthly'!$I$6:$T$6,'HR mthly'!$I$35:$T$35)),100%)</f>
        <v>0.9</v>
      </c>
      <c r="GA123" s="333">
        <f>IFERROR(IF(GA$7&gt;$D$3,"",_xlfn.XLOOKUP(GA$8,'HR mthly'!$I$6:$T$6,'HR mthly'!$I$35:$T$35)),100%)</f>
        <v>0.9</v>
      </c>
      <c r="GB123" s="333">
        <f>IFERROR(IF(GB$7&gt;$D$3,"",_xlfn.XLOOKUP(GB$8,'HR mthly'!$I$6:$T$6,'HR mthly'!$I$35:$T$35)),100%)</f>
        <v>0.9</v>
      </c>
      <c r="GC123" s="333">
        <f>IFERROR(IF(GC$7&gt;$D$3,"",_xlfn.XLOOKUP(GC$8,'HR mthly'!$I$6:$T$6,'HR mthly'!$I$35:$T$35)),100%)</f>
        <v>0.9</v>
      </c>
      <c r="GD123" s="333">
        <f>IFERROR(IF(GD$7&gt;$D$3,"",_xlfn.XLOOKUP(GD$8,'HR mthly'!$I$6:$T$6,'HR mthly'!$I$35:$T$35)),100%)</f>
        <v>0.9</v>
      </c>
      <c r="GE123" s="333">
        <f>IFERROR(IF(GE$7&gt;$D$3,"",_xlfn.XLOOKUP(GE$8,'HR mthly'!$I$6:$T$6,'HR mthly'!$I$35:$T$35)),100%)</f>
        <v>0.9</v>
      </c>
      <c r="GF123" s="333">
        <f>IFERROR(IF(GF$7&gt;$D$3,"",_xlfn.XLOOKUP(GF$8,'HR mthly'!$I$6:$T$6,'HR mthly'!$I$35:$T$35)),100%)</f>
        <v>0.9</v>
      </c>
      <c r="GG123" s="333">
        <f>IFERROR(IF(GG$7&gt;$D$3,"",_xlfn.XLOOKUP(GG$8,'HR mthly'!$I$6:$T$6,'HR mthly'!$I$35:$T$35)),100%)</f>
        <v>0.9</v>
      </c>
      <c r="GH123" s="333">
        <f>IFERROR(IF(GH$7&gt;$D$3,"",_xlfn.XLOOKUP(GH$8,'HR mthly'!$I$6:$T$6,'HR mthly'!$I$35:$T$35)),100%)</f>
        <v>0.9</v>
      </c>
      <c r="GI123" s="333">
        <f>IFERROR(IF(GI$7&gt;$D$3,"",_xlfn.XLOOKUP(GI$8,'HR mthly'!$I$6:$T$6,'HR mthly'!$I$35:$T$35)),100%)</f>
        <v>0.9</v>
      </c>
      <c r="GJ123" s="333">
        <f>IFERROR(IF(GJ$7&gt;$D$3,"",_xlfn.XLOOKUP(GJ$8,'HR mthly'!$I$6:$T$6,'HR mthly'!$I$35:$T$35)),100%)</f>
        <v>0.9</v>
      </c>
      <c r="GK123" s="333">
        <f>IFERROR(IF(GK$7&gt;$D$3,"",_xlfn.XLOOKUP(GK$8,'HR mthly'!$I$6:$T$6,'HR mthly'!$I$35:$T$35)),100%)</f>
        <v>0.9</v>
      </c>
      <c r="GL123" s="333">
        <f>IFERROR(IF(GL$7&gt;$D$3,"",_xlfn.XLOOKUP(GL$8,'HR mthly'!$I$6:$T$6,'HR mthly'!$I$35:$T$35)),100%)</f>
        <v>0.9</v>
      </c>
      <c r="GM123" s="333">
        <f>IFERROR(IF(GM$7&gt;$D$3,"",_xlfn.XLOOKUP(GM$8,'HR mthly'!$I$6:$T$6,'HR mthly'!$I$35:$T$35)),100%)</f>
        <v>0.9</v>
      </c>
      <c r="GN123" s="333">
        <f>IFERROR(IF(GN$7&gt;$D$3,"",_xlfn.XLOOKUP(GN$8,'HR mthly'!$I$6:$T$6,'HR mthly'!$I$35:$T$35)),100%)</f>
        <v>0.9</v>
      </c>
      <c r="GO123" s="333">
        <f>IFERROR(IF(GO$7&gt;$D$3,"",_xlfn.XLOOKUP(GO$8,'HR mthly'!$I$6:$T$6,'HR mthly'!$I$35:$T$35)),100%)</f>
        <v>0.9</v>
      </c>
      <c r="GP123" s="333">
        <f>IFERROR(IF(GP$7&gt;$D$3,"",_xlfn.XLOOKUP(GP$8,'HR mthly'!$I$6:$T$6,'HR mthly'!$I$35:$T$35)),100%)</f>
        <v>0.95</v>
      </c>
      <c r="GQ123" s="333">
        <f>IFERROR(IF(GQ$7&gt;$D$3,"",_xlfn.XLOOKUP(GQ$8,'HR mthly'!$I$6:$T$6,'HR mthly'!$I$35:$T$35)),100%)</f>
        <v>0.95</v>
      </c>
      <c r="GR123" s="333">
        <f>IFERROR(IF(GR$7&gt;$D$3,"",_xlfn.XLOOKUP(GR$8,'HR mthly'!$I$6:$T$6,'HR mthly'!$I$35:$T$35)),100%)</f>
        <v>0.95</v>
      </c>
      <c r="GS123" s="333" t="str">
        <f>IFERROR(IF(GS$7&gt;$D$3,"",_xlfn.XLOOKUP(GS$8,'HR mthly'!$I$6:$T$6,'HR mthly'!$I$35:$T$35)),100%)</f>
        <v/>
      </c>
      <c r="GT123" s="333" t="str">
        <f>IFERROR(IF(GT$7&gt;$D$3,"",_xlfn.XLOOKUP(GT$8,'HR mthly'!$I$6:$T$6,'HR mthly'!$I$35:$T$35)),100%)</f>
        <v/>
      </c>
      <c r="GU123" s="333" t="str">
        <f>IFERROR(IF(GU$7&gt;$D$3,"",_xlfn.XLOOKUP(GU$8,'HR mthly'!$I$6:$T$6,'HR mthly'!$I$35:$T$35)),100%)</f>
        <v/>
      </c>
      <c r="GV123" s="333" t="str">
        <f>IFERROR(IF(GV$7&gt;$D$3,"",_xlfn.XLOOKUP(GV$8,'HR mthly'!$I$6:$T$6,'HR mthly'!$I$35:$T$35)),100%)</f>
        <v/>
      </c>
      <c r="GW123" s="333" t="str">
        <f>IFERROR(IF(GW$7&gt;$D$3,"",_xlfn.XLOOKUP(GW$8,'HR mthly'!$I$6:$T$6,'HR mthly'!$I$35:$T$35)),100%)</f>
        <v/>
      </c>
      <c r="GX123" s="333" t="str">
        <f>IFERROR(IF(GX$7&gt;$D$3,"",_xlfn.XLOOKUP(GX$8,'HR mthly'!$I$6:$T$6,'HR mthly'!$I$35:$T$35)),100%)</f>
        <v/>
      </c>
      <c r="GY123" s="333" t="str">
        <f>IFERROR(IF(GY$7&gt;$D$3,"",_xlfn.XLOOKUP(GY$8,'HR mthly'!$I$6:$T$6,'HR mthly'!$I$35:$T$35)),100%)</f>
        <v/>
      </c>
      <c r="GZ123" s="333" t="str">
        <f>IFERROR(IF(GZ$7&gt;$D$3,"",_xlfn.XLOOKUP(GZ$8,'HR mthly'!$I$6:$T$6,'HR mthly'!$I$35:$T$35)),100%)</f>
        <v/>
      </c>
      <c r="HA123" s="333" t="str">
        <f>IFERROR(IF(HA$7&gt;$D$3,"",_xlfn.XLOOKUP(HA$8,'HR mthly'!$I$6:$T$6,'HR mthly'!$I$35:$T$35)),100%)</f>
        <v/>
      </c>
      <c r="HB123" s="333" t="str">
        <f>IFERROR(IF(HB$7&gt;$D$3,"",_xlfn.XLOOKUP(HB$8,'HR mthly'!$I$6:$T$6,'HR mthly'!$I$35:$T$35)),100%)</f>
        <v/>
      </c>
      <c r="HC123" s="333" t="str">
        <f>IFERROR(IF(HC$7&gt;$D$3,"",_xlfn.XLOOKUP(HC$8,'HR mthly'!$I$6:$T$6,'HR mthly'!$I$35:$T$35)),100%)</f>
        <v/>
      </c>
      <c r="HE123" s="138" t="str">
        <f t="shared" si="646"/>
        <v>KPI C2</v>
      </c>
      <c r="HF123" s="146" t="str">
        <f t="shared" si="647"/>
        <v>Cost</v>
      </c>
      <c r="HG123" s="146" t="str">
        <f t="shared" si="611"/>
        <v>Job Evaluation Progress actions against project plan</v>
      </c>
      <c r="HH123" s="147" t="str">
        <f t="shared" si="612"/>
        <v>Percentage</v>
      </c>
      <c r="HI123" s="147" t="s">
        <v>44</v>
      </c>
      <c r="HJ123" s="227" t="s">
        <v>122</v>
      </c>
      <c r="HK123" s="333">
        <f>IFERROR(IF(HK$7&gt;$D$3,"",_xlfn.XLOOKUP(HK$8,'HR mthly'!$I$6:$T$6,'HR mthly'!$I$34:$T$34)),100%)</f>
        <v>0</v>
      </c>
      <c r="HL123" s="333">
        <f>IFERROR(IF(HL$7&gt;$D$3,"",_xlfn.XLOOKUP(HL$8,'HR mthly'!$I$6:$T$6,'HR mthly'!$I$34:$T$34)),100%)</f>
        <v>0</v>
      </c>
      <c r="HM123" s="333">
        <f>IFERROR(IF(HM$7&gt;$D$3,"",_xlfn.XLOOKUP(HM$8,'HR mthly'!$I$6:$T$6,'HR mthly'!$I$34:$T$34)),100%)</f>
        <v>0</v>
      </c>
      <c r="HN123" s="333">
        <f>IFERROR(IF(HN$7&gt;$D$3,"",_xlfn.XLOOKUP(HN$8,'HR mthly'!$I$6:$T$6,'HR mthly'!$I$34:$T$34)),100%)</f>
        <v>0</v>
      </c>
      <c r="HO123" s="333">
        <f>IFERROR(IF(HO$7&gt;$D$3,"",_xlfn.XLOOKUP(HO$8,'HR mthly'!$I$6:$T$6,'HR mthly'!$I$34:$T$34)),100%)</f>
        <v>0.7</v>
      </c>
      <c r="HP123" s="333">
        <f>IFERROR(IF(HP$7&gt;$D$3,"",_xlfn.XLOOKUP(HP$8,'HR mthly'!$I$6:$T$6,'HR mthly'!$I$34:$T$34)),100%)</f>
        <v>0.7</v>
      </c>
      <c r="HQ123" s="333">
        <f>IFERROR(IF(HQ$7&gt;$D$3,"",_xlfn.XLOOKUP(HQ$8,'HR mthly'!$I$6:$T$6,'HR mthly'!$I$34:$T$34)),100%)</f>
        <v>0.7</v>
      </c>
      <c r="HR123" s="333">
        <f>IFERROR(IF(HR$7&gt;$D$3,"",_xlfn.XLOOKUP(HR$8,'HR mthly'!$I$6:$T$6,'HR mthly'!$I$34:$T$34)),100%)</f>
        <v>0.7</v>
      </c>
      <c r="HS123" s="333">
        <f>IFERROR(IF(HS$7&gt;$D$3,"",_xlfn.XLOOKUP(HS$8,'HR mthly'!$I$6:$T$6,'HR mthly'!$I$34:$T$34)),100%)</f>
        <v>0.8</v>
      </c>
      <c r="HT123" s="333">
        <f>IFERROR(IF(HT$7&gt;$D$3,"",_xlfn.XLOOKUP(HT$8,'HR mthly'!$I$6:$T$6,'HR mthly'!$I$34:$T$34)),100%)</f>
        <v>0.8</v>
      </c>
      <c r="HU123" s="333">
        <f>IFERROR(IF(HU$7&gt;$D$3,"",_xlfn.XLOOKUP(HU$8,'HR mthly'!$I$6:$T$6,'HR mthly'!$I$34:$T$34)),100%)</f>
        <v>0.8</v>
      </c>
      <c r="HV123" s="333">
        <f>IFERROR(IF(HV$7&gt;$D$3,"",_xlfn.XLOOKUP(HV$8,'HR mthly'!$I$6:$T$6,'HR mthly'!$I$34:$T$34)),100%)</f>
        <v>0.8</v>
      </c>
      <c r="HW123" s="333">
        <f>IFERROR(IF(HW$7&gt;$D$3,"",_xlfn.XLOOKUP(HW$8,'HR mthly'!$I$6:$T$6,'HR mthly'!$I$34:$T$34)),100%)</f>
        <v>0.8</v>
      </c>
      <c r="HX123" s="333">
        <f>IFERROR(IF(HX$7&gt;$D$3,"",_xlfn.XLOOKUP(HX$8,'HR mthly'!$I$6:$T$6,'HR mthly'!$I$34:$T$34)),100%)</f>
        <v>0.8</v>
      </c>
      <c r="HY123" s="333">
        <f>IFERROR(IF(HY$7&gt;$D$3,"",_xlfn.XLOOKUP(HY$8,'HR mthly'!$I$6:$T$6,'HR mthly'!$I$34:$T$34)),100%)</f>
        <v>0.8</v>
      </c>
      <c r="HZ123" s="333">
        <f>IFERROR(IF(HZ$7&gt;$D$3,"",_xlfn.XLOOKUP(HZ$8,'HR mthly'!$I$6:$T$6,'HR mthly'!$I$34:$T$34)),100%)</f>
        <v>0.8</v>
      </c>
      <c r="IA123" s="333">
        <f>IFERROR(IF(IA$7&gt;$D$3,"",_xlfn.XLOOKUP(IA$8,'HR mthly'!$I$6:$T$6,'HR mthly'!$I$34:$T$34)),100%)</f>
        <v>0.9</v>
      </c>
      <c r="IB123" s="333">
        <f>IFERROR(IF(IB$7&gt;$D$3,"",_xlfn.XLOOKUP(IB$8,'HR mthly'!$I$6:$T$6,'HR mthly'!$I$34:$T$34)),100%)</f>
        <v>0.9</v>
      </c>
      <c r="IC123" s="333">
        <f>IFERROR(IF(IC$7&gt;$D$3,"",_xlfn.XLOOKUP(IC$8,'HR mthly'!$I$6:$T$6,'HR mthly'!$I$34:$T$34)),100%)</f>
        <v>0.9</v>
      </c>
      <c r="ID123" s="333">
        <f>IFERROR(IF(ID$7&gt;$D$3,"",_xlfn.XLOOKUP(ID$8,'HR mthly'!$I$6:$T$6,'HR mthly'!$I$34:$T$34)),100%)</f>
        <v>0.9</v>
      </c>
      <c r="IE123" s="333">
        <f>IFERROR(IF(IE$7&gt;$D$3,"",_xlfn.XLOOKUP(IE$8,'HR mthly'!$I$6:$T$6,'HR mthly'!$I$34:$T$34)),100%)</f>
        <v>0.9</v>
      </c>
      <c r="IF123" s="333">
        <f>IFERROR(IF(IF$7&gt;$D$3,"",_xlfn.XLOOKUP(IF$8,'HR mthly'!$I$6:$T$6,'HR mthly'!$I$34:$T$34)),100%)</f>
        <v>1</v>
      </c>
      <c r="IG123" s="333">
        <f>IFERROR(IF(IG$7&gt;$D$3,"",_xlfn.XLOOKUP(IG$8,'HR mthly'!$I$6:$T$6,'HR mthly'!$I$34:$T$34)),100%)</f>
        <v>1</v>
      </c>
      <c r="IH123" s="333">
        <f>IFERROR(IF(IH$7&gt;$D$3,"",_xlfn.XLOOKUP(IH$8,'HR mthly'!$I$6:$T$6,'HR mthly'!$I$34:$T$34)),100%)</f>
        <v>1</v>
      </c>
      <c r="II123" s="333">
        <f>IFERROR(IF(II$7&gt;$D$3,"",_xlfn.XLOOKUP(II$8,'HR mthly'!$I$6:$T$6,'HR mthly'!$I$34:$T$34)),100%)</f>
        <v>1</v>
      </c>
      <c r="IJ123" s="333">
        <f>IFERROR(IF(IJ$7&gt;$D$3,"",_xlfn.XLOOKUP(IJ$8,'HR mthly'!$I$6:$T$6,'HR mthly'!$I$34:$T$34)),100%)</f>
        <v>1</v>
      </c>
      <c r="IK123" s="333">
        <f>IFERROR(IF(IK$7&gt;$D$3,"",_xlfn.XLOOKUP(IK$8,'HR mthly'!$I$6:$T$6,'HR mthly'!$I$34:$T$34)),100%)</f>
        <v>1</v>
      </c>
      <c r="IL123" s="333">
        <f>IFERROR(IF(IL$7&gt;$D$3,"",_xlfn.XLOOKUP(IL$8,'HR mthly'!$I$6:$T$6,'HR mthly'!$I$34:$T$34)),100%)</f>
        <v>1</v>
      </c>
      <c r="IM123" s="333">
        <f>IFERROR(IF(IM$7&gt;$D$3,"",_xlfn.XLOOKUP(IM$8,'HR mthly'!$I$6:$T$6,'HR mthly'!$I$34:$T$34)),100%)</f>
        <v>1</v>
      </c>
      <c r="IN123" s="333">
        <f>IFERROR(IF(IN$7&gt;$D$3,"",_xlfn.XLOOKUP(IN$8,'HR mthly'!$I$6:$T$6,'HR mthly'!$I$34:$T$34)),100%)</f>
        <v>1</v>
      </c>
      <c r="IO123" s="333">
        <f>IFERROR(IF(IO$7&gt;$D$3,"",_xlfn.XLOOKUP(IO$8,'HR mthly'!$I$6:$T$6,'HR mthly'!$I$34:$T$34)),100%)</f>
        <v>1</v>
      </c>
      <c r="IP123" s="333">
        <f>IFERROR(IF(IP$7&gt;$D$3,"",_xlfn.XLOOKUP(IP$8,'HR mthly'!$I$6:$T$6,'HR mthly'!$I$34:$T$34)),100%)</f>
        <v>1</v>
      </c>
      <c r="IQ123" s="333">
        <f>IFERROR(IF(IQ$7&gt;$D$3,"",_xlfn.XLOOKUP(IQ$8,'HR mthly'!$I$6:$T$6,'HR mthly'!$I$34:$T$34)),100%)</f>
        <v>1</v>
      </c>
      <c r="IR123" s="333">
        <f>IFERROR(IF(IR$7&gt;$D$3,"",_xlfn.XLOOKUP(IR$8,'HR mthly'!$I$6:$T$6,'HR mthly'!$I$34:$T$34)),100%)</f>
        <v>1</v>
      </c>
      <c r="IS123" s="333">
        <f>IFERROR(IF(IS$7&gt;$D$3,"",_xlfn.XLOOKUP(IS$8,'HR mthly'!$I$6:$T$6,'HR mthly'!$I$34:$T$34)),100%)</f>
        <v>1</v>
      </c>
      <c r="IT123" s="333">
        <f>IFERROR(IF(IT$7&gt;$D$3,"",_xlfn.XLOOKUP(IT$8,'HR mthly'!$I$6:$T$6,'HR mthly'!$I$34:$T$34)),100%)</f>
        <v>1</v>
      </c>
      <c r="IU123" s="333">
        <f>IFERROR(IF(IU$7&gt;$D$3,"",_xlfn.XLOOKUP(IU$8,'HR mthly'!$I$6:$T$6,'HR mthly'!$I$34:$T$34)),100%)</f>
        <v>1</v>
      </c>
      <c r="IV123" s="333">
        <f>IFERROR(IF(IV$7&gt;$D$3,"",_xlfn.XLOOKUP(IV$8,'HR mthly'!$I$6:$T$6,'HR mthly'!$I$34:$T$34)),100%)</f>
        <v>1</v>
      </c>
      <c r="IW123" s="333">
        <f>IFERROR(IF(IW$7&gt;$D$3,"",_xlfn.XLOOKUP(IW$8,'HR mthly'!$I$6:$T$6,'HR mthly'!$I$34:$T$34)),100%)</f>
        <v>1</v>
      </c>
      <c r="IX123" s="333">
        <f>IFERROR(IF(IX$7&gt;$D$3,"",_xlfn.XLOOKUP(IX$8,'HR mthly'!$I$6:$T$6,'HR mthly'!$I$34:$T$34)),100%)</f>
        <v>1</v>
      </c>
      <c r="IY123" s="333">
        <f>IFERROR(IF(IY$7&gt;$D$3,"",_xlfn.XLOOKUP(IY$8,'HR mthly'!$I$6:$T$6,'HR mthly'!$I$34:$T$34)),100%)</f>
        <v>1</v>
      </c>
      <c r="IZ123" s="333" t="str">
        <f>IFERROR(IF(IZ$7&gt;$D$3,"",_xlfn.XLOOKUP(IZ$8,'HR mthly'!$I$6:$T$6,'HR mthly'!$I$34:$T$34)),100%)</f>
        <v/>
      </c>
      <c r="JA123" s="333" t="str">
        <f>IFERROR(IF(JA$7&gt;$D$3,"",_xlfn.XLOOKUP(JA$8,'HR mthly'!$I$6:$T$6,'HR mthly'!$I$34:$T$34)),100%)</f>
        <v/>
      </c>
      <c r="JB123" s="333" t="str">
        <f>IFERROR(IF(JB$7&gt;$D$3,"",_xlfn.XLOOKUP(JB$8,'HR mthly'!$I$6:$T$6,'HR mthly'!$I$34:$T$34)),100%)</f>
        <v/>
      </c>
      <c r="JC123" s="333" t="str">
        <f>IFERROR(IF(JC$7&gt;$D$3,"",_xlfn.XLOOKUP(JC$8,'HR mthly'!$I$6:$T$6,'HR mthly'!$I$34:$T$34)),100%)</f>
        <v/>
      </c>
      <c r="JD123" s="333" t="str">
        <f>IFERROR(IF(JD$7&gt;$D$3,"",_xlfn.XLOOKUP(JD$8,'HR mthly'!$I$6:$T$6,'HR mthly'!$I$34:$T$34)),100%)</f>
        <v/>
      </c>
      <c r="JE123" s="333" t="str">
        <f>IFERROR(IF(JE$7&gt;$D$3,"",_xlfn.XLOOKUP(JE$8,'HR mthly'!$I$6:$T$6,'HR mthly'!$I$34:$T$34)),100%)</f>
        <v/>
      </c>
      <c r="JF123" s="333" t="str">
        <f>IFERROR(IF(JF$7&gt;$D$3,"",_xlfn.XLOOKUP(JF$8,'HR mthly'!$I$6:$T$6,'HR mthly'!$I$34:$T$34)),100%)</f>
        <v/>
      </c>
      <c r="JG123" s="333" t="str">
        <f>IFERROR(IF(JG$7&gt;$D$3,"",_xlfn.XLOOKUP(JG$8,'HR mthly'!$I$6:$T$6,'HR mthly'!$I$34:$T$34)),100%)</f>
        <v/>
      </c>
      <c r="JH123" s="333" t="str">
        <f>IFERROR(IF(JH$7&gt;$D$3,"",_xlfn.XLOOKUP(JH$8,'HR mthly'!$I$6:$T$6,'HR mthly'!$I$34:$T$34)),100%)</f>
        <v/>
      </c>
      <c r="JI123" s="333" t="str">
        <f>IFERROR(IF(JI$7&gt;$D$3,"",_xlfn.XLOOKUP(JI$8,'HR mthly'!$I$6:$T$6,'HR mthly'!$I$34:$T$34)),100%)</f>
        <v/>
      </c>
      <c r="JJ123" s="333" t="str">
        <f>IFERROR(IF(JJ$7&gt;$D$3,"",_xlfn.XLOOKUP(JJ$8,'HR mthly'!$I$6:$T$6,'HR mthly'!$I$34:$T$34)),100%)</f>
        <v/>
      </c>
      <c r="JM123" s="138" t="str">
        <f t="shared" si="648"/>
        <v>KPI C2</v>
      </c>
      <c r="JN123" s="146" t="str">
        <f t="shared" si="649"/>
        <v>Cost</v>
      </c>
      <c r="JO123" s="245" t="str">
        <f t="shared" si="615"/>
        <v>Job Evaluation Progress actions against project plan</v>
      </c>
      <c r="JP123" s="147" t="str">
        <f t="shared" si="616"/>
        <v>Percentage</v>
      </c>
      <c r="JQ123" s="147" t="s">
        <v>284</v>
      </c>
      <c r="JR123" s="227" t="str">
        <f>IFERROR(AVERAGE(FC123:$FC123),"")</f>
        <v/>
      </c>
      <c r="JS123" s="333">
        <f>IFERROR(AVERAGE($FC123:FD123),"")</f>
        <v>0</v>
      </c>
      <c r="JT123" s="333">
        <f>IFERROR(AVERAGE($FC123:FE123),"")</f>
        <v>0</v>
      </c>
      <c r="JU123" s="333">
        <f>IFERROR(AVERAGE($FC123:FF123),"")</f>
        <v>0</v>
      </c>
      <c r="JV123" s="333">
        <f>IFERROR(AVERAGE($FC123:FG123),"")</f>
        <v>0</v>
      </c>
      <c r="JW123" s="333">
        <f>IFERROR(AVERAGE($FC123:FH123),"")</f>
        <v>0.18</v>
      </c>
      <c r="JX123" s="333">
        <f>IFERROR(AVERAGE($FC123:FI123),"")</f>
        <v>0.3</v>
      </c>
      <c r="JY123" s="333">
        <f>IFERROR(AVERAGE($FC123:FJ123),"")</f>
        <v>0.38571428571428573</v>
      </c>
      <c r="JZ123" s="333">
        <f>IFERROR(AVERAGE($FC123:FK123),"")</f>
        <v>0.45</v>
      </c>
      <c r="KA123" s="333">
        <f>IFERROR(AVERAGE($FC123:FL123),"")</f>
        <v>0.50555555555555554</v>
      </c>
      <c r="KB123" s="333">
        <f>IFERROR(AVERAGE($FC123:FM123),"")</f>
        <v>0.55000000000000004</v>
      </c>
      <c r="KC123" s="333">
        <f>IFERROR(AVERAGE($FC123:FN123),"")</f>
        <v>0.58636363636363642</v>
      </c>
      <c r="KD123" s="333">
        <f>IFERROR(AVERAGE($FC123:FO123),"")</f>
        <v>0.6166666666666667</v>
      </c>
      <c r="KE123" s="333">
        <f>IFERROR(AVERAGE($FC123:FP123),"")</f>
        <v>0.64230769230769225</v>
      </c>
      <c r="KF123" s="333">
        <f>IFERROR(AVERAGE($FC123:FQ123),"")</f>
        <v>0.66428571428571426</v>
      </c>
      <c r="KG123" s="333">
        <f>IFERROR(AVERAGE($FC123:FR123),"")</f>
        <v>0.68333333333333324</v>
      </c>
      <c r="KH123" s="333">
        <f>IFERROR(AVERAGE($FC123:FS123),"")</f>
        <v>0.69999999999999984</v>
      </c>
      <c r="KI123" s="333">
        <f>IFERROR(AVERAGE($FC123:FT123),"")</f>
        <v>0.7176470588235293</v>
      </c>
      <c r="KJ123" s="333">
        <f>IFERROR(AVERAGE($FC123:FU123),"")</f>
        <v>0.73333333333333317</v>
      </c>
      <c r="KK123" s="333">
        <f>IFERROR(AVERAGE($FC123:FV123),"")</f>
        <v>0.74736842105263146</v>
      </c>
      <c r="KL123" s="333">
        <f>IFERROR(AVERAGE($FC123:FW123),"")</f>
        <v>0.7599999999999999</v>
      </c>
      <c r="KM123" s="333">
        <f>IFERROR(AVERAGE($FC123:FX123),"")</f>
        <v>0.77142857142857124</v>
      </c>
      <c r="KN123" s="333">
        <f>IFERROR(AVERAGE($FC123:FY123),"")</f>
        <v>0.777272727272727</v>
      </c>
      <c r="KO123" s="333">
        <f>IFERROR(AVERAGE($FC123:FZ123),"")</f>
        <v>0.78260869565217361</v>
      </c>
      <c r="KP123" s="333">
        <f>IFERROR(AVERAGE($FC123:GA123),"")</f>
        <v>0.78749999999999964</v>
      </c>
      <c r="KQ123" s="333">
        <f>IFERROR(AVERAGE($FC123:GB123),"")</f>
        <v>0.79199999999999959</v>
      </c>
      <c r="KR123" s="333">
        <f>IFERROR(AVERAGE($FC123:GC123),"")</f>
        <v>0.79615384615384577</v>
      </c>
      <c r="KS123" s="333">
        <f>IFERROR(AVERAGE($FC123:GD123),"")</f>
        <v>0.79999999999999949</v>
      </c>
      <c r="KT123" s="333">
        <f>IFERROR(AVERAGE($FC123:GE123),"")</f>
        <v>0.80357142857142805</v>
      </c>
      <c r="KU123" s="333">
        <f>IFERROR(AVERAGE($FC123:GF123),"")</f>
        <v>0.80689655172413743</v>
      </c>
      <c r="KV123" s="333">
        <f>IFERROR(AVERAGE($FC123:GG123),"")</f>
        <v>0.80999999999999939</v>
      </c>
      <c r="KW123" s="333">
        <f>IFERROR(AVERAGE($FC123:GH123),"")</f>
        <v>0.81290322580645102</v>
      </c>
      <c r="KX123" s="333">
        <f>IFERROR(AVERAGE($FC123:GI123),"")</f>
        <v>0.81562499999999938</v>
      </c>
      <c r="KY123" s="333">
        <f>IFERROR(AVERAGE($FC123:GJ123),"")</f>
        <v>0.81818181818181757</v>
      </c>
      <c r="KZ123" s="333">
        <f>IFERROR(AVERAGE($FC123:GK123),"")</f>
        <v>0.82058823529411695</v>
      </c>
      <c r="LA123" s="333">
        <f>IFERROR(AVERAGE($FC123:GL123),"")</f>
        <v>0.82285714285714218</v>
      </c>
      <c r="LB123" s="333">
        <f>IFERROR(AVERAGE($FC123:GM123),"")</f>
        <v>0.82499999999999929</v>
      </c>
      <c r="LC123" s="333">
        <f>IFERROR(AVERAGE($FC123:GN123),"")</f>
        <v>0.82702702702702635</v>
      </c>
      <c r="LD123" s="333">
        <f>IFERROR(AVERAGE($FC123:GO123),"")</f>
        <v>0.82894736842105188</v>
      </c>
      <c r="LE123" s="333">
        <f>IFERROR(AVERAGE($FC123:GP123),"")</f>
        <v>0.83205128205128143</v>
      </c>
      <c r="LF123" s="333">
        <f>IFERROR(AVERAGE($FC123:GQ123),"")</f>
        <v>0.83499999999999941</v>
      </c>
      <c r="LG123" s="333">
        <f>IFERROR(AVERAGE($FC123:GR123),"")</f>
        <v>0.83780487804878001</v>
      </c>
      <c r="LH123" s="333">
        <f>IFERROR(AVERAGE($FC123:GS123),"")</f>
        <v>0.83780487804878001</v>
      </c>
      <c r="LI123" s="333">
        <f>IFERROR(AVERAGE($FC123:GT123),"")</f>
        <v>0.83780487804878001</v>
      </c>
      <c r="LJ123" s="333">
        <f>IFERROR(AVERAGE($FC123:GU123),"")</f>
        <v>0.83780487804878001</v>
      </c>
      <c r="LK123" s="333">
        <f>IFERROR(AVERAGE($FC123:GV123),"")</f>
        <v>0.83780487804878001</v>
      </c>
      <c r="LL123" s="333">
        <f>IFERROR(AVERAGE($FC123:GW123),"")</f>
        <v>0.83780487804878001</v>
      </c>
      <c r="LM123" s="333">
        <f>IFERROR(AVERAGE($FC123:GX123),"")</f>
        <v>0.83780487804878001</v>
      </c>
      <c r="LN123" s="333">
        <f>IFERROR(AVERAGE($FC123:GY123),"")</f>
        <v>0.83780487804878001</v>
      </c>
      <c r="LO123" s="333">
        <f>IFERROR(AVERAGE($FC123:GZ123),"")</f>
        <v>0.83780487804878001</v>
      </c>
      <c r="LP123" s="333">
        <f>IFERROR(AVERAGE($FC123:HA123),"")</f>
        <v>0.83780487804878001</v>
      </c>
      <c r="LQ123" s="333">
        <f>IFERROR(AVERAGE($FC123:HB123),"")</f>
        <v>0.83780487804878001</v>
      </c>
      <c r="LR123" s="333">
        <f>IFERROR(AVERAGE($FC123:HC123),"")</f>
        <v>0.83780487804878001</v>
      </c>
      <c r="LT123" s="138" t="str">
        <f t="shared" si="651"/>
        <v>KPI C2</v>
      </c>
      <c r="LU123" s="146" t="str">
        <f t="shared" si="652"/>
        <v>Cost</v>
      </c>
      <c r="LV123" s="146" t="str">
        <f t="shared" si="619"/>
        <v>Job Evaluation Progress actions against project plan</v>
      </c>
      <c r="LW123" s="147" t="str">
        <f t="shared" si="620"/>
        <v>Percentage</v>
      </c>
      <c r="LX123" s="147" t="s">
        <v>285</v>
      </c>
      <c r="LY123" s="227" t="str">
        <f>IFERROR(AVERAGE($HJ123:HJ123),"")</f>
        <v/>
      </c>
      <c r="LZ123" s="333">
        <f>IFERROR(IF(LAD$7&gt;$D$3,"",AVERAGE($HJ123:HK123)),"")</f>
        <v>0</v>
      </c>
      <c r="MA123" s="333">
        <f>IFERROR(IF(LAE$7&gt;$D$3,"",AVERAGE($HJ123:HL123)),"")</f>
        <v>0</v>
      </c>
      <c r="MB123" s="333">
        <f>IFERROR(IF(LAF$7&gt;$D$3,"",AVERAGE($HJ123:HM123)),"")</f>
        <v>0</v>
      </c>
      <c r="MC123" s="333">
        <f>IFERROR(IF(LAG$7&gt;$D$3,"",AVERAGE($HJ123:HN123)),"")</f>
        <v>0</v>
      </c>
      <c r="MD123" s="333">
        <f>IFERROR(IF(LAH$7&gt;$D$3,"",AVERAGE($HJ123:HO123)),"")</f>
        <v>0.13999999999999999</v>
      </c>
      <c r="ME123" s="333">
        <f>IFERROR(IF(LAI$7&gt;$D$3,"",AVERAGE($HJ123:HP123)),"")</f>
        <v>0.23333333333333331</v>
      </c>
      <c r="MF123" s="333">
        <f>IFERROR(IF(LAJ$7&gt;$D$3,"",AVERAGE($HJ123:HQ123)),"")</f>
        <v>0.29999999999999993</v>
      </c>
      <c r="MG123" s="333">
        <f>IFERROR(IF(LAK$7&gt;$D$3,"",AVERAGE($HJ123:HR123)),"")</f>
        <v>0.35</v>
      </c>
      <c r="MH123" s="333">
        <f>IFERROR(IF(LAL$7&gt;$D$3,"",AVERAGE($HJ123:HS123)),"")</f>
        <v>0.39999999999999997</v>
      </c>
      <c r="MI123" s="333">
        <f>IFERROR(IF(LAM$7&gt;$D$3,"",AVERAGE($HJ123:HT123)),"")</f>
        <v>0.43999999999999995</v>
      </c>
      <c r="MJ123" s="333">
        <f>IFERROR(IF(LAN$7&gt;$D$3,"",AVERAGE($HJ123:HU123)),"")</f>
        <v>0.47272727272727266</v>
      </c>
      <c r="MK123" s="333">
        <f>IFERROR(IF(LAO$7&gt;$D$3,"",AVERAGE($HJ123:HV123)),"")</f>
        <v>0.49999999999999994</v>
      </c>
      <c r="ML123" s="333">
        <f>IFERROR(IF(LAP$7&gt;$D$3,"",AVERAGE($HJ123:HW123)),"")</f>
        <v>0.52307692307692299</v>
      </c>
      <c r="MM123" s="333">
        <f>IFERROR(IF(LAQ$7&gt;$D$3,"",AVERAGE($HJ123:HX123)),"")</f>
        <v>0.54285714285714282</v>
      </c>
      <c r="MN123" s="333">
        <f>IFERROR(IF(LAR$7&gt;$D$3,"",AVERAGE($HJ123:HY123)),"")</f>
        <v>0.55999999999999994</v>
      </c>
      <c r="MO123" s="333">
        <f>IFERROR(IF(LAS$7&gt;$D$3,"",AVERAGE($HJ123:HZ123)),"")</f>
        <v>0.57499999999999996</v>
      </c>
      <c r="MP123" s="333">
        <f>IFERROR(IF(LAT$7&gt;$D$3,"",AVERAGE($HJ123:IA123)),"")</f>
        <v>0.59411764705882353</v>
      </c>
      <c r="MQ123" s="333">
        <f>IFERROR(IF(LAU$7&gt;$D$3,"",AVERAGE($HJ123:IB123)),"")</f>
        <v>0.61111111111111116</v>
      </c>
      <c r="MR123" s="333">
        <f>IFERROR(IF(LAV$7&gt;$D$3,"",AVERAGE($HJ123:IC123)),"")</f>
        <v>0.62631578947368427</v>
      </c>
      <c r="MS123" s="333">
        <f>IFERROR(IF(LAW$7&gt;$D$3,"",AVERAGE($HJ123:ID123)),"")</f>
        <v>0.64</v>
      </c>
      <c r="MT123" s="333">
        <f>IFERROR(IF(LAX$7&gt;$D$3,"",AVERAGE($HJ123:IE123)),"")</f>
        <v>0.65238095238095239</v>
      </c>
      <c r="MU123" s="333">
        <f>IFERROR(IF(LAY$7&gt;$D$3,"",AVERAGE($HJ123:IF123)),"")</f>
        <v>0.66818181818181821</v>
      </c>
      <c r="MV123" s="333">
        <f>IFERROR(IF(LAZ$7&gt;$D$3,"",AVERAGE($HJ123:IG123)),"")</f>
        <v>0.68260869565217397</v>
      </c>
      <c r="MW123" s="333">
        <f>IFERROR(IF(LBA$7&gt;$D$3,"",AVERAGE($HJ123:IH123)),"")</f>
        <v>0.69583333333333341</v>
      </c>
      <c r="MX123" s="333">
        <f>IFERROR(IF(LBB$7&gt;$D$3,"",AVERAGE($HJ123:II123)),"")</f>
        <v>0.70800000000000007</v>
      </c>
      <c r="MY123" s="333">
        <f>IFERROR(IF(LBC$7&gt;$D$3,"",AVERAGE($HJ123:IJ123)),"")</f>
        <v>0.71923076923076934</v>
      </c>
      <c r="MZ123" s="333">
        <f>IFERROR(IF(LBD$7&gt;$D$3,"",AVERAGE($HJ123:IK123)),"")</f>
        <v>0.72962962962962974</v>
      </c>
      <c r="NA123" s="333">
        <f>IFERROR(IF(LBE$7&gt;$D$3,"",AVERAGE($HJ123:IL123)),"")</f>
        <v>0.73928571428571443</v>
      </c>
      <c r="NB123" s="333">
        <f>IFERROR(IF(LBF$7&gt;$D$3,"",AVERAGE($HJ123:IM123)),"")</f>
        <v>0.74827586206896557</v>
      </c>
      <c r="NC123" s="333">
        <f>IFERROR(IF(LBG$7&gt;$D$3,"",AVERAGE($HJ123:IN123)),"")</f>
        <v>0.75666666666666671</v>
      </c>
      <c r="ND123" s="333">
        <f>IFERROR(IF(LBH$7&gt;$D$3,"",AVERAGE($HJ123:IO123)),"")</f>
        <v>0.76451612903225818</v>
      </c>
      <c r="NE123" s="333">
        <f>IFERROR(IF(LBI$7&gt;$D$3,"",AVERAGE($HJ123:IP123)),"")</f>
        <v>0.77187500000000009</v>
      </c>
      <c r="NF123" s="333">
        <f>IFERROR(IF(LBJ$7&gt;$D$3,"",AVERAGE($HJ123:IQ123)),"")</f>
        <v>0.77878787878787892</v>
      </c>
      <c r="NG123" s="333">
        <f>IFERROR(IF(LBK$7&gt;$D$3,"",AVERAGE($HJ123:IR123)),"")</f>
        <v>0.78529411764705892</v>
      </c>
      <c r="NH123" s="333">
        <f>IFERROR(IF(LBL$7&gt;$D$3,"",AVERAGE($HJ123:IS123)),"")</f>
        <v>0.79142857142857148</v>
      </c>
      <c r="NI123" s="333">
        <f>IFERROR(IF(LBM$7&gt;$D$3,"",AVERAGE($HJ123:IT123)),"")</f>
        <v>0.79722222222222228</v>
      </c>
      <c r="NJ123" s="333">
        <f>IFERROR(IF(LBN$7&gt;$D$3,"",AVERAGE($HJ123:IU123)),"")</f>
        <v>0.80270270270270283</v>
      </c>
      <c r="NK123" s="333">
        <f>IFERROR(IF(LBO$7&gt;$D$3,"",AVERAGE($HJ123:IV123)),"")</f>
        <v>0.80789473684210533</v>
      </c>
      <c r="NL123" s="333">
        <f>IFERROR(IF(LBP$7&gt;$D$3,"",AVERAGE($HJ123:IW123)),"")</f>
        <v>0.81282051282051293</v>
      </c>
      <c r="NM123" s="333">
        <f>IFERROR(IF(LBQ$7&gt;$D$3,"",AVERAGE($HJ123:IX123)),"")</f>
        <v>0.81750000000000012</v>
      </c>
      <c r="NN123" s="333">
        <f>IFERROR(IF(LBR$7&gt;$D$3,"",AVERAGE($HJ123:IY123)),"")</f>
        <v>0.82195121951219519</v>
      </c>
      <c r="NO123" s="333">
        <f>IFERROR(IF(LBS$7&gt;$D$3,"",AVERAGE($HJ123:IZ123)),"")</f>
        <v>0.82195121951219519</v>
      </c>
      <c r="NP123" s="333">
        <f>IFERROR(IF(LBT$7&gt;$D$3,"",AVERAGE($HJ123:JA123)),"")</f>
        <v>0.82195121951219519</v>
      </c>
      <c r="NQ123" s="333">
        <f>IFERROR(IF(LBU$7&gt;$D$3,"",AVERAGE($HJ123:JB123)),"")</f>
        <v>0.82195121951219519</v>
      </c>
      <c r="NR123" s="333">
        <f>IFERROR(IF(LBV$7&gt;$D$3,"",AVERAGE($HJ123:JC123)),"")</f>
        <v>0.82195121951219519</v>
      </c>
      <c r="NS123" s="333">
        <f>IFERROR(IF(LBW$7&gt;$D$3,"",AVERAGE($HJ123:JD123)),"")</f>
        <v>0.82195121951219519</v>
      </c>
      <c r="NT123" s="333">
        <f>IFERROR(IF(LBX$7&gt;$D$3,"",AVERAGE($HJ123:JE123)),"")</f>
        <v>0.82195121951219519</v>
      </c>
      <c r="NU123" s="333">
        <f>IFERROR(IF(LBY$7&gt;$D$3,"",AVERAGE($HJ123:JF123)),"")</f>
        <v>0.82195121951219519</v>
      </c>
      <c r="NV123" s="333">
        <f>IFERROR(IF(LBZ$7&gt;$D$3,"",AVERAGE($HJ123:JG123)),"")</f>
        <v>0.82195121951219519</v>
      </c>
      <c r="NW123" s="333">
        <f>IFERROR(IF(LCA$7&gt;$D$3,"",AVERAGE($HJ123:JH123)),"")</f>
        <v>0.82195121951219519</v>
      </c>
      <c r="NX123" s="333">
        <f>IFERROR(IF(LCB$7&gt;$D$3,"",AVERAGE($HJ123:JI123)),"")</f>
        <v>0.82195121951219519</v>
      </c>
      <c r="NY123" s="333">
        <f>IFERROR(IF(LCC$7&gt;$D$3,"",AVERAGE($HJ123:JJ123)),"")</f>
        <v>0.82195121951219519</v>
      </c>
    </row>
    <row r="126" spans="1:389" ht="15" thickBot="1" x14ac:dyDescent="0.35"/>
    <row r="127" spans="1:389" x14ac:dyDescent="0.3">
      <c r="FY127" s="222" t="str">
        <f>IF(FY$7&gt;$D$3,"",IF($FA126&lt;FY$7,"OD",_xlfn.XLOOKUP(FY$7,EHS!$M$6:$BM$6,EHS!$M$9:$BM$9)))</f>
        <v>OD</v>
      </c>
      <c r="FZ127" s="222" t="str">
        <f>IF(FZ$7&gt;$D$3,"",IF($FA126&lt;FZ$7,"OD",_xlfn.XLOOKUP(FZ$7,EHS!$M$6:$BM$6,EHS!$M$9:$BM$9)))</f>
        <v>OD</v>
      </c>
    </row>
  </sheetData>
  <mergeCells count="19">
    <mergeCell ref="B18:B20"/>
    <mergeCell ref="B58:B60"/>
    <mergeCell ref="B70:B72"/>
    <mergeCell ref="B85:B87"/>
    <mergeCell ref="B91:B93"/>
    <mergeCell ref="B64:B66"/>
    <mergeCell ref="B97:B99"/>
    <mergeCell ref="B24:B27"/>
    <mergeCell ref="B116:B120"/>
    <mergeCell ref="B52:B54"/>
    <mergeCell ref="B31:B34"/>
    <mergeCell ref="B38:B41"/>
    <mergeCell ref="B45:B48"/>
    <mergeCell ref="B103:B105"/>
    <mergeCell ref="O2:O4"/>
    <mergeCell ref="I2:I4"/>
    <mergeCell ref="W2:W4"/>
    <mergeCell ref="AC5:AF5"/>
    <mergeCell ref="B11:B13"/>
  </mergeCells>
  <phoneticPr fontId="36" type="noConversion"/>
  <conditionalFormatting sqref="J11:J15 J18:J21 J24:J28 J31:J35 J38:J42 J45:J49 J52:J55 J58:J61 J64:J67 J70:J73 J76:J78 J80:J82 J85:J88 J91:J94 J97:J100 J103:J106 J109 J111:J113 J116:J123 AN11:CM16 AN18:CM22 AN24:CM29 AN31:CM36 AN38:CM43 AN45:CM50 AN52:CM56 AN58:CM62 AN64:CM68 AN70:CM74 AN76:CM78 AN80:CM83 AN85:CM89 AN91:CM95 AN97:CM101 AN103:CM107 AN109:CM109 AN111:CM114 AM116:CM123 M12:M13 M24 M28 M31:M33 M38:M40 M45:M47 M52:M53 M58:M61 M64:M65 M67 M103:M104 M111 S111:T111 AA111 M116:M123 S116:T123 AA116:AA123">
    <cfRule type="containsText" dxfId="541" priority="20" stopIfTrue="1" operator="containsText" text="TBC">
      <formula>NOT(ISERROR(SEARCH("TBC",J11)))</formula>
    </cfRule>
  </conditionalFormatting>
  <conditionalFormatting sqref="J11:J15 AN11:CM16 M12:M13 J18:J21 AN18:CM22 M24 J24:J28 AN24:CM29 M28 M31:M33 J31:J35 AN31:CM36 M38:M40 J38:J42 AN38:CM43 M45:M47 J45:J49 AN45:CM50 M52:M53 J52:J55 AN52:CM56 J58:J61 M58:M61 AN58:CM62 M64:M65 J64:J67 AN64:CM68 M67 J70:J73 AN70:CM74 J76:J78 AN76:CM78 J80:J82 AN80:CM83 J85:J88 AN85:CM89 J91:J94 AN91:CM95 J97:J100 AN97:CM101 M103:M104 J103:J106 AN103:CM107 J109 AN109:CM109 M111 S111:T111 AA111 J111:J113 AN111:CM114 J116:J123 M116:M123 S116:T123 AA116:AA123 AM116:CM123 P11:P15 P18:P21 P24:P28 P31:P35 P38:P42 P45:P49 P52:P55 P58:P61 P64:P67 P70:P73 P76:P78 P80:P82 P85:P88 P91:P94 P97:P100 P103:P106 P109 P111:P113 P116:P123">
    <cfRule type="containsText" dxfId="540" priority="22" stopIfTrue="1" operator="containsText" text="OD">
      <formula>NOT(ISERROR(SEARCH("OD",J11)))</formula>
    </cfRule>
  </conditionalFormatting>
  <conditionalFormatting sqref="J11:J15 AN11:CM16 M12:M13 J18:J21 AN18:CM22 M24 J24:J28 AN24:CM29 M28 M31:M33 J31:J35 AN31:CM36 M38:M40 J38:J42 AN38:CM43 M45:M47 J45:J49 AN45:CM50 M52:M53 J52:J55 AN52:CM56 J58:J61 M58:M61 AN58:CM62 M64:M65 J64:J67 AN64:CM68 M67 J70:J73 AN70:CM74 J76:J78 AN76:CM78 J80:J82 AN80:CM83 J85:J88 AN85:CM89 J91:J94 AN91:CM95 J97:J100 AN97:CM101 M103:M104 J103:J106 AN103:CM107 J109 AN109:CM109 M111 S111:T111 AA111 J111:J113 AN111:CM114 J116:J123 M116:M123 S116:T123 AA116:AA123 AM116:CM123">
    <cfRule type="cellIs" dxfId="539" priority="331" stopIfTrue="1" operator="lessThan">
      <formula>0.95</formula>
    </cfRule>
    <cfRule type="cellIs" dxfId="538" priority="99" stopIfTrue="1" operator="greaterThanOrEqual">
      <formula>0.95</formula>
    </cfRule>
    <cfRule type="containsText" dxfId="537" priority="21" stopIfTrue="1" operator="containsText" text="Blank">
      <formula>NOT(ISERROR(SEARCH("Blank",J11)))</formula>
    </cfRule>
    <cfRule type="containsText" dxfId="536" priority="25" stopIfTrue="1" operator="containsText" text="Missed">
      <formula>NOT(ISERROR(SEARCH("Missed",J11)))</formula>
    </cfRule>
  </conditionalFormatting>
  <conditionalFormatting sqref="J11:L15 J18:L21 J24:L28 J31:L35 J38:L42 J45:L49 J52:L55 J58:L61 J64:L67 J70:L73 J76:L78 J80:L82 J85:L88 J91:L94 J97:L100 J103:L106 J109:L109 J111:L113 J116:L123">
    <cfRule type="expression" dxfId="535" priority="15" stopIfTrue="1">
      <formula>$J11="R"</formula>
    </cfRule>
    <cfRule type="expression" dxfId="534" priority="16" stopIfTrue="1">
      <formula>$J11="G"</formula>
    </cfRule>
    <cfRule type="expression" dxfId="533" priority="17" stopIfTrue="1">
      <formula>$J11="A"</formula>
    </cfRule>
    <cfRule type="expression" dxfId="532" priority="18" stopIfTrue="1">
      <formula>$J11="OD"</formula>
    </cfRule>
  </conditionalFormatting>
  <conditionalFormatting sqref="P11:P15 AM11:CM123 P18:P21 P24:P28 P31:P35 P38:P42 P45:P49 P52:P55 P58:P61 P64:P67 P70:P73 P76:P78 P80:P82 P85:P88 P91:P94 P97:P100 P103:P106 P109 P111:P113 P116:P123">
    <cfRule type="cellIs" dxfId="531" priority="9" stopIfTrue="1" operator="equal">
      <formula>"R"</formula>
    </cfRule>
    <cfRule type="cellIs" dxfId="530" priority="10" stopIfTrue="1" operator="equal">
      <formula>"G"</formula>
    </cfRule>
    <cfRule type="cellIs" dxfId="529" priority="11" stopIfTrue="1" operator="equal">
      <formula>"A"</formula>
    </cfRule>
  </conditionalFormatting>
  <conditionalFormatting sqref="U11:U15 AB11:AB15 U18:U21 AB18:AB21 U24:U28 AB24:AB28 U31:U35 AB31:AB35 U38:U42 AB38:AB42 U52:U55 AB52:AB55 U58:U61 AB58:AB61 U97:U100 AB97:AB100 U103:U106 AB103:AB106 U109 AB109 U111:U113 AB111:AB113 U116:U123 AB116:AB123">
    <cfRule type="containsText" dxfId="528" priority="329" stopIfTrue="1" operator="containsText" text="Worse">
      <formula>NOT(ISERROR(SEARCH("Worse",U11)))</formula>
    </cfRule>
    <cfRule type="containsText" dxfId="527" priority="330" stopIfTrue="1" operator="containsText" text="Better">
      <formula>NOT(ISERROR(SEARCH("Better",U11)))</formula>
    </cfRule>
  </conditionalFormatting>
  <conditionalFormatting sqref="U18:U21 AB18:AB21 U45:U49 AB45:AB49 U64:U67 AB64:AB67 U70:U73 AB70:AB73 U76:U78 AB76:AB78 U80:U82 AB80:AB82 U85:U88 AB85:AB88 U91:U94 AB91:AB94 M97:M100 U97:U100 AB97:AB100 U103:U106 AB103:AB106 U109 AB109 U111:U113 AB111:AB113 U116:U123 AB116:AB123">
    <cfRule type="containsText" dxfId="526" priority="138" stopIfTrue="1" operator="containsText" text="Worse">
      <formula>NOT(ISERROR(SEARCH("Worse",M18)))</formula>
    </cfRule>
    <cfRule type="containsText" dxfId="525" priority="137" stopIfTrue="1" operator="containsText" text="Same">
      <formula>NOT(ISERROR(SEARCH("Same",M18)))</formula>
    </cfRule>
    <cfRule type="containsText" dxfId="524" priority="139" stopIfTrue="1" operator="containsText" text="Better">
      <formula>NOT(ISERROR(SEARCH("Better",M18)))</formula>
    </cfRule>
  </conditionalFormatting>
  <conditionalFormatting sqref="U18:U21 AB18:AB21 U97:U100 AB97:AB100 U103:U106 AB103:AB106 U109 AB109 U111:U113 AB111:AB113 U116:U123 AB116:AB123 U11:U15 AB11:AB15 U24:U28 AB24:AB28 U31:U35 AB31:AB35 U38:U42 AB38:AB42 U52:U55 AB52:AB55 U58:U61 AB58:AB61">
    <cfRule type="containsText" dxfId="523" priority="328" stopIfTrue="1" operator="containsText" text="Same">
      <formula>NOT(ISERROR(SEARCH("Same",U11)))</formula>
    </cfRule>
  </conditionalFormatting>
  <conditionalFormatting sqref="X11:X15 X18:X21 X24:X28 X31:X35 X38:X42 X45:X49 X52:X55 X58:X61 X64:X67 X70:X73 X76:X78 X80:X82 X85:X88 X91:X94 X97:X100 X103:X106 X109 X111:X113 X116:X123">
    <cfRule type="cellIs" dxfId="522" priority="2" stopIfTrue="1" operator="equal">
      <formula>"G"</formula>
    </cfRule>
    <cfRule type="cellIs" dxfId="521" priority="3" stopIfTrue="1" operator="equal">
      <formula>"A"</formula>
    </cfRule>
    <cfRule type="containsText" dxfId="520" priority="4" stopIfTrue="1" operator="containsText" text="OD">
      <formula>NOT(ISERROR(SEARCH("OD",X11)))</formula>
    </cfRule>
    <cfRule type="cellIs" dxfId="519" priority="1" stopIfTrue="1" operator="equal">
      <formula>"R"</formula>
    </cfRule>
  </conditionalFormatting>
  <conditionalFormatting sqref="AN1:CM16 AN18:CM22 AN24:CM29 AN31:CM36 AN38:CM43 AN45:CM50 AN52:CM56 AN58:CM62 AN64:CM68 AN70:CM74 AN76:CM78 AN80:CM83 AN85:CM89 AN91:CM95 AN97:CM101 AN103:CM107 AN109:CM109 AN111:CM114 AM116:AM123 AN116:CM1048576">
    <cfRule type="containsBlanks" priority="94" stopIfTrue="1">
      <formula>LEN(TRIM(AM1))=0</formula>
    </cfRule>
  </conditionalFormatting>
  <conditionalFormatting sqref="AN11:CM16 AN18:CM22 AN24:CM29 AN31:CM36 AN38:CM43 AN45:CM50 AN52:CM56 AN58:CM62 AN64:CM68 AN70:CM74 AN76:CM78 AN80:CM83 AN85:CM89 AN91:CM95 AN97:CM101 AN103:CM107 AN109:CM109 AN111:CM114 AM116:CM123 J11:J15 M12:M13 J18:J21 M24 J24:J28 M28 M31:M33 J31:J35 M38:M40 J38:J42 M45:M47 J45:J49 M52:M53 J52:J55 J58:J61 M58:M61 M64:M65 J64:J67 M67 J70:J73 J76:J78 J80:J82 J85:J88 J91:J94 J97:J100 M103:M104 J103:J106 J109 M111 S111:T111 AA111 J111:J113 J116:J123 M116:M123 S116:T123 AA116:AA123">
    <cfRule type="cellIs" dxfId="518" priority="98" stopIfTrue="1" operator="greaterThanOrEqual">
      <formula>1</formula>
    </cfRule>
  </conditionalFormatting>
  <conditionalFormatting sqref="CU11:EU15 CU18:EU21 CU24:EU28 CU31:EU35 CU38:EU42 CU45:EU49 CU52:EU55 CU58:EU61 CU64:EU67 CU70:EU73 CU76:EU78 CU80:EU82 CU85:EU88 CU91:EU94 CU97:EU100 CU103:EU106 CU109:EU109 CU111:EU113 CU116:EU123">
    <cfRule type="cellIs" dxfId="517" priority="60" operator="greaterThanOrEqual">
      <formula>1</formula>
    </cfRule>
    <cfRule type="cellIs" dxfId="516" priority="86" operator="greaterThanOrEqual">
      <formula>0.95</formula>
    </cfRule>
    <cfRule type="cellIs" dxfId="515" priority="87" operator="lessThan">
      <formula>0.95</formula>
    </cfRule>
    <cfRule type="containsText" dxfId="514" priority="31" stopIfTrue="1" operator="containsText" text="Missed">
      <formula>NOT(ISERROR(SEARCH("Missed",CU11)))</formula>
    </cfRule>
    <cfRule type="containsText" dxfId="513" priority="30" stopIfTrue="1" operator="containsText" text="Undefined">
      <formula>NOT(ISERROR(SEARCH("Undefined",CU11)))</formula>
    </cfRule>
    <cfRule type="containsText" dxfId="512" priority="29" stopIfTrue="1" operator="containsText" text="Blank">
      <formula>NOT(ISERROR(SEARCH("Blank",CU11)))</formula>
    </cfRule>
    <cfRule type="containsBlanks" dxfId="511" priority="36" stopIfTrue="1">
      <formula>LEN(TRIM(CU11))=0</formula>
    </cfRule>
    <cfRule type="containsText" dxfId="510" priority="32" stopIfTrue="1" operator="containsText" text="OD">
      <formula>NOT(ISERROR(SEARCH("OD",CU11)))</formula>
    </cfRule>
  </conditionalFormatting>
  <conditionalFormatting sqref="CU97:EU100 CU64:EU67 CU11:EU15 CU18:EU21 CU24:EU28 CU31:EU35 CU38:EU42 CU45:EU49 CU52:EU55 CU58:EU61 CU70:EU73 CU76:EU78 CU80:EU82 CU85:EU88 CU91:EU94 CU103:EU106 CU109:EU109 CU111:EU113 CU116:EU123">
    <cfRule type="containsText" dxfId="509" priority="35" stopIfTrue="1" operator="containsText" text="TBC">
      <formula>NOT(ISERROR(SEARCH("TBC",CU11)))</formula>
    </cfRule>
  </conditionalFormatting>
  <conditionalFormatting sqref="CV66:EU66">
    <cfRule type="cellIs" dxfId="508" priority="33" stopIfTrue="1" operator="equal">
      <formula>0</formula>
    </cfRule>
  </conditionalFormatting>
  <conditionalFormatting sqref="CV100:EU100">
    <cfRule type="cellIs" dxfId="507" priority="34" operator="greaterThanOrEqual">
      <formula>1</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A4EBE-4C09-40AA-A817-1C34B02CC7C2}">
  <sheetPr>
    <tabColor rgb="FFFF0000"/>
  </sheetPr>
  <dimension ref="C4:E5"/>
  <sheetViews>
    <sheetView workbookViewId="0">
      <selection activeCell="F21" sqref="F21:F24"/>
    </sheetView>
  </sheetViews>
  <sheetFormatPr defaultRowHeight="14.4" x14ac:dyDescent="0.3"/>
  <cols>
    <col min="5" max="5" width="11.5546875" bestFit="1" customWidth="1"/>
  </cols>
  <sheetData>
    <row r="4" spans="3:5" x14ac:dyDescent="0.3">
      <c r="C4" s="154"/>
      <c r="E4" t="s">
        <v>468</v>
      </c>
    </row>
    <row r="5" spans="3:5" x14ac:dyDescent="0.3">
      <c r="C5" s="362"/>
      <c r="E5" t="s">
        <v>642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D2224-BEE5-4704-9C79-3440D3092AA8}">
  <dimension ref="C3:G10"/>
  <sheetViews>
    <sheetView showGridLines="0" workbookViewId="0">
      <selection activeCell="D3" sqref="D3:K11"/>
    </sheetView>
  </sheetViews>
  <sheetFormatPr defaultRowHeight="14.4" x14ac:dyDescent="0.3"/>
  <sheetData>
    <row r="3" spans="3:7" x14ac:dyDescent="0.3">
      <c r="C3" s="2"/>
      <c r="D3" s="2" t="s">
        <v>651</v>
      </c>
      <c r="E3" s="2"/>
      <c r="F3" s="2"/>
      <c r="G3" s="2"/>
    </row>
    <row r="4" spans="3:7" x14ac:dyDescent="0.3">
      <c r="C4" s="2"/>
      <c r="D4" s="2"/>
      <c r="E4" s="2"/>
      <c r="F4" s="670" t="s">
        <v>146</v>
      </c>
      <c r="G4" s="2"/>
    </row>
    <row r="5" spans="3:7" x14ac:dyDescent="0.3">
      <c r="C5" s="2"/>
      <c r="D5" s="2" t="s">
        <v>647</v>
      </c>
      <c r="E5" s="2"/>
      <c r="F5" s="670">
        <v>2</v>
      </c>
      <c r="G5" s="2" t="s">
        <v>648</v>
      </c>
    </row>
    <row r="6" spans="3:7" x14ac:dyDescent="0.3">
      <c r="C6" s="2"/>
      <c r="D6" s="2" t="s">
        <v>646</v>
      </c>
      <c r="E6" s="2"/>
      <c r="F6" s="670">
        <v>1</v>
      </c>
      <c r="G6" s="2" t="s">
        <v>649</v>
      </c>
    </row>
    <row r="7" spans="3:7" x14ac:dyDescent="0.3">
      <c r="C7" s="2"/>
      <c r="D7" s="2" t="s">
        <v>671</v>
      </c>
      <c r="E7" s="2"/>
      <c r="F7" s="670">
        <f>1+5+5+5+5+2</f>
        <v>23</v>
      </c>
      <c r="G7" s="2" t="s">
        <v>674</v>
      </c>
    </row>
    <row r="8" spans="3:7" x14ac:dyDescent="0.3">
      <c r="C8" s="2"/>
      <c r="D8" s="2" t="s">
        <v>673</v>
      </c>
      <c r="E8" s="2"/>
      <c r="F8" s="670">
        <v>1</v>
      </c>
      <c r="G8" s="2" t="s">
        <v>649</v>
      </c>
    </row>
    <row r="9" spans="3:7" ht="15" thickBot="1" x14ac:dyDescent="0.35">
      <c r="C9" s="2"/>
      <c r="D9" s="2"/>
      <c r="E9" s="2"/>
      <c r="F9" s="670"/>
      <c r="G9" s="2"/>
    </row>
    <row r="10" spans="3:7" ht="15" thickBot="1" x14ac:dyDescent="0.35">
      <c r="C10" s="2"/>
      <c r="D10" s="2"/>
      <c r="E10" s="2"/>
      <c r="F10" s="671">
        <f>SUM(F5:F9)</f>
        <v>27</v>
      </c>
      <c r="G1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48ED-44E3-4B4D-8B36-15FADE5E6CB6}">
  <sheetPr>
    <tabColor rgb="FF00B050"/>
  </sheetPr>
  <dimension ref="B1:BN39"/>
  <sheetViews>
    <sheetView zoomScale="80" zoomScaleNormal="80" workbookViewId="0">
      <pane xSplit="12" ySplit="7" topLeftCell="AW8" activePane="bottomRight" state="frozen"/>
      <selection pane="topRight" activeCell="M1" sqref="M1"/>
      <selection pane="bottomLeft" activeCell="A8" sqref="A8"/>
      <selection pane="bottomRight" activeCell="BB26" sqref="BB26"/>
    </sheetView>
  </sheetViews>
  <sheetFormatPr defaultColWidth="9.33203125" defaultRowHeight="14.4" outlineLevelRow="1" x14ac:dyDescent="0.3"/>
  <cols>
    <col min="1" max="1" width="3" style="2" customWidth="1"/>
    <col min="2" max="2" width="16.44140625" style="2" customWidth="1"/>
    <col min="3" max="3" width="16.5546875" style="13" bestFit="1" customWidth="1"/>
    <col min="4" max="4" width="25.33203125" style="2" customWidth="1"/>
    <col min="5" max="5" width="8.44140625" style="2" customWidth="1"/>
    <col min="6" max="6" width="8.88671875" style="2" customWidth="1"/>
    <col min="7" max="7" width="31.33203125" style="2" customWidth="1"/>
    <col min="8" max="8" width="9.44140625" style="2" bestFit="1" customWidth="1"/>
    <col min="9" max="12" width="3" style="2" bestFit="1" customWidth="1"/>
    <col min="13" max="65" width="10.109375" style="2" customWidth="1"/>
    <col min="66" max="66" width="7.6640625" style="2" hidden="1"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8.600000000000001" thickBot="1" x14ac:dyDescent="0.35">
      <c r="B1" s="14" t="s">
        <v>121</v>
      </c>
      <c r="C1" s="10" t="s">
        <v>24</v>
      </c>
    </row>
    <row r="2" spans="2:66" ht="15" thickBot="1" x14ac:dyDescent="0.35">
      <c r="B2"/>
      <c r="C2"/>
      <c r="D2" s="119" t="s">
        <v>123</v>
      </c>
      <c r="E2" s="310">
        <v>42</v>
      </c>
      <c r="F2" s="2" t="s">
        <v>380</v>
      </c>
    </row>
    <row r="3" spans="2:66" ht="15" thickBot="1" x14ac:dyDescent="0.35">
      <c r="B3" s="2" t="s">
        <v>384</v>
      </c>
      <c r="D3" s="120" t="s">
        <v>193</v>
      </c>
      <c r="E3" s="342">
        <f>+'KPI Analysis'!D3</f>
        <v>42</v>
      </c>
    </row>
    <row r="4" spans="2:66" ht="15.6" customHeight="1" thickBot="1" x14ac:dyDescent="0.35">
      <c r="B4" s="346" t="str">
        <f>IF(E2&lt;(E3-1),"Overdue","Current")</f>
        <v>Current</v>
      </c>
      <c r="C4" s="2"/>
      <c r="D4" s="120" t="s">
        <v>378</v>
      </c>
      <c r="E4" s="343" t="s">
        <v>385</v>
      </c>
      <c r="F4"/>
      <c r="G4" s="120" t="s">
        <v>379</v>
      </c>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5" thickBot="1" x14ac:dyDescent="0.35"/>
    <row r="6" spans="2:66" ht="24" customHeight="1" x14ac:dyDescent="0.3">
      <c r="B6" s="14" t="s">
        <v>79</v>
      </c>
      <c r="C6" s="926" t="s">
        <v>178</v>
      </c>
      <c r="D6" s="927"/>
      <c r="E6" s="106"/>
      <c r="F6" s="106"/>
      <c r="G6" s="928" t="s">
        <v>37</v>
      </c>
      <c r="H6" s="15" t="s">
        <v>7</v>
      </c>
      <c r="I6" s="16">
        <f>J6-1</f>
        <v>49</v>
      </c>
      <c r="J6" s="17">
        <f>K6-1</f>
        <v>50</v>
      </c>
      <c r="K6" s="17">
        <f>L6-1</f>
        <v>51</v>
      </c>
      <c r="L6" s="55">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37.950000000000003" customHeight="1" x14ac:dyDescent="0.3">
      <c r="B7" s="14" t="s">
        <v>38</v>
      </c>
      <c r="C7" s="21" t="s">
        <v>39</v>
      </c>
      <c r="D7" s="21" t="s">
        <v>40</v>
      </c>
      <c r="E7" s="21" t="s">
        <v>140</v>
      </c>
      <c r="F7" s="21" t="s">
        <v>159</v>
      </c>
      <c r="G7" s="929"/>
      <c r="H7" s="15" t="s">
        <v>41</v>
      </c>
      <c r="I7" s="22">
        <f t="shared" ref="I7:K7" si="2">J7-7</f>
        <v>45632</v>
      </c>
      <c r="J7" s="23">
        <f t="shared" si="2"/>
        <v>45639</v>
      </c>
      <c r="K7" s="23">
        <f t="shared" si="2"/>
        <v>45646</v>
      </c>
      <c r="L7" s="56">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24" customHeight="1" x14ac:dyDescent="0.3">
      <c r="B8" s="920" t="s">
        <v>30</v>
      </c>
      <c r="C8" s="922" t="s">
        <v>42</v>
      </c>
      <c r="D8" s="922" t="s">
        <v>43</v>
      </c>
      <c r="E8" s="922" t="s">
        <v>146</v>
      </c>
      <c r="F8" s="922" t="s">
        <v>171</v>
      </c>
      <c r="G8" s="930" t="s">
        <v>691</v>
      </c>
      <c r="H8" s="27" t="s">
        <v>44</v>
      </c>
      <c r="I8" s="28">
        <v>0</v>
      </c>
      <c r="J8" s="29">
        <v>0</v>
      </c>
      <c r="K8" s="29">
        <v>0</v>
      </c>
      <c r="L8" s="51">
        <v>0</v>
      </c>
      <c r="M8" s="30" t="s">
        <v>122</v>
      </c>
      <c r="N8" s="29">
        <v>0</v>
      </c>
      <c r="O8" s="29">
        <v>0</v>
      </c>
      <c r="P8" s="29">
        <v>0</v>
      </c>
      <c r="Q8" s="29">
        <v>0</v>
      </c>
      <c r="R8" s="29">
        <v>0</v>
      </c>
      <c r="S8" s="29">
        <v>0</v>
      </c>
      <c r="T8" s="29">
        <v>0</v>
      </c>
      <c r="U8" s="29">
        <v>0</v>
      </c>
      <c r="V8" s="29">
        <v>0</v>
      </c>
      <c r="W8" s="29">
        <v>0</v>
      </c>
      <c r="X8" s="29">
        <v>0</v>
      </c>
      <c r="Y8" s="29">
        <v>0</v>
      </c>
      <c r="Z8" s="29">
        <v>0</v>
      </c>
      <c r="AA8" s="29">
        <v>0</v>
      </c>
      <c r="AB8" s="29">
        <v>0</v>
      </c>
      <c r="AC8" s="29">
        <v>0</v>
      </c>
      <c r="AD8" s="29">
        <v>0</v>
      </c>
      <c r="AE8" s="29">
        <v>0</v>
      </c>
      <c r="AF8" s="29">
        <v>0</v>
      </c>
      <c r="AG8" s="29">
        <v>0</v>
      </c>
      <c r="AH8" s="29">
        <v>0</v>
      </c>
      <c r="AI8" s="29">
        <v>0</v>
      </c>
      <c r="AJ8" s="29">
        <f>IF(AJ$6&gt;$E$3,"",0)</f>
        <v>0</v>
      </c>
      <c r="AK8" s="29">
        <f t="shared" ref="AK8:BN8" si="4">IF(AK$6&gt;$E$3,"",0)</f>
        <v>0</v>
      </c>
      <c r="AL8" s="29">
        <f t="shared" si="4"/>
        <v>0</v>
      </c>
      <c r="AM8" s="29">
        <f t="shared" si="4"/>
        <v>0</v>
      </c>
      <c r="AN8" s="29">
        <f t="shared" si="4"/>
        <v>0</v>
      </c>
      <c r="AO8" s="29">
        <f t="shared" si="4"/>
        <v>0</v>
      </c>
      <c r="AP8" s="29">
        <f t="shared" si="4"/>
        <v>0</v>
      </c>
      <c r="AQ8" s="29">
        <f t="shared" si="4"/>
        <v>0</v>
      </c>
      <c r="AR8" s="29">
        <f t="shared" si="4"/>
        <v>0</v>
      </c>
      <c r="AS8" s="29">
        <f t="shared" si="4"/>
        <v>0</v>
      </c>
      <c r="AT8" s="29">
        <f t="shared" si="4"/>
        <v>0</v>
      </c>
      <c r="AU8" s="29">
        <f t="shared" si="4"/>
        <v>0</v>
      </c>
      <c r="AV8" s="29">
        <f t="shared" si="4"/>
        <v>0</v>
      </c>
      <c r="AW8" s="29">
        <f t="shared" si="4"/>
        <v>0</v>
      </c>
      <c r="AX8" s="29">
        <f t="shared" si="4"/>
        <v>0</v>
      </c>
      <c r="AY8" s="29">
        <f t="shared" si="4"/>
        <v>0</v>
      </c>
      <c r="AZ8" s="29">
        <f t="shared" si="4"/>
        <v>0</v>
      </c>
      <c r="BA8" s="29">
        <f t="shared" si="4"/>
        <v>0</v>
      </c>
      <c r="BB8" s="29">
        <f t="shared" si="4"/>
        <v>0</v>
      </c>
      <c r="BC8" s="29" t="str">
        <f t="shared" si="4"/>
        <v/>
      </c>
      <c r="BD8" s="29" t="str">
        <f t="shared" si="4"/>
        <v/>
      </c>
      <c r="BE8" s="29" t="str">
        <f t="shared" si="4"/>
        <v/>
      </c>
      <c r="BF8" s="29" t="str">
        <f t="shared" si="4"/>
        <v/>
      </c>
      <c r="BG8" s="29" t="str">
        <f t="shared" si="4"/>
        <v/>
      </c>
      <c r="BH8" s="29" t="str">
        <f t="shared" si="4"/>
        <v/>
      </c>
      <c r="BI8" s="29" t="str">
        <f t="shared" si="4"/>
        <v/>
      </c>
      <c r="BJ8" s="29" t="str">
        <f t="shared" si="4"/>
        <v/>
      </c>
      <c r="BK8" s="29" t="str">
        <f t="shared" si="4"/>
        <v/>
      </c>
      <c r="BL8" s="29" t="str">
        <f t="shared" si="4"/>
        <v/>
      </c>
      <c r="BM8" s="29" t="str">
        <f t="shared" si="4"/>
        <v/>
      </c>
      <c r="BN8" s="29" t="str">
        <f t="shared" si="4"/>
        <v/>
      </c>
    </row>
    <row r="9" spans="2:66" ht="24" customHeight="1" x14ac:dyDescent="0.3">
      <c r="B9" s="920"/>
      <c r="C9" s="921"/>
      <c r="D9" s="921"/>
      <c r="E9" s="921"/>
      <c r="F9" s="921"/>
      <c r="G9" s="919"/>
      <c r="H9" s="33" t="s">
        <v>45</v>
      </c>
      <c r="I9" s="34">
        <v>0</v>
      </c>
      <c r="J9" s="35">
        <v>0</v>
      </c>
      <c r="K9" s="35">
        <v>0</v>
      </c>
      <c r="L9" s="52"/>
      <c r="M9" s="36" t="s">
        <v>122</v>
      </c>
      <c r="N9" s="35">
        <v>0</v>
      </c>
      <c r="O9" s="35">
        <v>0</v>
      </c>
      <c r="P9" s="35">
        <v>0</v>
      </c>
      <c r="Q9" s="35">
        <v>0</v>
      </c>
      <c r="R9" s="35">
        <v>0</v>
      </c>
      <c r="S9" s="35">
        <v>0</v>
      </c>
      <c r="T9" s="35">
        <v>2</v>
      </c>
      <c r="U9" s="35">
        <v>0</v>
      </c>
      <c r="V9" s="35">
        <v>0</v>
      </c>
      <c r="W9" s="35">
        <v>0</v>
      </c>
      <c r="X9" s="35">
        <v>0</v>
      </c>
      <c r="Y9" s="35">
        <v>0</v>
      </c>
      <c r="Z9" s="35">
        <v>0</v>
      </c>
      <c r="AA9" s="35">
        <v>0</v>
      </c>
      <c r="AB9" s="35">
        <v>0</v>
      </c>
      <c r="AC9" s="35">
        <v>0</v>
      </c>
      <c r="AD9" s="35">
        <v>0</v>
      </c>
      <c r="AE9" s="35">
        <v>0</v>
      </c>
      <c r="AF9" s="35">
        <v>0</v>
      </c>
      <c r="AG9" s="35">
        <v>0</v>
      </c>
      <c r="AH9" s="35">
        <v>0</v>
      </c>
      <c r="AI9" s="35">
        <v>2</v>
      </c>
      <c r="AJ9" s="35">
        <v>5</v>
      </c>
      <c r="AK9" s="35">
        <v>5</v>
      </c>
      <c r="AL9" s="35">
        <v>5</v>
      </c>
      <c r="AM9" s="35">
        <v>5</v>
      </c>
      <c r="AN9" s="35">
        <v>3</v>
      </c>
      <c r="AO9" s="35">
        <v>0</v>
      </c>
      <c r="AP9" s="35">
        <v>0</v>
      </c>
      <c r="AQ9" s="35">
        <v>0</v>
      </c>
      <c r="AR9" s="35">
        <v>0</v>
      </c>
      <c r="AS9" s="35">
        <v>0</v>
      </c>
      <c r="AT9" s="35">
        <v>0</v>
      </c>
      <c r="AU9" s="35">
        <v>0</v>
      </c>
      <c r="AV9" s="35">
        <v>0</v>
      </c>
      <c r="AW9" s="35">
        <v>0</v>
      </c>
      <c r="AX9" s="35">
        <v>0</v>
      </c>
      <c r="AY9" s="35">
        <v>0</v>
      </c>
      <c r="AZ9" s="35">
        <v>0</v>
      </c>
      <c r="BA9" s="35">
        <v>0</v>
      </c>
      <c r="BB9" s="35">
        <v>0</v>
      </c>
      <c r="BC9" s="35"/>
      <c r="BD9" s="35"/>
      <c r="BE9" s="35"/>
      <c r="BF9" s="35"/>
      <c r="BG9" s="35"/>
      <c r="BH9" s="35"/>
      <c r="BI9" s="35"/>
      <c r="BJ9" s="35"/>
      <c r="BK9" s="35"/>
      <c r="BL9" s="35"/>
      <c r="BM9" s="35"/>
      <c r="BN9" s="37"/>
    </row>
    <row r="10" spans="2:66" ht="24" customHeight="1" x14ac:dyDescent="0.3">
      <c r="B10" s="920"/>
      <c r="C10" s="921"/>
      <c r="D10" s="921"/>
      <c r="E10" s="921"/>
      <c r="F10" s="921"/>
      <c r="G10" s="919"/>
      <c r="H10" s="38" t="s">
        <v>46</v>
      </c>
      <c r="I10" s="39" t="str">
        <f t="shared" ref="I10:L10" si="5">IF(I9="","",IF((I9-I8)&lt;=0,"G",IF((I9-(I8*0.95))&lt;=0,"A","R")))</f>
        <v>G</v>
      </c>
      <c r="J10" s="40" t="str">
        <f t="shared" si="5"/>
        <v>G</v>
      </c>
      <c r="K10" s="40" t="str">
        <f t="shared" si="5"/>
        <v>G</v>
      </c>
      <c r="L10" s="53" t="str">
        <f t="shared" si="5"/>
        <v/>
      </c>
      <c r="M10" s="40" t="str">
        <f>IF(M$6&gt;$E$3,"",IF(M9="","OD",IF(M9="Blank","Blank",IF(M9="TBC","TBC",IF(M9="Undefined","Undefined",IF(M9="Missed","Missed",IF(M9="OD","OD",IF(M$4="OD","OD",IF((M9-M8)&lt;=0,"G",IF((M9-(M8/0.95))&lt;=0,"A","R"))))))))))</f>
        <v>Blank</v>
      </c>
      <c r="N10" s="40" t="str">
        <f t="shared" ref="N10:BM10" si="6">IF(N$6&gt;$E$3,"",IF(N9="","OD",IF(N9="Blank","Blank",IF(N9="TBC","TBC",IF(N9="Undefined","Undefined",IF(N9="Missed","Missed",IF(N9="OD","OD",IF(N$4="OD","OD",IF((N9-N8)&lt;=0,"G",IF((N9-(N8/0.95))&lt;=0,"A","R"))))))))))</f>
        <v>G</v>
      </c>
      <c r="O10" s="40" t="str">
        <f t="shared" si="6"/>
        <v>G</v>
      </c>
      <c r="P10" s="40" t="str">
        <f t="shared" si="6"/>
        <v>G</v>
      </c>
      <c r="Q10" s="40" t="str">
        <f t="shared" si="6"/>
        <v>G</v>
      </c>
      <c r="R10" s="40" t="str">
        <f t="shared" si="6"/>
        <v>G</v>
      </c>
      <c r="S10" s="40" t="str">
        <f t="shared" si="6"/>
        <v>G</v>
      </c>
      <c r="T10" s="40" t="str">
        <f t="shared" si="6"/>
        <v>R</v>
      </c>
      <c r="U10" s="40" t="str">
        <f t="shared" si="6"/>
        <v>G</v>
      </c>
      <c r="V10" s="40" t="str">
        <f t="shared" si="6"/>
        <v>G</v>
      </c>
      <c r="W10" s="40" t="str">
        <f t="shared" si="6"/>
        <v>G</v>
      </c>
      <c r="X10" s="40" t="str">
        <f t="shared" si="6"/>
        <v>G</v>
      </c>
      <c r="Y10" s="40" t="str">
        <f t="shared" si="6"/>
        <v>G</v>
      </c>
      <c r="Z10" s="40" t="str">
        <f t="shared" si="6"/>
        <v>G</v>
      </c>
      <c r="AA10" s="40" t="str">
        <f t="shared" si="6"/>
        <v>G</v>
      </c>
      <c r="AB10" s="40" t="str">
        <f t="shared" si="6"/>
        <v>G</v>
      </c>
      <c r="AC10" s="40" t="str">
        <f t="shared" si="6"/>
        <v>G</v>
      </c>
      <c r="AD10" s="40" t="str">
        <f t="shared" si="6"/>
        <v>G</v>
      </c>
      <c r="AE10" s="40" t="str">
        <f t="shared" si="6"/>
        <v>G</v>
      </c>
      <c r="AF10" s="40" t="str">
        <f t="shared" si="6"/>
        <v>G</v>
      </c>
      <c r="AG10" s="40" t="str">
        <f t="shared" si="6"/>
        <v>G</v>
      </c>
      <c r="AH10" s="40" t="str">
        <f t="shared" si="6"/>
        <v>G</v>
      </c>
      <c r="AI10" s="40" t="str">
        <f t="shared" si="6"/>
        <v>R</v>
      </c>
      <c r="AJ10" s="40" t="str">
        <f t="shared" si="6"/>
        <v>R</v>
      </c>
      <c r="AK10" s="40" t="str">
        <f t="shared" si="6"/>
        <v>R</v>
      </c>
      <c r="AL10" s="40" t="str">
        <f t="shared" si="6"/>
        <v>R</v>
      </c>
      <c r="AM10" s="40" t="str">
        <f t="shared" si="6"/>
        <v>R</v>
      </c>
      <c r="AN10" s="40" t="str">
        <f t="shared" si="6"/>
        <v>R</v>
      </c>
      <c r="AO10" s="40" t="str">
        <f t="shared" si="6"/>
        <v>G</v>
      </c>
      <c r="AP10" s="40" t="str">
        <f t="shared" si="6"/>
        <v>G</v>
      </c>
      <c r="AQ10" s="40" t="str">
        <f t="shared" si="6"/>
        <v>G</v>
      </c>
      <c r="AR10" s="40" t="str">
        <f t="shared" si="6"/>
        <v>G</v>
      </c>
      <c r="AS10" s="40" t="str">
        <f t="shared" si="6"/>
        <v>G</v>
      </c>
      <c r="AT10" s="40" t="str">
        <f t="shared" si="6"/>
        <v>G</v>
      </c>
      <c r="AU10" s="40" t="str">
        <f t="shared" si="6"/>
        <v>G</v>
      </c>
      <c r="AV10" s="40" t="str">
        <f t="shared" si="6"/>
        <v>G</v>
      </c>
      <c r="AW10" s="40" t="str">
        <f t="shared" si="6"/>
        <v>G</v>
      </c>
      <c r="AX10" s="40" t="str">
        <f t="shared" si="6"/>
        <v>G</v>
      </c>
      <c r="AY10" s="40" t="str">
        <f t="shared" si="6"/>
        <v>G</v>
      </c>
      <c r="AZ10" s="40" t="str">
        <f t="shared" si="6"/>
        <v>G</v>
      </c>
      <c r="BA10" s="40" t="str">
        <f t="shared" si="6"/>
        <v>G</v>
      </c>
      <c r="BB10" s="40" t="str">
        <f t="shared" si="6"/>
        <v>G</v>
      </c>
      <c r="BC10" s="40" t="str">
        <f t="shared" si="6"/>
        <v/>
      </c>
      <c r="BD10" s="40" t="str">
        <f t="shared" si="6"/>
        <v/>
      </c>
      <c r="BE10" s="40" t="str">
        <f t="shared" si="6"/>
        <v/>
      </c>
      <c r="BF10" s="40" t="str">
        <f t="shared" si="6"/>
        <v/>
      </c>
      <c r="BG10" s="40" t="str">
        <f t="shared" si="6"/>
        <v/>
      </c>
      <c r="BH10" s="40" t="str">
        <f t="shared" si="6"/>
        <v/>
      </c>
      <c r="BI10" s="40" t="str">
        <f t="shared" si="6"/>
        <v/>
      </c>
      <c r="BJ10" s="40" t="str">
        <f t="shared" si="6"/>
        <v/>
      </c>
      <c r="BK10" s="40" t="str">
        <f t="shared" si="6"/>
        <v/>
      </c>
      <c r="BL10" s="40" t="str">
        <f t="shared" si="6"/>
        <v/>
      </c>
      <c r="BM10" s="40" t="str">
        <f t="shared" si="6"/>
        <v/>
      </c>
      <c r="BN10" s="42"/>
    </row>
    <row r="11" spans="2:66" ht="24" customHeight="1" x14ac:dyDescent="0.3">
      <c r="B11" s="920" t="s">
        <v>33</v>
      </c>
      <c r="C11" s="921" t="s">
        <v>191</v>
      </c>
      <c r="D11" s="921" t="s">
        <v>47</v>
      </c>
      <c r="E11" s="921" t="s">
        <v>142</v>
      </c>
      <c r="F11" s="921" t="s">
        <v>154</v>
      </c>
      <c r="G11" s="923" t="s">
        <v>557</v>
      </c>
      <c r="H11" s="27" t="s">
        <v>44</v>
      </c>
      <c r="I11" s="28">
        <v>45</v>
      </c>
      <c r="J11" s="29">
        <v>45</v>
      </c>
      <c r="K11" s="29">
        <v>45</v>
      </c>
      <c r="L11" s="51"/>
      <c r="M11" s="30" t="s">
        <v>122</v>
      </c>
      <c r="N11" s="29">
        <v>45</v>
      </c>
      <c r="O11" s="29">
        <v>45</v>
      </c>
      <c r="P11" s="29">
        <v>45</v>
      </c>
      <c r="Q11" s="29">
        <v>45</v>
      </c>
      <c r="R11" s="29">
        <v>45</v>
      </c>
      <c r="S11" s="29">
        <v>45</v>
      </c>
      <c r="T11" s="29">
        <v>45</v>
      </c>
      <c r="U11" s="29">
        <v>45</v>
      </c>
      <c r="V11" s="29">
        <v>45</v>
      </c>
      <c r="W11" s="29">
        <v>45</v>
      </c>
      <c r="X11" s="29">
        <v>45</v>
      </c>
      <c r="Y11" s="29">
        <v>45</v>
      </c>
      <c r="Z11" s="29">
        <v>45</v>
      </c>
      <c r="AA11" s="29">
        <v>55</v>
      </c>
      <c r="AB11" s="29">
        <v>55</v>
      </c>
      <c r="AC11" s="29">
        <v>55</v>
      </c>
      <c r="AD11" s="29">
        <v>55</v>
      </c>
      <c r="AE11" s="29">
        <v>55</v>
      </c>
      <c r="AF11" s="29">
        <v>55</v>
      </c>
      <c r="AG11" s="29">
        <v>55</v>
      </c>
      <c r="AH11" s="29">
        <v>55</v>
      </c>
      <c r="AI11" s="29">
        <v>55</v>
      </c>
      <c r="AJ11" s="29">
        <v>55</v>
      </c>
      <c r="AK11" s="29">
        <f t="shared" ref="AK11:AL11" si="7">IF(AK$6&gt;$E$3,"",55)</f>
        <v>55</v>
      </c>
      <c r="AL11" s="29">
        <f t="shared" si="7"/>
        <v>55</v>
      </c>
      <c r="AM11" s="29">
        <v>70</v>
      </c>
      <c r="AN11" s="29">
        <v>70</v>
      </c>
      <c r="AO11" s="29">
        <v>70</v>
      </c>
      <c r="AP11" s="29">
        <v>70</v>
      </c>
      <c r="AQ11" s="29">
        <f>IF(AQ$6&gt;$E$3,"",70)</f>
        <v>70</v>
      </c>
      <c r="AR11" s="29">
        <f t="shared" ref="AR11:BN11" si="8">IF(AR$6&gt;$E$3,"",70)</f>
        <v>70</v>
      </c>
      <c r="AS11" s="29">
        <f t="shared" si="8"/>
        <v>70</v>
      </c>
      <c r="AT11" s="29">
        <f t="shared" si="8"/>
        <v>70</v>
      </c>
      <c r="AU11" s="29">
        <f t="shared" si="8"/>
        <v>70</v>
      </c>
      <c r="AV11" s="29">
        <f t="shared" si="8"/>
        <v>70</v>
      </c>
      <c r="AW11" s="29">
        <f t="shared" si="8"/>
        <v>70</v>
      </c>
      <c r="AX11" s="29">
        <f t="shared" si="8"/>
        <v>70</v>
      </c>
      <c r="AY11" s="29">
        <f t="shared" si="8"/>
        <v>70</v>
      </c>
      <c r="AZ11" s="29">
        <v>100</v>
      </c>
      <c r="BA11" s="29">
        <v>100</v>
      </c>
      <c r="BB11" s="29">
        <f>IF(BB$6&gt;$E$3,"",100)</f>
        <v>100</v>
      </c>
      <c r="BC11" s="29" t="str">
        <f t="shared" ref="BC11:BM11" si="9">IF(BC$6&gt;$E$3,"",100)</f>
        <v/>
      </c>
      <c r="BD11" s="29" t="str">
        <f t="shared" si="9"/>
        <v/>
      </c>
      <c r="BE11" s="29" t="str">
        <f t="shared" si="9"/>
        <v/>
      </c>
      <c r="BF11" s="29" t="str">
        <f t="shared" si="9"/>
        <v/>
      </c>
      <c r="BG11" s="29" t="str">
        <f t="shared" si="9"/>
        <v/>
      </c>
      <c r="BH11" s="29" t="str">
        <f t="shared" si="9"/>
        <v/>
      </c>
      <c r="BI11" s="29" t="str">
        <f t="shared" si="9"/>
        <v/>
      </c>
      <c r="BJ11" s="29" t="str">
        <f t="shared" si="9"/>
        <v/>
      </c>
      <c r="BK11" s="29" t="str">
        <f t="shared" si="9"/>
        <v/>
      </c>
      <c r="BL11" s="29" t="str">
        <f t="shared" si="9"/>
        <v/>
      </c>
      <c r="BM11" s="29" t="str">
        <f t="shared" si="9"/>
        <v/>
      </c>
      <c r="BN11" s="29" t="str">
        <f t="shared" si="8"/>
        <v/>
      </c>
    </row>
    <row r="12" spans="2:66" ht="24" customHeight="1" x14ac:dyDescent="0.3">
      <c r="B12" s="920"/>
      <c r="C12" s="921"/>
      <c r="D12" s="921"/>
      <c r="E12" s="921"/>
      <c r="F12" s="921"/>
      <c r="G12" s="924"/>
      <c r="H12" s="33" t="s">
        <v>45</v>
      </c>
      <c r="I12" s="34">
        <v>57</v>
      </c>
      <c r="J12" s="35">
        <v>49</v>
      </c>
      <c r="K12" s="35">
        <v>45</v>
      </c>
      <c r="L12" s="52"/>
      <c r="M12" s="36" t="s">
        <v>122</v>
      </c>
      <c r="N12" s="35">
        <v>44</v>
      </c>
      <c r="O12" s="35">
        <v>56</v>
      </c>
      <c r="P12" s="35">
        <v>49</v>
      </c>
      <c r="Q12" s="35">
        <v>50</v>
      </c>
      <c r="R12" s="35">
        <v>52</v>
      </c>
      <c r="S12" s="35">
        <v>53</v>
      </c>
      <c r="T12" s="35">
        <v>47</v>
      </c>
      <c r="U12" s="35">
        <v>45</v>
      </c>
      <c r="V12" s="35">
        <v>72</v>
      </c>
      <c r="W12" s="35">
        <v>56</v>
      </c>
      <c r="X12" s="35">
        <v>47</v>
      </c>
      <c r="Y12" s="35">
        <v>45</v>
      </c>
      <c r="Z12" s="35">
        <v>45</v>
      </c>
      <c r="AA12" s="35">
        <v>57</v>
      </c>
      <c r="AB12" s="35">
        <v>38</v>
      </c>
      <c r="AC12" s="35">
        <v>30</v>
      </c>
      <c r="AD12" s="35">
        <v>41</v>
      </c>
      <c r="AE12" s="35">
        <v>33</v>
      </c>
      <c r="AF12" s="35">
        <v>67</v>
      </c>
      <c r="AG12" s="35">
        <v>48</v>
      </c>
      <c r="AH12" s="35">
        <v>47</v>
      </c>
      <c r="AI12" s="35">
        <v>68</v>
      </c>
      <c r="AJ12" s="35">
        <v>71</v>
      </c>
      <c r="AK12" s="35">
        <v>70</v>
      </c>
      <c r="AL12" s="35">
        <v>82</v>
      </c>
      <c r="AM12" s="35">
        <v>77</v>
      </c>
      <c r="AN12" s="35">
        <v>81</v>
      </c>
      <c r="AO12" s="35">
        <v>83</v>
      </c>
      <c r="AP12" s="35">
        <v>72</v>
      </c>
      <c r="AQ12" s="35">
        <v>96</v>
      </c>
      <c r="AR12" s="35">
        <v>78</v>
      </c>
      <c r="AS12" s="35">
        <v>67</v>
      </c>
      <c r="AT12" s="35">
        <v>86</v>
      </c>
      <c r="AU12" s="35">
        <v>85</v>
      </c>
      <c r="AV12" s="35">
        <v>88</v>
      </c>
      <c r="AW12" s="35">
        <v>97</v>
      </c>
      <c r="AX12" s="35">
        <v>101</v>
      </c>
      <c r="AY12" s="35">
        <v>99</v>
      </c>
      <c r="AZ12" s="35">
        <v>112</v>
      </c>
      <c r="BA12" s="35">
        <v>104</v>
      </c>
      <c r="BB12" s="35">
        <v>103</v>
      </c>
      <c r="BC12" s="35"/>
      <c r="BD12" s="35"/>
      <c r="BE12" s="35"/>
      <c r="BF12" s="35"/>
      <c r="BG12" s="35"/>
      <c r="BH12" s="35"/>
      <c r="BI12" s="35"/>
      <c r="BJ12" s="35"/>
      <c r="BK12" s="35"/>
      <c r="BL12" s="35"/>
      <c r="BM12" s="37"/>
      <c r="BN12" s="37"/>
    </row>
    <row r="13" spans="2:66" ht="24" customHeight="1" x14ac:dyDescent="0.3">
      <c r="B13" s="920"/>
      <c r="C13" s="921"/>
      <c r="D13" s="921"/>
      <c r="E13" s="921"/>
      <c r="F13" s="921"/>
      <c r="G13" s="925"/>
      <c r="H13" s="38" t="s">
        <v>46</v>
      </c>
      <c r="I13" s="39" t="str">
        <f>IF(I12="","",IF((I12-I11)&gt;=0,"G",IF((I12-(I11*0.95))&gt;=0,"A","R")))</f>
        <v>G</v>
      </c>
      <c r="J13" s="40" t="str">
        <f t="shared" ref="J13:L13" si="10">IF(J12="","",IF((J12-J11)&gt;=0,"G",IF((J12-(J11*0.95))&gt;=0,"A","R")))</f>
        <v>G</v>
      </c>
      <c r="K13" s="40" t="str">
        <f t="shared" si="10"/>
        <v>G</v>
      </c>
      <c r="L13" s="53" t="str">
        <f t="shared" si="10"/>
        <v/>
      </c>
      <c r="M13" s="40" t="str">
        <f>IF(M$6&gt;$E$3,"",IF(M12="","OD",IF(M12="Blank","Blank",IF(M12="TBC","TBC",IF(M12="Undefined","Undefined",IF(M12="Missed","Missed",IF(M12="OD","OD",IF(M$4="OD","OD",IF((M12-M11)&gt;=0,"G",IF((M12-(M11*0.95))&gt;=0,"A","R"))))))))))</f>
        <v>Blank</v>
      </c>
      <c r="N13" s="40" t="str">
        <f t="shared" ref="N13:BM13" si="11">IF(N$6&gt;$E$3,"",IF(N12="","OD",IF(N12="Blank","Blank",IF(N12="TBC","TBC",IF(N12="Undefined","Undefined",IF(N12="Missed","Missed",IF(N12="OD","OD",IF(N$4="OD","OD",IF((N12-N11)&gt;=0,"G",IF((N12-(N11*0.95))&gt;=0,"A","R"))))))))))</f>
        <v>A</v>
      </c>
      <c r="O13" s="40" t="str">
        <f t="shared" si="11"/>
        <v>G</v>
      </c>
      <c r="P13" s="40" t="str">
        <f t="shared" si="11"/>
        <v>G</v>
      </c>
      <c r="Q13" s="40" t="str">
        <f t="shared" si="11"/>
        <v>G</v>
      </c>
      <c r="R13" s="40" t="str">
        <f t="shared" si="11"/>
        <v>G</v>
      </c>
      <c r="S13" s="40" t="str">
        <f t="shared" si="11"/>
        <v>G</v>
      </c>
      <c r="T13" s="40" t="str">
        <f t="shared" si="11"/>
        <v>G</v>
      </c>
      <c r="U13" s="40" t="str">
        <f t="shared" si="11"/>
        <v>G</v>
      </c>
      <c r="V13" s="40" t="str">
        <f t="shared" si="11"/>
        <v>G</v>
      </c>
      <c r="W13" s="40" t="str">
        <f t="shared" si="11"/>
        <v>G</v>
      </c>
      <c r="X13" s="40" t="str">
        <f t="shared" si="11"/>
        <v>G</v>
      </c>
      <c r="Y13" s="40" t="str">
        <f t="shared" si="11"/>
        <v>G</v>
      </c>
      <c r="Z13" s="40" t="str">
        <f t="shared" si="11"/>
        <v>G</v>
      </c>
      <c r="AA13" s="40" t="str">
        <f t="shared" si="11"/>
        <v>G</v>
      </c>
      <c r="AB13" s="40" t="str">
        <f t="shared" si="11"/>
        <v>R</v>
      </c>
      <c r="AC13" s="40" t="str">
        <f t="shared" si="11"/>
        <v>R</v>
      </c>
      <c r="AD13" s="40" t="str">
        <f t="shared" si="11"/>
        <v>R</v>
      </c>
      <c r="AE13" s="40" t="str">
        <f t="shared" si="11"/>
        <v>R</v>
      </c>
      <c r="AF13" s="40" t="str">
        <f t="shared" si="11"/>
        <v>G</v>
      </c>
      <c r="AG13" s="40" t="str">
        <f t="shared" si="11"/>
        <v>R</v>
      </c>
      <c r="AH13" s="40" t="str">
        <f t="shared" si="11"/>
        <v>R</v>
      </c>
      <c r="AI13" s="40" t="str">
        <f t="shared" si="11"/>
        <v>G</v>
      </c>
      <c r="AJ13" s="40" t="str">
        <f t="shared" si="11"/>
        <v>G</v>
      </c>
      <c r="AK13" s="40" t="str">
        <f t="shared" si="11"/>
        <v>G</v>
      </c>
      <c r="AL13" s="40" t="str">
        <f t="shared" si="11"/>
        <v>G</v>
      </c>
      <c r="AM13" s="40" t="str">
        <f t="shared" si="11"/>
        <v>G</v>
      </c>
      <c r="AN13" s="40" t="str">
        <f t="shared" si="11"/>
        <v>G</v>
      </c>
      <c r="AO13" s="40" t="str">
        <f t="shared" si="11"/>
        <v>G</v>
      </c>
      <c r="AP13" s="40" t="str">
        <f t="shared" si="11"/>
        <v>G</v>
      </c>
      <c r="AQ13" s="40" t="str">
        <f t="shared" si="11"/>
        <v>G</v>
      </c>
      <c r="AR13" s="40" t="str">
        <f t="shared" si="11"/>
        <v>G</v>
      </c>
      <c r="AS13" s="40" t="str">
        <f t="shared" si="11"/>
        <v>A</v>
      </c>
      <c r="AT13" s="40" t="str">
        <f t="shared" si="11"/>
        <v>G</v>
      </c>
      <c r="AU13" s="40" t="str">
        <f t="shared" si="11"/>
        <v>G</v>
      </c>
      <c r="AV13" s="40" t="str">
        <f t="shared" si="11"/>
        <v>G</v>
      </c>
      <c r="AW13" s="40" t="str">
        <f t="shared" si="11"/>
        <v>G</v>
      </c>
      <c r="AX13" s="40" t="str">
        <f t="shared" si="11"/>
        <v>G</v>
      </c>
      <c r="AY13" s="40" t="str">
        <f t="shared" si="11"/>
        <v>G</v>
      </c>
      <c r="AZ13" s="40" t="str">
        <f t="shared" si="11"/>
        <v>G</v>
      </c>
      <c r="BA13" s="40" t="str">
        <f t="shared" si="11"/>
        <v>G</v>
      </c>
      <c r="BB13" s="40" t="str">
        <f t="shared" si="11"/>
        <v>G</v>
      </c>
      <c r="BC13" s="40" t="str">
        <f t="shared" si="11"/>
        <v/>
      </c>
      <c r="BD13" s="40" t="str">
        <f t="shared" si="11"/>
        <v/>
      </c>
      <c r="BE13" s="40" t="str">
        <f t="shared" si="11"/>
        <v/>
      </c>
      <c r="BF13" s="40" t="str">
        <f t="shared" si="11"/>
        <v/>
      </c>
      <c r="BG13" s="40" t="str">
        <f t="shared" si="11"/>
        <v/>
      </c>
      <c r="BH13" s="40" t="str">
        <f t="shared" si="11"/>
        <v/>
      </c>
      <c r="BI13" s="40" t="str">
        <f t="shared" si="11"/>
        <v/>
      </c>
      <c r="BJ13" s="40" t="str">
        <f t="shared" si="11"/>
        <v/>
      </c>
      <c r="BK13" s="40" t="str">
        <f t="shared" si="11"/>
        <v/>
      </c>
      <c r="BL13" s="40" t="str">
        <f t="shared" si="11"/>
        <v/>
      </c>
      <c r="BM13" s="40" t="str">
        <f t="shared" si="11"/>
        <v/>
      </c>
      <c r="BN13" s="42"/>
    </row>
    <row r="14" spans="2:66" ht="24" customHeight="1" x14ac:dyDescent="0.3">
      <c r="B14" s="920" t="s">
        <v>32</v>
      </c>
      <c r="C14" s="921" t="s">
        <v>192</v>
      </c>
      <c r="D14" s="921" t="s">
        <v>48</v>
      </c>
      <c r="E14" s="921" t="s">
        <v>144</v>
      </c>
      <c r="F14" s="921" t="s">
        <v>154</v>
      </c>
      <c r="G14" s="923" t="s">
        <v>692</v>
      </c>
      <c r="H14" s="27" t="s">
        <v>44</v>
      </c>
      <c r="I14" s="28">
        <v>95</v>
      </c>
      <c r="J14" s="29">
        <v>95</v>
      </c>
      <c r="K14" s="29">
        <v>95</v>
      </c>
      <c r="L14" s="51"/>
      <c r="M14" s="30" t="s">
        <v>122</v>
      </c>
      <c r="N14" s="29">
        <v>90</v>
      </c>
      <c r="O14" s="29">
        <v>90</v>
      </c>
      <c r="P14" s="29">
        <v>90</v>
      </c>
      <c r="Q14" s="29">
        <v>90</v>
      </c>
      <c r="R14" s="29">
        <v>90</v>
      </c>
      <c r="S14" s="29">
        <v>90</v>
      </c>
      <c r="T14" s="29">
        <v>90</v>
      </c>
      <c r="U14" s="29">
        <v>90</v>
      </c>
      <c r="V14" s="29">
        <v>90</v>
      </c>
      <c r="W14" s="29">
        <v>90</v>
      </c>
      <c r="X14" s="29">
        <v>90</v>
      </c>
      <c r="Y14" s="29">
        <v>90</v>
      </c>
      <c r="Z14" s="29">
        <v>90</v>
      </c>
      <c r="AA14" s="29">
        <v>90</v>
      </c>
      <c r="AB14" s="29">
        <v>90</v>
      </c>
      <c r="AC14" s="29">
        <v>90</v>
      </c>
      <c r="AD14" s="29">
        <v>90</v>
      </c>
      <c r="AE14" s="29">
        <v>90</v>
      </c>
      <c r="AF14" s="29">
        <v>90</v>
      </c>
      <c r="AG14" s="29">
        <v>90</v>
      </c>
      <c r="AH14" s="29">
        <v>90</v>
      </c>
      <c r="AI14" s="29">
        <v>90</v>
      </c>
      <c r="AJ14" s="29">
        <v>90</v>
      </c>
      <c r="AK14" s="29">
        <f t="shared" ref="AK14:BN14" si="12">IF(AK$6&gt;$E$3,"",90)</f>
        <v>90</v>
      </c>
      <c r="AL14" s="29">
        <f t="shared" si="12"/>
        <v>90</v>
      </c>
      <c r="AM14" s="29">
        <f t="shared" si="12"/>
        <v>90</v>
      </c>
      <c r="AN14" s="29">
        <v>90</v>
      </c>
      <c r="AO14" s="29">
        <f t="shared" si="12"/>
        <v>90</v>
      </c>
      <c r="AP14" s="29">
        <f t="shared" si="12"/>
        <v>90</v>
      </c>
      <c r="AQ14" s="29">
        <f t="shared" si="12"/>
        <v>90</v>
      </c>
      <c r="AR14" s="29">
        <f t="shared" si="12"/>
        <v>90</v>
      </c>
      <c r="AS14" s="29">
        <f t="shared" si="12"/>
        <v>90</v>
      </c>
      <c r="AT14" s="29">
        <f t="shared" si="12"/>
        <v>90</v>
      </c>
      <c r="AU14" s="29">
        <f t="shared" si="12"/>
        <v>90</v>
      </c>
      <c r="AV14" s="29">
        <f t="shared" si="12"/>
        <v>90</v>
      </c>
      <c r="AW14" s="29">
        <f t="shared" si="12"/>
        <v>90</v>
      </c>
      <c r="AX14" s="29">
        <f t="shared" si="12"/>
        <v>90</v>
      </c>
      <c r="AY14" s="29">
        <f t="shared" si="12"/>
        <v>90</v>
      </c>
      <c r="AZ14" s="29">
        <f t="shared" si="12"/>
        <v>90</v>
      </c>
      <c r="BA14" s="29">
        <f t="shared" si="12"/>
        <v>90</v>
      </c>
      <c r="BB14" s="29">
        <f t="shared" si="12"/>
        <v>90</v>
      </c>
      <c r="BC14" s="29" t="str">
        <f t="shared" si="12"/>
        <v/>
      </c>
      <c r="BD14" s="29" t="str">
        <f t="shared" si="12"/>
        <v/>
      </c>
      <c r="BE14" s="29" t="str">
        <f t="shared" si="12"/>
        <v/>
      </c>
      <c r="BF14" s="29" t="str">
        <f t="shared" si="12"/>
        <v/>
      </c>
      <c r="BG14" s="29" t="str">
        <f t="shared" si="12"/>
        <v/>
      </c>
      <c r="BH14" s="29" t="str">
        <f t="shared" si="12"/>
        <v/>
      </c>
      <c r="BI14" s="29" t="str">
        <f t="shared" si="12"/>
        <v/>
      </c>
      <c r="BJ14" s="29" t="str">
        <f t="shared" si="12"/>
        <v/>
      </c>
      <c r="BK14" s="29" t="str">
        <f t="shared" si="12"/>
        <v/>
      </c>
      <c r="BL14" s="29" t="str">
        <f t="shared" si="12"/>
        <v/>
      </c>
      <c r="BM14" s="29" t="str">
        <f t="shared" si="12"/>
        <v/>
      </c>
      <c r="BN14" s="29" t="str">
        <f t="shared" si="12"/>
        <v/>
      </c>
    </row>
    <row r="15" spans="2:66" ht="24" customHeight="1" x14ac:dyDescent="0.3">
      <c r="B15" s="920"/>
      <c r="C15" s="921"/>
      <c r="D15" s="921"/>
      <c r="E15" s="921"/>
      <c r="F15" s="921"/>
      <c r="G15" s="924"/>
      <c r="H15" s="33" t="s">
        <v>45</v>
      </c>
      <c r="I15" s="34">
        <v>92</v>
      </c>
      <c r="J15" s="35">
        <v>92</v>
      </c>
      <c r="K15" s="35">
        <v>91</v>
      </c>
      <c r="L15" s="52"/>
      <c r="M15" s="36" t="s">
        <v>122</v>
      </c>
      <c r="N15" s="35">
        <v>90</v>
      </c>
      <c r="O15" s="35">
        <v>92</v>
      </c>
      <c r="P15" s="35">
        <v>94</v>
      </c>
      <c r="Q15" s="35">
        <v>86</v>
      </c>
      <c r="R15" s="35">
        <v>87</v>
      </c>
      <c r="S15" s="35">
        <v>82</v>
      </c>
      <c r="T15" s="35">
        <v>89</v>
      </c>
      <c r="U15" s="35">
        <v>85</v>
      </c>
      <c r="V15" s="35">
        <v>82</v>
      </c>
      <c r="W15" s="35">
        <v>92</v>
      </c>
      <c r="X15" s="35">
        <v>90</v>
      </c>
      <c r="Y15" s="35">
        <v>86</v>
      </c>
      <c r="Z15" s="35">
        <v>81</v>
      </c>
      <c r="AA15" s="35">
        <v>92</v>
      </c>
      <c r="AB15" s="35">
        <v>88</v>
      </c>
      <c r="AC15" s="35">
        <v>88</v>
      </c>
      <c r="AD15" s="35">
        <v>87</v>
      </c>
      <c r="AE15" s="35">
        <v>86</v>
      </c>
      <c r="AF15" s="35">
        <v>80</v>
      </c>
      <c r="AG15" s="35">
        <v>83</v>
      </c>
      <c r="AH15" s="35">
        <v>78</v>
      </c>
      <c r="AI15" s="35">
        <v>88</v>
      </c>
      <c r="AJ15" s="35">
        <v>79</v>
      </c>
      <c r="AK15" s="35">
        <v>89</v>
      </c>
      <c r="AL15" s="35">
        <v>89</v>
      </c>
      <c r="AM15" s="35">
        <v>86</v>
      </c>
      <c r="AN15" s="35">
        <v>86</v>
      </c>
      <c r="AO15" s="35">
        <v>90</v>
      </c>
      <c r="AP15" s="35">
        <v>90</v>
      </c>
      <c r="AQ15" s="35">
        <v>82</v>
      </c>
      <c r="AR15" s="35">
        <v>90</v>
      </c>
      <c r="AS15" s="35">
        <v>85</v>
      </c>
      <c r="AT15" s="35">
        <v>89</v>
      </c>
      <c r="AU15" s="35">
        <v>87</v>
      </c>
      <c r="AV15" s="35">
        <v>91</v>
      </c>
      <c r="AW15" s="35">
        <v>86</v>
      </c>
      <c r="AX15" s="35">
        <v>86</v>
      </c>
      <c r="AY15" s="35">
        <v>86</v>
      </c>
      <c r="AZ15" s="35">
        <v>91</v>
      </c>
      <c r="BA15" s="35">
        <v>90</v>
      </c>
      <c r="BB15" s="35">
        <v>92</v>
      </c>
      <c r="BC15" s="35"/>
      <c r="BD15" s="35"/>
      <c r="BE15" s="35"/>
      <c r="BF15" s="35"/>
      <c r="BG15" s="35"/>
      <c r="BH15" s="35"/>
      <c r="BI15" s="35"/>
      <c r="BJ15" s="35"/>
      <c r="BK15" s="35"/>
      <c r="BL15" s="35"/>
      <c r="BM15" s="37"/>
      <c r="BN15" s="37"/>
    </row>
    <row r="16" spans="2:66" ht="24" customHeight="1" x14ac:dyDescent="0.3">
      <c r="B16" s="920"/>
      <c r="C16" s="921"/>
      <c r="D16" s="921"/>
      <c r="E16" s="921"/>
      <c r="F16" s="921"/>
      <c r="G16" s="925"/>
      <c r="H16" s="38" t="s">
        <v>46</v>
      </c>
      <c r="I16" s="39" t="str">
        <f>IF(I15="","",IF((I15-I14)&gt;=0,"G",IF((I15-(I14*0.95))&gt;=0,"A","R")))</f>
        <v>A</v>
      </c>
      <c r="J16" s="40" t="str">
        <f t="shared" ref="J16:L16" si="13">IF(J15="","",IF((J15-J14)&gt;=0,"G",IF((J15-(J14*0.95))&gt;=0,"A","R")))</f>
        <v>A</v>
      </c>
      <c r="K16" s="40" t="str">
        <f t="shared" si="13"/>
        <v>A</v>
      </c>
      <c r="L16" s="53" t="str">
        <f t="shared" si="13"/>
        <v/>
      </c>
      <c r="M16" s="40" t="str">
        <f>IF(M$6&gt;$E$3,"",IF(M15="","OD",IF(M15="Blank","Blank",IF(M15="TBC","TBC",IF(M15="Undefined","Undefined",IF(M15="Missed","Missed",IF(M15="OD","OD",IF(M$4="OD","OD",IF((M15-M14)&gt;=0,"G",IF((M15-(M14*0.95))&gt;=0,"A","R"))))))))))</f>
        <v>Blank</v>
      </c>
      <c r="N16" s="40" t="str">
        <f t="shared" ref="N16:BM16" si="14">IF(N$6&gt;$E$3,"",IF(N15="","OD",IF(N15="Blank","Blank",IF(N15="TBC","TBC",IF(N15="Undefined","Undefined",IF(N15="Missed","Missed",IF(N15="OD","OD",IF(N$4="OD","OD",IF((N15-N14)&gt;=0,"G",IF((N15-(N14*0.95))&gt;=0,"A","R"))))))))))</f>
        <v>G</v>
      </c>
      <c r="O16" s="40" t="str">
        <f t="shared" si="14"/>
        <v>G</v>
      </c>
      <c r="P16" s="40" t="str">
        <f t="shared" si="14"/>
        <v>G</v>
      </c>
      <c r="Q16" s="40" t="str">
        <f t="shared" si="14"/>
        <v>A</v>
      </c>
      <c r="R16" s="40" t="str">
        <f t="shared" si="14"/>
        <v>A</v>
      </c>
      <c r="S16" s="40" t="str">
        <f t="shared" si="14"/>
        <v>R</v>
      </c>
      <c r="T16" s="40" t="str">
        <f t="shared" si="14"/>
        <v>A</v>
      </c>
      <c r="U16" s="40" t="str">
        <f t="shared" si="14"/>
        <v>R</v>
      </c>
      <c r="V16" s="40" t="str">
        <f t="shared" si="14"/>
        <v>R</v>
      </c>
      <c r="W16" s="40" t="str">
        <f t="shared" si="14"/>
        <v>G</v>
      </c>
      <c r="X16" s="40" t="str">
        <f t="shared" si="14"/>
        <v>G</v>
      </c>
      <c r="Y16" s="40" t="str">
        <f t="shared" si="14"/>
        <v>A</v>
      </c>
      <c r="Z16" s="40" t="str">
        <f t="shared" si="14"/>
        <v>R</v>
      </c>
      <c r="AA16" s="40" t="str">
        <f t="shared" si="14"/>
        <v>G</v>
      </c>
      <c r="AB16" s="40" t="str">
        <f t="shared" si="14"/>
        <v>A</v>
      </c>
      <c r="AC16" s="40" t="str">
        <f t="shared" si="14"/>
        <v>A</v>
      </c>
      <c r="AD16" s="40" t="str">
        <f t="shared" si="14"/>
        <v>A</v>
      </c>
      <c r="AE16" s="40" t="str">
        <f t="shared" si="14"/>
        <v>A</v>
      </c>
      <c r="AF16" s="40" t="str">
        <f t="shared" si="14"/>
        <v>R</v>
      </c>
      <c r="AG16" s="40" t="str">
        <f t="shared" si="14"/>
        <v>R</v>
      </c>
      <c r="AH16" s="40" t="str">
        <f t="shared" si="14"/>
        <v>R</v>
      </c>
      <c r="AI16" s="40" t="str">
        <f t="shared" si="14"/>
        <v>A</v>
      </c>
      <c r="AJ16" s="40" t="str">
        <f t="shared" si="14"/>
        <v>R</v>
      </c>
      <c r="AK16" s="40" t="str">
        <f t="shared" si="14"/>
        <v>A</v>
      </c>
      <c r="AL16" s="40" t="str">
        <f t="shared" si="14"/>
        <v>A</v>
      </c>
      <c r="AM16" s="40" t="str">
        <f t="shared" si="14"/>
        <v>A</v>
      </c>
      <c r="AN16" s="40" t="str">
        <f t="shared" si="14"/>
        <v>A</v>
      </c>
      <c r="AO16" s="40" t="str">
        <f t="shared" si="14"/>
        <v>G</v>
      </c>
      <c r="AP16" s="40" t="str">
        <f t="shared" si="14"/>
        <v>G</v>
      </c>
      <c r="AQ16" s="40" t="str">
        <f t="shared" si="14"/>
        <v>R</v>
      </c>
      <c r="AR16" s="40" t="str">
        <f t="shared" si="14"/>
        <v>G</v>
      </c>
      <c r="AS16" s="40" t="str">
        <f t="shared" si="14"/>
        <v>R</v>
      </c>
      <c r="AT16" s="40" t="str">
        <f t="shared" si="14"/>
        <v>A</v>
      </c>
      <c r="AU16" s="40" t="str">
        <f t="shared" si="14"/>
        <v>A</v>
      </c>
      <c r="AV16" s="40" t="str">
        <f t="shared" si="14"/>
        <v>G</v>
      </c>
      <c r="AW16" s="40" t="str">
        <f t="shared" si="14"/>
        <v>A</v>
      </c>
      <c r="AX16" s="40" t="str">
        <f t="shared" si="14"/>
        <v>A</v>
      </c>
      <c r="AY16" s="40" t="str">
        <f t="shared" si="14"/>
        <v>A</v>
      </c>
      <c r="AZ16" s="40" t="str">
        <f t="shared" si="14"/>
        <v>G</v>
      </c>
      <c r="BA16" s="40" t="str">
        <f t="shared" si="14"/>
        <v>G</v>
      </c>
      <c r="BB16" s="40" t="str">
        <f t="shared" si="14"/>
        <v>G</v>
      </c>
      <c r="BC16" s="40" t="str">
        <f t="shared" si="14"/>
        <v/>
      </c>
      <c r="BD16" s="40" t="str">
        <f t="shared" si="14"/>
        <v/>
      </c>
      <c r="BE16" s="40" t="str">
        <f t="shared" si="14"/>
        <v/>
      </c>
      <c r="BF16" s="40" t="str">
        <f t="shared" si="14"/>
        <v/>
      </c>
      <c r="BG16" s="40" t="str">
        <f t="shared" si="14"/>
        <v/>
      </c>
      <c r="BH16" s="40" t="str">
        <f t="shared" si="14"/>
        <v/>
      </c>
      <c r="BI16" s="40" t="str">
        <f t="shared" si="14"/>
        <v/>
      </c>
      <c r="BJ16" s="40" t="str">
        <f t="shared" si="14"/>
        <v/>
      </c>
      <c r="BK16" s="40" t="str">
        <f t="shared" si="14"/>
        <v/>
      </c>
      <c r="BL16" s="40" t="str">
        <f t="shared" si="14"/>
        <v/>
      </c>
      <c r="BM16" s="40" t="str">
        <f t="shared" si="14"/>
        <v/>
      </c>
      <c r="BN16" s="42"/>
    </row>
    <row r="17" spans="2:66" ht="24" customHeight="1" x14ac:dyDescent="0.3">
      <c r="B17" s="920" t="s">
        <v>31</v>
      </c>
      <c r="C17" s="921" t="s">
        <v>697</v>
      </c>
      <c r="D17" s="921" t="s">
        <v>49</v>
      </c>
      <c r="E17" s="921" t="s">
        <v>147</v>
      </c>
      <c r="F17" s="922" t="s">
        <v>171</v>
      </c>
      <c r="G17" s="919" t="s">
        <v>693</v>
      </c>
      <c r="H17" s="27" t="s">
        <v>44</v>
      </c>
      <c r="I17" s="28"/>
      <c r="J17" s="29"/>
      <c r="K17" s="29"/>
      <c r="L17" s="51"/>
      <c r="M17" s="30" t="s">
        <v>122</v>
      </c>
      <c r="N17" s="397">
        <v>1</v>
      </c>
      <c r="O17" s="397">
        <v>1</v>
      </c>
      <c r="P17" s="397">
        <v>1</v>
      </c>
      <c r="Q17" s="397">
        <v>1</v>
      </c>
      <c r="R17" s="397">
        <v>1</v>
      </c>
      <c r="S17" s="397">
        <v>1</v>
      </c>
      <c r="T17" s="397">
        <v>1</v>
      </c>
      <c r="U17" s="397">
        <v>1</v>
      </c>
      <c r="V17" s="397">
        <v>1</v>
      </c>
      <c r="W17" s="397">
        <v>1</v>
      </c>
      <c r="X17" s="397">
        <v>1</v>
      </c>
      <c r="Y17" s="397">
        <v>1</v>
      </c>
      <c r="Z17" s="397">
        <v>1</v>
      </c>
      <c r="AA17" s="397">
        <v>1</v>
      </c>
      <c r="AB17" s="29">
        <v>1</v>
      </c>
      <c r="AC17" s="29">
        <v>1</v>
      </c>
      <c r="AD17" s="29">
        <v>1</v>
      </c>
      <c r="AE17" s="29">
        <v>1</v>
      </c>
      <c r="AF17" s="29">
        <v>1</v>
      </c>
      <c r="AG17" s="29">
        <v>1</v>
      </c>
      <c r="AH17" s="29">
        <v>1</v>
      </c>
      <c r="AI17" s="29">
        <v>1</v>
      </c>
      <c r="AJ17" s="29">
        <v>1</v>
      </c>
      <c r="AK17" s="29">
        <f t="shared" ref="AK17:BM17" si="15">IF(AK$6&gt;$E$3,"",1)</f>
        <v>1</v>
      </c>
      <c r="AL17" s="29">
        <f t="shared" si="15"/>
        <v>1</v>
      </c>
      <c r="AM17" s="29">
        <f t="shared" si="15"/>
        <v>1</v>
      </c>
      <c r="AN17" s="29">
        <f t="shared" si="15"/>
        <v>1</v>
      </c>
      <c r="AO17" s="29">
        <f t="shared" si="15"/>
        <v>1</v>
      </c>
      <c r="AP17" s="29">
        <f t="shared" si="15"/>
        <v>1</v>
      </c>
      <c r="AQ17" s="29">
        <f t="shared" si="15"/>
        <v>1</v>
      </c>
      <c r="AR17" s="29">
        <f t="shared" si="15"/>
        <v>1</v>
      </c>
      <c r="AS17" s="29">
        <f t="shared" si="15"/>
        <v>1</v>
      </c>
      <c r="AT17" s="29">
        <f t="shared" si="15"/>
        <v>1</v>
      </c>
      <c r="AU17" s="29">
        <f t="shared" si="15"/>
        <v>1</v>
      </c>
      <c r="AV17" s="29">
        <f t="shared" si="15"/>
        <v>1</v>
      </c>
      <c r="AW17" s="29">
        <f t="shared" si="15"/>
        <v>1</v>
      </c>
      <c r="AX17" s="29">
        <f t="shared" si="15"/>
        <v>1</v>
      </c>
      <c r="AY17" s="29">
        <f t="shared" si="15"/>
        <v>1</v>
      </c>
      <c r="AZ17" s="29">
        <f t="shared" si="15"/>
        <v>1</v>
      </c>
      <c r="BA17" s="29">
        <f t="shared" si="15"/>
        <v>1</v>
      </c>
      <c r="BB17" s="29">
        <f t="shared" si="15"/>
        <v>1</v>
      </c>
      <c r="BC17" s="29" t="str">
        <f t="shared" si="15"/>
        <v/>
      </c>
      <c r="BD17" s="29" t="str">
        <f t="shared" si="15"/>
        <v/>
      </c>
      <c r="BE17" s="29" t="str">
        <f t="shared" si="15"/>
        <v/>
      </c>
      <c r="BF17" s="29" t="str">
        <f t="shared" si="15"/>
        <v/>
      </c>
      <c r="BG17" s="29" t="str">
        <f t="shared" si="15"/>
        <v/>
      </c>
      <c r="BH17" s="29" t="str">
        <f t="shared" si="15"/>
        <v/>
      </c>
      <c r="BI17" s="29" t="str">
        <f t="shared" si="15"/>
        <v/>
      </c>
      <c r="BJ17" s="29" t="str">
        <f t="shared" si="15"/>
        <v/>
      </c>
      <c r="BK17" s="29" t="str">
        <f t="shared" si="15"/>
        <v/>
      </c>
      <c r="BL17" s="29" t="str">
        <f t="shared" si="15"/>
        <v/>
      </c>
      <c r="BM17" s="29" t="str">
        <f t="shared" si="15"/>
        <v/>
      </c>
      <c r="BN17" s="31"/>
    </row>
    <row r="18" spans="2:66" ht="24" customHeight="1" x14ac:dyDescent="0.3">
      <c r="B18" s="920"/>
      <c r="C18" s="921"/>
      <c r="D18" s="921"/>
      <c r="E18" s="921"/>
      <c r="F18" s="921"/>
      <c r="G18" s="919"/>
      <c r="H18" s="33" t="s">
        <v>45</v>
      </c>
      <c r="I18" s="34">
        <v>1.75</v>
      </c>
      <c r="J18" s="35">
        <v>1.8</v>
      </c>
      <c r="K18" s="35">
        <v>1.8</v>
      </c>
      <c r="L18" s="52"/>
      <c r="M18" s="36" t="s">
        <v>122</v>
      </c>
      <c r="N18" s="35" t="s">
        <v>496</v>
      </c>
      <c r="O18" s="35" t="s">
        <v>496</v>
      </c>
      <c r="P18" s="35">
        <v>1</v>
      </c>
      <c r="Q18" s="35">
        <v>0.5</v>
      </c>
      <c r="R18" s="103">
        <v>0.41</v>
      </c>
      <c r="S18" s="35" t="s">
        <v>496</v>
      </c>
      <c r="T18" s="35" t="s">
        <v>496</v>
      </c>
      <c r="U18" s="35">
        <v>0.87</v>
      </c>
      <c r="V18" s="35">
        <v>1.1200000000000001</v>
      </c>
      <c r="W18" s="309">
        <v>1.1499999999999999</v>
      </c>
      <c r="X18" s="309">
        <v>0.9</v>
      </c>
      <c r="Y18" s="309">
        <v>0.96</v>
      </c>
      <c r="Z18" s="309">
        <v>0.51</v>
      </c>
      <c r="AA18" s="309">
        <v>0.51</v>
      </c>
      <c r="AB18" s="103">
        <v>0.75</v>
      </c>
      <c r="AC18" s="309">
        <v>0.72</v>
      </c>
      <c r="AD18" s="309">
        <v>0.6</v>
      </c>
      <c r="AE18" s="309">
        <v>0.8</v>
      </c>
      <c r="AF18" s="309">
        <v>0.55000000000000004</v>
      </c>
      <c r="AG18" s="309">
        <v>0.8</v>
      </c>
      <c r="AH18" s="103">
        <v>0.84</v>
      </c>
      <c r="AI18" s="103">
        <v>0.65</v>
      </c>
      <c r="AJ18" s="103">
        <v>1</v>
      </c>
      <c r="AK18" s="103">
        <v>1.05</v>
      </c>
      <c r="AL18" s="103">
        <v>1.07</v>
      </c>
      <c r="AM18" s="103">
        <v>1.25</v>
      </c>
      <c r="AN18" s="309">
        <v>1.31</v>
      </c>
      <c r="AO18" s="309">
        <v>1.08</v>
      </c>
      <c r="AP18" s="309">
        <v>1.47</v>
      </c>
      <c r="AQ18" s="309">
        <v>1.26</v>
      </c>
      <c r="AR18" s="309">
        <v>1.05</v>
      </c>
      <c r="AS18" s="309">
        <v>1.1499999999999999</v>
      </c>
      <c r="AT18" s="309">
        <v>1.1000000000000001</v>
      </c>
      <c r="AU18" s="309">
        <v>1.56</v>
      </c>
      <c r="AV18" s="309">
        <v>0.8</v>
      </c>
      <c r="AW18" s="309">
        <v>0.76</v>
      </c>
      <c r="AX18" s="309">
        <v>0.74</v>
      </c>
      <c r="AY18" s="309">
        <v>0.98</v>
      </c>
      <c r="AZ18" s="309">
        <v>0.83</v>
      </c>
      <c r="BA18" s="309">
        <v>0.95</v>
      </c>
      <c r="BB18" s="309"/>
      <c r="BC18" s="309"/>
      <c r="BD18" s="309"/>
      <c r="BE18" s="309"/>
      <c r="BF18" s="309"/>
      <c r="BG18" s="309"/>
      <c r="BH18" s="309"/>
      <c r="BI18" s="309"/>
      <c r="BJ18" s="309"/>
      <c r="BK18" s="309"/>
      <c r="BL18" s="309"/>
      <c r="BM18" s="309"/>
      <c r="BN18" s="37"/>
    </row>
    <row r="19" spans="2:66" ht="24" customHeight="1" thickBot="1" x14ac:dyDescent="0.35">
      <c r="B19" s="920"/>
      <c r="C19" s="921"/>
      <c r="D19" s="921"/>
      <c r="E19" s="921"/>
      <c r="F19" s="921"/>
      <c r="G19" s="919"/>
      <c r="H19" s="38" t="s">
        <v>46</v>
      </c>
      <c r="I19" s="43" t="str">
        <f>IF(I18="","",IF(I18="TBC","TBC",IF((I18-I17)&lt;=0,"G",IF((I18-(I17*0.95))&lt;=0,"A","R"))))</f>
        <v>R</v>
      </c>
      <c r="J19" s="44" t="str">
        <f t="shared" ref="J19:L19" si="16">IF(J18="","",IF(J18="TBC","TBC",IF((J18-J17)&lt;=0,"G",IF((J18-(J17*0.95))&lt;=0,"A","R"))))</f>
        <v>R</v>
      </c>
      <c r="K19" s="44" t="str">
        <f t="shared" si="16"/>
        <v>R</v>
      </c>
      <c r="L19" s="54" t="str">
        <f t="shared" si="16"/>
        <v/>
      </c>
      <c r="M19" s="40" t="str">
        <f>IF(M$6&gt;$E$3,"",IF(M18="","OD",IF(M18="Blank","Blank",IF(M18="TBC","TBC",IF(M18="Undefined","Undefined",IF(M18="Missed","Missed",IF(M18="OD","OD",IF(M$4="OD","OD",IF((M18-M17)&lt;=0,"G",IF((M18-(M17/0.95))&lt;=0,"A","R"))))))))))</f>
        <v>Blank</v>
      </c>
      <c r="N19" s="40" t="str">
        <f t="shared" ref="N19:BM19" si="17">IF(N$6&gt;$E$3,"",IF(N18="","OD",IF(N18="Blank","Blank",IF(N18="TBC","TBC",IF(N18="Undefined","Undefined",IF(N18="Missed","Missed",IF(N18="OD","OD",IF(N$4="OD","OD",IF((N18-N17)&lt;=0,"G",IF((N18-(N17/0.95))&lt;=0,"A","R"))))))))))</f>
        <v>Missed</v>
      </c>
      <c r="O19" s="40" t="str">
        <f t="shared" si="17"/>
        <v>Missed</v>
      </c>
      <c r="P19" s="40" t="str">
        <f t="shared" si="17"/>
        <v>G</v>
      </c>
      <c r="Q19" s="40" t="str">
        <f t="shared" si="17"/>
        <v>G</v>
      </c>
      <c r="R19" s="40" t="str">
        <f t="shared" si="17"/>
        <v>G</v>
      </c>
      <c r="S19" s="40" t="str">
        <f t="shared" si="17"/>
        <v>Missed</v>
      </c>
      <c r="T19" s="40" t="str">
        <f t="shared" si="17"/>
        <v>Missed</v>
      </c>
      <c r="U19" s="40" t="str">
        <f t="shared" si="17"/>
        <v>G</v>
      </c>
      <c r="V19" s="40" t="str">
        <f t="shared" si="17"/>
        <v>R</v>
      </c>
      <c r="W19" s="40" t="str">
        <f t="shared" si="17"/>
        <v>R</v>
      </c>
      <c r="X19" s="40" t="str">
        <f t="shared" si="17"/>
        <v>G</v>
      </c>
      <c r="Y19" s="40" t="str">
        <f t="shared" si="17"/>
        <v>G</v>
      </c>
      <c r="Z19" s="40" t="str">
        <f t="shared" si="17"/>
        <v>G</v>
      </c>
      <c r="AA19" s="40" t="str">
        <f t="shared" si="17"/>
        <v>G</v>
      </c>
      <c r="AB19" s="40" t="str">
        <f t="shared" si="17"/>
        <v>G</v>
      </c>
      <c r="AC19" s="40" t="str">
        <f t="shared" si="17"/>
        <v>G</v>
      </c>
      <c r="AD19" s="40" t="str">
        <f t="shared" si="17"/>
        <v>G</v>
      </c>
      <c r="AE19" s="40" t="str">
        <f t="shared" si="17"/>
        <v>G</v>
      </c>
      <c r="AF19" s="40" t="str">
        <f t="shared" si="17"/>
        <v>G</v>
      </c>
      <c r="AG19" s="40" t="str">
        <f t="shared" si="17"/>
        <v>G</v>
      </c>
      <c r="AH19" s="40" t="str">
        <f t="shared" si="17"/>
        <v>G</v>
      </c>
      <c r="AI19" s="40" t="str">
        <f t="shared" si="17"/>
        <v>G</v>
      </c>
      <c r="AJ19" s="40" t="str">
        <f t="shared" si="17"/>
        <v>G</v>
      </c>
      <c r="AK19" s="40" t="str">
        <f t="shared" si="17"/>
        <v>A</v>
      </c>
      <c r="AL19" s="40" t="str">
        <f t="shared" si="17"/>
        <v>R</v>
      </c>
      <c r="AM19" s="40" t="str">
        <f t="shared" si="17"/>
        <v>R</v>
      </c>
      <c r="AN19" s="40" t="str">
        <f t="shared" si="17"/>
        <v>R</v>
      </c>
      <c r="AO19" s="40" t="str">
        <f t="shared" si="17"/>
        <v>R</v>
      </c>
      <c r="AP19" s="40" t="str">
        <f t="shared" si="17"/>
        <v>R</v>
      </c>
      <c r="AQ19" s="40" t="str">
        <f t="shared" si="17"/>
        <v>R</v>
      </c>
      <c r="AR19" s="40" t="str">
        <f t="shared" si="17"/>
        <v>A</v>
      </c>
      <c r="AS19" s="40" t="str">
        <f t="shared" si="17"/>
        <v>R</v>
      </c>
      <c r="AT19" s="40" t="str">
        <f t="shared" si="17"/>
        <v>R</v>
      </c>
      <c r="AU19" s="40" t="str">
        <f t="shared" si="17"/>
        <v>R</v>
      </c>
      <c r="AV19" s="40" t="str">
        <f t="shared" si="17"/>
        <v>G</v>
      </c>
      <c r="AW19" s="40" t="str">
        <f t="shared" si="17"/>
        <v>G</v>
      </c>
      <c r="AX19" s="40" t="str">
        <f t="shared" si="17"/>
        <v>G</v>
      </c>
      <c r="AY19" s="40" t="str">
        <f t="shared" si="17"/>
        <v>G</v>
      </c>
      <c r="AZ19" s="40" t="str">
        <f t="shared" si="17"/>
        <v>G</v>
      </c>
      <c r="BA19" s="40" t="str">
        <f t="shared" si="17"/>
        <v>G</v>
      </c>
      <c r="BB19" s="40" t="str">
        <f t="shared" si="17"/>
        <v>OD</v>
      </c>
      <c r="BC19" s="40" t="str">
        <f t="shared" si="17"/>
        <v/>
      </c>
      <c r="BD19" s="40" t="str">
        <f t="shared" si="17"/>
        <v/>
      </c>
      <c r="BE19" s="40" t="str">
        <f t="shared" si="17"/>
        <v/>
      </c>
      <c r="BF19" s="40" t="str">
        <f t="shared" si="17"/>
        <v/>
      </c>
      <c r="BG19" s="40" t="str">
        <f t="shared" si="17"/>
        <v/>
      </c>
      <c r="BH19" s="40" t="str">
        <f t="shared" si="17"/>
        <v/>
      </c>
      <c r="BI19" s="40" t="str">
        <f t="shared" si="17"/>
        <v/>
      </c>
      <c r="BJ19" s="40" t="str">
        <f t="shared" si="17"/>
        <v/>
      </c>
      <c r="BK19" s="40" t="str">
        <f t="shared" si="17"/>
        <v/>
      </c>
      <c r="BL19" s="40" t="str">
        <f t="shared" si="17"/>
        <v/>
      </c>
      <c r="BM19" s="40" t="str">
        <f t="shared" si="17"/>
        <v/>
      </c>
      <c r="BN19" s="42"/>
    </row>
    <row r="20" spans="2:66" ht="24" customHeight="1" x14ac:dyDescent="0.3">
      <c r="B20" s="920" t="s">
        <v>31</v>
      </c>
      <c r="C20" s="921" t="s">
        <v>698</v>
      </c>
      <c r="D20" s="921" t="s">
        <v>49</v>
      </c>
      <c r="E20" s="921" t="s">
        <v>147</v>
      </c>
      <c r="F20" s="922" t="s">
        <v>171</v>
      </c>
      <c r="G20" s="919" t="s">
        <v>693</v>
      </c>
      <c r="H20" s="27" t="s">
        <v>44</v>
      </c>
      <c r="I20" s="28"/>
      <c r="J20" s="29"/>
      <c r="K20" s="29"/>
      <c r="L20" s="51"/>
      <c r="M20" s="30"/>
      <c r="N20" s="397"/>
      <c r="O20" s="397"/>
      <c r="P20" s="397"/>
      <c r="Q20" s="397"/>
      <c r="R20" s="397"/>
      <c r="S20" s="397"/>
      <c r="T20" s="397"/>
      <c r="U20" s="397"/>
      <c r="V20" s="397"/>
      <c r="W20" s="397"/>
      <c r="X20" s="397"/>
      <c r="Y20" s="397"/>
      <c r="Z20" s="397">
        <v>2.75</v>
      </c>
      <c r="AA20" s="397">
        <v>2.75</v>
      </c>
      <c r="AB20" s="397">
        <v>2.75</v>
      </c>
      <c r="AC20" s="397">
        <v>2.75</v>
      </c>
      <c r="AD20" s="397">
        <v>2.75</v>
      </c>
      <c r="AE20" s="397">
        <v>2.75</v>
      </c>
      <c r="AF20" s="397">
        <v>2.75</v>
      </c>
      <c r="AG20" s="397">
        <v>2.75</v>
      </c>
      <c r="AH20" s="397">
        <v>2.75</v>
      </c>
      <c r="AI20" s="397">
        <v>2.75</v>
      </c>
      <c r="AJ20" s="397">
        <v>2.75</v>
      </c>
      <c r="AK20" s="397">
        <v>2.75</v>
      </c>
      <c r="AL20" s="397">
        <v>2.75</v>
      </c>
      <c r="AM20" s="397">
        <v>2.75</v>
      </c>
      <c r="AN20" s="397">
        <v>2.75</v>
      </c>
      <c r="AO20" s="397">
        <v>2.75</v>
      </c>
      <c r="AP20" s="397">
        <v>2.75</v>
      </c>
      <c r="AQ20" s="397">
        <v>2.75</v>
      </c>
      <c r="AR20" s="397">
        <v>2.75</v>
      </c>
      <c r="AS20" s="397">
        <v>2.75</v>
      </c>
      <c r="AT20" s="397">
        <v>2.75</v>
      </c>
      <c r="AU20" s="397">
        <v>2.75</v>
      </c>
      <c r="AV20" s="397">
        <v>2.75</v>
      </c>
      <c r="AW20" s="397">
        <v>2.75</v>
      </c>
      <c r="AX20" s="397">
        <v>2.75</v>
      </c>
      <c r="AY20" s="29">
        <v>2.75</v>
      </c>
      <c r="AZ20" s="29">
        <v>2.75</v>
      </c>
      <c r="BA20" s="29">
        <f>IF(BA$6&gt;$E$3,"",2.75)</f>
        <v>2.75</v>
      </c>
      <c r="BB20" s="29">
        <f t="shared" ref="BB20:BM20" si="18">IF(BB$6&gt;$E$3,"",2.75)</f>
        <v>2.75</v>
      </c>
      <c r="BC20" s="29" t="str">
        <f t="shared" si="18"/>
        <v/>
      </c>
      <c r="BD20" s="29" t="str">
        <f t="shared" si="18"/>
        <v/>
      </c>
      <c r="BE20" s="29" t="str">
        <f t="shared" si="18"/>
        <v/>
      </c>
      <c r="BF20" s="29" t="str">
        <f t="shared" si="18"/>
        <v/>
      </c>
      <c r="BG20" s="29" t="str">
        <f t="shared" si="18"/>
        <v/>
      </c>
      <c r="BH20" s="29" t="str">
        <f t="shared" si="18"/>
        <v/>
      </c>
      <c r="BI20" s="29" t="str">
        <f t="shared" si="18"/>
        <v/>
      </c>
      <c r="BJ20" s="29" t="str">
        <f t="shared" si="18"/>
        <v/>
      </c>
      <c r="BK20" s="29" t="str">
        <f t="shared" si="18"/>
        <v/>
      </c>
      <c r="BL20" s="29" t="str">
        <f t="shared" si="18"/>
        <v/>
      </c>
      <c r="BM20" s="29" t="str">
        <f t="shared" si="18"/>
        <v/>
      </c>
      <c r="BN20" s="31"/>
    </row>
    <row r="21" spans="2:66" ht="24" customHeight="1" x14ac:dyDescent="0.3">
      <c r="B21" s="920"/>
      <c r="C21" s="921"/>
      <c r="D21" s="921"/>
      <c r="E21" s="921"/>
      <c r="F21" s="921"/>
      <c r="G21" s="919"/>
      <c r="H21" s="33" t="s">
        <v>45</v>
      </c>
      <c r="I21" s="34">
        <v>1.75</v>
      </c>
      <c r="J21" s="35">
        <v>1.8</v>
      </c>
      <c r="K21" s="35">
        <v>1.8</v>
      </c>
      <c r="L21" s="52"/>
      <c r="M21" s="36" t="s">
        <v>122</v>
      </c>
      <c r="N21" s="35" t="s">
        <v>496</v>
      </c>
      <c r="O21" s="35" t="s">
        <v>496</v>
      </c>
      <c r="P21" s="35" t="s">
        <v>496</v>
      </c>
      <c r="Q21" s="35" t="s">
        <v>496</v>
      </c>
      <c r="R21" s="35" t="s">
        <v>496</v>
      </c>
      <c r="S21" s="35" t="s">
        <v>496</v>
      </c>
      <c r="T21" s="35" t="s">
        <v>496</v>
      </c>
      <c r="U21" s="35" t="s">
        <v>496</v>
      </c>
      <c r="V21" s="35" t="s">
        <v>496</v>
      </c>
      <c r="W21" s="35" t="s">
        <v>496</v>
      </c>
      <c r="X21" s="35" t="s">
        <v>496</v>
      </c>
      <c r="Y21" s="35" t="s">
        <v>496</v>
      </c>
      <c r="Z21" s="103">
        <v>2.594117734832857</v>
      </c>
      <c r="AA21" s="103">
        <v>2.9931219704082412</v>
      </c>
      <c r="AB21" s="103">
        <v>2.7351665123632842</v>
      </c>
      <c r="AC21" s="103">
        <v>3.2047645835899292</v>
      </c>
      <c r="AD21" s="35">
        <v>1.5402018797516088</v>
      </c>
      <c r="AE21" s="35">
        <v>3.07</v>
      </c>
      <c r="AF21" s="35">
        <v>1.97</v>
      </c>
      <c r="AG21" s="35">
        <v>2.2999999999999998</v>
      </c>
      <c r="AH21" s="35">
        <v>2.5797360217868373</v>
      </c>
      <c r="AI21" s="35">
        <v>2.41</v>
      </c>
      <c r="AJ21" s="35">
        <v>2.66</v>
      </c>
      <c r="AK21" s="35">
        <v>2.2999999999999998</v>
      </c>
      <c r="AL21" s="35">
        <v>2.08</v>
      </c>
      <c r="AM21" s="35">
        <v>2.38</v>
      </c>
      <c r="AN21" s="35">
        <v>2.7646030494616065</v>
      </c>
      <c r="AO21" s="35">
        <v>1.72</v>
      </c>
      <c r="AP21" s="103">
        <v>2.4548246165189496</v>
      </c>
      <c r="AQ21" s="103">
        <v>2.2837676067151129</v>
      </c>
      <c r="AR21" s="103">
        <v>2.8723064249929626</v>
      </c>
      <c r="AS21" s="103">
        <v>2.0642862469963807</v>
      </c>
      <c r="AT21" s="35">
        <v>1.97</v>
      </c>
      <c r="AU21" s="35">
        <v>4.0199753749839191</v>
      </c>
      <c r="AV21" s="35">
        <v>2.38</v>
      </c>
      <c r="AW21" s="309">
        <v>2.38</v>
      </c>
      <c r="AX21" s="309">
        <v>2.4500000000000002</v>
      </c>
      <c r="AY21" s="309">
        <v>2.66</v>
      </c>
      <c r="AZ21" s="309">
        <v>2.56</v>
      </c>
      <c r="BA21" s="309">
        <v>2.63</v>
      </c>
      <c r="BB21" s="309"/>
      <c r="BC21" s="309"/>
      <c r="BD21" s="309"/>
      <c r="BE21" s="309"/>
      <c r="BF21" s="309"/>
      <c r="BG21" s="309"/>
      <c r="BH21" s="309"/>
      <c r="BI21" s="309"/>
      <c r="BJ21" s="309"/>
      <c r="BK21" s="309"/>
      <c r="BL21" s="309"/>
      <c r="BM21" s="309"/>
      <c r="BN21" s="37"/>
    </row>
    <row r="22" spans="2:66" ht="24" customHeight="1" thickBot="1" x14ac:dyDescent="0.35">
      <c r="B22" s="920"/>
      <c r="C22" s="921"/>
      <c r="D22" s="921"/>
      <c r="E22" s="921"/>
      <c r="F22" s="921"/>
      <c r="G22" s="919"/>
      <c r="H22" s="38" t="s">
        <v>46</v>
      </c>
      <c r="I22" s="43" t="str">
        <f>IF(I21="","",IF(I21="TBC","TBC",IF((I21-I20)&lt;=0,"G",IF((I21-(I20*0.95))&lt;=0,"A","R"))))</f>
        <v>R</v>
      </c>
      <c r="J22" s="44" t="str">
        <f t="shared" ref="J22:L22" si="19">IF(J21="","",IF(J21="TBC","TBC",IF((J21-J20)&lt;=0,"G",IF((J21-(J20*0.95))&lt;=0,"A","R"))))</f>
        <v>R</v>
      </c>
      <c r="K22" s="44" t="str">
        <f t="shared" si="19"/>
        <v>R</v>
      </c>
      <c r="L22" s="54" t="str">
        <f t="shared" si="19"/>
        <v/>
      </c>
      <c r="M22" s="40" t="str">
        <f>IF(M$6&gt;$E$3,"",IF(M21="","OD",IF(M21="Blank","Blank",IF(M21="TBC","TBC",IF(M21="Undefined","Undefined",IF(M21="Missed","Missed",IF(M21="OD","OD",IF(M$4="OD","OD",IF((M21-M20)&lt;=0,"G",IF((M21-(M20/0.95))&lt;=0,"A","R"))))))))))</f>
        <v>Blank</v>
      </c>
      <c r="N22" s="40" t="str">
        <f t="shared" ref="N22:BM22" si="20">IF(N$6&gt;$E$3,"",IF(N21="","OD",IF(N21="Blank","Blank",IF(N21="TBC","TBC",IF(N21="Undefined","Undefined",IF(N21="Missed","Missed",IF(N21="OD","OD",IF(N$4="OD","OD",IF((N21-N20)&lt;=0,"G",IF((N21-(N20/0.95))&lt;=0,"A","R"))))))))))</f>
        <v>Missed</v>
      </c>
      <c r="O22" s="40" t="str">
        <f t="shared" si="20"/>
        <v>Missed</v>
      </c>
      <c r="P22" s="40" t="str">
        <f t="shared" si="20"/>
        <v>Missed</v>
      </c>
      <c r="Q22" s="40" t="str">
        <f t="shared" si="20"/>
        <v>Missed</v>
      </c>
      <c r="R22" s="40" t="str">
        <f t="shared" si="20"/>
        <v>Missed</v>
      </c>
      <c r="S22" s="40" t="str">
        <f t="shared" si="20"/>
        <v>Missed</v>
      </c>
      <c r="T22" s="40" t="str">
        <f t="shared" si="20"/>
        <v>Missed</v>
      </c>
      <c r="U22" s="40" t="str">
        <f t="shared" si="20"/>
        <v>Missed</v>
      </c>
      <c r="V22" s="40" t="str">
        <f t="shared" si="20"/>
        <v>Missed</v>
      </c>
      <c r="W22" s="40" t="str">
        <f t="shared" si="20"/>
        <v>Missed</v>
      </c>
      <c r="X22" s="40" t="str">
        <f t="shared" si="20"/>
        <v>Missed</v>
      </c>
      <c r="Y22" s="40" t="str">
        <f t="shared" si="20"/>
        <v>Missed</v>
      </c>
      <c r="Z22" s="40" t="str">
        <f t="shared" si="20"/>
        <v>G</v>
      </c>
      <c r="AA22" s="40" t="str">
        <f t="shared" si="20"/>
        <v>R</v>
      </c>
      <c r="AB22" s="40" t="str">
        <f t="shared" si="20"/>
        <v>G</v>
      </c>
      <c r="AC22" s="40" t="str">
        <f t="shared" si="20"/>
        <v>R</v>
      </c>
      <c r="AD22" s="40" t="str">
        <f t="shared" si="20"/>
        <v>G</v>
      </c>
      <c r="AE22" s="40" t="str">
        <f t="shared" si="20"/>
        <v>R</v>
      </c>
      <c r="AF22" s="40" t="str">
        <f t="shared" si="20"/>
        <v>G</v>
      </c>
      <c r="AG22" s="40" t="str">
        <f t="shared" si="20"/>
        <v>G</v>
      </c>
      <c r="AH22" s="40" t="str">
        <f t="shared" si="20"/>
        <v>G</v>
      </c>
      <c r="AI22" s="40" t="str">
        <f t="shared" si="20"/>
        <v>G</v>
      </c>
      <c r="AJ22" s="40" t="str">
        <f t="shared" si="20"/>
        <v>G</v>
      </c>
      <c r="AK22" s="40" t="str">
        <f t="shared" si="20"/>
        <v>G</v>
      </c>
      <c r="AL22" s="40" t="str">
        <f t="shared" si="20"/>
        <v>G</v>
      </c>
      <c r="AM22" s="40" t="str">
        <f t="shared" si="20"/>
        <v>G</v>
      </c>
      <c r="AN22" s="40" t="str">
        <f t="shared" si="20"/>
        <v>A</v>
      </c>
      <c r="AO22" s="40" t="str">
        <f t="shared" si="20"/>
        <v>G</v>
      </c>
      <c r="AP22" s="40" t="str">
        <f t="shared" si="20"/>
        <v>G</v>
      </c>
      <c r="AQ22" s="40" t="str">
        <f t="shared" si="20"/>
        <v>G</v>
      </c>
      <c r="AR22" s="40" t="str">
        <f t="shared" si="20"/>
        <v>A</v>
      </c>
      <c r="AS22" s="40" t="str">
        <f t="shared" si="20"/>
        <v>G</v>
      </c>
      <c r="AT22" s="40" t="str">
        <f t="shared" si="20"/>
        <v>G</v>
      </c>
      <c r="AU22" s="40" t="str">
        <f t="shared" si="20"/>
        <v>R</v>
      </c>
      <c r="AV22" s="40" t="str">
        <f t="shared" si="20"/>
        <v>G</v>
      </c>
      <c r="AW22" s="40" t="str">
        <f t="shared" si="20"/>
        <v>G</v>
      </c>
      <c r="AX22" s="40" t="str">
        <f t="shared" si="20"/>
        <v>G</v>
      </c>
      <c r="AY22" s="40" t="str">
        <f t="shared" si="20"/>
        <v>G</v>
      </c>
      <c r="AZ22" s="40" t="str">
        <f t="shared" si="20"/>
        <v>G</v>
      </c>
      <c r="BA22" s="40" t="str">
        <f t="shared" si="20"/>
        <v>G</v>
      </c>
      <c r="BB22" s="40" t="str">
        <f t="shared" si="20"/>
        <v>OD</v>
      </c>
      <c r="BC22" s="40" t="str">
        <f t="shared" si="20"/>
        <v/>
      </c>
      <c r="BD22" s="40" t="str">
        <f t="shared" si="20"/>
        <v/>
      </c>
      <c r="BE22" s="40" t="str">
        <f t="shared" si="20"/>
        <v/>
      </c>
      <c r="BF22" s="40" t="str">
        <f t="shared" si="20"/>
        <v/>
      </c>
      <c r="BG22" s="40" t="str">
        <f t="shared" si="20"/>
        <v/>
      </c>
      <c r="BH22" s="40" t="str">
        <f t="shared" si="20"/>
        <v/>
      </c>
      <c r="BI22" s="40" t="str">
        <f t="shared" si="20"/>
        <v/>
      </c>
      <c r="BJ22" s="40" t="str">
        <f t="shared" si="20"/>
        <v/>
      </c>
      <c r="BK22" s="40" t="str">
        <f t="shared" si="20"/>
        <v/>
      </c>
      <c r="BL22" s="40" t="str">
        <f t="shared" si="20"/>
        <v/>
      </c>
      <c r="BM22" s="40" t="str">
        <f t="shared" si="20"/>
        <v/>
      </c>
      <c r="BN22" s="42"/>
    </row>
    <row r="24" spans="2:66" ht="15.6" x14ac:dyDescent="0.3">
      <c r="B24" s="1" t="s">
        <v>0</v>
      </c>
      <c r="C24" s="45" t="s">
        <v>1</v>
      </c>
    </row>
    <row r="25" spans="2:66" ht="15.6" x14ac:dyDescent="0.3">
      <c r="B25" s="4" t="s">
        <v>2</v>
      </c>
      <c r="C25" s="45" t="s">
        <v>3</v>
      </c>
    </row>
    <row r="26" spans="2:66" ht="15.6" x14ac:dyDescent="0.3">
      <c r="B26" s="5" t="s">
        <v>4</v>
      </c>
      <c r="C26" s="45" t="s">
        <v>5</v>
      </c>
    </row>
    <row r="27" spans="2:66" x14ac:dyDescent="0.3">
      <c r="B27" s="340" t="s">
        <v>35</v>
      </c>
      <c r="C27" s="13" t="s">
        <v>376</v>
      </c>
    </row>
    <row r="28" spans="2:66" x14ac:dyDescent="0.3">
      <c r="B28" s="341" t="s">
        <v>122</v>
      </c>
      <c r="C28" s="13" t="s">
        <v>377</v>
      </c>
    </row>
    <row r="30" spans="2:66" x14ac:dyDescent="0.3">
      <c r="E30" s="2" t="s">
        <v>651</v>
      </c>
    </row>
    <row r="31" spans="2:66" x14ac:dyDescent="0.3">
      <c r="F31" s="670" t="s">
        <v>146</v>
      </c>
    </row>
    <row r="32" spans="2:66" x14ac:dyDescent="0.3">
      <c r="E32" s="2" t="s">
        <v>647</v>
      </c>
      <c r="F32" s="670">
        <v>2</v>
      </c>
      <c r="G32" s="2" t="s">
        <v>648</v>
      </c>
    </row>
    <row r="33" spans="5:7" x14ac:dyDescent="0.3">
      <c r="E33" s="2" t="s">
        <v>646</v>
      </c>
      <c r="F33" s="670">
        <v>1</v>
      </c>
      <c r="G33" s="2" t="s">
        <v>649</v>
      </c>
    </row>
    <row r="34" spans="5:7" ht="15" thickBot="1" x14ac:dyDescent="0.35">
      <c r="E34" s="2" t="s">
        <v>675</v>
      </c>
      <c r="F34" s="670">
        <v>24</v>
      </c>
      <c r="G34" s="2" t="s">
        <v>650</v>
      </c>
    </row>
    <row r="35" spans="5:7" hidden="1" outlineLevel="1" x14ac:dyDescent="0.3">
      <c r="F35" s="670"/>
    </row>
    <row r="36" spans="5:7" hidden="1" outlineLevel="1" x14ac:dyDescent="0.3">
      <c r="F36" s="670"/>
    </row>
    <row r="37" spans="5:7" hidden="1" outlineLevel="1" x14ac:dyDescent="0.3">
      <c r="F37" s="670"/>
    </row>
    <row r="38" spans="5:7" ht="15" hidden="1" outlineLevel="1" thickBot="1" x14ac:dyDescent="0.35">
      <c r="F38" s="670"/>
    </row>
    <row r="39" spans="5:7" ht="15" collapsed="1" thickBot="1" x14ac:dyDescent="0.35">
      <c r="F39" s="671">
        <f>SUM(F32:F38)</f>
        <v>27</v>
      </c>
    </row>
  </sheetData>
  <mergeCells count="32">
    <mergeCell ref="C11:C13"/>
    <mergeCell ref="D11:D13"/>
    <mergeCell ref="C6:D6"/>
    <mergeCell ref="G6:G7"/>
    <mergeCell ref="B8:B10"/>
    <mergeCell ref="C8:C10"/>
    <mergeCell ref="D8:D10"/>
    <mergeCell ref="G8:G10"/>
    <mergeCell ref="E8:E10"/>
    <mergeCell ref="F8:F10"/>
    <mergeCell ref="E17:E19"/>
    <mergeCell ref="F11:F13"/>
    <mergeCell ref="F14:F16"/>
    <mergeCell ref="G11:G13"/>
    <mergeCell ref="B14:B16"/>
    <mergeCell ref="C14:C16"/>
    <mergeCell ref="D14:D16"/>
    <mergeCell ref="G14:G16"/>
    <mergeCell ref="E11:E13"/>
    <mergeCell ref="E14:E16"/>
    <mergeCell ref="F17:F19"/>
    <mergeCell ref="B17:B19"/>
    <mergeCell ref="C17:C19"/>
    <mergeCell ref="D17:D19"/>
    <mergeCell ref="G17:G19"/>
    <mergeCell ref="B11:B13"/>
    <mergeCell ref="G20:G22"/>
    <mergeCell ref="B20:B22"/>
    <mergeCell ref="C20:C22"/>
    <mergeCell ref="D20:D22"/>
    <mergeCell ref="E20:E22"/>
    <mergeCell ref="F20:F22"/>
  </mergeCells>
  <conditionalFormatting sqref="B28">
    <cfRule type="cellIs" dxfId="506" priority="46" operator="equal">
      <formula>"TBC"</formula>
    </cfRule>
    <cfRule type="cellIs" dxfId="505" priority="47" operator="equal">
      <formula>"OD"</formula>
    </cfRule>
    <cfRule type="cellIs" dxfId="504" priority="48" operator="equal">
      <formula>"G"</formula>
    </cfRule>
    <cfRule type="cellIs" dxfId="503" priority="49" operator="equal">
      <formula>"A"</formula>
    </cfRule>
    <cfRule type="cellIs" dxfId="502" priority="50" operator="equal">
      <formula>"R"</formula>
    </cfRule>
  </conditionalFormatting>
  <conditionalFormatting sqref="I10:L10 I13:L13 I16:L16 I19:L19 I22:L22">
    <cfRule type="cellIs" dxfId="501" priority="53" operator="equal">
      <formula>"TBC"</formula>
    </cfRule>
    <cfRule type="cellIs" dxfId="500" priority="54" operator="equal">
      <formula>"OD"</formula>
    </cfRule>
  </conditionalFormatting>
  <conditionalFormatting sqref="I10:BM10">
    <cfRule type="cellIs" dxfId="499" priority="8" operator="equal">
      <formula>"G"</formula>
    </cfRule>
    <cfRule type="cellIs" dxfId="498" priority="9" operator="equal">
      <formula>"A"</formula>
    </cfRule>
    <cfRule type="cellIs" dxfId="497" priority="10" operator="equal">
      <formula>"R"</formula>
    </cfRule>
  </conditionalFormatting>
  <conditionalFormatting sqref="I13:BM13">
    <cfRule type="cellIs" dxfId="496" priority="18" operator="equal">
      <formula>"G"</formula>
    </cfRule>
    <cfRule type="cellIs" dxfId="495" priority="19" operator="equal">
      <formula>"A"</formula>
    </cfRule>
    <cfRule type="cellIs" dxfId="494" priority="20" operator="equal">
      <formula>"R"</formula>
    </cfRule>
  </conditionalFormatting>
  <conditionalFormatting sqref="I16:BM16">
    <cfRule type="cellIs" dxfId="493" priority="13" operator="equal">
      <formula>"G"</formula>
    </cfRule>
    <cfRule type="cellIs" dxfId="492" priority="14" operator="equal">
      <formula>"A"</formula>
    </cfRule>
    <cfRule type="cellIs" dxfId="491" priority="15" operator="equal">
      <formula>"R"</formula>
    </cfRule>
  </conditionalFormatting>
  <conditionalFormatting sqref="I19:BM19 I22:BM22">
    <cfRule type="cellIs" dxfId="490" priority="3" operator="equal">
      <formula>"G"</formula>
    </cfRule>
    <cfRule type="cellIs" dxfId="489" priority="4" operator="equal">
      <formula>"A"</formula>
    </cfRule>
    <cfRule type="cellIs" dxfId="488" priority="5" operator="equal">
      <formula>"R"</formula>
    </cfRule>
  </conditionalFormatting>
  <conditionalFormatting sqref="M10:BM10">
    <cfRule type="cellIs" dxfId="487" priority="6" operator="equal">
      <formula>"OD"</formula>
    </cfRule>
    <cfRule type="cellIs" dxfId="486" priority="7" operator="equal">
      <formula>"TBC"</formula>
    </cfRule>
  </conditionalFormatting>
  <conditionalFormatting sqref="M13:BM13">
    <cfRule type="cellIs" dxfId="485" priority="16" operator="equal">
      <formula>"OD"</formula>
    </cfRule>
    <cfRule type="cellIs" dxfId="484" priority="17" operator="equal">
      <formula>"TBC"</formula>
    </cfRule>
  </conditionalFormatting>
  <conditionalFormatting sqref="M16:BM16">
    <cfRule type="cellIs" dxfId="483" priority="11" operator="equal">
      <formula>"OD"</formula>
    </cfRule>
    <cfRule type="cellIs" dxfId="482" priority="12" operator="equal">
      <formula>"TBC"</formula>
    </cfRule>
  </conditionalFormatting>
  <conditionalFormatting sqref="M19:BM19 M22:BM22">
    <cfRule type="cellIs" dxfId="481" priority="1" operator="equal">
      <formula>"OD"</formula>
    </cfRule>
    <cfRule type="cellIs" dxfId="480" priority="2" operator="equal">
      <formula>"TBC"</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13E7E-B1D0-487D-A961-7F40BCBB0FA6}">
  <sheetPr>
    <tabColor rgb="FF00B050"/>
  </sheetPr>
  <dimension ref="B1:BN25"/>
  <sheetViews>
    <sheetView zoomScale="91" zoomScaleNormal="91" workbookViewId="0">
      <pane xSplit="6" ySplit="7" topLeftCell="AR8" activePane="bottomRight" state="frozen"/>
      <selection pane="topRight" activeCell="G1" sqref="G1"/>
      <selection pane="bottomLeft" activeCell="A8" sqref="A8"/>
      <selection pane="bottomRight" activeCell="AT26" sqref="AT26"/>
    </sheetView>
  </sheetViews>
  <sheetFormatPr defaultColWidth="9.33203125" defaultRowHeight="14.4" x14ac:dyDescent="0.3"/>
  <cols>
    <col min="1" max="1" width="3" style="2" customWidth="1"/>
    <col min="2" max="2" width="16.44140625" style="2" customWidth="1"/>
    <col min="3" max="3" width="16.5546875" style="13" bestFit="1" customWidth="1"/>
    <col min="4" max="4" width="25.33203125" style="2" customWidth="1"/>
    <col min="5" max="5" width="6.5546875" style="2" customWidth="1"/>
    <col min="6" max="6" width="7.88671875" style="2" customWidth="1"/>
    <col min="7" max="7" width="31.33203125" style="2" customWidth="1"/>
    <col min="8" max="8" width="9.44140625" style="2" bestFit="1" customWidth="1"/>
    <col min="9" max="12" width="3" style="2" bestFit="1" customWidth="1"/>
    <col min="13" max="65" width="8.88671875" style="2" customWidth="1"/>
    <col min="66" max="66" width="7.6640625" style="2" hidden="1"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8.600000000000001" thickBot="1" x14ac:dyDescent="0.35">
      <c r="B1" s="14" t="s">
        <v>121</v>
      </c>
      <c r="C1" s="10" t="s">
        <v>645</v>
      </c>
    </row>
    <row r="2" spans="2:66" ht="15" thickBot="1" x14ac:dyDescent="0.35">
      <c r="D2" s="119" t="s">
        <v>123</v>
      </c>
      <c r="E2" s="346">
        <v>42</v>
      </c>
      <c r="F2" s="2" t="s">
        <v>248</v>
      </c>
      <c r="G2" s="2" t="s">
        <v>528</v>
      </c>
      <c r="N2" s="486">
        <f>+N7+2</f>
        <v>45669</v>
      </c>
      <c r="O2" s="486">
        <f t="shared" ref="O2:BM2" si="0">+O7+2</f>
        <v>45676</v>
      </c>
      <c r="P2" s="486">
        <f t="shared" si="0"/>
        <v>45683</v>
      </c>
      <c r="Q2" s="486">
        <f t="shared" si="0"/>
        <v>45690</v>
      </c>
      <c r="R2" s="486">
        <f t="shared" si="0"/>
        <v>45697</v>
      </c>
      <c r="S2" s="486">
        <f t="shared" si="0"/>
        <v>45704</v>
      </c>
      <c r="T2" s="486">
        <f t="shared" si="0"/>
        <v>45711</v>
      </c>
      <c r="U2" s="486">
        <f t="shared" si="0"/>
        <v>45718</v>
      </c>
      <c r="V2" s="486">
        <f t="shared" si="0"/>
        <v>45725</v>
      </c>
      <c r="W2" s="486">
        <f t="shared" si="0"/>
        <v>45732</v>
      </c>
      <c r="X2" s="486">
        <f t="shared" si="0"/>
        <v>45739</v>
      </c>
      <c r="Y2" s="486">
        <f t="shared" si="0"/>
        <v>45746</v>
      </c>
      <c r="Z2" s="486">
        <f t="shared" si="0"/>
        <v>45753</v>
      </c>
      <c r="AA2" s="486">
        <f t="shared" si="0"/>
        <v>45760</v>
      </c>
      <c r="AB2" s="486">
        <f t="shared" si="0"/>
        <v>45767</v>
      </c>
      <c r="AC2" s="486">
        <f t="shared" si="0"/>
        <v>45774</v>
      </c>
      <c r="AD2" s="486">
        <f t="shared" si="0"/>
        <v>45781</v>
      </c>
      <c r="AE2" s="486">
        <f t="shared" si="0"/>
        <v>45788</v>
      </c>
      <c r="AF2" s="486">
        <f t="shared" si="0"/>
        <v>45795</v>
      </c>
      <c r="AG2" s="486">
        <f t="shared" si="0"/>
        <v>45802</v>
      </c>
      <c r="AH2" s="486">
        <f t="shared" si="0"/>
        <v>45809</v>
      </c>
      <c r="AI2" s="486">
        <f t="shared" si="0"/>
        <v>45816</v>
      </c>
      <c r="AJ2" s="486">
        <f t="shared" si="0"/>
        <v>45823</v>
      </c>
      <c r="AK2" s="486">
        <f t="shared" si="0"/>
        <v>45830</v>
      </c>
      <c r="AL2" s="486">
        <f t="shared" si="0"/>
        <v>45837</v>
      </c>
      <c r="AM2" s="486">
        <f t="shared" si="0"/>
        <v>45844</v>
      </c>
      <c r="AN2" s="486">
        <f t="shared" si="0"/>
        <v>45851</v>
      </c>
      <c r="AO2" s="486">
        <f t="shared" si="0"/>
        <v>45858</v>
      </c>
      <c r="AP2" s="486">
        <f t="shared" si="0"/>
        <v>45865</v>
      </c>
      <c r="AQ2" s="486">
        <f t="shared" si="0"/>
        <v>45872</v>
      </c>
      <c r="AR2" s="486">
        <f t="shared" si="0"/>
        <v>45879</v>
      </c>
      <c r="AS2" s="486">
        <f t="shared" si="0"/>
        <v>45886</v>
      </c>
      <c r="AT2" s="486">
        <f t="shared" si="0"/>
        <v>45893</v>
      </c>
      <c r="AU2" s="486">
        <f t="shared" si="0"/>
        <v>45900</v>
      </c>
      <c r="AV2" s="486">
        <f t="shared" si="0"/>
        <v>45907</v>
      </c>
      <c r="AW2" s="486">
        <f t="shared" si="0"/>
        <v>45914</v>
      </c>
      <c r="AX2" s="486">
        <f t="shared" si="0"/>
        <v>45921</v>
      </c>
      <c r="AY2" s="486">
        <f t="shared" si="0"/>
        <v>45928</v>
      </c>
      <c r="AZ2" s="486">
        <f t="shared" si="0"/>
        <v>45935</v>
      </c>
      <c r="BA2" s="486">
        <f t="shared" si="0"/>
        <v>45942</v>
      </c>
      <c r="BB2" s="486">
        <f t="shared" si="0"/>
        <v>45949</v>
      </c>
      <c r="BC2" s="486">
        <f t="shared" si="0"/>
        <v>45956</v>
      </c>
      <c r="BD2" s="486">
        <f t="shared" si="0"/>
        <v>45963</v>
      </c>
      <c r="BE2" s="486">
        <f t="shared" si="0"/>
        <v>45970</v>
      </c>
      <c r="BF2" s="486">
        <f t="shared" si="0"/>
        <v>45977</v>
      </c>
      <c r="BG2" s="486">
        <f t="shared" si="0"/>
        <v>45984</v>
      </c>
      <c r="BH2" s="486">
        <f t="shared" si="0"/>
        <v>45991</v>
      </c>
      <c r="BI2" s="486">
        <f t="shared" si="0"/>
        <v>45998</v>
      </c>
      <c r="BJ2" s="486">
        <f t="shared" si="0"/>
        <v>46005</v>
      </c>
      <c r="BK2" s="486">
        <f t="shared" si="0"/>
        <v>46012</v>
      </c>
      <c r="BL2" s="486">
        <f t="shared" si="0"/>
        <v>46019</v>
      </c>
      <c r="BM2" s="486">
        <f t="shared" si="0"/>
        <v>46026</v>
      </c>
    </row>
    <row r="3" spans="2:66" ht="15" customHeight="1" thickBot="1" x14ac:dyDescent="0.35">
      <c r="D3" s="120" t="s">
        <v>193</v>
      </c>
      <c r="E3" s="120">
        <f>+'KPI Analysis'!D3</f>
        <v>42</v>
      </c>
      <c r="G3" s="2">
        <v>1</v>
      </c>
    </row>
    <row r="4" spans="2:66" ht="15.6" customHeight="1" thickBot="1" x14ac:dyDescent="0.35">
      <c r="B4" s="346" t="str">
        <f>IF(E2&lt;(E3),"Overdue","Current")</f>
        <v>Current</v>
      </c>
      <c r="C4" s="2"/>
      <c r="D4" s="120" t="s">
        <v>378</v>
      </c>
      <c r="E4" s="343" t="s">
        <v>385</v>
      </c>
      <c r="F4"/>
      <c r="G4"/>
      <c r="M4" s="117" t="str">
        <f t="shared" ref="M4:BM4" si="1">IF(M6&gt;$E$3,"Future",IF(M6&gt;$E$2,"OD",IF($E$2&gt;=M6,"Calc")))</f>
        <v>Calc</v>
      </c>
      <c r="N4" s="117" t="str">
        <f t="shared" si="1"/>
        <v>Calc</v>
      </c>
      <c r="O4" s="117" t="str">
        <f t="shared" si="1"/>
        <v>Calc</v>
      </c>
      <c r="P4" s="117" t="str">
        <f t="shared" si="1"/>
        <v>Calc</v>
      </c>
      <c r="Q4" s="117" t="str">
        <f t="shared" si="1"/>
        <v>Calc</v>
      </c>
      <c r="R4" s="117" t="str">
        <f t="shared" si="1"/>
        <v>Calc</v>
      </c>
      <c r="S4" s="117" t="str">
        <f t="shared" si="1"/>
        <v>Calc</v>
      </c>
      <c r="T4" s="117" t="str">
        <f t="shared" si="1"/>
        <v>Calc</v>
      </c>
      <c r="U4" s="117" t="str">
        <f t="shared" si="1"/>
        <v>Calc</v>
      </c>
      <c r="V4" s="117" t="str">
        <f t="shared" si="1"/>
        <v>Calc</v>
      </c>
      <c r="W4" s="117" t="str">
        <f t="shared" si="1"/>
        <v>Calc</v>
      </c>
      <c r="X4" s="117" t="str">
        <f t="shared" si="1"/>
        <v>Calc</v>
      </c>
      <c r="Y4" s="117" t="str">
        <f t="shared" si="1"/>
        <v>Calc</v>
      </c>
      <c r="Z4" s="117" t="str">
        <f t="shared" si="1"/>
        <v>Calc</v>
      </c>
      <c r="AA4" s="117" t="str">
        <f t="shared" si="1"/>
        <v>Calc</v>
      </c>
      <c r="AB4" s="117" t="str">
        <f t="shared" si="1"/>
        <v>Calc</v>
      </c>
      <c r="AC4" s="117" t="str">
        <f t="shared" si="1"/>
        <v>Calc</v>
      </c>
      <c r="AD4" s="117" t="str">
        <f t="shared" si="1"/>
        <v>Calc</v>
      </c>
      <c r="AE4" s="117" t="str">
        <f t="shared" si="1"/>
        <v>Calc</v>
      </c>
      <c r="AF4" s="117" t="str">
        <f t="shared" si="1"/>
        <v>Calc</v>
      </c>
      <c r="AG4" s="117" t="str">
        <f t="shared" si="1"/>
        <v>Calc</v>
      </c>
      <c r="AH4" s="117" t="str">
        <f t="shared" si="1"/>
        <v>Calc</v>
      </c>
      <c r="AI4" s="117" t="str">
        <f t="shared" si="1"/>
        <v>Calc</v>
      </c>
      <c r="AJ4" s="117" t="str">
        <f t="shared" si="1"/>
        <v>Calc</v>
      </c>
      <c r="AK4" s="117" t="str">
        <f t="shared" si="1"/>
        <v>Calc</v>
      </c>
      <c r="AL4" s="117" t="str">
        <f t="shared" si="1"/>
        <v>Calc</v>
      </c>
      <c r="AM4" s="117" t="str">
        <f t="shared" si="1"/>
        <v>Calc</v>
      </c>
      <c r="AN4" s="117" t="str">
        <f t="shared" si="1"/>
        <v>Calc</v>
      </c>
      <c r="AO4" s="117" t="str">
        <f t="shared" si="1"/>
        <v>Calc</v>
      </c>
      <c r="AP4" s="117" t="str">
        <f t="shared" si="1"/>
        <v>Calc</v>
      </c>
      <c r="AQ4" s="117" t="str">
        <f t="shared" si="1"/>
        <v>Calc</v>
      </c>
      <c r="AR4" s="117" t="str">
        <f t="shared" si="1"/>
        <v>Calc</v>
      </c>
      <c r="AS4" s="117" t="str">
        <f t="shared" si="1"/>
        <v>Calc</v>
      </c>
      <c r="AT4" s="117" t="str">
        <f t="shared" si="1"/>
        <v>Calc</v>
      </c>
      <c r="AU4" s="117" t="str">
        <f t="shared" si="1"/>
        <v>Calc</v>
      </c>
      <c r="AV4" s="117" t="str">
        <f t="shared" si="1"/>
        <v>Calc</v>
      </c>
      <c r="AW4" s="117" t="str">
        <f t="shared" si="1"/>
        <v>Calc</v>
      </c>
      <c r="AX4" s="117" t="str">
        <f t="shared" si="1"/>
        <v>Calc</v>
      </c>
      <c r="AY4" s="117" t="str">
        <f t="shared" si="1"/>
        <v>Calc</v>
      </c>
      <c r="AZ4" s="117" t="str">
        <f t="shared" si="1"/>
        <v>Calc</v>
      </c>
      <c r="BA4" s="117" t="str">
        <f t="shared" si="1"/>
        <v>Calc</v>
      </c>
      <c r="BB4" s="117" t="str">
        <f t="shared" si="1"/>
        <v>Calc</v>
      </c>
      <c r="BC4" s="117" t="str">
        <f t="shared" si="1"/>
        <v>Future</v>
      </c>
      <c r="BD4" s="117" t="str">
        <f t="shared" si="1"/>
        <v>Future</v>
      </c>
      <c r="BE4" s="117" t="str">
        <f t="shared" si="1"/>
        <v>Future</v>
      </c>
      <c r="BF4" s="117" t="str">
        <f t="shared" si="1"/>
        <v>Future</v>
      </c>
      <c r="BG4" s="117" t="str">
        <f t="shared" si="1"/>
        <v>Future</v>
      </c>
      <c r="BH4" s="117" t="str">
        <f t="shared" si="1"/>
        <v>Future</v>
      </c>
      <c r="BI4" s="117" t="str">
        <f t="shared" si="1"/>
        <v>Future</v>
      </c>
      <c r="BJ4" s="117" t="str">
        <f t="shared" si="1"/>
        <v>Future</v>
      </c>
      <c r="BK4" s="117" t="str">
        <f t="shared" si="1"/>
        <v>Future</v>
      </c>
      <c r="BL4" s="117" t="str">
        <f t="shared" si="1"/>
        <v>Future</v>
      </c>
      <c r="BM4" s="117" t="str">
        <f t="shared" si="1"/>
        <v>Future</v>
      </c>
      <c r="BN4" s="202" t="str">
        <f>IF($E$2&gt;=BN6,"Calc",IF(BN6&gt;$E$2,IF(BN12&gt;0,"Not Calc yet","Future")))</f>
        <v>Future</v>
      </c>
    </row>
    <row r="5" spans="2:66" ht="15" thickBot="1" x14ac:dyDescent="0.35"/>
    <row r="6" spans="2:66" ht="24" customHeight="1" x14ac:dyDescent="0.3">
      <c r="B6" s="14" t="s">
        <v>79</v>
      </c>
      <c r="C6" s="926" t="s">
        <v>408</v>
      </c>
      <c r="D6" s="927"/>
      <c r="E6" s="106"/>
      <c r="F6" s="106"/>
      <c r="G6" s="928" t="s">
        <v>37</v>
      </c>
      <c r="H6" s="15" t="s">
        <v>7</v>
      </c>
      <c r="I6" s="16">
        <f>J6-1</f>
        <v>49</v>
      </c>
      <c r="J6" s="17">
        <f>K6-1</f>
        <v>50</v>
      </c>
      <c r="K6" s="17">
        <f>L6-1</f>
        <v>51</v>
      </c>
      <c r="L6" s="55">
        <v>52</v>
      </c>
      <c r="M6" s="18">
        <v>1</v>
      </c>
      <c r="N6" s="19">
        <f t="shared" ref="N6:BM6" si="2">M6+1</f>
        <v>2</v>
      </c>
      <c r="O6" s="19">
        <f t="shared" si="2"/>
        <v>3</v>
      </c>
      <c r="P6" s="19">
        <f t="shared" si="2"/>
        <v>4</v>
      </c>
      <c r="Q6" s="19">
        <f t="shared" si="2"/>
        <v>5</v>
      </c>
      <c r="R6" s="19">
        <f t="shared" si="2"/>
        <v>6</v>
      </c>
      <c r="S6" s="19">
        <f t="shared" si="2"/>
        <v>7</v>
      </c>
      <c r="T6" s="19">
        <f t="shared" si="2"/>
        <v>8</v>
      </c>
      <c r="U6" s="19">
        <f t="shared" si="2"/>
        <v>9</v>
      </c>
      <c r="V6" s="19">
        <f t="shared" si="2"/>
        <v>10</v>
      </c>
      <c r="W6" s="19">
        <f t="shared" si="2"/>
        <v>11</v>
      </c>
      <c r="X6" s="19">
        <f t="shared" si="2"/>
        <v>12</v>
      </c>
      <c r="Y6" s="19">
        <f t="shared" si="2"/>
        <v>13</v>
      </c>
      <c r="Z6" s="19">
        <f t="shared" si="2"/>
        <v>14</v>
      </c>
      <c r="AA6" s="19">
        <f t="shared" si="2"/>
        <v>15</v>
      </c>
      <c r="AB6" s="19">
        <f t="shared" si="2"/>
        <v>16</v>
      </c>
      <c r="AC6" s="19">
        <f t="shared" si="2"/>
        <v>17</v>
      </c>
      <c r="AD6" s="19">
        <f t="shared" si="2"/>
        <v>18</v>
      </c>
      <c r="AE6" s="19">
        <f t="shared" si="2"/>
        <v>19</v>
      </c>
      <c r="AF6" s="19">
        <f t="shared" si="2"/>
        <v>20</v>
      </c>
      <c r="AG6" s="19">
        <f t="shared" si="2"/>
        <v>21</v>
      </c>
      <c r="AH6" s="19">
        <f t="shared" si="2"/>
        <v>22</v>
      </c>
      <c r="AI6" s="19">
        <f t="shared" si="2"/>
        <v>23</v>
      </c>
      <c r="AJ6" s="19">
        <f t="shared" si="2"/>
        <v>24</v>
      </c>
      <c r="AK6" s="19">
        <f t="shared" si="2"/>
        <v>25</v>
      </c>
      <c r="AL6" s="19">
        <f t="shared" si="2"/>
        <v>26</v>
      </c>
      <c r="AM6" s="19">
        <f t="shared" si="2"/>
        <v>27</v>
      </c>
      <c r="AN6" s="19">
        <f t="shared" si="2"/>
        <v>28</v>
      </c>
      <c r="AO6" s="19">
        <f t="shared" si="2"/>
        <v>29</v>
      </c>
      <c r="AP6" s="19">
        <f t="shared" si="2"/>
        <v>30</v>
      </c>
      <c r="AQ6" s="19">
        <f t="shared" si="2"/>
        <v>31</v>
      </c>
      <c r="AR6" s="19">
        <f t="shared" si="2"/>
        <v>32</v>
      </c>
      <c r="AS6" s="19">
        <f t="shared" si="2"/>
        <v>33</v>
      </c>
      <c r="AT6" s="19">
        <f t="shared" si="2"/>
        <v>34</v>
      </c>
      <c r="AU6" s="19">
        <f t="shared" si="2"/>
        <v>35</v>
      </c>
      <c r="AV6" s="19">
        <f t="shared" si="2"/>
        <v>36</v>
      </c>
      <c r="AW6" s="19">
        <f t="shared" si="2"/>
        <v>37</v>
      </c>
      <c r="AX6" s="19">
        <f t="shared" si="2"/>
        <v>38</v>
      </c>
      <c r="AY6" s="19">
        <f t="shared" si="2"/>
        <v>39</v>
      </c>
      <c r="AZ6" s="19">
        <f t="shared" si="2"/>
        <v>40</v>
      </c>
      <c r="BA6" s="19">
        <f t="shared" si="2"/>
        <v>41</v>
      </c>
      <c r="BB6" s="19">
        <f t="shared" si="2"/>
        <v>42</v>
      </c>
      <c r="BC6" s="19">
        <f t="shared" si="2"/>
        <v>43</v>
      </c>
      <c r="BD6" s="19">
        <f t="shared" si="2"/>
        <v>44</v>
      </c>
      <c r="BE6" s="19">
        <f t="shared" si="2"/>
        <v>45</v>
      </c>
      <c r="BF6" s="19">
        <f t="shared" si="2"/>
        <v>46</v>
      </c>
      <c r="BG6" s="19">
        <f t="shared" si="2"/>
        <v>47</v>
      </c>
      <c r="BH6" s="19">
        <f t="shared" si="2"/>
        <v>48</v>
      </c>
      <c r="BI6" s="19">
        <f t="shared" si="2"/>
        <v>49</v>
      </c>
      <c r="BJ6" s="19">
        <f t="shared" si="2"/>
        <v>50</v>
      </c>
      <c r="BK6" s="19">
        <f t="shared" si="2"/>
        <v>51</v>
      </c>
      <c r="BL6" s="19">
        <f t="shared" si="2"/>
        <v>52</v>
      </c>
      <c r="BM6" s="19">
        <f t="shared" si="2"/>
        <v>53</v>
      </c>
      <c r="BN6" s="20" t="s">
        <v>34</v>
      </c>
    </row>
    <row r="7" spans="2:66" ht="37.950000000000003" customHeight="1" x14ac:dyDescent="0.3">
      <c r="B7" s="14" t="s">
        <v>38</v>
      </c>
      <c r="C7" s="21" t="s">
        <v>39</v>
      </c>
      <c r="D7" s="21" t="s">
        <v>40</v>
      </c>
      <c r="E7" s="21" t="s">
        <v>140</v>
      </c>
      <c r="F7" s="21" t="s">
        <v>159</v>
      </c>
      <c r="G7" s="929"/>
      <c r="H7" s="15" t="s">
        <v>41</v>
      </c>
      <c r="I7" s="22">
        <f t="shared" ref="I7:K7" si="3">J7-7</f>
        <v>45632</v>
      </c>
      <c r="J7" s="23">
        <f t="shared" si="3"/>
        <v>45639</v>
      </c>
      <c r="K7" s="23">
        <f t="shared" si="3"/>
        <v>45646</v>
      </c>
      <c r="L7" s="56">
        <f>M7-7</f>
        <v>45653</v>
      </c>
      <c r="M7" s="24">
        <v>45660</v>
      </c>
      <c r="N7" s="25">
        <f t="shared" ref="N7:BM7" si="4">M7+7</f>
        <v>45667</v>
      </c>
      <c r="O7" s="25">
        <f t="shared" si="4"/>
        <v>45674</v>
      </c>
      <c r="P7" s="25">
        <f t="shared" si="4"/>
        <v>45681</v>
      </c>
      <c r="Q7" s="25">
        <f t="shared" si="4"/>
        <v>45688</v>
      </c>
      <c r="R7" s="25">
        <f t="shared" si="4"/>
        <v>45695</v>
      </c>
      <c r="S7" s="25">
        <f t="shared" si="4"/>
        <v>45702</v>
      </c>
      <c r="T7" s="25">
        <f t="shared" si="4"/>
        <v>45709</v>
      </c>
      <c r="U7" s="25">
        <f t="shared" si="4"/>
        <v>45716</v>
      </c>
      <c r="V7" s="25">
        <f t="shared" si="4"/>
        <v>45723</v>
      </c>
      <c r="W7" s="25">
        <f t="shared" si="4"/>
        <v>45730</v>
      </c>
      <c r="X7" s="25">
        <f t="shared" si="4"/>
        <v>45737</v>
      </c>
      <c r="Y7" s="25">
        <f t="shared" si="4"/>
        <v>45744</v>
      </c>
      <c r="Z7" s="25">
        <f t="shared" si="4"/>
        <v>45751</v>
      </c>
      <c r="AA7" s="25">
        <f t="shared" si="4"/>
        <v>45758</v>
      </c>
      <c r="AB7" s="25">
        <f t="shared" si="4"/>
        <v>45765</v>
      </c>
      <c r="AC7" s="25">
        <f t="shared" si="4"/>
        <v>45772</v>
      </c>
      <c r="AD7" s="25">
        <f t="shared" si="4"/>
        <v>45779</v>
      </c>
      <c r="AE7" s="25">
        <f t="shared" si="4"/>
        <v>45786</v>
      </c>
      <c r="AF7" s="25">
        <f t="shared" si="4"/>
        <v>45793</v>
      </c>
      <c r="AG7" s="25">
        <f t="shared" si="4"/>
        <v>45800</v>
      </c>
      <c r="AH7" s="25">
        <f t="shared" si="4"/>
        <v>45807</v>
      </c>
      <c r="AI7" s="25">
        <f t="shared" si="4"/>
        <v>45814</v>
      </c>
      <c r="AJ7" s="25">
        <f t="shared" si="4"/>
        <v>45821</v>
      </c>
      <c r="AK7" s="25">
        <f t="shared" si="4"/>
        <v>45828</v>
      </c>
      <c r="AL7" s="25">
        <f t="shared" si="4"/>
        <v>45835</v>
      </c>
      <c r="AM7" s="25">
        <f t="shared" si="4"/>
        <v>45842</v>
      </c>
      <c r="AN7" s="25">
        <f t="shared" si="4"/>
        <v>45849</v>
      </c>
      <c r="AO7" s="25">
        <f t="shared" si="4"/>
        <v>45856</v>
      </c>
      <c r="AP7" s="25">
        <f t="shared" si="4"/>
        <v>45863</v>
      </c>
      <c r="AQ7" s="25">
        <f t="shared" si="4"/>
        <v>45870</v>
      </c>
      <c r="AR7" s="25">
        <f t="shared" si="4"/>
        <v>45877</v>
      </c>
      <c r="AS7" s="25">
        <f t="shared" si="4"/>
        <v>45884</v>
      </c>
      <c r="AT7" s="25">
        <f t="shared" si="4"/>
        <v>45891</v>
      </c>
      <c r="AU7" s="25">
        <f t="shared" si="4"/>
        <v>45898</v>
      </c>
      <c r="AV7" s="25">
        <f t="shared" si="4"/>
        <v>45905</v>
      </c>
      <c r="AW7" s="25">
        <f t="shared" si="4"/>
        <v>45912</v>
      </c>
      <c r="AX7" s="25">
        <f t="shared" si="4"/>
        <v>45919</v>
      </c>
      <c r="AY7" s="25">
        <f t="shared" si="4"/>
        <v>45926</v>
      </c>
      <c r="AZ7" s="25">
        <f t="shared" si="4"/>
        <v>45933</v>
      </c>
      <c r="BA7" s="25">
        <f t="shared" si="4"/>
        <v>45940</v>
      </c>
      <c r="BB7" s="25">
        <f t="shared" si="4"/>
        <v>45947</v>
      </c>
      <c r="BC7" s="25">
        <f t="shared" si="4"/>
        <v>45954</v>
      </c>
      <c r="BD7" s="25">
        <f t="shared" si="4"/>
        <v>45961</v>
      </c>
      <c r="BE7" s="25">
        <f t="shared" si="4"/>
        <v>45968</v>
      </c>
      <c r="BF7" s="25">
        <f t="shared" si="4"/>
        <v>45975</v>
      </c>
      <c r="BG7" s="25">
        <f t="shared" si="4"/>
        <v>45982</v>
      </c>
      <c r="BH7" s="25">
        <f t="shared" si="4"/>
        <v>45989</v>
      </c>
      <c r="BI7" s="25">
        <f t="shared" si="4"/>
        <v>45996</v>
      </c>
      <c r="BJ7" s="25">
        <f t="shared" si="4"/>
        <v>46003</v>
      </c>
      <c r="BK7" s="25">
        <f t="shared" si="4"/>
        <v>46010</v>
      </c>
      <c r="BL7" s="25">
        <f t="shared" si="4"/>
        <v>46017</v>
      </c>
      <c r="BM7" s="25">
        <f t="shared" si="4"/>
        <v>46024</v>
      </c>
      <c r="BN7" s="26"/>
    </row>
    <row r="8" spans="2:66" ht="24" customHeight="1" x14ac:dyDescent="0.3">
      <c r="B8" s="920" t="s">
        <v>30</v>
      </c>
      <c r="C8" s="922" t="s">
        <v>386</v>
      </c>
      <c r="D8" s="922" t="s">
        <v>387</v>
      </c>
      <c r="E8" s="922" t="s">
        <v>142</v>
      </c>
      <c r="F8" s="922" t="s">
        <v>154</v>
      </c>
      <c r="G8" s="932" t="s">
        <v>665</v>
      </c>
      <c r="H8" s="27" t="s">
        <v>44</v>
      </c>
      <c r="I8" s="28"/>
      <c r="J8" s="29"/>
      <c r="K8" s="29"/>
      <c r="L8" s="51"/>
      <c r="M8" s="29" t="s">
        <v>122</v>
      </c>
      <c r="N8" s="29">
        <v>126</v>
      </c>
      <c r="O8" s="29">
        <v>126</v>
      </c>
      <c r="P8" s="29">
        <v>126</v>
      </c>
      <c r="Q8" s="29">
        <v>126</v>
      </c>
      <c r="R8" s="29">
        <v>126</v>
      </c>
      <c r="S8" s="29">
        <v>126</v>
      </c>
      <c r="T8" s="29">
        <v>126</v>
      </c>
      <c r="U8" s="29">
        <v>126</v>
      </c>
      <c r="V8" s="29">
        <v>126</v>
      </c>
      <c r="W8" s="29">
        <v>126</v>
      </c>
      <c r="X8" s="29">
        <v>126</v>
      </c>
      <c r="Y8" s="29">
        <v>126</v>
      </c>
      <c r="Z8" s="29">
        <v>126</v>
      </c>
      <c r="AA8" s="29">
        <v>126</v>
      </c>
      <c r="AB8" s="29">
        <v>126</v>
      </c>
      <c r="AC8" s="29">
        <v>126</v>
      </c>
      <c r="AD8" s="29">
        <v>126</v>
      </c>
      <c r="AE8" s="29">
        <v>126</v>
      </c>
      <c r="AF8" s="29">
        <v>126</v>
      </c>
      <c r="AG8" s="29">
        <v>126</v>
      </c>
      <c r="AH8" s="29">
        <v>126</v>
      </c>
      <c r="AI8" s="29">
        <v>126</v>
      </c>
      <c r="AJ8" s="29">
        <f>IF(AJ$6&gt;$E$3,"",126)</f>
        <v>126</v>
      </c>
      <c r="AK8" s="29">
        <f t="shared" ref="AK8:BM8" si="5">IF(AK$6&gt;$E$3,"",126)</f>
        <v>126</v>
      </c>
      <c r="AL8" s="29">
        <f t="shared" si="5"/>
        <v>126</v>
      </c>
      <c r="AM8" s="29">
        <f t="shared" si="5"/>
        <v>126</v>
      </c>
      <c r="AN8" s="29">
        <f t="shared" si="5"/>
        <v>126</v>
      </c>
      <c r="AO8" s="29">
        <f t="shared" si="5"/>
        <v>126</v>
      </c>
      <c r="AP8" s="29">
        <f t="shared" si="5"/>
        <v>126</v>
      </c>
      <c r="AQ8" s="29">
        <f t="shared" si="5"/>
        <v>126</v>
      </c>
      <c r="AR8" s="29">
        <f t="shared" si="5"/>
        <v>126</v>
      </c>
      <c r="AS8" s="29">
        <f t="shared" si="5"/>
        <v>126</v>
      </c>
      <c r="AT8" s="29">
        <f t="shared" si="5"/>
        <v>126</v>
      </c>
      <c r="AU8" s="29">
        <f t="shared" si="5"/>
        <v>126</v>
      </c>
      <c r="AV8" s="29">
        <f t="shared" si="5"/>
        <v>126</v>
      </c>
      <c r="AW8" s="29">
        <f t="shared" si="5"/>
        <v>126</v>
      </c>
      <c r="AX8" s="29">
        <f t="shared" si="5"/>
        <v>126</v>
      </c>
      <c r="AY8" s="29">
        <f t="shared" si="5"/>
        <v>126</v>
      </c>
      <c r="AZ8" s="29">
        <f t="shared" si="5"/>
        <v>126</v>
      </c>
      <c r="BA8" s="29">
        <f t="shared" si="5"/>
        <v>126</v>
      </c>
      <c r="BB8" s="29">
        <f t="shared" si="5"/>
        <v>126</v>
      </c>
      <c r="BC8" s="29" t="str">
        <f t="shared" si="5"/>
        <v/>
      </c>
      <c r="BD8" s="29" t="str">
        <f t="shared" si="5"/>
        <v/>
      </c>
      <c r="BE8" s="29" t="str">
        <f t="shared" si="5"/>
        <v/>
      </c>
      <c r="BF8" s="29" t="str">
        <f t="shared" si="5"/>
        <v/>
      </c>
      <c r="BG8" s="29" t="str">
        <f t="shared" si="5"/>
        <v/>
      </c>
      <c r="BH8" s="29" t="str">
        <f t="shared" si="5"/>
        <v/>
      </c>
      <c r="BI8" s="29" t="str">
        <f t="shared" si="5"/>
        <v/>
      </c>
      <c r="BJ8" s="29" t="str">
        <f t="shared" si="5"/>
        <v/>
      </c>
      <c r="BK8" s="29" t="str">
        <f t="shared" si="5"/>
        <v/>
      </c>
      <c r="BL8" s="29" t="str">
        <f t="shared" si="5"/>
        <v/>
      </c>
      <c r="BM8" s="29" t="str">
        <f t="shared" si="5"/>
        <v/>
      </c>
      <c r="BN8" s="32"/>
    </row>
    <row r="9" spans="2:66" ht="24" customHeight="1" x14ac:dyDescent="0.3">
      <c r="B9" s="920"/>
      <c r="C9" s="921"/>
      <c r="D9" s="921"/>
      <c r="E9" s="921"/>
      <c r="F9" s="921"/>
      <c r="G9" s="933"/>
      <c r="H9" s="33" t="s">
        <v>45</v>
      </c>
      <c r="I9" s="34"/>
      <c r="J9" s="35"/>
      <c r="K9" s="35"/>
      <c r="L9" s="52"/>
      <c r="M9" s="36" t="s">
        <v>122</v>
      </c>
      <c r="N9" s="36">
        <v>102</v>
      </c>
      <c r="O9" s="36">
        <v>127</v>
      </c>
      <c r="P9" s="36">
        <v>106</v>
      </c>
      <c r="Q9" s="36">
        <v>150</v>
      </c>
      <c r="R9" s="36">
        <v>135</v>
      </c>
      <c r="S9" s="36">
        <v>133</v>
      </c>
      <c r="T9" s="36">
        <v>130</v>
      </c>
      <c r="U9" s="36">
        <v>132</v>
      </c>
      <c r="V9" s="36">
        <v>124</v>
      </c>
      <c r="W9" s="36">
        <v>119</v>
      </c>
      <c r="X9" s="36">
        <v>124</v>
      </c>
      <c r="Y9" s="36">
        <v>140</v>
      </c>
      <c r="Z9" s="36">
        <v>115</v>
      </c>
      <c r="AA9" s="36">
        <v>139</v>
      </c>
      <c r="AB9" s="36">
        <v>97</v>
      </c>
      <c r="AC9" s="36">
        <v>105</v>
      </c>
      <c r="AD9" s="36">
        <v>129</v>
      </c>
      <c r="AE9" s="29">
        <v>88</v>
      </c>
      <c r="AF9" s="29">
        <v>135</v>
      </c>
      <c r="AG9" s="35">
        <v>158</v>
      </c>
      <c r="AH9" s="35">
        <v>85</v>
      </c>
      <c r="AI9" s="35">
        <v>105</v>
      </c>
      <c r="AJ9" s="35">
        <v>118</v>
      </c>
      <c r="AK9" s="35">
        <v>142</v>
      </c>
      <c r="AL9" s="35">
        <v>131</v>
      </c>
      <c r="AM9" s="35">
        <v>135</v>
      </c>
      <c r="AN9" s="35">
        <v>124</v>
      </c>
      <c r="AO9" s="35">
        <v>106</v>
      </c>
      <c r="AP9" s="35">
        <v>158</v>
      </c>
      <c r="AQ9" s="35">
        <v>103</v>
      </c>
      <c r="AR9" s="35">
        <v>129</v>
      </c>
      <c r="AS9" s="35">
        <v>95</v>
      </c>
      <c r="AT9" s="35">
        <v>121</v>
      </c>
      <c r="AU9" s="35">
        <v>83</v>
      </c>
      <c r="AV9" s="35">
        <v>107</v>
      </c>
      <c r="AW9" s="35">
        <v>141</v>
      </c>
      <c r="AX9" s="35">
        <v>115</v>
      </c>
      <c r="AY9" s="35">
        <v>109</v>
      </c>
      <c r="AZ9" s="35">
        <v>93</v>
      </c>
      <c r="BA9" s="35">
        <v>124</v>
      </c>
      <c r="BB9" s="35">
        <v>123</v>
      </c>
      <c r="BC9" s="35"/>
      <c r="BD9" s="35"/>
      <c r="BE9" s="35"/>
      <c r="BF9" s="35"/>
      <c r="BG9" s="35"/>
      <c r="BH9" s="35"/>
      <c r="BI9" s="35"/>
      <c r="BJ9" s="35"/>
      <c r="BK9" s="35"/>
      <c r="BL9" s="35"/>
      <c r="BM9" s="35"/>
      <c r="BN9" s="37"/>
    </row>
    <row r="10" spans="2:66" ht="24" customHeight="1" x14ac:dyDescent="0.3">
      <c r="B10" s="920"/>
      <c r="C10" s="921"/>
      <c r="D10" s="921"/>
      <c r="E10" s="921"/>
      <c r="F10" s="921"/>
      <c r="G10" s="933"/>
      <c r="H10" s="38" t="s">
        <v>46</v>
      </c>
      <c r="I10" s="39"/>
      <c r="J10" s="40"/>
      <c r="K10" s="40"/>
      <c r="L10" s="53"/>
      <c r="M10" s="40" t="str">
        <f>IF(M$6&gt;$E$3,"",IF(M9="","OD",IF(M9="Blank","Blank",IF(M9="TBC","TBC",IF(M9="Undefined","Undefined",IF(M9="Missed","Missed",IF(M9="OD","OD",IF(M$4="OD","OD",IF((M9-M8)&gt;=0,"G",IF((M9-(M8*0.95))&gt;=0,"A","R"))))))))))</f>
        <v>Blank</v>
      </c>
      <c r="N10" s="40" t="str">
        <f t="shared" ref="N10:BM10" si="6">IF(N$6&gt;$E$3,"",IF(N9="","OD",IF(N9="Blank","Blank",IF(N9="TBC","TBC",IF(N9="Undefined","Undefined",IF(N9="Missed","Missed",IF(N9="OD","OD",IF(N$4="OD","OD",IF((N9-N8)&gt;=0,"G",IF((N9-(N8*0.95))&gt;=0,"A","R"))))))))))</f>
        <v>R</v>
      </c>
      <c r="O10" s="40" t="str">
        <f t="shared" si="6"/>
        <v>G</v>
      </c>
      <c r="P10" s="40" t="str">
        <f t="shared" si="6"/>
        <v>R</v>
      </c>
      <c r="Q10" s="40" t="str">
        <f t="shared" si="6"/>
        <v>G</v>
      </c>
      <c r="R10" s="40" t="str">
        <f t="shared" si="6"/>
        <v>G</v>
      </c>
      <c r="S10" s="40" t="str">
        <f t="shared" si="6"/>
        <v>G</v>
      </c>
      <c r="T10" s="40" t="str">
        <f t="shared" si="6"/>
        <v>G</v>
      </c>
      <c r="U10" s="40" t="str">
        <f t="shared" si="6"/>
        <v>G</v>
      </c>
      <c r="V10" s="40" t="str">
        <f t="shared" si="6"/>
        <v>A</v>
      </c>
      <c r="W10" s="40" t="str">
        <f t="shared" si="6"/>
        <v>R</v>
      </c>
      <c r="X10" s="40" t="str">
        <f t="shared" si="6"/>
        <v>A</v>
      </c>
      <c r="Y10" s="40" t="str">
        <f t="shared" si="6"/>
        <v>G</v>
      </c>
      <c r="Z10" s="40" t="str">
        <f t="shared" si="6"/>
        <v>R</v>
      </c>
      <c r="AA10" s="40" t="str">
        <f t="shared" si="6"/>
        <v>G</v>
      </c>
      <c r="AB10" s="40" t="str">
        <f t="shared" si="6"/>
        <v>R</v>
      </c>
      <c r="AC10" s="40" t="str">
        <f t="shared" si="6"/>
        <v>R</v>
      </c>
      <c r="AD10" s="40" t="str">
        <f t="shared" si="6"/>
        <v>G</v>
      </c>
      <c r="AE10" s="40" t="str">
        <f t="shared" si="6"/>
        <v>R</v>
      </c>
      <c r="AF10" s="40" t="str">
        <f t="shared" si="6"/>
        <v>G</v>
      </c>
      <c r="AG10" s="40" t="str">
        <f t="shared" si="6"/>
        <v>G</v>
      </c>
      <c r="AH10" s="40" t="str">
        <f t="shared" si="6"/>
        <v>R</v>
      </c>
      <c r="AI10" s="40" t="str">
        <f t="shared" si="6"/>
        <v>R</v>
      </c>
      <c r="AJ10" s="40" t="str">
        <f t="shared" si="6"/>
        <v>R</v>
      </c>
      <c r="AK10" s="40" t="str">
        <f t="shared" si="6"/>
        <v>G</v>
      </c>
      <c r="AL10" s="40" t="str">
        <f t="shared" si="6"/>
        <v>G</v>
      </c>
      <c r="AM10" s="40" t="str">
        <f t="shared" si="6"/>
        <v>G</v>
      </c>
      <c r="AN10" s="40" t="str">
        <f t="shared" si="6"/>
        <v>A</v>
      </c>
      <c r="AO10" s="40" t="str">
        <f t="shared" si="6"/>
        <v>R</v>
      </c>
      <c r="AP10" s="40" t="str">
        <f t="shared" si="6"/>
        <v>G</v>
      </c>
      <c r="AQ10" s="40" t="str">
        <f t="shared" si="6"/>
        <v>R</v>
      </c>
      <c r="AR10" s="40" t="str">
        <f t="shared" si="6"/>
        <v>G</v>
      </c>
      <c r="AS10" s="40" t="str">
        <f t="shared" si="6"/>
        <v>R</v>
      </c>
      <c r="AT10" s="40" t="str">
        <f t="shared" si="6"/>
        <v>A</v>
      </c>
      <c r="AU10" s="40" t="str">
        <f t="shared" si="6"/>
        <v>R</v>
      </c>
      <c r="AV10" s="40" t="str">
        <f t="shared" si="6"/>
        <v>R</v>
      </c>
      <c r="AW10" s="40" t="str">
        <f t="shared" si="6"/>
        <v>G</v>
      </c>
      <c r="AX10" s="40" t="str">
        <f t="shared" si="6"/>
        <v>R</v>
      </c>
      <c r="AY10" s="40" t="str">
        <f t="shared" si="6"/>
        <v>R</v>
      </c>
      <c r="AZ10" s="40" t="str">
        <f t="shared" si="6"/>
        <v>R</v>
      </c>
      <c r="BA10" s="40" t="str">
        <f t="shared" si="6"/>
        <v>A</v>
      </c>
      <c r="BB10" s="40" t="str">
        <f t="shared" si="6"/>
        <v>A</v>
      </c>
      <c r="BC10" s="40" t="str">
        <f t="shared" si="6"/>
        <v/>
      </c>
      <c r="BD10" s="40" t="str">
        <f t="shared" si="6"/>
        <v/>
      </c>
      <c r="BE10" s="40" t="str">
        <f t="shared" si="6"/>
        <v/>
      </c>
      <c r="BF10" s="40" t="str">
        <f t="shared" si="6"/>
        <v/>
      </c>
      <c r="BG10" s="40" t="str">
        <f t="shared" si="6"/>
        <v/>
      </c>
      <c r="BH10" s="40" t="str">
        <f t="shared" si="6"/>
        <v/>
      </c>
      <c r="BI10" s="40" t="str">
        <f t="shared" si="6"/>
        <v/>
      </c>
      <c r="BJ10" s="40" t="str">
        <f t="shared" si="6"/>
        <v/>
      </c>
      <c r="BK10" s="40" t="str">
        <f t="shared" si="6"/>
        <v/>
      </c>
      <c r="BL10" s="40" t="str">
        <f t="shared" si="6"/>
        <v/>
      </c>
      <c r="BM10" s="40" t="str">
        <f t="shared" si="6"/>
        <v/>
      </c>
      <c r="BN10" s="42"/>
    </row>
    <row r="11" spans="2:66" ht="24" customHeight="1" x14ac:dyDescent="0.3">
      <c r="B11" s="920" t="s">
        <v>33</v>
      </c>
      <c r="C11" s="922" t="s">
        <v>388</v>
      </c>
      <c r="D11" s="922" t="s">
        <v>389</v>
      </c>
      <c r="E11" s="921" t="s">
        <v>144</v>
      </c>
      <c r="F11" s="922" t="s">
        <v>154</v>
      </c>
      <c r="G11" s="931" t="s">
        <v>665</v>
      </c>
      <c r="H11" s="27" t="s">
        <v>44</v>
      </c>
      <c r="I11" s="28"/>
      <c r="J11" s="29"/>
      <c r="K11" s="29"/>
      <c r="L11" s="51"/>
      <c r="M11" s="29" t="s">
        <v>122</v>
      </c>
      <c r="N11" s="652">
        <v>85</v>
      </c>
      <c r="O11" s="652">
        <v>85</v>
      </c>
      <c r="P11" s="652">
        <v>85</v>
      </c>
      <c r="Q11" s="652">
        <v>85</v>
      </c>
      <c r="R11" s="652">
        <v>85</v>
      </c>
      <c r="S11" s="652">
        <v>85</v>
      </c>
      <c r="T11" s="652">
        <v>85</v>
      </c>
      <c r="U11" s="652">
        <v>85</v>
      </c>
      <c r="V11" s="652">
        <v>85</v>
      </c>
      <c r="W11" s="652">
        <v>85</v>
      </c>
      <c r="X11" s="652">
        <v>85</v>
      </c>
      <c r="Y11" s="652">
        <v>85</v>
      </c>
      <c r="Z11" s="652">
        <v>85</v>
      </c>
      <c r="AA11" s="652">
        <v>85</v>
      </c>
      <c r="AB11" s="652">
        <v>85</v>
      </c>
      <c r="AC11" s="652">
        <v>85</v>
      </c>
      <c r="AD11" s="652">
        <v>85</v>
      </c>
      <c r="AE11" s="652">
        <v>85</v>
      </c>
      <c r="AF11" s="652">
        <v>85</v>
      </c>
      <c r="AG11" s="652">
        <v>85</v>
      </c>
      <c r="AH11" s="652">
        <v>85</v>
      </c>
      <c r="AI11" s="652">
        <v>85</v>
      </c>
      <c r="AJ11" s="652">
        <f>IF(AJ$6&gt;$E$3,"",85)</f>
        <v>85</v>
      </c>
      <c r="AK11" s="652">
        <f t="shared" ref="AK11:BM11" si="7">IF(AK$6&gt;$E$3,"",85)</f>
        <v>85</v>
      </c>
      <c r="AL11" s="652">
        <f t="shared" si="7"/>
        <v>85</v>
      </c>
      <c r="AM11" s="652">
        <f t="shared" si="7"/>
        <v>85</v>
      </c>
      <c r="AN11" s="652">
        <f t="shared" si="7"/>
        <v>85</v>
      </c>
      <c r="AO11" s="652">
        <f t="shared" si="7"/>
        <v>85</v>
      </c>
      <c r="AP11" s="652">
        <f t="shared" si="7"/>
        <v>85</v>
      </c>
      <c r="AQ11" s="652">
        <f t="shared" si="7"/>
        <v>85</v>
      </c>
      <c r="AR11" s="652">
        <f t="shared" si="7"/>
        <v>85</v>
      </c>
      <c r="AS11" s="652">
        <f t="shared" si="7"/>
        <v>85</v>
      </c>
      <c r="AT11" s="652">
        <f t="shared" si="7"/>
        <v>85</v>
      </c>
      <c r="AU11" s="652">
        <f t="shared" si="7"/>
        <v>85</v>
      </c>
      <c r="AV11" s="652">
        <f t="shared" si="7"/>
        <v>85</v>
      </c>
      <c r="AW11" s="652">
        <f t="shared" si="7"/>
        <v>85</v>
      </c>
      <c r="AX11" s="652">
        <f t="shared" si="7"/>
        <v>85</v>
      </c>
      <c r="AY11" s="652">
        <f t="shared" si="7"/>
        <v>85</v>
      </c>
      <c r="AZ11" s="652">
        <f t="shared" si="7"/>
        <v>85</v>
      </c>
      <c r="BA11" s="652">
        <f t="shared" si="7"/>
        <v>85</v>
      </c>
      <c r="BB11" s="652">
        <f t="shared" si="7"/>
        <v>85</v>
      </c>
      <c r="BC11" s="652" t="str">
        <f t="shared" si="7"/>
        <v/>
      </c>
      <c r="BD11" s="652" t="str">
        <f t="shared" si="7"/>
        <v/>
      </c>
      <c r="BE11" s="652" t="str">
        <f t="shared" si="7"/>
        <v/>
      </c>
      <c r="BF11" s="652" t="str">
        <f t="shared" si="7"/>
        <v/>
      </c>
      <c r="BG11" s="652" t="str">
        <f t="shared" si="7"/>
        <v/>
      </c>
      <c r="BH11" s="652" t="str">
        <f t="shared" si="7"/>
        <v/>
      </c>
      <c r="BI11" s="652" t="str">
        <f t="shared" si="7"/>
        <v/>
      </c>
      <c r="BJ11" s="652" t="str">
        <f t="shared" si="7"/>
        <v/>
      </c>
      <c r="BK11" s="652" t="str">
        <f t="shared" si="7"/>
        <v/>
      </c>
      <c r="BL11" s="652" t="str">
        <f t="shared" si="7"/>
        <v/>
      </c>
      <c r="BM11" s="652" t="str">
        <f t="shared" si="7"/>
        <v/>
      </c>
      <c r="BN11" s="31"/>
    </row>
    <row r="12" spans="2:66" s="462" customFormat="1" ht="24" customHeight="1" x14ac:dyDescent="0.3">
      <c r="B12" s="920"/>
      <c r="C12" s="921"/>
      <c r="D12" s="921"/>
      <c r="E12" s="921"/>
      <c r="F12" s="921"/>
      <c r="G12" s="931"/>
      <c r="H12" s="306" t="s">
        <v>45</v>
      </c>
      <c r="I12" s="114"/>
      <c r="J12" s="309"/>
      <c r="K12" s="309"/>
      <c r="L12" s="115"/>
      <c r="M12" s="463" t="s">
        <v>122</v>
      </c>
      <c r="N12" s="594">
        <v>96.078431372549019</v>
      </c>
      <c r="O12" s="594">
        <v>87.4015748031496</v>
      </c>
      <c r="P12" s="594">
        <v>79.245283018867923</v>
      </c>
      <c r="Q12" s="594">
        <v>84</v>
      </c>
      <c r="R12" s="594">
        <v>85.18518518518519</v>
      </c>
      <c r="S12" s="594">
        <v>87.218045112781951</v>
      </c>
      <c r="T12" s="594">
        <v>87.692307692307693</v>
      </c>
      <c r="U12" s="594">
        <v>86.36363636363636</v>
      </c>
      <c r="V12" s="594">
        <v>76.612903225806448</v>
      </c>
      <c r="W12" s="594">
        <v>89.075630252100851</v>
      </c>
      <c r="X12" s="594">
        <v>74.193548387096769</v>
      </c>
      <c r="Y12" s="594">
        <v>81.428571428571431</v>
      </c>
      <c r="Z12" s="594">
        <v>75.65217391304347</v>
      </c>
      <c r="AA12" s="594">
        <v>84.172661870503589</v>
      </c>
      <c r="AB12" s="594">
        <v>76.288659793814432</v>
      </c>
      <c r="AC12" s="594">
        <v>62.857142857142854</v>
      </c>
      <c r="AD12" s="594">
        <v>72.868217054263567</v>
      </c>
      <c r="AE12" s="387">
        <v>70.454545454545453</v>
      </c>
      <c r="AF12" s="387">
        <v>86.666666666666671</v>
      </c>
      <c r="AG12" s="387">
        <v>74.683544303797461</v>
      </c>
      <c r="AH12" s="387">
        <v>71.764705882352942</v>
      </c>
      <c r="AI12" s="387">
        <v>72.38095238095238</v>
      </c>
      <c r="AJ12" s="387">
        <v>67.796610169491515</v>
      </c>
      <c r="AK12" s="387">
        <v>69.718309859154928</v>
      </c>
      <c r="AL12" s="387">
        <v>78.625954198473281</v>
      </c>
      <c r="AM12" s="387">
        <v>78.518518518518519</v>
      </c>
      <c r="AN12" s="387">
        <v>89.5</v>
      </c>
      <c r="AO12" s="387">
        <v>73.599999999999994</v>
      </c>
      <c r="AP12" s="387">
        <v>82.3</v>
      </c>
      <c r="AQ12" s="387">
        <v>80.582524271844662</v>
      </c>
      <c r="AR12" s="387">
        <v>75.590551181102356</v>
      </c>
      <c r="AS12" s="686">
        <v>69.473684210526315</v>
      </c>
      <c r="AT12" s="686">
        <v>79.338842975206617</v>
      </c>
      <c r="AU12" s="686">
        <v>85.542168674698786</v>
      </c>
      <c r="AV12" s="686">
        <v>86.915887850467286</v>
      </c>
      <c r="AW12" s="686">
        <v>65.248226950354621</v>
      </c>
      <c r="AX12" s="686">
        <v>68.695652173913047</v>
      </c>
      <c r="AY12" s="387">
        <v>77.981651376146786</v>
      </c>
      <c r="AZ12" s="387">
        <v>82.795698924731184</v>
      </c>
      <c r="BA12" s="387">
        <v>75</v>
      </c>
      <c r="BB12" s="387">
        <v>82.1</v>
      </c>
      <c r="BC12" s="387"/>
      <c r="BD12" s="387"/>
      <c r="BE12" s="387"/>
      <c r="BF12" s="387"/>
      <c r="BG12" s="387"/>
      <c r="BH12" s="387"/>
      <c r="BI12" s="387"/>
      <c r="BJ12" s="387"/>
      <c r="BK12" s="387"/>
      <c r="BL12" s="387"/>
      <c r="BM12" s="387"/>
      <c r="BN12" s="464"/>
    </row>
    <row r="13" spans="2:66" ht="24" customHeight="1" x14ac:dyDescent="0.3">
      <c r="B13" s="920"/>
      <c r="C13" s="921"/>
      <c r="D13" s="921"/>
      <c r="E13" s="921"/>
      <c r="F13" s="921"/>
      <c r="G13" s="931"/>
      <c r="H13" s="38" t="s">
        <v>46</v>
      </c>
      <c r="I13" s="39"/>
      <c r="J13" s="40"/>
      <c r="K13" s="40"/>
      <c r="L13" s="53"/>
      <c r="M13" s="40" t="str">
        <f>IF(M$6&gt;$E$3,"",IF(M12="","OD",IF(M12="Blank","Blank",IF(M12="TBC","TBC",IF(M12="Undefined","Undefined",IF(M12="Missed","Missed",IF(M12="OD","OD",IF(M$4="OD","OD",IF((M12-M11)&gt;=0,"G",IF((M12-(M11*0.95))&gt;=0,"A","R"))))))))))</f>
        <v>Blank</v>
      </c>
      <c r="N13" s="40" t="str">
        <f t="shared" ref="N13:BM13" si="8">IF(N$6&gt;$E$3,"",IF(N12="","OD",IF(N12="Blank","Blank",IF(N12="TBC","TBC",IF(N12="Undefined","Undefined",IF(N12="Missed","Missed",IF(N12="OD","OD",IF(N$4="OD","OD",IF((N12-N11)&gt;=0,"G",IF((N12-(N11*0.95))&gt;=0,"A","R"))))))))))</f>
        <v>G</v>
      </c>
      <c r="O13" s="40" t="str">
        <f t="shared" si="8"/>
        <v>G</v>
      </c>
      <c r="P13" s="40" t="str">
        <f t="shared" si="8"/>
        <v>R</v>
      </c>
      <c r="Q13" s="40" t="str">
        <f t="shared" si="8"/>
        <v>A</v>
      </c>
      <c r="R13" s="40" t="str">
        <f t="shared" si="8"/>
        <v>G</v>
      </c>
      <c r="S13" s="40" t="str">
        <f t="shared" si="8"/>
        <v>G</v>
      </c>
      <c r="T13" s="40" t="str">
        <f t="shared" si="8"/>
        <v>G</v>
      </c>
      <c r="U13" s="40" t="str">
        <f t="shared" si="8"/>
        <v>G</v>
      </c>
      <c r="V13" s="40" t="str">
        <f t="shared" si="8"/>
        <v>R</v>
      </c>
      <c r="W13" s="40" t="str">
        <f t="shared" si="8"/>
        <v>G</v>
      </c>
      <c r="X13" s="40" t="str">
        <f t="shared" si="8"/>
        <v>R</v>
      </c>
      <c r="Y13" s="40" t="str">
        <f t="shared" si="8"/>
        <v>A</v>
      </c>
      <c r="Z13" s="40" t="str">
        <f t="shared" si="8"/>
        <v>R</v>
      </c>
      <c r="AA13" s="40" t="str">
        <f t="shared" si="8"/>
        <v>A</v>
      </c>
      <c r="AB13" s="40" t="str">
        <f t="shared" si="8"/>
        <v>R</v>
      </c>
      <c r="AC13" s="40" t="str">
        <f t="shared" si="8"/>
        <v>R</v>
      </c>
      <c r="AD13" s="40" t="str">
        <f t="shared" si="8"/>
        <v>R</v>
      </c>
      <c r="AE13" s="40" t="str">
        <f t="shared" si="8"/>
        <v>R</v>
      </c>
      <c r="AF13" s="40" t="str">
        <f t="shared" si="8"/>
        <v>G</v>
      </c>
      <c r="AG13" s="40" t="str">
        <f t="shared" si="8"/>
        <v>R</v>
      </c>
      <c r="AH13" s="40" t="str">
        <f t="shared" si="8"/>
        <v>R</v>
      </c>
      <c r="AI13" s="40" t="str">
        <f t="shared" si="8"/>
        <v>R</v>
      </c>
      <c r="AJ13" s="40" t="str">
        <f t="shared" si="8"/>
        <v>R</v>
      </c>
      <c r="AK13" s="40" t="str">
        <f t="shared" si="8"/>
        <v>R</v>
      </c>
      <c r="AL13" s="40" t="str">
        <f t="shared" si="8"/>
        <v>R</v>
      </c>
      <c r="AM13" s="40" t="str">
        <f t="shared" si="8"/>
        <v>R</v>
      </c>
      <c r="AN13" s="40" t="str">
        <f t="shared" si="8"/>
        <v>G</v>
      </c>
      <c r="AO13" s="40" t="str">
        <f t="shared" si="8"/>
        <v>R</v>
      </c>
      <c r="AP13" s="40" t="str">
        <f t="shared" si="8"/>
        <v>A</v>
      </c>
      <c r="AQ13" s="40" t="str">
        <f t="shared" si="8"/>
        <v>R</v>
      </c>
      <c r="AR13" s="40" t="str">
        <f t="shared" si="8"/>
        <v>R</v>
      </c>
      <c r="AS13" s="40" t="str">
        <f t="shared" si="8"/>
        <v>R</v>
      </c>
      <c r="AT13" s="40" t="str">
        <f t="shared" si="8"/>
        <v>R</v>
      </c>
      <c r="AU13" s="40" t="str">
        <f t="shared" si="8"/>
        <v>G</v>
      </c>
      <c r="AV13" s="40" t="str">
        <f t="shared" si="8"/>
        <v>G</v>
      </c>
      <c r="AW13" s="40" t="str">
        <f t="shared" si="8"/>
        <v>R</v>
      </c>
      <c r="AX13" s="40" t="str">
        <f t="shared" si="8"/>
        <v>R</v>
      </c>
      <c r="AY13" s="40" t="str">
        <f t="shared" si="8"/>
        <v>R</v>
      </c>
      <c r="AZ13" s="40" t="str">
        <f t="shared" si="8"/>
        <v>A</v>
      </c>
      <c r="BA13" s="40" t="str">
        <f t="shared" si="8"/>
        <v>R</v>
      </c>
      <c r="BB13" s="40" t="str">
        <f t="shared" si="8"/>
        <v>A</v>
      </c>
      <c r="BC13" s="40" t="str">
        <f t="shared" si="8"/>
        <v/>
      </c>
      <c r="BD13" s="40" t="str">
        <f t="shared" si="8"/>
        <v/>
      </c>
      <c r="BE13" s="40" t="str">
        <f t="shared" si="8"/>
        <v/>
      </c>
      <c r="BF13" s="40" t="str">
        <f t="shared" si="8"/>
        <v/>
      </c>
      <c r="BG13" s="40" t="str">
        <f t="shared" si="8"/>
        <v/>
      </c>
      <c r="BH13" s="40" t="str">
        <f t="shared" si="8"/>
        <v/>
      </c>
      <c r="BI13" s="40" t="str">
        <f t="shared" si="8"/>
        <v/>
      </c>
      <c r="BJ13" s="40" t="str">
        <f t="shared" si="8"/>
        <v/>
      </c>
      <c r="BK13" s="40" t="str">
        <f t="shared" si="8"/>
        <v/>
      </c>
      <c r="BL13" s="40" t="str">
        <f t="shared" si="8"/>
        <v/>
      </c>
      <c r="BM13" s="40" t="str">
        <f t="shared" si="8"/>
        <v/>
      </c>
      <c r="BN13" s="42"/>
    </row>
    <row r="14" spans="2:66" ht="24" customHeight="1" x14ac:dyDescent="0.3">
      <c r="B14" s="920" t="s">
        <v>32</v>
      </c>
      <c r="C14" s="922" t="s">
        <v>390</v>
      </c>
      <c r="D14" s="922" t="s">
        <v>391</v>
      </c>
      <c r="E14" s="921" t="s">
        <v>432</v>
      </c>
      <c r="F14" s="922" t="s">
        <v>171</v>
      </c>
      <c r="G14" s="931" t="s">
        <v>665</v>
      </c>
      <c r="H14" s="27" t="s">
        <v>44</v>
      </c>
      <c r="I14" s="28"/>
      <c r="J14" s="29"/>
      <c r="K14" s="29"/>
      <c r="L14" s="51"/>
      <c r="M14" s="30" t="s">
        <v>122</v>
      </c>
      <c r="N14" s="652">
        <f t="shared" ref="N14:AI14" si="9">IF(N$6&gt;$E$3,"",28)</f>
        <v>28</v>
      </c>
      <c r="O14" s="652">
        <f t="shared" si="9"/>
        <v>28</v>
      </c>
      <c r="P14" s="652">
        <f t="shared" si="9"/>
        <v>28</v>
      </c>
      <c r="Q14" s="652">
        <f t="shared" si="9"/>
        <v>28</v>
      </c>
      <c r="R14" s="652">
        <f t="shared" si="9"/>
        <v>28</v>
      </c>
      <c r="S14" s="652">
        <f t="shared" si="9"/>
        <v>28</v>
      </c>
      <c r="T14" s="652">
        <f t="shared" si="9"/>
        <v>28</v>
      </c>
      <c r="U14" s="652">
        <f t="shared" si="9"/>
        <v>28</v>
      </c>
      <c r="V14" s="652">
        <f t="shared" si="9"/>
        <v>28</v>
      </c>
      <c r="W14" s="652">
        <f t="shared" si="9"/>
        <v>28</v>
      </c>
      <c r="X14" s="652">
        <f t="shared" si="9"/>
        <v>28</v>
      </c>
      <c r="Y14" s="652">
        <f t="shared" si="9"/>
        <v>28</v>
      </c>
      <c r="Z14" s="652">
        <f t="shared" si="9"/>
        <v>28</v>
      </c>
      <c r="AA14" s="652">
        <f t="shared" si="9"/>
        <v>28</v>
      </c>
      <c r="AB14" s="652">
        <f t="shared" si="9"/>
        <v>28</v>
      </c>
      <c r="AC14" s="652">
        <f t="shared" si="9"/>
        <v>28</v>
      </c>
      <c r="AD14" s="652">
        <f t="shared" si="9"/>
        <v>28</v>
      </c>
      <c r="AE14" s="652">
        <f t="shared" si="9"/>
        <v>28</v>
      </c>
      <c r="AF14" s="652">
        <f t="shared" si="9"/>
        <v>28</v>
      </c>
      <c r="AG14" s="652">
        <f t="shared" si="9"/>
        <v>28</v>
      </c>
      <c r="AH14" s="652">
        <f t="shared" si="9"/>
        <v>28</v>
      </c>
      <c r="AI14" s="652">
        <f t="shared" si="9"/>
        <v>28</v>
      </c>
      <c r="AJ14" s="652">
        <f>IF(AJ$6&gt;$E$3,"",28)</f>
        <v>28</v>
      </c>
      <c r="AK14" s="652">
        <f t="shared" ref="AK14:BN14" si="10">IF(AK$6&gt;$E$3,"",28)</f>
        <v>28</v>
      </c>
      <c r="AL14" s="652">
        <f t="shared" si="10"/>
        <v>28</v>
      </c>
      <c r="AM14" s="652">
        <f t="shared" si="10"/>
        <v>28</v>
      </c>
      <c r="AN14" s="652">
        <f t="shared" si="10"/>
        <v>28</v>
      </c>
      <c r="AO14" s="652">
        <f t="shared" si="10"/>
        <v>28</v>
      </c>
      <c r="AP14" s="652">
        <f t="shared" si="10"/>
        <v>28</v>
      </c>
      <c r="AQ14" s="652">
        <f t="shared" si="10"/>
        <v>28</v>
      </c>
      <c r="AR14" s="652">
        <f t="shared" si="10"/>
        <v>28</v>
      </c>
      <c r="AS14" s="652">
        <f t="shared" si="10"/>
        <v>28</v>
      </c>
      <c r="AT14" s="652">
        <f t="shared" si="10"/>
        <v>28</v>
      </c>
      <c r="AU14" s="652">
        <f t="shared" si="10"/>
        <v>28</v>
      </c>
      <c r="AV14" s="652">
        <f t="shared" si="10"/>
        <v>28</v>
      </c>
      <c r="AW14" s="652">
        <f t="shared" si="10"/>
        <v>28</v>
      </c>
      <c r="AX14" s="652">
        <f t="shared" si="10"/>
        <v>28</v>
      </c>
      <c r="AY14" s="652">
        <f t="shared" si="10"/>
        <v>28</v>
      </c>
      <c r="AZ14" s="652">
        <f t="shared" si="10"/>
        <v>28</v>
      </c>
      <c r="BA14" s="652">
        <f t="shared" si="10"/>
        <v>28</v>
      </c>
      <c r="BB14" s="652">
        <f t="shared" si="10"/>
        <v>28</v>
      </c>
      <c r="BC14" s="652" t="str">
        <f t="shared" si="10"/>
        <v/>
      </c>
      <c r="BD14" s="652" t="str">
        <f t="shared" si="10"/>
        <v/>
      </c>
      <c r="BE14" s="652" t="str">
        <f t="shared" si="10"/>
        <v/>
      </c>
      <c r="BF14" s="652" t="str">
        <f t="shared" si="10"/>
        <v/>
      </c>
      <c r="BG14" s="652" t="str">
        <f t="shared" si="10"/>
        <v/>
      </c>
      <c r="BH14" s="652" t="str">
        <f t="shared" si="10"/>
        <v/>
      </c>
      <c r="BI14" s="652" t="str">
        <f t="shared" si="10"/>
        <v/>
      </c>
      <c r="BJ14" s="652" t="str">
        <f t="shared" si="10"/>
        <v/>
      </c>
      <c r="BK14" s="652" t="str">
        <f t="shared" si="10"/>
        <v/>
      </c>
      <c r="BL14" s="652" t="str">
        <f t="shared" si="10"/>
        <v/>
      </c>
      <c r="BM14" s="652" t="str">
        <f t="shared" si="10"/>
        <v/>
      </c>
      <c r="BN14" s="652" t="str">
        <f t="shared" si="10"/>
        <v/>
      </c>
    </row>
    <row r="15" spans="2:66" ht="24" customHeight="1" x14ac:dyDescent="0.3">
      <c r="B15" s="920"/>
      <c r="C15" s="921"/>
      <c r="D15" s="921"/>
      <c r="E15" s="921"/>
      <c r="F15" s="921"/>
      <c r="G15" s="931"/>
      <c r="H15" s="33" t="s">
        <v>45</v>
      </c>
      <c r="I15" s="34"/>
      <c r="J15" s="35"/>
      <c r="K15" s="35"/>
      <c r="L15" s="52"/>
      <c r="M15" s="36" t="s">
        <v>122</v>
      </c>
      <c r="N15" s="594">
        <v>60.596774193548384</v>
      </c>
      <c r="O15" s="594">
        <v>21.351351351351351</v>
      </c>
      <c r="P15" s="594">
        <v>29.637681159420289</v>
      </c>
      <c r="Q15" s="594">
        <v>29.11904761904762</v>
      </c>
      <c r="R15" s="594">
        <v>32.630769230769232</v>
      </c>
      <c r="S15" s="594">
        <v>22.584615384615386</v>
      </c>
      <c r="T15" s="594">
        <v>31.144736842105264</v>
      </c>
      <c r="U15" s="594">
        <v>19.615384615384617</v>
      </c>
      <c r="V15" s="594">
        <v>21.222222222222221</v>
      </c>
      <c r="W15" s="594">
        <v>18.612903225806452</v>
      </c>
      <c r="X15" s="594">
        <v>31.112500000000001</v>
      </c>
      <c r="Y15" s="594">
        <v>26.825581395348838</v>
      </c>
      <c r="Z15" s="594">
        <v>36.483333333333334</v>
      </c>
      <c r="AA15" s="594">
        <v>17.169014084507044</v>
      </c>
      <c r="AB15" s="594">
        <v>22.101694915254239</v>
      </c>
      <c r="AC15" s="594">
        <v>29.29032258064516</v>
      </c>
      <c r="AD15" s="594">
        <v>36.642857142857146</v>
      </c>
      <c r="AE15" s="387">
        <v>37.166666666666664</v>
      </c>
      <c r="AF15" s="387">
        <v>20.813333333333333</v>
      </c>
      <c r="AG15" s="387">
        <v>27.024390243902438</v>
      </c>
      <c r="AH15" s="387">
        <v>28.930232558139537</v>
      </c>
      <c r="AI15" s="387">
        <v>22.40909090909091</v>
      </c>
      <c r="AJ15" s="387">
        <v>37.2289156626506</v>
      </c>
      <c r="AK15" s="387">
        <v>41.986111111111114</v>
      </c>
      <c r="AL15" s="387">
        <v>29.48936170212766</v>
      </c>
      <c r="AM15" s="387">
        <v>21.611111111111111</v>
      </c>
      <c r="AN15" s="387">
        <v>17.600000000000001</v>
      </c>
      <c r="AO15" s="387">
        <v>35.9</v>
      </c>
      <c r="AP15" s="387">
        <v>28.4</v>
      </c>
      <c r="AQ15" s="387">
        <v>25.730158730158731</v>
      </c>
      <c r="AR15" s="683">
        <v>41.056338028169016</v>
      </c>
      <c r="AS15" s="683">
        <v>36.372881355932201</v>
      </c>
      <c r="AT15" s="683">
        <v>40.145161290322584</v>
      </c>
      <c r="AU15" s="683">
        <v>37.678571428571431</v>
      </c>
      <c r="AV15" s="683">
        <v>41.222222222222221</v>
      </c>
      <c r="AW15" s="683">
        <v>53.688311688311686</v>
      </c>
      <c r="AX15" s="683">
        <v>53.333333333333336</v>
      </c>
      <c r="AY15" s="387">
        <v>29.735294117647058</v>
      </c>
      <c r="AZ15" s="387">
        <v>33.89473684210526</v>
      </c>
      <c r="BA15" s="387">
        <v>47.981481481481481</v>
      </c>
      <c r="BB15" s="387">
        <v>26.2</v>
      </c>
      <c r="BC15" s="387"/>
      <c r="BD15" s="387"/>
      <c r="BE15" s="387"/>
      <c r="BF15" s="387"/>
      <c r="BG15" s="387"/>
      <c r="BH15" s="387"/>
      <c r="BI15" s="387"/>
      <c r="BJ15" s="387"/>
      <c r="BK15" s="387"/>
      <c r="BL15" s="387"/>
      <c r="BM15" s="387"/>
      <c r="BN15" s="37"/>
    </row>
    <row r="16" spans="2:66" ht="24" customHeight="1" x14ac:dyDescent="0.3">
      <c r="B16" s="920"/>
      <c r="C16" s="921"/>
      <c r="D16" s="921"/>
      <c r="E16" s="921"/>
      <c r="F16" s="921"/>
      <c r="G16" s="931"/>
      <c r="H16" s="38" t="s">
        <v>46</v>
      </c>
      <c r="I16" s="39"/>
      <c r="J16" s="40"/>
      <c r="K16" s="40"/>
      <c r="L16" s="53"/>
      <c r="M16" s="40" t="str">
        <f>IF(M$6&gt;$E$3,"",IF(M15="","OD",IF(M15="Blank","Blank",IF(M15="TBC","TBC",IF(M15="Undefined","Undefined",IF(M15="Missed","Missed",IF(M15="OD","OD",IF(M$4="OD","OD",IF((M15-M14)&lt;=0,"G",IF((M15-(M14/0.95))&lt;=0,"A","R"))))))))))</f>
        <v>Blank</v>
      </c>
      <c r="N16" s="40" t="str">
        <f t="shared" ref="N16:BM16" si="11">IF(N$6&gt;$E$3,"",IF(N15="","OD",IF(N15="Blank","Blank",IF(N15="TBC","TBC",IF(N15="Undefined","Undefined",IF(N15="Missed","Missed",IF(N15="OD","OD",IF(N$4="OD","OD",IF((N15-N14)&lt;=0,"G",IF((N15-(N14/0.95))&lt;=0,"A","R"))))))))))</f>
        <v>R</v>
      </c>
      <c r="O16" s="40" t="str">
        <f t="shared" si="11"/>
        <v>G</v>
      </c>
      <c r="P16" s="40" t="str">
        <f t="shared" si="11"/>
        <v>R</v>
      </c>
      <c r="Q16" s="40" t="str">
        <f t="shared" si="11"/>
        <v>A</v>
      </c>
      <c r="R16" s="40" t="str">
        <f t="shared" si="11"/>
        <v>R</v>
      </c>
      <c r="S16" s="40" t="str">
        <f t="shared" si="11"/>
        <v>G</v>
      </c>
      <c r="T16" s="40" t="str">
        <f t="shared" si="11"/>
        <v>R</v>
      </c>
      <c r="U16" s="40" t="str">
        <f t="shared" si="11"/>
        <v>G</v>
      </c>
      <c r="V16" s="40" t="str">
        <f t="shared" si="11"/>
        <v>G</v>
      </c>
      <c r="W16" s="40" t="str">
        <f t="shared" si="11"/>
        <v>G</v>
      </c>
      <c r="X16" s="40" t="str">
        <f t="shared" si="11"/>
        <v>R</v>
      </c>
      <c r="Y16" s="40" t="str">
        <f t="shared" si="11"/>
        <v>G</v>
      </c>
      <c r="Z16" s="40" t="str">
        <f t="shared" si="11"/>
        <v>R</v>
      </c>
      <c r="AA16" s="40" t="str">
        <f t="shared" si="11"/>
        <v>G</v>
      </c>
      <c r="AB16" s="40" t="str">
        <f t="shared" si="11"/>
        <v>G</v>
      </c>
      <c r="AC16" s="40" t="str">
        <f t="shared" si="11"/>
        <v>A</v>
      </c>
      <c r="AD16" s="40" t="str">
        <f t="shared" si="11"/>
        <v>R</v>
      </c>
      <c r="AE16" s="40" t="str">
        <f t="shared" si="11"/>
        <v>R</v>
      </c>
      <c r="AF16" s="40" t="str">
        <f t="shared" si="11"/>
        <v>G</v>
      </c>
      <c r="AG16" s="40" t="str">
        <f t="shared" si="11"/>
        <v>G</v>
      </c>
      <c r="AH16" s="40" t="str">
        <f t="shared" si="11"/>
        <v>A</v>
      </c>
      <c r="AI16" s="40" t="str">
        <f t="shared" si="11"/>
        <v>G</v>
      </c>
      <c r="AJ16" s="40" t="str">
        <f t="shared" si="11"/>
        <v>R</v>
      </c>
      <c r="AK16" s="40" t="str">
        <f t="shared" si="11"/>
        <v>R</v>
      </c>
      <c r="AL16" s="40" t="str">
        <f t="shared" si="11"/>
        <v>R</v>
      </c>
      <c r="AM16" s="40" t="str">
        <f t="shared" si="11"/>
        <v>G</v>
      </c>
      <c r="AN16" s="40" t="str">
        <f t="shared" si="11"/>
        <v>G</v>
      </c>
      <c r="AO16" s="40" t="str">
        <f t="shared" si="11"/>
        <v>R</v>
      </c>
      <c r="AP16" s="40" t="str">
        <f t="shared" si="11"/>
        <v>A</v>
      </c>
      <c r="AQ16" s="40" t="str">
        <f t="shared" si="11"/>
        <v>G</v>
      </c>
      <c r="AR16" s="40" t="str">
        <f t="shared" si="11"/>
        <v>R</v>
      </c>
      <c r="AS16" s="40" t="str">
        <f t="shared" si="11"/>
        <v>R</v>
      </c>
      <c r="AT16" s="40" t="str">
        <f t="shared" si="11"/>
        <v>R</v>
      </c>
      <c r="AU16" s="40" t="str">
        <f t="shared" si="11"/>
        <v>R</v>
      </c>
      <c r="AV16" s="40" t="str">
        <f t="shared" si="11"/>
        <v>R</v>
      </c>
      <c r="AW16" s="40" t="str">
        <f t="shared" si="11"/>
        <v>R</v>
      </c>
      <c r="AX16" s="40" t="str">
        <f t="shared" si="11"/>
        <v>R</v>
      </c>
      <c r="AY16" s="40" t="str">
        <f t="shared" si="11"/>
        <v>R</v>
      </c>
      <c r="AZ16" s="40" t="str">
        <f t="shared" si="11"/>
        <v>R</v>
      </c>
      <c r="BA16" s="40" t="str">
        <f t="shared" si="11"/>
        <v>R</v>
      </c>
      <c r="BB16" s="40" t="str">
        <f t="shared" si="11"/>
        <v>G</v>
      </c>
      <c r="BC16" s="40" t="str">
        <f t="shared" si="11"/>
        <v/>
      </c>
      <c r="BD16" s="40" t="str">
        <f t="shared" si="11"/>
        <v/>
      </c>
      <c r="BE16" s="40" t="str">
        <f t="shared" si="11"/>
        <v/>
      </c>
      <c r="BF16" s="40" t="str">
        <f t="shared" si="11"/>
        <v/>
      </c>
      <c r="BG16" s="40" t="str">
        <f t="shared" si="11"/>
        <v/>
      </c>
      <c r="BH16" s="40" t="str">
        <f t="shared" si="11"/>
        <v/>
      </c>
      <c r="BI16" s="40" t="str">
        <f t="shared" si="11"/>
        <v/>
      </c>
      <c r="BJ16" s="40" t="str">
        <f t="shared" si="11"/>
        <v/>
      </c>
      <c r="BK16" s="40" t="str">
        <f t="shared" si="11"/>
        <v/>
      </c>
      <c r="BL16" s="40" t="str">
        <f t="shared" si="11"/>
        <v/>
      </c>
      <c r="BM16" s="40" t="str">
        <f t="shared" si="11"/>
        <v/>
      </c>
      <c r="BN16" s="42"/>
    </row>
    <row r="17" spans="2:66" ht="24" customHeight="1" x14ac:dyDescent="0.3">
      <c r="B17" s="920" t="s">
        <v>31</v>
      </c>
      <c r="C17" s="922" t="s">
        <v>392</v>
      </c>
      <c r="D17" s="922" t="s">
        <v>626</v>
      </c>
      <c r="E17" s="921" t="s">
        <v>143</v>
      </c>
      <c r="F17" s="922" t="s">
        <v>154</v>
      </c>
      <c r="G17" s="919" t="s">
        <v>666</v>
      </c>
      <c r="H17" s="27" t="s">
        <v>44</v>
      </c>
      <c r="I17" s="28"/>
      <c r="J17" s="29"/>
      <c r="K17" s="29"/>
      <c r="L17" s="51"/>
      <c r="M17" s="30" t="s">
        <v>122</v>
      </c>
      <c r="N17" s="29" t="s">
        <v>35</v>
      </c>
      <c r="O17" s="29" t="s">
        <v>35</v>
      </c>
      <c r="P17" s="29" t="s">
        <v>35</v>
      </c>
      <c r="Q17" s="29" t="s">
        <v>35</v>
      </c>
      <c r="R17" s="29" t="s">
        <v>35</v>
      </c>
      <c r="S17" s="29" t="s">
        <v>35</v>
      </c>
      <c r="T17" s="29" t="s">
        <v>35</v>
      </c>
      <c r="U17" s="29" t="s">
        <v>35</v>
      </c>
      <c r="V17" s="29" t="s">
        <v>35</v>
      </c>
      <c r="W17" s="29" t="s">
        <v>35</v>
      </c>
      <c r="X17" s="29" t="s">
        <v>35</v>
      </c>
      <c r="Y17" s="29" t="s">
        <v>35</v>
      </c>
      <c r="Z17" s="29" t="s">
        <v>35</v>
      </c>
      <c r="AA17" s="29" t="s">
        <v>35</v>
      </c>
      <c r="AB17" s="29" t="s">
        <v>35</v>
      </c>
      <c r="AC17" s="29" t="s">
        <v>35</v>
      </c>
      <c r="AD17" s="29" t="s">
        <v>35</v>
      </c>
      <c r="AE17" s="29" t="s">
        <v>35</v>
      </c>
      <c r="AF17" s="29" t="s">
        <v>35</v>
      </c>
      <c r="AG17" s="29" t="s">
        <v>35</v>
      </c>
      <c r="AH17" s="458">
        <v>75</v>
      </c>
      <c r="AI17" s="458">
        <v>75</v>
      </c>
      <c r="AJ17" s="458">
        <v>75</v>
      </c>
      <c r="AK17" s="458">
        <v>75</v>
      </c>
      <c r="AL17" s="458">
        <v>75</v>
      </c>
      <c r="AM17" s="652">
        <v>75</v>
      </c>
      <c r="AN17" s="458">
        <v>75</v>
      </c>
      <c r="AO17" s="458">
        <v>75</v>
      </c>
      <c r="AP17" s="652">
        <v>75</v>
      </c>
      <c r="AQ17" s="652">
        <v>75</v>
      </c>
      <c r="AR17" s="652">
        <v>75</v>
      </c>
      <c r="AS17" s="652">
        <v>75</v>
      </c>
      <c r="AT17" s="652">
        <v>75</v>
      </c>
      <c r="AU17" s="652">
        <v>75</v>
      </c>
      <c r="AV17" s="652">
        <v>75</v>
      </c>
      <c r="AW17" s="652">
        <v>75</v>
      </c>
      <c r="AX17" s="652">
        <v>75</v>
      </c>
      <c r="AY17" s="652">
        <v>75</v>
      </c>
      <c r="AZ17" s="652">
        <v>75</v>
      </c>
      <c r="BA17" s="652">
        <v>75</v>
      </c>
      <c r="BB17" s="652">
        <v>75</v>
      </c>
      <c r="BC17" s="652"/>
      <c r="BD17" s="652"/>
      <c r="BE17" s="652"/>
      <c r="BF17" s="652"/>
      <c r="BG17" s="652"/>
      <c r="BH17" s="652"/>
      <c r="BI17" s="652"/>
      <c r="BJ17" s="652"/>
      <c r="BK17" s="652"/>
      <c r="BL17" s="652"/>
      <c r="BM17" s="652"/>
      <c r="BN17" s="652">
        <v>75</v>
      </c>
    </row>
    <row r="18" spans="2:66" ht="24" customHeight="1" x14ac:dyDescent="0.3">
      <c r="B18" s="920"/>
      <c r="C18" s="921"/>
      <c r="D18" s="921"/>
      <c r="E18" s="921"/>
      <c r="F18" s="921"/>
      <c r="G18" s="919"/>
      <c r="H18" s="33" t="s">
        <v>45</v>
      </c>
      <c r="I18" s="34"/>
      <c r="J18" s="35"/>
      <c r="K18" s="35"/>
      <c r="L18" s="52"/>
      <c r="M18" s="36" t="s">
        <v>122</v>
      </c>
      <c r="N18" s="36" t="s">
        <v>35</v>
      </c>
      <c r="O18" s="36" t="s">
        <v>35</v>
      </c>
      <c r="P18" s="36" t="s">
        <v>35</v>
      </c>
      <c r="Q18" s="36" t="s">
        <v>35</v>
      </c>
      <c r="R18" s="36" t="s">
        <v>35</v>
      </c>
      <c r="S18" s="36" t="s">
        <v>35</v>
      </c>
      <c r="T18" s="36" t="s">
        <v>35</v>
      </c>
      <c r="U18" s="36" t="s">
        <v>35</v>
      </c>
      <c r="V18" s="36" t="s">
        <v>35</v>
      </c>
      <c r="W18" s="36" t="s">
        <v>35</v>
      </c>
      <c r="X18" s="36" t="s">
        <v>35</v>
      </c>
      <c r="Y18" s="36" t="s">
        <v>35</v>
      </c>
      <c r="Z18" s="36" t="s">
        <v>35</v>
      </c>
      <c r="AA18" s="36" t="s">
        <v>35</v>
      </c>
      <c r="AB18" s="36" t="s">
        <v>35</v>
      </c>
      <c r="AC18" s="36" t="s">
        <v>35</v>
      </c>
      <c r="AD18" s="36" t="s">
        <v>35</v>
      </c>
      <c r="AE18" s="36" t="s">
        <v>35</v>
      </c>
      <c r="AF18" s="36" t="s">
        <v>35</v>
      </c>
      <c r="AG18" s="36" t="s">
        <v>35</v>
      </c>
      <c r="AH18" s="309">
        <f>+'[2]SQM Wk 22'!N1</f>
        <v>75.655769230769224</v>
      </c>
      <c r="AI18" s="309">
        <f>+'[2] SQM Wk 23'!N1</f>
        <v>87.727857142857147</v>
      </c>
      <c r="AJ18" s="309">
        <f>+'[2]SQM Wk 24'!O1</f>
        <v>82.874878048780502</v>
      </c>
      <c r="AK18" s="309">
        <v>82.125999999999991</v>
      </c>
      <c r="AL18" s="309">
        <v>72.681428571428569</v>
      </c>
      <c r="AM18" s="309">
        <v>78.721578947368428</v>
      </c>
      <c r="AN18" s="35">
        <v>82.65</v>
      </c>
      <c r="AO18" s="35">
        <v>72.05</v>
      </c>
      <c r="AP18" s="103">
        <v>68.755625000000009</v>
      </c>
      <c r="AQ18" s="103">
        <v>103.18843749999999</v>
      </c>
      <c r="AR18" s="103">
        <v>69.103333333333325</v>
      </c>
      <c r="AS18" s="309">
        <v>77.475624999999994</v>
      </c>
      <c r="AT18" s="309">
        <v>63.224062499999974</v>
      </c>
      <c r="AU18" s="309">
        <v>150.0293023255814</v>
      </c>
      <c r="AV18" s="309">
        <v>70.959999999999994</v>
      </c>
      <c r="AW18" s="309">
        <v>79.844901960784327</v>
      </c>
      <c r="AX18" s="309">
        <v>79.964756097560965</v>
      </c>
      <c r="AY18" s="309">
        <v>107.59413793103447</v>
      </c>
      <c r="AZ18" s="309">
        <v>80.21103448275862</v>
      </c>
      <c r="BA18" s="309">
        <v>79.488620689655193</v>
      </c>
      <c r="BB18" s="309">
        <v>80.66</v>
      </c>
      <c r="BC18" s="309"/>
      <c r="BD18" s="309"/>
      <c r="BE18" s="309"/>
      <c r="BF18" s="309"/>
      <c r="BG18" s="309"/>
      <c r="BH18" s="309"/>
      <c r="BI18" s="309"/>
      <c r="BJ18" s="309"/>
      <c r="BK18" s="309"/>
      <c r="BL18" s="309"/>
      <c r="BM18" s="309"/>
      <c r="BN18" s="37"/>
    </row>
    <row r="19" spans="2:66" ht="24" customHeight="1" thickBot="1" x14ac:dyDescent="0.35">
      <c r="B19" s="920"/>
      <c r="C19" s="921"/>
      <c r="D19" s="921"/>
      <c r="E19" s="921"/>
      <c r="F19" s="921"/>
      <c r="G19" s="919"/>
      <c r="H19" s="38" t="s">
        <v>46</v>
      </c>
      <c r="I19" s="43"/>
      <c r="J19" s="44"/>
      <c r="K19" s="44"/>
      <c r="L19" s="54"/>
      <c r="M19" s="40" t="str">
        <f>IF(M$6&gt;$E$3,"",IF(M18="","OD",IF(M18="Blank","Blank",IF(M18="TBC","TBC",IF(M18="Undefined","Undefined",IF(M18="Missed","Missed",IF(M18="OD","OD",IF(M$4="OD","OD",IF((M18-M17)&gt;=0,"G",IF((M18-(M17*0.95))&gt;=0,"A","R"))))))))))</f>
        <v>Blank</v>
      </c>
      <c r="N19" s="40" t="str">
        <f t="shared" ref="N19:BM19" si="12">IF(N$6&gt;$E$3,"",IF(N18="","OD",IF(N18="Blank","Blank",IF(N18="TBC","TBC",IF(N18="Undefined","Undefined",IF(N18="Missed","Missed",IF(N18="OD","OD",IF(N$4="OD","OD",IF((N18-N17)&gt;=0,"G",IF((N18-(N17*0.95))&gt;=0,"A","R"))))))))))</f>
        <v>TBC</v>
      </c>
      <c r="O19" s="40" t="str">
        <f t="shared" si="12"/>
        <v>TBC</v>
      </c>
      <c r="P19" s="40" t="str">
        <f t="shared" si="12"/>
        <v>TBC</v>
      </c>
      <c r="Q19" s="40" t="str">
        <f t="shared" si="12"/>
        <v>TBC</v>
      </c>
      <c r="R19" s="40" t="str">
        <f t="shared" si="12"/>
        <v>TBC</v>
      </c>
      <c r="S19" s="40" t="str">
        <f t="shared" si="12"/>
        <v>TBC</v>
      </c>
      <c r="T19" s="40" t="str">
        <f t="shared" si="12"/>
        <v>TBC</v>
      </c>
      <c r="U19" s="40" t="str">
        <f t="shared" si="12"/>
        <v>TBC</v>
      </c>
      <c r="V19" s="40" t="str">
        <f t="shared" si="12"/>
        <v>TBC</v>
      </c>
      <c r="W19" s="40" t="str">
        <f t="shared" si="12"/>
        <v>TBC</v>
      </c>
      <c r="X19" s="40" t="str">
        <f t="shared" si="12"/>
        <v>TBC</v>
      </c>
      <c r="Y19" s="40" t="str">
        <f t="shared" si="12"/>
        <v>TBC</v>
      </c>
      <c r="Z19" s="40" t="str">
        <f t="shared" si="12"/>
        <v>TBC</v>
      </c>
      <c r="AA19" s="40" t="str">
        <f t="shared" si="12"/>
        <v>TBC</v>
      </c>
      <c r="AB19" s="40" t="str">
        <f t="shared" si="12"/>
        <v>TBC</v>
      </c>
      <c r="AC19" s="40" t="str">
        <f t="shared" si="12"/>
        <v>TBC</v>
      </c>
      <c r="AD19" s="40" t="str">
        <f t="shared" si="12"/>
        <v>TBC</v>
      </c>
      <c r="AE19" s="40" t="str">
        <f t="shared" si="12"/>
        <v>TBC</v>
      </c>
      <c r="AF19" s="40" t="str">
        <f t="shared" si="12"/>
        <v>TBC</v>
      </c>
      <c r="AG19" s="40" t="str">
        <f t="shared" si="12"/>
        <v>TBC</v>
      </c>
      <c r="AH19" s="40" t="str">
        <f t="shared" si="12"/>
        <v>G</v>
      </c>
      <c r="AI19" s="40" t="str">
        <f t="shared" si="12"/>
        <v>G</v>
      </c>
      <c r="AJ19" s="40" t="str">
        <f t="shared" si="12"/>
        <v>G</v>
      </c>
      <c r="AK19" s="40" t="str">
        <f t="shared" si="12"/>
        <v>G</v>
      </c>
      <c r="AL19" s="40" t="str">
        <f t="shared" si="12"/>
        <v>A</v>
      </c>
      <c r="AM19" s="40" t="str">
        <f t="shared" si="12"/>
        <v>G</v>
      </c>
      <c r="AN19" s="40" t="str">
        <f t="shared" si="12"/>
        <v>G</v>
      </c>
      <c r="AO19" s="40" t="str">
        <f t="shared" si="12"/>
        <v>A</v>
      </c>
      <c r="AP19" s="40" t="str">
        <f t="shared" si="12"/>
        <v>R</v>
      </c>
      <c r="AQ19" s="40" t="str">
        <f t="shared" si="12"/>
        <v>G</v>
      </c>
      <c r="AR19" s="40" t="str">
        <f t="shared" si="12"/>
        <v>R</v>
      </c>
      <c r="AS19" s="40" t="str">
        <f t="shared" si="12"/>
        <v>G</v>
      </c>
      <c r="AT19" s="40" t="str">
        <f t="shared" si="12"/>
        <v>R</v>
      </c>
      <c r="AU19" s="40" t="str">
        <f t="shared" si="12"/>
        <v>G</v>
      </c>
      <c r="AV19" s="40" t="str">
        <f t="shared" si="12"/>
        <v>R</v>
      </c>
      <c r="AW19" s="40" t="str">
        <f t="shared" si="12"/>
        <v>G</v>
      </c>
      <c r="AX19" s="40" t="str">
        <f t="shared" si="12"/>
        <v>G</v>
      </c>
      <c r="AY19" s="40" t="str">
        <f t="shared" si="12"/>
        <v>G</v>
      </c>
      <c r="AZ19" s="40" t="str">
        <f t="shared" si="12"/>
        <v>G</v>
      </c>
      <c r="BA19" s="40" t="str">
        <f t="shared" si="12"/>
        <v>G</v>
      </c>
      <c r="BB19" s="40" t="str">
        <f t="shared" si="12"/>
        <v>G</v>
      </c>
      <c r="BC19" s="40" t="str">
        <f t="shared" si="12"/>
        <v/>
      </c>
      <c r="BD19" s="40" t="str">
        <f t="shared" si="12"/>
        <v/>
      </c>
      <c r="BE19" s="40" t="str">
        <f t="shared" si="12"/>
        <v/>
      </c>
      <c r="BF19" s="40" t="str">
        <f t="shared" si="12"/>
        <v/>
      </c>
      <c r="BG19" s="40" t="str">
        <f t="shared" si="12"/>
        <v/>
      </c>
      <c r="BH19" s="40" t="str">
        <f t="shared" si="12"/>
        <v/>
      </c>
      <c r="BI19" s="40" t="str">
        <f t="shared" si="12"/>
        <v/>
      </c>
      <c r="BJ19" s="40" t="str">
        <f t="shared" si="12"/>
        <v/>
      </c>
      <c r="BK19" s="40" t="str">
        <f t="shared" si="12"/>
        <v/>
      </c>
      <c r="BL19" s="40" t="str">
        <f t="shared" si="12"/>
        <v/>
      </c>
      <c r="BM19" s="40" t="str">
        <f t="shared" si="12"/>
        <v/>
      </c>
      <c r="BN19" s="42"/>
    </row>
    <row r="21" spans="2:66" ht="15.6" x14ac:dyDescent="0.3">
      <c r="B21" s="1" t="s">
        <v>0</v>
      </c>
      <c r="C21" s="45" t="s">
        <v>1</v>
      </c>
    </row>
    <row r="22" spans="2:66" ht="15.6" x14ac:dyDescent="0.3">
      <c r="B22" s="4" t="s">
        <v>2</v>
      </c>
      <c r="C22" s="45" t="s">
        <v>3</v>
      </c>
      <c r="H22" s="2" t="s">
        <v>578</v>
      </c>
    </row>
    <row r="23" spans="2:66" ht="15.6" x14ac:dyDescent="0.3">
      <c r="B23" s="5" t="s">
        <v>4</v>
      </c>
      <c r="C23" s="45" t="s">
        <v>5</v>
      </c>
    </row>
    <row r="24" spans="2:66" x14ac:dyDescent="0.3">
      <c r="B24" s="340" t="s">
        <v>35</v>
      </c>
      <c r="C24" s="13" t="s">
        <v>376</v>
      </c>
    </row>
    <row r="25" spans="2:66" x14ac:dyDescent="0.3">
      <c r="B25" s="341" t="s">
        <v>122</v>
      </c>
      <c r="C25" s="13" t="s">
        <v>377</v>
      </c>
    </row>
  </sheetData>
  <mergeCells count="26">
    <mergeCell ref="G11:G13"/>
    <mergeCell ref="C6:D6"/>
    <mergeCell ref="G6:G7"/>
    <mergeCell ref="B8:B10"/>
    <mergeCell ref="C8:C10"/>
    <mergeCell ref="D8:D10"/>
    <mergeCell ref="E8:E10"/>
    <mergeCell ref="F8:F10"/>
    <mergeCell ref="G8:G10"/>
    <mergeCell ref="B11:B13"/>
    <mergeCell ref="C11:C13"/>
    <mergeCell ref="D11:D13"/>
    <mergeCell ref="E11:E13"/>
    <mergeCell ref="F11:F13"/>
    <mergeCell ref="G17:G19"/>
    <mergeCell ref="B14:B16"/>
    <mergeCell ref="C14:C16"/>
    <mergeCell ref="D14:D16"/>
    <mergeCell ref="E14:E16"/>
    <mergeCell ref="F14:F16"/>
    <mergeCell ref="G14:G16"/>
    <mergeCell ref="B17:B19"/>
    <mergeCell ref="C17:C19"/>
    <mergeCell ref="D17:D19"/>
    <mergeCell ref="E17:E19"/>
    <mergeCell ref="F17:F19"/>
  </mergeCells>
  <conditionalFormatting sqref="B25">
    <cfRule type="cellIs" dxfId="479" priority="41" operator="equal">
      <formula>"TBC"</formula>
    </cfRule>
    <cfRule type="cellIs" dxfId="478" priority="42" operator="equal">
      <formula>"OD"</formula>
    </cfRule>
    <cfRule type="cellIs" dxfId="477" priority="43" operator="equal">
      <formula>"G"</formula>
    </cfRule>
    <cfRule type="cellIs" dxfId="476" priority="44" operator="equal">
      <formula>"A"</formula>
    </cfRule>
    <cfRule type="cellIs" dxfId="475" priority="45" operator="equal">
      <formula>"R"</formula>
    </cfRule>
  </conditionalFormatting>
  <conditionalFormatting sqref="I10:BM10">
    <cfRule type="cellIs" dxfId="474" priority="16" operator="equal">
      <formula>"OD"</formula>
    </cfRule>
    <cfRule type="cellIs" dxfId="473" priority="17" operator="equal">
      <formula>"TBC"</formula>
    </cfRule>
    <cfRule type="cellIs" dxfId="472" priority="18" operator="equal">
      <formula>"G"</formula>
    </cfRule>
    <cfRule type="cellIs" dxfId="471" priority="19" operator="equal">
      <formula>"A"</formula>
    </cfRule>
    <cfRule type="cellIs" dxfId="470" priority="20" operator="equal">
      <formula>"R"</formula>
    </cfRule>
  </conditionalFormatting>
  <conditionalFormatting sqref="I13:BM13">
    <cfRule type="cellIs" dxfId="469" priority="11" operator="equal">
      <formula>"OD"</formula>
    </cfRule>
    <cfRule type="cellIs" dxfId="468" priority="12" operator="equal">
      <formula>"TBC"</formula>
    </cfRule>
    <cfRule type="cellIs" dxfId="467" priority="13" operator="equal">
      <formula>"G"</formula>
    </cfRule>
    <cfRule type="cellIs" dxfId="466" priority="14" operator="equal">
      <formula>"A"</formula>
    </cfRule>
    <cfRule type="cellIs" dxfId="465" priority="15" operator="equal">
      <formula>"R"</formula>
    </cfRule>
  </conditionalFormatting>
  <conditionalFormatting sqref="I16:BM16">
    <cfRule type="cellIs" dxfId="464" priority="1" operator="equal">
      <formula>"OD"</formula>
    </cfRule>
    <cfRule type="cellIs" dxfId="463" priority="2" operator="equal">
      <formula>"TBC"</formula>
    </cfRule>
    <cfRule type="cellIs" dxfId="462" priority="3" operator="equal">
      <formula>"G"</formula>
    </cfRule>
    <cfRule type="cellIs" dxfId="461" priority="4" operator="equal">
      <formula>"A"</formula>
    </cfRule>
    <cfRule type="cellIs" dxfId="460" priority="5" operator="equal">
      <formula>"R"</formula>
    </cfRule>
  </conditionalFormatting>
  <conditionalFormatting sqref="I19:BM19">
    <cfRule type="cellIs" dxfId="459" priority="6" operator="equal">
      <formula>"OD"</formula>
    </cfRule>
    <cfRule type="cellIs" dxfId="458" priority="7" operator="equal">
      <formula>"TBC"</formula>
    </cfRule>
    <cfRule type="cellIs" dxfId="457" priority="8" operator="equal">
      <formula>"G"</formula>
    </cfRule>
    <cfRule type="cellIs" dxfId="456" priority="9" operator="equal">
      <formula>"A"</formula>
    </cfRule>
    <cfRule type="cellIs" dxfId="455" priority="10" operator="equal">
      <formula>"R"</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594F-7AA2-4CE1-ADC8-8C3E8A232128}">
  <sheetPr>
    <tabColor rgb="FF00B050"/>
  </sheetPr>
  <dimension ref="A1:BN41"/>
  <sheetViews>
    <sheetView zoomScale="81" zoomScaleNormal="81" workbookViewId="0">
      <pane xSplit="8" ySplit="7" topLeftCell="AR8" activePane="bottomRight" state="frozen"/>
      <selection pane="topRight" activeCell="I1" sqref="I1"/>
      <selection pane="bottomLeft" activeCell="A8" sqref="A8"/>
      <selection pane="bottomRight" activeCell="AX17" sqref="AX17"/>
    </sheetView>
  </sheetViews>
  <sheetFormatPr defaultColWidth="9.33203125" defaultRowHeight="14.4" x14ac:dyDescent="0.3"/>
  <cols>
    <col min="1" max="1" width="3" style="2" customWidth="1"/>
    <col min="2" max="2" width="18" style="2" customWidth="1"/>
    <col min="3" max="3" width="16.5546875" style="13" bestFit="1" customWidth="1"/>
    <col min="4" max="4" width="25.33203125" style="2" customWidth="1"/>
    <col min="5" max="5" width="12.6640625" style="2" customWidth="1"/>
    <col min="6" max="6" width="15.5546875" style="2" customWidth="1"/>
    <col min="7" max="7" width="32.33203125" style="2" customWidth="1"/>
    <col min="8" max="8" width="9.44140625" style="2" bestFit="1" customWidth="1"/>
    <col min="9" max="12" width="3" style="2" bestFit="1" customWidth="1"/>
    <col min="13" max="16" width="10.6640625" style="2" customWidth="1"/>
    <col min="17" max="36" width="12.109375" style="2" customWidth="1"/>
    <col min="37" max="37" width="11.5546875" style="2" bestFit="1" customWidth="1"/>
    <col min="38" max="38" width="9.33203125" style="2"/>
    <col min="39" max="39" width="10.5546875" style="2" bestFit="1" customWidth="1"/>
    <col min="40" max="40" width="9.33203125" style="2"/>
    <col min="41" max="41" width="10.5546875" style="2" bestFit="1" customWidth="1"/>
    <col min="42" max="43" width="9.33203125" style="2"/>
    <col min="44" max="44" width="10.21875" style="2" bestFit="1" customWidth="1"/>
    <col min="45" max="45" width="9.33203125" style="2"/>
    <col min="46" max="46" width="10.21875" style="2" bestFit="1" customWidth="1"/>
    <col min="47" max="52" width="9.33203125" style="2"/>
    <col min="53" max="53" width="10.77734375" style="2" bestFit="1" customWidth="1"/>
    <col min="54" max="65" width="9.33203125" style="2"/>
    <col min="66" max="66" width="2.88671875" style="2"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8.600000000000001" thickBot="1" x14ac:dyDescent="0.35">
      <c r="B1" s="14" t="s">
        <v>121</v>
      </c>
      <c r="C1" s="10" t="s">
        <v>19</v>
      </c>
      <c r="N1" s="603">
        <f>+N14*0.95</f>
        <v>0.90249999999999997</v>
      </c>
    </row>
    <row r="2" spans="2:66" ht="15" thickBot="1" x14ac:dyDescent="0.35">
      <c r="D2" s="119" t="s">
        <v>123</v>
      </c>
      <c r="E2" s="346">
        <v>42</v>
      </c>
      <c r="F2" s="2" t="s">
        <v>248</v>
      </c>
    </row>
    <row r="3" spans="2:66" ht="15" thickBot="1" x14ac:dyDescent="0.35">
      <c r="B3" s="2" t="s">
        <v>384</v>
      </c>
      <c r="D3" s="120" t="s">
        <v>193</v>
      </c>
      <c r="E3" s="120">
        <f>+'KPI Analysis'!D3</f>
        <v>42</v>
      </c>
    </row>
    <row r="4" spans="2:66" ht="15.6"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5" thickBot="1" x14ac:dyDescent="0.35"/>
    <row r="6" spans="2:66" ht="24" customHeight="1" x14ac:dyDescent="0.3">
      <c r="B6" s="14" t="s">
        <v>79</v>
      </c>
      <c r="C6" s="926" t="s">
        <v>134</v>
      </c>
      <c r="D6" s="927"/>
      <c r="E6" s="118"/>
      <c r="F6" s="118"/>
      <c r="G6" s="928" t="s">
        <v>37</v>
      </c>
      <c r="H6" s="15" t="s">
        <v>7</v>
      </c>
      <c r="I6" s="57">
        <f>J6-1</f>
        <v>49</v>
      </c>
      <c r="J6" s="58">
        <f>K6-1</f>
        <v>50</v>
      </c>
      <c r="K6" s="58">
        <f>L6-1</f>
        <v>51</v>
      </c>
      <c r="L6" s="59">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40.799999999999997" customHeight="1" x14ac:dyDescent="0.3">
      <c r="B7" s="14" t="s">
        <v>38</v>
      </c>
      <c r="C7" s="21" t="s">
        <v>39</v>
      </c>
      <c r="D7" s="21" t="s">
        <v>40</v>
      </c>
      <c r="E7" s="21" t="s">
        <v>140</v>
      </c>
      <c r="F7" s="21" t="s">
        <v>159</v>
      </c>
      <c r="G7" s="929"/>
      <c r="H7" s="15" t="s">
        <v>41</v>
      </c>
      <c r="I7" s="60">
        <f t="shared" ref="I7:K7" si="2">J7-7</f>
        <v>45632</v>
      </c>
      <c r="J7" s="61">
        <f t="shared" si="2"/>
        <v>45639</v>
      </c>
      <c r="K7" s="61">
        <f t="shared" si="2"/>
        <v>45646</v>
      </c>
      <c r="L7" s="62">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24" customHeight="1" x14ac:dyDescent="0.3">
      <c r="B8" s="920" t="s">
        <v>30</v>
      </c>
      <c r="C8" s="936" t="s">
        <v>66</v>
      </c>
      <c r="D8" s="936" t="s">
        <v>67</v>
      </c>
      <c r="E8" s="936"/>
      <c r="F8" s="936" t="s">
        <v>154</v>
      </c>
      <c r="G8" s="937" t="s">
        <v>68</v>
      </c>
      <c r="H8" s="63" t="s">
        <v>44</v>
      </c>
      <c r="I8" s="64"/>
      <c r="J8" s="65"/>
      <c r="K8" s="65"/>
      <c r="L8" s="66"/>
      <c r="M8" s="65"/>
      <c r="N8" s="67"/>
      <c r="O8" s="67"/>
      <c r="P8" s="67"/>
      <c r="Q8" s="682">
        <f>+Q9</f>
        <v>885</v>
      </c>
      <c r="R8" s="388">
        <f>AVERAGE($Q9:Q9)</f>
        <v>885</v>
      </c>
      <c r="S8" s="388">
        <f>AVERAGE($Q9:R9)</f>
        <v>875</v>
      </c>
      <c r="T8" s="388">
        <f>AVERAGE($Q9:S9)</f>
        <v>806.33333333333337</v>
      </c>
      <c r="U8" s="388">
        <f>AVERAGE($Q9:T9)</f>
        <v>837.5</v>
      </c>
      <c r="V8" s="388">
        <f>AVERAGE($Q9:U9)</f>
        <v>837</v>
      </c>
      <c r="W8" s="388">
        <f>AVERAGE($Q9:V9)</f>
        <v>812.83333333333337</v>
      </c>
      <c r="X8" s="388">
        <f>AVERAGE($Q9:W9)</f>
        <v>783.42857142857144</v>
      </c>
      <c r="Y8" s="388">
        <f>AVERAGE($Q9:X9)</f>
        <v>790.75</v>
      </c>
      <c r="Z8" s="388">
        <f>AVERAGE($Q9:Y9)</f>
        <v>775.77777777777783</v>
      </c>
      <c r="AA8" s="388">
        <f>AVERAGE($Q9:Z9)</f>
        <v>765.6</v>
      </c>
      <c r="AB8" s="388">
        <f>AVERAGE($Q9:AA9)</f>
        <v>765.27272727272725</v>
      </c>
      <c r="AC8" s="388">
        <f>AVERAGE($Q9:AB9)</f>
        <v>753</v>
      </c>
      <c r="AD8" s="388">
        <f>AVERAGE($Q9:AC9)</f>
        <v>731.46153846153845</v>
      </c>
      <c r="AE8" s="388">
        <f>AVERAGE($Q9:AD9)</f>
        <v>732.57142857142856</v>
      </c>
      <c r="AF8" s="388">
        <f>AVERAGE($Q9:AE9)</f>
        <v>733.5333333333333</v>
      </c>
      <c r="AG8" s="388">
        <f>AVERAGE($Q9:AF9)</f>
        <v>728.8125</v>
      </c>
      <c r="AH8" s="388">
        <f>AVERAGE($Q9:AG9)</f>
        <v>750.52941176470586</v>
      </c>
      <c r="AI8" s="388">
        <f>AVERAGE($Q9:AH9)</f>
        <v>751.27777777777783</v>
      </c>
      <c r="AJ8" s="388">
        <f>IF(AJ$6&gt;$E$3,"",AVERAGE($Q9:AI9))</f>
        <v>754.73684210526312</v>
      </c>
      <c r="AK8" s="682">
        <f>IF(AK$6&gt;$E$3,"",AVERAGE($Q9:AJ9))</f>
        <v>751.8</v>
      </c>
      <c r="AL8" s="388">
        <f>IF(AL$6&gt;$E$3,"",AVERAGE($Q9:AK9))</f>
        <v>753.04761904761904</v>
      </c>
      <c r="AM8" s="388">
        <f>IF(AM$6&gt;$E$3,"",AVERAGE($Q9:AL9))</f>
        <v>753.68181818181813</v>
      </c>
      <c r="AN8" s="388">
        <f>IF(AN$6&gt;$E$3,"",AVERAGE($Q9:AM9))</f>
        <v>762.82608695652175</v>
      </c>
      <c r="AO8" s="388">
        <f>IF(AO$6&gt;$E$3,"",AVERAGE($Q9:AN9))</f>
        <v>758.83333333333337</v>
      </c>
      <c r="AP8" s="388">
        <f>IF(AP$6&gt;$E$3,"",AVERAGE($Q9:AO9))</f>
        <v>749.16</v>
      </c>
      <c r="AQ8" s="388">
        <f>IF(AQ$6&gt;$E$3,"",AVERAGE($Q9:AP9))</f>
        <v>754</v>
      </c>
      <c r="AR8" s="388">
        <f>IF(AR$6&gt;$E$3,"",AVERAGE($Q9:AQ9))</f>
        <v>745.22222222222217</v>
      </c>
      <c r="AS8" s="388">
        <f>IF(AS$6&gt;$E$3,"",AVERAGE($Q9:AR9))</f>
        <v>743.46428571428567</v>
      </c>
      <c r="AT8" s="388">
        <f>IF(AT$6&gt;$E$3,"",AVERAGE($Q9:AS9))</f>
        <v>734.79310344827582</v>
      </c>
      <c r="AU8" s="388">
        <f>IF(AU$6&gt;$E$3,"",AVERAGE($Q9:AT9))</f>
        <v>736.5</v>
      </c>
      <c r="AV8" s="388">
        <f>IF(AV$6&gt;$E$3,"",AVERAGE($Q9:AU9))</f>
        <v>731.12903225806451</v>
      </c>
      <c r="AW8" s="388">
        <f>IF(AW$6&gt;$E$3,"",AVERAGE($Q9:AV9))</f>
        <v>731.71875</v>
      </c>
      <c r="AX8" s="388">
        <f>IF(AX$6&gt;$E$3,"",AVERAGE($Q9:AW9))</f>
        <v>726.60606060606062</v>
      </c>
      <c r="AY8" s="388">
        <f>IF(AY$6&gt;$E$3,"",AVERAGE($Q9:AX9))</f>
        <v>731.14705882352939</v>
      </c>
      <c r="AZ8" s="388">
        <f>IF(AZ$6&gt;$E$3,"",AVERAGE($Q9:AY9))</f>
        <v>739.02857142857147</v>
      </c>
      <c r="BA8" s="388">
        <f>IF(BA$6&gt;$E$3,"",AVERAGE($Q9:AZ9))</f>
        <v>738.69444444444446</v>
      </c>
      <c r="BB8" s="388">
        <f>IF(BB$6&gt;$E$3,"",AVERAGE($Q9:BA9))</f>
        <v>736.72972972972968</v>
      </c>
      <c r="BC8" s="388" t="str">
        <f>IF(BC$6&gt;$E$3,"",AVERAGE($Q9:BB9))</f>
        <v/>
      </c>
      <c r="BD8" s="388" t="str">
        <f>IF(BD$6&gt;$E$3,"",AVERAGE($Q9:BC9))</f>
        <v/>
      </c>
      <c r="BE8" s="388" t="str">
        <f>IF(BE$6&gt;$E$3,"",AVERAGE($Q9:BD9))</f>
        <v/>
      </c>
      <c r="BF8" s="388" t="str">
        <f>IF(BF$6&gt;$E$3,"",AVERAGE($Q9:BE9))</f>
        <v/>
      </c>
      <c r="BG8" s="388" t="str">
        <f>IF(BG$6&gt;$E$3,"",AVERAGE($Q9:BF9))</f>
        <v/>
      </c>
      <c r="BH8" s="388" t="str">
        <f>IF(BH$6&gt;$E$3,"",AVERAGE($Q9:BG9))</f>
        <v/>
      </c>
      <c r="BI8" s="388" t="str">
        <f>IF(BI$6&gt;$E$3,"",AVERAGE($Q9:BH9))</f>
        <v/>
      </c>
      <c r="BJ8" s="388" t="str">
        <f>IF(BJ$6&gt;$E$3,"",AVERAGE($Q9:BI9))</f>
        <v/>
      </c>
      <c r="BK8" s="388" t="str">
        <f>IF(BK$6&gt;$E$3,"",AVERAGE($Q9:BJ9))</f>
        <v/>
      </c>
      <c r="BL8" s="388" t="str">
        <f>IF(BL$6&gt;$E$3,"",AVERAGE($Q9:BK9))</f>
        <v/>
      </c>
      <c r="BM8" s="388" t="str">
        <f>IF(BM$6&gt;$E$3,"",AVERAGE($Q9:BL9))</f>
        <v/>
      </c>
      <c r="BN8" s="32"/>
    </row>
    <row r="9" spans="2:66" ht="24" customHeight="1" x14ac:dyDescent="0.3">
      <c r="B9" s="920"/>
      <c r="C9" s="935"/>
      <c r="D9" s="935"/>
      <c r="E9" s="935"/>
      <c r="F9" s="935"/>
      <c r="G9" s="934"/>
      <c r="H9" s="33" t="s">
        <v>45</v>
      </c>
      <c r="I9" s="34"/>
      <c r="J9" s="36"/>
      <c r="K9" s="36"/>
      <c r="L9" s="52"/>
      <c r="M9" s="36" t="s">
        <v>122</v>
      </c>
      <c r="N9" s="35" t="s">
        <v>496</v>
      </c>
      <c r="O9" s="35" t="s">
        <v>496</v>
      </c>
      <c r="P9" s="35" t="s">
        <v>496</v>
      </c>
      <c r="Q9" s="389">
        <v>885</v>
      </c>
      <c r="R9" s="389">
        <v>865</v>
      </c>
      <c r="S9" s="684">
        <v>669</v>
      </c>
      <c r="T9" s="684">
        <v>931</v>
      </c>
      <c r="U9" s="389">
        <v>835</v>
      </c>
      <c r="V9" s="389">
        <v>692</v>
      </c>
      <c r="W9" s="389">
        <f>412+195</f>
        <v>607</v>
      </c>
      <c r="X9" s="389">
        <f>574+268</f>
        <v>842</v>
      </c>
      <c r="Y9" s="389">
        <f>382+274</f>
        <v>656</v>
      </c>
      <c r="Z9" s="389">
        <f>398+276</f>
        <v>674</v>
      </c>
      <c r="AA9" s="389">
        <f>510+252</f>
        <v>762</v>
      </c>
      <c r="AB9" s="389">
        <f t="shared" ref="AB9:BB9" si="4">+AB27</f>
        <v>618</v>
      </c>
      <c r="AC9" s="389">
        <f t="shared" si="4"/>
        <v>473</v>
      </c>
      <c r="AD9" s="389">
        <f t="shared" si="4"/>
        <v>747</v>
      </c>
      <c r="AE9" s="389">
        <f t="shared" si="4"/>
        <v>747</v>
      </c>
      <c r="AF9" s="389">
        <f t="shared" si="4"/>
        <v>658</v>
      </c>
      <c r="AG9" s="389">
        <f t="shared" si="4"/>
        <v>1098</v>
      </c>
      <c r="AH9" s="389">
        <f t="shared" si="4"/>
        <v>764</v>
      </c>
      <c r="AI9" s="389">
        <f t="shared" si="4"/>
        <v>817</v>
      </c>
      <c r="AJ9" s="389">
        <f t="shared" si="4"/>
        <v>696</v>
      </c>
      <c r="AK9" s="389">
        <f t="shared" si="4"/>
        <v>778</v>
      </c>
      <c r="AL9" s="389">
        <f t="shared" si="4"/>
        <v>767</v>
      </c>
      <c r="AM9" s="389">
        <f t="shared" si="4"/>
        <v>964</v>
      </c>
      <c r="AN9" s="389">
        <f t="shared" si="4"/>
        <v>667</v>
      </c>
      <c r="AO9" s="389">
        <f t="shared" si="4"/>
        <v>517</v>
      </c>
      <c r="AP9" s="389">
        <f t="shared" si="4"/>
        <v>875</v>
      </c>
      <c r="AQ9" s="389">
        <f t="shared" si="4"/>
        <v>517</v>
      </c>
      <c r="AR9" s="389">
        <f t="shared" si="4"/>
        <v>696</v>
      </c>
      <c r="AS9" s="389">
        <f t="shared" si="4"/>
        <v>492</v>
      </c>
      <c r="AT9" s="389">
        <f t="shared" si="4"/>
        <v>786</v>
      </c>
      <c r="AU9" s="389">
        <f t="shared" si="4"/>
        <v>570</v>
      </c>
      <c r="AV9" s="389">
        <f t="shared" si="4"/>
        <v>750</v>
      </c>
      <c r="AW9" s="389">
        <f t="shared" si="4"/>
        <v>563</v>
      </c>
      <c r="AX9" s="389">
        <f t="shared" si="4"/>
        <v>881</v>
      </c>
      <c r="AY9" s="389">
        <f t="shared" si="4"/>
        <v>1007</v>
      </c>
      <c r="AZ9" s="389">
        <f t="shared" si="4"/>
        <v>727</v>
      </c>
      <c r="BA9" s="389">
        <f t="shared" si="4"/>
        <v>666</v>
      </c>
      <c r="BB9" s="389">
        <f t="shared" si="4"/>
        <v>607</v>
      </c>
      <c r="BC9" s="35"/>
      <c r="BD9" s="35"/>
      <c r="BE9" s="35"/>
      <c r="BF9" s="35"/>
      <c r="BG9" s="35"/>
      <c r="BH9" s="35"/>
      <c r="BI9" s="35"/>
      <c r="BJ9" s="35"/>
      <c r="BK9" s="35"/>
      <c r="BL9" s="35"/>
      <c r="BM9" s="35"/>
      <c r="BN9" s="37"/>
    </row>
    <row r="10" spans="2:66" ht="24" customHeight="1" x14ac:dyDescent="0.3">
      <c r="B10" s="920"/>
      <c r="C10" s="935"/>
      <c r="D10" s="935"/>
      <c r="E10" s="935"/>
      <c r="F10" s="935"/>
      <c r="G10" s="934"/>
      <c r="H10" s="38" t="s">
        <v>46</v>
      </c>
      <c r="I10" s="39" t="str">
        <f>IF(I9="","",IF((I9-I8)&gt;=0,"G",IF((I9/I8&lt;=0.9),"R","A")))</f>
        <v/>
      </c>
      <c r="J10" s="41" t="str">
        <f t="shared" ref="J10:L10" si="5">IF(J9="","",IF((J9-J8)&gt;=0,"G",IF((J9/J8&lt;=0.9),"R","A")))</f>
        <v/>
      </c>
      <c r="K10" s="41" t="str">
        <f t="shared" si="5"/>
        <v/>
      </c>
      <c r="L10" s="53" t="str">
        <f t="shared" si="5"/>
        <v/>
      </c>
      <c r="M10" s="40" t="str">
        <f>IF(M$6&gt;$E$3,"",IF(M9="","OD",IF(M9="Blank","Blank",IF(M9="TBC","TBC",IF(M9="Undefined","Undefined",IF(M9="Missed","Missed",IF(M9="OD","OD",IF(M$4="OD","OD",IF((M9-M8)&gt;=0,"G",IF((M9-(M8*0.95))&gt;=0,"A","R"))))))))))</f>
        <v>Blank</v>
      </c>
      <c r="N10" s="40" t="str">
        <f t="shared" ref="N10:BM10" si="6">IF(N$6&gt;$E$3,"",IF(N9="","OD",IF(N9="Blank","Blank",IF(N9="TBC","TBC",IF(N9="Undefined","Undefined",IF(N9="Missed","Missed",IF(N9="OD","OD",IF(N$4="OD","OD",IF((N9-N8)&gt;=0,"G",IF((N9-(N8*0.95))&gt;=0,"A","R"))))))))))</f>
        <v>Missed</v>
      </c>
      <c r="O10" s="40" t="str">
        <f t="shared" si="6"/>
        <v>Missed</v>
      </c>
      <c r="P10" s="40" t="str">
        <f t="shared" si="6"/>
        <v>Missed</v>
      </c>
      <c r="Q10" s="40" t="str">
        <f t="shared" si="6"/>
        <v>G</v>
      </c>
      <c r="R10" s="40" t="str">
        <f t="shared" si="6"/>
        <v>A</v>
      </c>
      <c r="S10" s="40" t="str">
        <f t="shared" si="6"/>
        <v>R</v>
      </c>
      <c r="T10" s="40" t="str">
        <f t="shared" si="6"/>
        <v>G</v>
      </c>
      <c r="U10" s="40" t="str">
        <f t="shared" si="6"/>
        <v>A</v>
      </c>
      <c r="V10" s="40" t="str">
        <f t="shared" si="6"/>
        <v>R</v>
      </c>
      <c r="W10" s="40" t="str">
        <f t="shared" si="6"/>
        <v>R</v>
      </c>
      <c r="X10" s="40" t="str">
        <f t="shared" si="6"/>
        <v>G</v>
      </c>
      <c r="Y10" s="40" t="str">
        <f t="shared" si="6"/>
        <v>R</v>
      </c>
      <c r="Z10" s="40" t="str">
        <f t="shared" si="6"/>
        <v>R</v>
      </c>
      <c r="AA10" s="40" t="str">
        <f t="shared" si="6"/>
        <v>A</v>
      </c>
      <c r="AB10" s="40" t="str">
        <f t="shared" si="6"/>
        <v>R</v>
      </c>
      <c r="AC10" s="40" t="str">
        <f t="shared" si="6"/>
        <v>R</v>
      </c>
      <c r="AD10" s="40" t="str">
        <f t="shared" si="6"/>
        <v>G</v>
      </c>
      <c r="AE10" s="40" t="str">
        <f t="shared" si="6"/>
        <v>G</v>
      </c>
      <c r="AF10" s="40" t="str">
        <f t="shared" si="6"/>
        <v>R</v>
      </c>
      <c r="AG10" s="40" t="str">
        <f t="shared" si="6"/>
        <v>G</v>
      </c>
      <c r="AH10" s="40" t="str">
        <f t="shared" si="6"/>
        <v>G</v>
      </c>
      <c r="AI10" s="40" t="str">
        <f t="shared" si="6"/>
        <v>G</v>
      </c>
      <c r="AJ10" s="40" t="str">
        <f t="shared" si="6"/>
        <v>R</v>
      </c>
      <c r="AK10" s="40" t="str">
        <f t="shared" si="6"/>
        <v>G</v>
      </c>
      <c r="AL10" s="40" t="str">
        <f t="shared" si="6"/>
        <v>G</v>
      </c>
      <c r="AM10" s="40" t="str">
        <f t="shared" si="6"/>
        <v>G</v>
      </c>
      <c r="AN10" s="40" t="str">
        <f t="shared" si="6"/>
        <v>R</v>
      </c>
      <c r="AO10" s="40" t="str">
        <f t="shared" si="6"/>
        <v>R</v>
      </c>
      <c r="AP10" s="40" t="str">
        <f t="shared" si="6"/>
        <v>G</v>
      </c>
      <c r="AQ10" s="40" t="str">
        <f t="shared" si="6"/>
        <v>R</v>
      </c>
      <c r="AR10" s="40" t="str">
        <f t="shared" si="6"/>
        <v>R</v>
      </c>
      <c r="AS10" s="40" t="str">
        <f t="shared" si="6"/>
        <v>R</v>
      </c>
      <c r="AT10" s="40" t="str">
        <f t="shared" si="6"/>
        <v>G</v>
      </c>
      <c r="AU10" s="40" t="str">
        <f t="shared" si="6"/>
        <v>R</v>
      </c>
      <c r="AV10" s="40" t="str">
        <f t="shared" si="6"/>
        <v>G</v>
      </c>
      <c r="AW10" s="40" t="str">
        <f t="shared" si="6"/>
        <v>R</v>
      </c>
      <c r="AX10" s="40" t="str">
        <f t="shared" si="6"/>
        <v>G</v>
      </c>
      <c r="AY10" s="40" t="str">
        <f t="shared" si="6"/>
        <v>G</v>
      </c>
      <c r="AZ10" s="40" t="str">
        <f t="shared" si="6"/>
        <v>A</v>
      </c>
      <c r="BA10" s="40" t="str">
        <f t="shared" si="6"/>
        <v>R</v>
      </c>
      <c r="BB10" s="40" t="str">
        <f t="shared" si="6"/>
        <v>R</v>
      </c>
      <c r="BC10" s="40" t="str">
        <f t="shared" si="6"/>
        <v/>
      </c>
      <c r="BD10" s="40" t="str">
        <f t="shared" si="6"/>
        <v/>
      </c>
      <c r="BE10" s="40" t="str">
        <f t="shared" si="6"/>
        <v/>
      </c>
      <c r="BF10" s="40" t="str">
        <f t="shared" si="6"/>
        <v/>
      </c>
      <c r="BG10" s="40" t="str">
        <f t="shared" si="6"/>
        <v/>
      </c>
      <c r="BH10" s="40" t="str">
        <f t="shared" si="6"/>
        <v/>
      </c>
      <c r="BI10" s="40" t="str">
        <f t="shared" si="6"/>
        <v/>
      </c>
      <c r="BJ10" s="40" t="str">
        <f t="shared" si="6"/>
        <v/>
      </c>
      <c r="BK10" s="40" t="str">
        <f t="shared" si="6"/>
        <v/>
      </c>
      <c r="BL10" s="40" t="str">
        <f t="shared" si="6"/>
        <v/>
      </c>
      <c r="BM10" s="40" t="str">
        <f t="shared" si="6"/>
        <v/>
      </c>
      <c r="BN10" s="42"/>
    </row>
    <row r="11" spans="2:66" ht="24" customHeight="1" x14ac:dyDescent="0.3">
      <c r="B11" s="920" t="s">
        <v>33</v>
      </c>
      <c r="C11" s="935" t="s">
        <v>603</v>
      </c>
      <c r="D11" s="935" t="s">
        <v>609</v>
      </c>
      <c r="E11" s="935" t="s">
        <v>144</v>
      </c>
      <c r="F11" s="935" t="s">
        <v>154</v>
      </c>
      <c r="G11" s="934" t="s">
        <v>599</v>
      </c>
      <c r="H11" s="27" t="s">
        <v>44</v>
      </c>
      <c r="I11" s="28"/>
      <c r="J11" s="30"/>
      <c r="K11" s="30"/>
      <c r="L11" s="51"/>
      <c r="M11" s="30"/>
      <c r="N11" s="599">
        <v>0.95</v>
      </c>
      <c r="O11" s="599">
        <v>0.95</v>
      </c>
      <c r="P11" s="599">
        <v>0.95</v>
      </c>
      <c r="Q11" s="599">
        <v>0.95</v>
      </c>
      <c r="R11" s="599">
        <v>0.95</v>
      </c>
      <c r="S11" s="599">
        <v>0.95</v>
      </c>
      <c r="T11" s="599">
        <v>0.95</v>
      </c>
      <c r="U11" s="599">
        <v>0.95</v>
      </c>
      <c r="V11" s="599">
        <v>0.95</v>
      </c>
      <c r="W11" s="599">
        <v>0.95</v>
      </c>
      <c r="X11" s="599">
        <v>0.95</v>
      </c>
      <c r="Y11" s="599">
        <v>0.95</v>
      </c>
      <c r="Z11" s="599">
        <v>0.95</v>
      </c>
      <c r="AA11" s="599">
        <v>0.95</v>
      </c>
      <c r="AB11" s="599">
        <v>0.95</v>
      </c>
      <c r="AC11" s="599">
        <v>0.95</v>
      </c>
      <c r="AD11" s="599">
        <v>0.95</v>
      </c>
      <c r="AE11" s="599">
        <v>0.95</v>
      </c>
      <c r="AF11" s="599">
        <v>0.95</v>
      </c>
      <c r="AG11" s="599">
        <v>0.95</v>
      </c>
      <c r="AH11" s="599">
        <v>0.95</v>
      </c>
      <c r="AI11" s="599">
        <v>0.95</v>
      </c>
      <c r="AJ11" s="599">
        <f>IF(AJ$6&gt;$E$3,"",95%)</f>
        <v>0.95</v>
      </c>
      <c r="AK11" s="599">
        <f t="shared" ref="AK11:BM11" si="7">IF(AK$6&gt;$E$3,"",95%)</f>
        <v>0.95</v>
      </c>
      <c r="AL11" s="599">
        <f t="shared" si="7"/>
        <v>0.95</v>
      </c>
      <c r="AM11" s="599">
        <f t="shared" si="7"/>
        <v>0.95</v>
      </c>
      <c r="AN11" s="599">
        <f t="shared" si="7"/>
        <v>0.95</v>
      </c>
      <c r="AO11" s="599">
        <f t="shared" si="7"/>
        <v>0.95</v>
      </c>
      <c r="AP11" s="599">
        <f t="shared" si="7"/>
        <v>0.95</v>
      </c>
      <c r="AQ11" s="599">
        <f t="shared" si="7"/>
        <v>0.95</v>
      </c>
      <c r="AR11" s="599">
        <f t="shared" si="7"/>
        <v>0.95</v>
      </c>
      <c r="AS11" s="599">
        <f t="shared" si="7"/>
        <v>0.95</v>
      </c>
      <c r="AT11" s="599">
        <f t="shared" si="7"/>
        <v>0.95</v>
      </c>
      <c r="AU11" s="599">
        <f t="shared" si="7"/>
        <v>0.95</v>
      </c>
      <c r="AV11" s="599">
        <f t="shared" si="7"/>
        <v>0.95</v>
      </c>
      <c r="AW11" s="599">
        <f t="shared" si="7"/>
        <v>0.95</v>
      </c>
      <c r="AX11" s="599">
        <f t="shared" si="7"/>
        <v>0.95</v>
      </c>
      <c r="AY11" s="599">
        <f t="shared" si="7"/>
        <v>0.95</v>
      </c>
      <c r="AZ11" s="599">
        <f t="shared" si="7"/>
        <v>0.95</v>
      </c>
      <c r="BA11" s="599">
        <f t="shared" si="7"/>
        <v>0.95</v>
      </c>
      <c r="BB11" s="599">
        <f t="shared" si="7"/>
        <v>0.95</v>
      </c>
      <c r="BC11" s="599" t="str">
        <f t="shared" si="7"/>
        <v/>
      </c>
      <c r="BD11" s="599" t="str">
        <f t="shared" si="7"/>
        <v/>
      </c>
      <c r="BE11" s="599" t="str">
        <f t="shared" si="7"/>
        <v/>
      </c>
      <c r="BF11" s="599" t="str">
        <f t="shared" si="7"/>
        <v/>
      </c>
      <c r="BG11" s="599" t="str">
        <f t="shared" si="7"/>
        <v/>
      </c>
      <c r="BH11" s="599" t="str">
        <f t="shared" si="7"/>
        <v/>
      </c>
      <c r="BI11" s="599" t="str">
        <f t="shared" si="7"/>
        <v/>
      </c>
      <c r="BJ11" s="599" t="str">
        <f t="shared" si="7"/>
        <v/>
      </c>
      <c r="BK11" s="599" t="str">
        <f t="shared" si="7"/>
        <v/>
      </c>
      <c r="BL11" s="599" t="str">
        <f t="shared" si="7"/>
        <v/>
      </c>
      <c r="BM11" s="599" t="str">
        <f t="shared" si="7"/>
        <v/>
      </c>
      <c r="BN11" s="31"/>
    </row>
    <row r="12" spans="2:66" ht="24" customHeight="1" x14ac:dyDescent="0.3">
      <c r="B12" s="920"/>
      <c r="C12" s="935"/>
      <c r="D12" s="935"/>
      <c r="E12" s="935"/>
      <c r="F12" s="935"/>
      <c r="G12" s="934"/>
      <c r="H12" s="33" t="s">
        <v>45</v>
      </c>
      <c r="I12" s="34"/>
      <c r="J12" s="36"/>
      <c r="K12" s="36"/>
      <c r="L12" s="52"/>
      <c r="M12" s="36" t="s">
        <v>122</v>
      </c>
      <c r="N12" s="597">
        <v>0.92156862745098034</v>
      </c>
      <c r="O12" s="597">
        <v>0.95145631067961167</v>
      </c>
      <c r="P12" s="597">
        <v>0.6875</v>
      </c>
      <c r="Q12" s="597">
        <v>0.32608695652173914</v>
      </c>
      <c r="R12" s="597">
        <v>0.56140350877192979</v>
      </c>
      <c r="S12" s="597">
        <v>0.58823529411764708</v>
      </c>
      <c r="T12" s="597">
        <v>0.62222222222222223</v>
      </c>
      <c r="U12" s="597">
        <v>0.65384615384615385</v>
      </c>
      <c r="V12" s="597">
        <v>0.41176470588235292</v>
      </c>
      <c r="W12" s="597">
        <v>0.5625</v>
      </c>
      <c r="X12" s="597">
        <v>0.5</v>
      </c>
      <c r="Y12" s="597">
        <v>0.60465116279069764</v>
      </c>
      <c r="Z12" s="597">
        <v>0.63636363636363635</v>
      </c>
      <c r="AA12" s="597">
        <v>0.82</v>
      </c>
      <c r="AB12" s="597">
        <v>0.6</v>
      </c>
      <c r="AC12" s="597">
        <v>0.42307692307692307</v>
      </c>
      <c r="AD12" s="597">
        <v>0.40845070422535212</v>
      </c>
      <c r="AE12" s="597">
        <v>0.8666666666666667</v>
      </c>
      <c r="AF12" s="597">
        <v>0.9285714285714286</v>
      </c>
      <c r="AG12" s="597">
        <v>0.83673469387755106</v>
      </c>
      <c r="AH12" s="598">
        <v>0.68085106382978722</v>
      </c>
      <c r="AI12" s="598">
        <v>0.5</v>
      </c>
      <c r="AJ12" s="598">
        <v>0.50909090909090904</v>
      </c>
      <c r="AK12" s="598">
        <v>0.54545454545454541</v>
      </c>
      <c r="AL12" s="598">
        <v>0.703125</v>
      </c>
      <c r="AM12" s="598">
        <v>0.61111111111111116</v>
      </c>
      <c r="AN12" s="598">
        <v>0.67346938775510201</v>
      </c>
      <c r="AO12" s="598">
        <v>0.4358974358974359</v>
      </c>
      <c r="AP12" s="598">
        <v>0.64912280701754388</v>
      </c>
      <c r="AQ12" s="598">
        <v>0.56521739130434778</v>
      </c>
      <c r="AR12" s="598">
        <v>0.46938775510204084</v>
      </c>
      <c r="AS12" s="598">
        <v>0.48888888888888887</v>
      </c>
      <c r="AT12" s="598">
        <v>0.55319148936170215</v>
      </c>
      <c r="AU12" s="598">
        <v>0.69444444444444442</v>
      </c>
      <c r="AV12" s="598">
        <v>0.76315789473684215</v>
      </c>
      <c r="AW12" s="598">
        <v>0.65957446808510634</v>
      </c>
      <c r="AX12" s="598">
        <v>0.38709677419354838</v>
      </c>
      <c r="AY12" s="598">
        <v>0.57692307692307687</v>
      </c>
      <c r="AZ12" s="598">
        <v>1</v>
      </c>
      <c r="BA12" s="598">
        <v>1</v>
      </c>
      <c r="BB12" s="598">
        <v>1</v>
      </c>
      <c r="BC12" s="598"/>
      <c r="BD12" s="598"/>
      <c r="BE12" s="598"/>
      <c r="BF12" s="598"/>
      <c r="BG12" s="598"/>
      <c r="BH12" s="598"/>
      <c r="BI12" s="598"/>
      <c r="BJ12" s="598"/>
      <c r="BK12" s="598"/>
      <c r="BL12" s="598"/>
      <c r="BM12" s="598"/>
      <c r="BN12" s="37"/>
    </row>
    <row r="13" spans="2:66" ht="24" customHeight="1" x14ac:dyDescent="0.3">
      <c r="B13" s="920"/>
      <c r="C13" s="935"/>
      <c r="D13" s="935"/>
      <c r="E13" s="935"/>
      <c r="F13" s="935"/>
      <c r="G13" s="934"/>
      <c r="H13" s="38" t="s">
        <v>46</v>
      </c>
      <c r="I13" s="39" t="str">
        <f>IF(I12="","",IF((I12-I11)&gt;=0,"G",IF((I12/I11&lt;=0.12),"R","A")))</f>
        <v/>
      </c>
      <c r="J13" s="41" t="str">
        <f>IF(J12="","",IF((J12-J11)&gt;=0,"G",IF((J12/J11&lt;=0.12),"R","A")))</f>
        <v/>
      </c>
      <c r="K13" s="41" t="str">
        <f>IF(K12="","",IF((K12-K11)&gt;=0,"G",IF((K12/K11&lt;=0.12),"R","A")))</f>
        <v/>
      </c>
      <c r="L13" s="53" t="str">
        <f>IF(L12="","",IF((L12-L11)&gt;=0,"G",IF((L12/L11&lt;=0.12),"R","A")))</f>
        <v/>
      </c>
      <c r="M13" s="40" t="str">
        <f>IF(M$6&gt;$E$3,"",IF(M12="","OD",IF(M12="Blank","Blank",IF(M12="TBC","TBC",IF(M12="Undefined","Undefined",IF(M12="Missed","Missed",IF(M12="OD","OD",IF(M$4="OD","OD",IF((M12-M11)&gt;=0,"G",IF((M12-(M11*0.95))&gt;=0,"A","R"))))))))))</f>
        <v>Blank</v>
      </c>
      <c r="N13" s="40" t="str">
        <f t="shared" ref="N13:BM13" si="8">IF(N$6&gt;$E$3,"",IF(N12="","OD",IF(N12="Blank","Blank",IF(N12="TBC","TBC",IF(N12="Undefined","Undefined",IF(N12="Missed","Missed",IF(N12="OD","OD",IF(N$4="OD","OD",IF((N12-N11)&gt;=0,"G",IF((N12-(N11*0.95))&gt;=0,"A","R"))))))))))</f>
        <v>A</v>
      </c>
      <c r="O13" s="40" t="str">
        <f t="shared" si="8"/>
        <v>G</v>
      </c>
      <c r="P13" s="40" t="str">
        <f t="shared" si="8"/>
        <v>R</v>
      </c>
      <c r="Q13" s="40" t="str">
        <f t="shared" si="8"/>
        <v>R</v>
      </c>
      <c r="R13" s="40" t="str">
        <f t="shared" si="8"/>
        <v>R</v>
      </c>
      <c r="S13" s="40" t="str">
        <f t="shared" si="8"/>
        <v>R</v>
      </c>
      <c r="T13" s="40" t="str">
        <f t="shared" si="8"/>
        <v>R</v>
      </c>
      <c r="U13" s="40" t="str">
        <f t="shared" si="8"/>
        <v>R</v>
      </c>
      <c r="V13" s="40" t="str">
        <f t="shared" si="8"/>
        <v>R</v>
      </c>
      <c r="W13" s="40" t="str">
        <f t="shared" si="8"/>
        <v>R</v>
      </c>
      <c r="X13" s="40" t="str">
        <f t="shared" si="8"/>
        <v>R</v>
      </c>
      <c r="Y13" s="40" t="str">
        <f t="shared" si="8"/>
        <v>R</v>
      </c>
      <c r="Z13" s="40" t="str">
        <f t="shared" si="8"/>
        <v>R</v>
      </c>
      <c r="AA13" s="40" t="str">
        <f t="shared" si="8"/>
        <v>R</v>
      </c>
      <c r="AB13" s="40" t="str">
        <f t="shared" si="8"/>
        <v>R</v>
      </c>
      <c r="AC13" s="40" t="str">
        <f t="shared" si="8"/>
        <v>R</v>
      </c>
      <c r="AD13" s="40" t="str">
        <f t="shared" si="8"/>
        <v>R</v>
      </c>
      <c r="AE13" s="40" t="str">
        <f t="shared" si="8"/>
        <v>R</v>
      </c>
      <c r="AF13" s="40" t="str">
        <f t="shared" si="8"/>
        <v>A</v>
      </c>
      <c r="AG13" s="40" t="str">
        <f t="shared" si="8"/>
        <v>R</v>
      </c>
      <c r="AH13" s="40" t="str">
        <f t="shared" si="8"/>
        <v>R</v>
      </c>
      <c r="AI13" s="40" t="str">
        <f t="shared" si="8"/>
        <v>R</v>
      </c>
      <c r="AJ13" s="40" t="str">
        <f t="shared" si="8"/>
        <v>R</v>
      </c>
      <c r="AK13" s="40" t="str">
        <f t="shared" si="8"/>
        <v>R</v>
      </c>
      <c r="AL13" s="40" t="str">
        <f t="shared" si="8"/>
        <v>R</v>
      </c>
      <c r="AM13" s="40" t="str">
        <f t="shared" si="8"/>
        <v>R</v>
      </c>
      <c r="AN13" s="40" t="str">
        <f t="shared" si="8"/>
        <v>R</v>
      </c>
      <c r="AO13" s="40" t="str">
        <f t="shared" si="8"/>
        <v>R</v>
      </c>
      <c r="AP13" s="40" t="str">
        <f t="shared" si="8"/>
        <v>R</v>
      </c>
      <c r="AQ13" s="40" t="str">
        <f t="shared" si="8"/>
        <v>R</v>
      </c>
      <c r="AR13" s="40" t="str">
        <f t="shared" si="8"/>
        <v>R</v>
      </c>
      <c r="AS13" s="40" t="str">
        <f t="shared" si="8"/>
        <v>R</v>
      </c>
      <c r="AT13" s="40" t="str">
        <f t="shared" si="8"/>
        <v>R</v>
      </c>
      <c r="AU13" s="40" t="str">
        <f t="shared" si="8"/>
        <v>R</v>
      </c>
      <c r="AV13" s="40" t="str">
        <f t="shared" si="8"/>
        <v>R</v>
      </c>
      <c r="AW13" s="40" t="str">
        <f t="shared" si="8"/>
        <v>R</v>
      </c>
      <c r="AX13" s="40" t="str">
        <f t="shared" si="8"/>
        <v>R</v>
      </c>
      <c r="AY13" s="40" t="str">
        <f t="shared" si="8"/>
        <v>R</v>
      </c>
      <c r="AZ13" s="40" t="str">
        <f t="shared" si="8"/>
        <v>G</v>
      </c>
      <c r="BA13" s="40" t="str">
        <f t="shared" si="8"/>
        <v>G</v>
      </c>
      <c r="BB13" s="40" t="str">
        <f t="shared" si="8"/>
        <v>G</v>
      </c>
      <c r="BC13" s="40" t="str">
        <f t="shared" si="8"/>
        <v/>
      </c>
      <c r="BD13" s="40" t="str">
        <f t="shared" si="8"/>
        <v/>
      </c>
      <c r="BE13" s="40" t="str">
        <f t="shared" si="8"/>
        <v/>
      </c>
      <c r="BF13" s="40" t="str">
        <f t="shared" si="8"/>
        <v/>
      </c>
      <c r="BG13" s="40" t="str">
        <f t="shared" si="8"/>
        <v/>
      </c>
      <c r="BH13" s="40" t="str">
        <f t="shared" si="8"/>
        <v/>
      </c>
      <c r="BI13" s="40" t="str">
        <f t="shared" si="8"/>
        <v/>
      </c>
      <c r="BJ13" s="40" t="str">
        <f t="shared" si="8"/>
        <v/>
      </c>
      <c r="BK13" s="40" t="str">
        <f t="shared" si="8"/>
        <v/>
      </c>
      <c r="BL13" s="40" t="str">
        <f t="shared" si="8"/>
        <v/>
      </c>
      <c r="BM13" s="40" t="str">
        <f t="shared" si="8"/>
        <v/>
      </c>
      <c r="BN13" s="42"/>
    </row>
    <row r="14" spans="2:66" ht="24" customHeight="1" x14ac:dyDescent="0.3">
      <c r="B14" s="920" t="s">
        <v>33</v>
      </c>
      <c r="C14" s="935" t="s">
        <v>604</v>
      </c>
      <c r="D14" s="935" t="s">
        <v>610</v>
      </c>
      <c r="E14" s="935" t="s">
        <v>601</v>
      </c>
      <c r="F14" s="935" t="s">
        <v>154</v>
      </c>
      <c r="G14" s="934" t="s">
        <v>600</v>
      </c>
      <c r="H14" s="27" t="s">
        <v>44</v>
      </c>
      <c r="I14" s="28"/>
      <c r="J14" s="30"/>
      <c r="K14" s="30"/>
      <c r="L14" s="51"/>
      <c r="M14" s="30"/>
      <c r="N14" s="602">
        <v>0.95</v>
      </c>
      <c r="O14" s="602">
        <v>0.95</v>
      </c>
      <c r="P14" s="602">
        <v>0.95</v>
      </c>
      <c r="Q14" s="602">
        <v>0.95</v>
      </c>
      <c r="R14" s="602">
        <v>0.95</v>
      </c>
      <c r="S14" s="602">
        <v>0.95</v>
      </c>
      <c r="T14" s="602">
        <v>0.95</v>
      </c>
      <c r="U14" s="602">
        <v>0.95</v>
      </c>
      <c r="V14" s="602">
        <v>0.95</v>
      </c>
      <c r="W14" s="602">
        <v>0.95</v>
      </c>
      <c r="X14" s="602">
        <v>0.95</v>
      </c>
      <c r="Y14" s="602">
        <v>0.95</v>
      </c>
      <c r="Z14" s="602">
        <v>0.95</v>
      </c>
      <c r="AA14" s="602">
        <v>0.95</v>
      </c>
      <c r="AB14" s="602">
        <v>0.95</v>
      </c>
      <c r="AC14" s="602">
        <v>0.95</v>
      </c>
      <c r="AD14" s="602">
        <v>0.95</v>
      </c>
      <c r="AE14" s="602">
        <v>0.95</v>
      </c>
      <c r="AF14" s="602">
        <v>0.95</v>
      </c>
      <c r="AG14" s="602">
        <v>0.95</v>
      </c>
      <c r="AH14" s="602">
        <v>0.95</v>
      </c>
      <c r="AI14" s="602">
        <v>0.95</v>
      </c>
      <c r="AJ14" s="599">
        <f>IF(AJ$6&gt;$E$3,"",95%)</f>
        <v>0.95</v>
      </c>
      <c r="AK14" s="599">
        <f t="shared" ref="AK14:BM14" si="9">IF(AK$6&gt;$E$3,"",95%)</f>
        <v>0.95</v>
      </c>
      <c r="AL14" s="599">
        <f t="shared" si="9"/>
        <v>0.95</v>
      </c>
      <c r="AM14" s="599">
        <f t="shared" si="9"/>
        <v>0.95</v>
      </c>
      <c r="AN14" s="599">
        <f t="shared" si="9"/>
        <v>0.95</v>
      </c>
      <c r="AO14" s="599">
        <f t="shared" si="9"/>
        <v>0.95</v>
      </c>
      <c r="AP14" s="599">
        <f t="shared" si="9"/>
        <v>0.95</v>
      </c>
      <c r="AQ14" s="599">
        <f t="shared" si="9"/>
        <v>0.95</v>
      </c>
      <c r="AR14" s="599">
        <f t="shared" si="9"/>
        <v>0.95</v>
      </c>
      <c r="AS14" s="599">
        <f t="shared" si="9"/>
        <v>0.95</v>
      </c>
      <c r="AT14" s="599">
        <f t="shared" si="9"/>
        <v>0.95</v>
      </c>
      <c r="AU14" s="599">
        <f t="shared" si="9"/>
        <v>0.95</v>
      </c>
      <c r="AV14" s="599">
        <f t="shared" si="9"/>
        <v>0.95</v>
      </c>
      <c r="AW14" s="599">
        <f t="shared" si="9"/>
        <v>0.95</v>
      </c>
      <c r="AX14" s="599">
        <f t="shared" si="9"/>
        <v>0.95</v>
      </c>
      <c r="AY14" s="599">
        <f t="shared" si="9"/>
        <v>0.95</v>
      </c>
      <c r="AZ14" s="599">
        <f t="shared" si="9"/>
        <v>0.95</v>
      </c>
      <c r="BA14" s="599">
        <f t="shared" si="9"/>
        <v>0.95</v>
      </c>
      <c r="BB14" s="599">
        <f t="shared" si="9"/>
        <v>0.95</v>
      </c>
      <c r="BC14" s="599" t="str">
        <f t="shared" si="9"/>
        <v/>
      </c>
      <c r="BD14" s="599" t="str">
        <f t="shared" si="9"/>
        <v/>
      </c>
      <c r="BE14" s="599" t="str">
        <f t="shared" si="9"/>
        <v/>
      </c>
      <c r="BF14" s="599" t="str">
        <f t="shared" si="9"/>
        <v/>
      </c>
      <c r="BG14" s="599" t="str">
        <f t="shared" si="9"/>
        <v/>
      </c>
      <c r="BH14" s="599" t="str">
        <f t="shared" si="9"/>
        <v/>
      </c>
      <c r="BI14" s="599" t="str">
        <f t="shared" si="9"/>
        <v/>
      </c>
      <c r="BJ14" s="599" t="str">
        <f t="shared" si="9"/>
        <v/>
      </c>
      <c r="BK14" s="599" t="str">
        <f t="shared" si="9"/>
        <v/>
      </c>
      <c r="BL14" s="599" t="str">
        <f t="shared" si="9"/>
        <v/>
      </c>
      <c r="BM14" s="599" t="str">
        <f t="shared" si="9"/>
        <v/>
      </c>
      <c r="BN14" s="31"/>
    </row>
    <row r="15" spans="2:66" ht="24" customHeight="1" x14ac:dyDescent="0.3">
      <c r="B15" s="920"/>
      <c r="C15" s="935"/>
      <c r="D15" s="935"/>
      <c r="E15" s="935"/>
      <c r="F15" s="935"/>
      <c r="G15" s="934"/>
      <c r="H15" s="33" t="s">
        <v>45</v>
      </c>
      <c r="I15" s="34"/>
      <c r="J15" s="36"/>
      <c r="K15" s="36"/>
      <c r="L15" s="52"/>
      <c r="M15" s="36" t="s">
        <v>122</v>
      </c>
      <c r="N15" s="600">
        <v>0.86928104575163401</v>
      </c>
      <c r="O15" s="600">
        <v>0.88349514563106801</v>
      </c>
      <c r="P15" s="600">
        <v>0.83750000000000002</v>
      </c>
      <c r="Q15" s="600">
        <v>0.91304347826086951</v>
      </c>
      <c r="R15" s="600">
        <v>0.80701754385964908</v>
      </c>
      <c r="S15" s="600">
        <v>0.82352941176470584</v>
      </c>
      <c r="T15" s="600">
        <v>0.75555555555555554</v>
      </c>
      <c r="U15" s="600">
        <v>0.69230769230769229</v>
      </c>
      <c r="V15" s="600">
        <v>0.72549019607843135</v>
      </c>
      <c r="W15" s="600">
        <v>0.70833333333333337</v>
      </c>
      <c r="X15" s="600">
        <v>0.77272727272727271</v>
      </c>
      <c r="Y15" s="600">
        <v>0.69767441860465118</v>
      </c>
      <c r="Z15" s="600">
        <v>0.72727272727272729</v>
      </c>
      <c r="AA15" s="600">
        <v>0.78</v>
      </c>
      <c r="AB15" s="600">
        <v>0.62857142857142856</v>
      </c>
      <c r="AC15" s="600">
        <v>0.73076923076923073</v>
      </c>
      <c r="AD15" s="600">
        <v>0.6901408450704225</v>
      </c>
      <c r="AE15" s="600">
        <v>0.71111111111111114</v>
      </c>
      <c r="AF15" s="600">
        <v>0.80952380952380953</v>
      </c>
      <c r="AG15" s="600">
        <v>0.89795918367346939</v>
      </c>
      <c r="AH15" s="601">
        <v>0.68085106382978722</v>
      </c>
      <c r="AI15" s="601">
        <v>0.7</v>
      </c>
      <c r="AJ15" s="601">
        <v>0.76363636363636367</v>
      </c>
      <c r="AK15" s="601">
        <v>0.68181818181818177</v>
      </c>
      <c r="AL15" s="601">
        <v>0.703125</v>
      </c>
      <c r="AM15" s="601">
        <v>0.64814814814814814</v>
      </c>
      <c r="AN15" s="601">
        <v>0.63265306122448983</v>
      </c>
      <c r="AO15" s="601">
        <v>0.58974358974358976</v>
      </c>
      <c r="AP15" s="601">
        <v>0.64912280701754388</v>
      </c>
      <c r="AQ15" s="601">
        <v>0.52173913043478259</v>
      </c>
      <c r="AR15" s="601">
        <v>0.75510204081632648</v>
      </c>
      <c r="AS15" s="601">
        <v>0.77777777777777779</v>
      </c>
      <c r="AT15" s="601">
        <v>0.85106382978723405</v>
      </c>
      <c r="AU15" s="601">
        <v>0.80555555555555558</v>
      </c>
      <c r="AV15" s="601">
        <v>0.78947368421052633</v>
      </c>
      <c r="AW15" s="601">
        <v>0.55319148936170215</v>
      </c>
      <c r="AX15" s="601">
        <v>0.80645161290322576</v>
      </c>
      <c r="AY15" s="601">
        <v>0.75</v>
      </c>
      <c r="AZ15" s="601">
        <v>0.91666666666666663</v>
      </c>
      <c r="BA15" s="601">
        <v>0.875</v>
      </c>
      <c r="BB15" s="601">
        <v>1</v>
      </c>
      <c r="BC15" s="601"/>
      <c r="BD15" s="601"/>
      <c r="BE15" s="601"/>
      <c r="BF15" s="601"/>
      <c r="BG15" s="601"/>
      <c r="BH15" s="601"/>
      <c r="BI15" s="601"/>
      <c r="BJ15" s="601"/>
      <c r="BK15" s="601"/>
      <c r="BL15" s="601"/>
      <c r="BM15" s="601"/>
      <c r="BN15" s="37"/>
    </row>
    <row r="16" spans="2:66" ht="24" customHeight="1" x14ac:dyDescent="0.3">
      <c r="B16" s="920"/>
      <c r="C16" s="935"/>
      <c r="D16" s="935"/>
      <c r="E16" s="935"/>
      <c r="F16" s="935"/>
      <c r="G16" s="934"/>
      <c r="H16" s="38" t="s">
        <v>46</v>
      </c>
      <c r="I16" s="39" t="str">
        <f>IF(I15="","",IF((I15-I14)&gt;=0,"G",IF((I15/I14&lt;=0.12),"R","A")))</f>
        <v/>
      </c>
      <c r="J16" s="41" t="str">
        <f>IF(J15="","",IF((J15-J14)&gt;=0,"G",IF((J15/J14&lt;=0.12),"R","A")))</f>
        <v/>
      </c>
      <c r="K16" s="41" t="str">
        <f>IF(K15="","",IF((K15-K14)&gt;=0,"G",IF((K15/K14&lt;=0.12),"R","A")))</f>
        <v/>
      </c>
      <c r="L16" s="53" t="str">
        <f>IF(L15="","",IF((L15-L14)&gt;=0,"G",IF((L15/L14&lt;=0.12),"R","A")))</f>
        <v/>
      </c>
      <c r="M16" s="40" t="str">
        <f>IF(M$6&gt;$E$3,"",IF(M15="","OD",IF(M15="Blank","Blank",IF(M15="TBC","TBC",IF(M15="Undefined","Undefined",IF(M15="Missed","Missed",IF(M15="OD","OD",IF(M$4="OD","OD",IF((M15-M14)&gt;=0,"G",IF((M15-(M14*0.95))&gt;=0,"A","R"))))))))))</f>
        <v>Blank</v>
      </c>
      <c r="N16" s="40" t="str">
        <f t="shared" ref="N16:BM16" si="10">IF(N$6&gt;$E$3,"",IF(N15="","OD",IF(N15="Blank","Blank",IF(N15="TBC","TBC",IF(N15="Undefined","Undefined",IF(N15="Missed","Missed",IF(N15="OD","OD",IF(N$4="OD","OD",IF((N15-N14)&gt;=0,"G",IF((N15-(N14*0.95))&gt;=0,"A","R"))))))))))</f>
        <v>R</v>
      </c>
      <c r="O16" s="40" t="str">
        <f t="shared" si="10"/>
        <v>R</v>
      </c>
      <c r="P16" s="40" t="str">
        <f t="shared" si="10"/>
        <v>R</v>
      </c>
      <c r="Q16" s="40" t="str">
        <f t="shared" si="10"/>
        <v>A</v>
      </c>
      <c r="R16" s="40" t="str">
        <f t="shared" si="10"/>
        <v>R</v>
      </c>
      <c r="S16" s="40" t="str">
        <f t="shared" si="10"/>
        <v>R</v>
      </c>
      <c r="T16" s="40" t="str">
        <f t="shared" si="10"/>
        <v>R</v>
      </c>
      <c r="U16" s="40" t="str">
        <f t="shared" si="10"/>
        <v>R</v>
      </c>
      <c r="V16" s="40" t="str">
        <f t="shared" si="10"/>
        <v>R</v>
      </c>
      <c r="W16" s="40" t="str">
        <f t="shared" si="10"/>
        <v>R</v>
      </c>
      <c r="X16" s="40" t="str">
        <f t="shared" si="10"/>
        <v>R</v>
      </c>
      <c r="Y16" s="40" t="str">
        <f t="shared" si="10"/>
        <v>R</v>
      </c>
      <c r="Z16" s="40" t="str">
        <f t="shared" si="10"/>
        <v>R</v>
      </c>
      <c r="AA16" s="40" t="str">
        <f t="shared" si="10"/>
        <v>R</v>
      </c>
      <c r="AB16" s="40" t="str">
        <f t="shared" si="10"/>
        <v>R</v>
      </c>
      <c r="AC16" s="40" t="str">
        <f t="shared" si="10"/>
        <v>R</v>
      </c>
      <c r="AD16" s="40" t="str">
        <f t="shared" si="10"/>
        <v>R</v>
      </c>
      <c r="AE16" s="40" t="str">
        <f t="shared" si="10"/>
        <v>R</v>
      </c>
      <c r="AF16" s="40" t="str">
        <f t="shared" si="10"/>
        <v>R</v>
      </c>
      <c r="AG16" s="40" t="str">
        <f t="shared" si="10"/>
        <v>R</v>
      </c>
      <c r="AH16" s="40" t="str">
        <f t="shared" si="10"/>
        <v>R</v>
      </c>
      <c r="AI16" s="40" t="str">
        <f t="shared" si="10"/>
        <v>R</v>
      </c>
      <c r="AJ16" s="40" t="str">
        <f t="shared" si="10"/>
        <v>R</v>
      </c>
      <c r="AK16" s="40" t="str">
        <f t="shared" si="10"/>
        <v>R</v>
      </c>
      <c r="AL16" s="40" t="str">
        <f t="shared" si="10"/>
        <v>R</v>
      </c>
      <c r="AM16" s="40" t="str">
        <f t="shared" si="10"/>
        <v>R</v>
      </c>
      <c r="AN16" s="40" t="str">
        <f t="shared" si="10"/>
        <v>R</v>
      </c>
      <c r="AO16" s="40" t="str">
        <f t="shared" si="10"/>
        <v>R</v>
      </c>
      <c r="AP16" s="40" t="str">
        <f t="shared" si="10"/>
        <v>R</v>
      </c>
      <c r="AQ16" s="40" t="str">
        <f t="shared" si="10"/>
        <v>R</v>
      </c>
      <c r="AR16" s="40" t="str">
        <f t="shared" si="10"/>
        <v>R</v>
      </c>
      <c r="AS16" s="40" t="str">
        <f t="shared" si="10"/>
        <v>R</v>
      </c>
      <c r="AT16" s="40" t="str">
        <f t="shared" si="10"/>
        <v>R</v>
      </c>
      <c r="AU16" s="40" t="str">
        <f t="shared" si="10"/>
        <v>R</v>
      </c>
      <c r="AV16" s="40" t="str">
        <f t="shared" si="10"/>
        <v>R</v>
      </c>
      <c r="AW16" s="40" t="str">
        <f t="shared" si="10"/>
        <v>R</v>
      </c>
      <c r="AX16" s="40" t="str">
        <f t="shared" si="10"/>
        <v>R</v>
      </c>
      <c r="AY16" s="40" t="str">
        <f t="shared" si="10"/>
        <v>R</v>
      </c>
      <c r="AZ16" s="40" t="str">
        <f t="shared" si="10"/>
        <v>A</v>
      </c>
      <c r="BA16" s="40" t="str">
        <f t="shared" si="10"/>
        <v>R</v>
      </c>
      <c r="BB16" s="40" t="str">
        <f t="shared" si="10"/>
        <v>G</v>
      </c>
      <c r="BC16" s="40" t="str">
        <f t="shared" si="10"/>
        <v/>
      </c>
      <c r="BD16" s="40" t="str">
        <f t="shared" si="10"/>
        <v/>
      </c>
      <c r="BE16" s="40" t="str">
        <f t="shared" si="10"/>
        <v/>
      </c>
      <c r="BF16" s="40" t="str">
        <f t="shared" si="10"/>
        <v/>
      </c>
      <c r="BG16" s="40" t="str">
        <f t="shared" si="10"/>
        <v/>
      </c>
      <c r="BH16" s="40" t="str">
        <f t="shared" si="10"/>
        <v/>
      </c>
      <c r="BI16" s="40" t="str">
        <f t="shared" si="10"/>
        <v/>
      </c>
      <c r="BJ16" s="40" t="str">
        <f t="shared" si="10"/>
        <v/>
      </c>
      <c r="BK16" s="40" t="str">
        <f t="shared" si="10"/>
        <v/>
      </c>
      <c r="BL16" s="40" t="str">
        <f t="shared" si="10"/>
        <v/>
      </c>
      <c r="BM16" s="40" t="str">
        <f t="shared" si="10"/>
        <v/>
      </c>
      <c r="BN16" s="42"/>
    </row>
    <row r="17" spans="1:66" ht="24" customHeight="1" x14ac:dyDescent="0.3">
      <c r="B17" s="920" t="s">
        <v>32</v>
      </c>
      <c r="C17" s="935" t="s">
        <v>70</v>
      </c>
      <c r="D17" s="935" t="s">
        <v>355</v>
      </c>
      <c r="E17" s="935" t="s">
        <v>142</v>
      </c>
      <c r="F17" s="935" t="s">
        <v>171</v>
      </c>
      <c r="G17" s="934" t="s">
        <v>306</v>
      </c>
      <c r="H17" s="27" t="s">
        <v>44</v>
      </c>
      <c r="I17" s="28"/>
      <c r="J17" s="30"/>
      <c r="K17" s="30"/>
      <c r="L17" s="51"/>
      <c r="M17" s="30"/>
      <c r="N17" s="29"/>
      <c r="O17" s="29"/>
      <c r="P17" s="29"/>
      <c r="Q17" s="29"/>
      <c r="R17" s="29"/>
      <c r="S17" s="29"/>
      <c r="T17" s="29"/>
      <c r="U17" s="29"/>
      <c r="V17" s="29"/>
      <c r="W17" s="29"/>
      <c r="X17" s="29"/>
      <c r="Y17" s="29"/>
      <c r="Z17" s="29"/>
      <c r="AA17" s="29"/>
      <c r="AB17" s="29"/>
      <c r="AC17" s="29"/>
      <c r="AD17" s="29"/>
      <c r="AE17" s="29"/>
      <c r="AF17" s="29"/>
      <c r="AG17" s="29"/>
      <c r="AH17" s="29"/>
      <c r="AI17" s="29"/>
      <c r="AJ17" s="234">
        <f>IF(AJ$6&gt;$E$3,"",0)</f>
        <v>0</v>
      </c>
      <c r="AK17" s="234">
        <f t="shared" ref="AK17:BM17" si="11">IF(AK$6&gt;$E$3,"",0)</f>
        <v>0</v>
      </c>
      <c r="AL17" s="234">
        <f t="shared" si="11"/>
        <v>0</v>
      </c>
      <c r="AM17" s="234">
        <f t="shared" si="11"/>
        <v>0</v>
      </c>
      <c r="AN17" s="234">
        <f t="shared" si="11"/>
        <v>0</v>
      </c>
      <c r="AO17" s="234">
        <f t="shared" si="11"/>
        <v>0</v>
      </c>
      <c r="AP17" s="234">
        <f t="shared" si="11"/>
        <v>0</v>
      </c>
      <c r="AQ17" s="234">
        <f t="shared" si="11"/>
        <v>0</v>
      </c>
      <c r="AR17" s="234">
        <f t="shared" si="11"/>
        <v>0</v>
      </c>
      <c r="AS17" s="234">
        <f t="shared" si="11"/>
        <v>0</v>
      </c>
      <c r="AT17" s="234">
        <f t="shared" si="11"/>
        <v>0</v>
      </c>
      <c r="AU17" s="234">
        <f t="shared" si="11"/>
        <v>0</v>
      </c>
      <c r="AV17" s="234">
        <f t="shared" si="11"/>
        <v>0</v>
      </c>
      <c r="AW17" s="234">
        <f t="shared" si="11"/>
        <v>0</v>
      </c>
      <c r="AX17" s="234">
        <f t="shared" si="11"/>
        <v>0</v>
      </c>
      <c r="AY17" s="234">
        <f t="shared" si="11"/>
        <v>0</v>
      </c>
      <c r="AZ17" s="234">
        <f t="shared" si="11"/>
        <v>0</v>
      </c>
      <c r="BA17" s="234">
        <f t="shared" si="11"/>
        <v>0</v>
      </c>
      <c r="BB17" s="234">
        <f t="shared" si="11"/>
        <v>0</v>
      </c>
      <c r="BC17" s="234" t="str">
        <f t="shared" si="11"/>
        <v/>
      </c>
      <c r="BD17" s="234" t="str">
        <f t="shared" si="11"/>
        <v/>
      </c>
      <c r="BE17" s="234" t="str">
        <f t="shared" si="11"/>
        <v/>
      </c>
      <c r="BF17" s="234" t="str">
        <f t="shared" si="11"/>
        <v/>
      </c>
      <c r="BG17" s="234" t="str">
        <f t="shared" si="11"/>
        <v/>
      </c>
      <c r="BH17" s="234" t="str">
        <f t="shared" si="11"/>
        <v/>
      </c>
      <c r="BI17" s="234" t="str">
        <f t="shared" si="11"/>
        <v/>
      </c>
      <c r="BJ17" s="234" t="str">
        <f t="shared" si="11"/>
        <v/>
      </c>
      <c r="BK17" s="234" t="str">
        <f t="shared" si="11"/>
        <v/>
      </c>
      <c r="BL17" s="234" t="str">
        <f t="shared" si="11"/>
        <v/>
      </c>
      <c r="BM17" s="234" t="str">
        <f t="shared" si="11"/>
        <v/>
      </c>
      <c r="BN17" s="31"/>
    </row>
    <row r="18" spans="1:66" ht="24" customHeight="1" x14ac:dyDescent="0.3">
      <c r="B18" s="920"/>
      <c r="C18" s="935"/>
      <c r="D18" s="935"/>
      <c r="E18" s="935"/>
      <c r="F18" s="935"/>
      <c r="G18" s="934"/>
      <c r="H18" s="33" t="s">
        <v>45</v>
      </c>
      <c r="I18" s="34"/>
      <c r="J18" s="36"/>
      <c r="K18" s="36"/>
      <c r="L18" s="52"/>
      <c r="M18" s="36" t="s">
        <v>122</v>
      </c>
      <c r="N18" s="35" t="s">
        <v>496</v>
      </c>
      <c r="O18" s="35" t="s">
        <v>496</v>
      </c>
      <c r="P18" s="35" t="s">
        <v>496</v>
      </c>
      <c r="Q18" s="35">
        <v>3</v>
      </c>
      <c r="R18" s="35">
        <v>0</v>
      </c>
      <c r="S18" s="35">
        <v>1</v>
      </c>
      <c r="T18" s="35">
        <v>3</v>
      </c>
      <c r="U18" s="35">
        <v>2</v>
      </c>
      <c r="V18" s="35">
        <v>1</v>
      </c>
      <c r="W18" s="35">
        <v>1</v>
      </c>
      <c r="X18" s="35">
        <v>3</v>
      </c>
      <c r="Y18" s="35">
        <v>4</v>
      </c>
      <c r="Z18" s="35">
        <v>0</v>
      </c>
      <c r="AA18" s="35">
        <v>1</v>
      </c>
      <c r="AB18" s="35">
        <v>2</v>
      </c>
      <c r="AC18" s="35">
        <v>1</v>
      </c>
      <c r="AD18" s="35">
        <v>1</v>
      </c>
      <c r="AE18" s="35">
        <v>3</v>
      </c>
      <c r="AF18" s="35">
        <v>2</v>
      </c>
      <c r="AG18" s="35">
        <v>2</v>
      </c>
      <c r="AH18" s="35">
        <v>0</v>
      </c>
      <c r="AI18" s="35">
        <v>2</v>
      </c>
      <c r="AJ18" s="35">
        <v>3</v>
      </c>
      <c r="AK18" s="35">
        <v>1</v>
      </c>
      <c r="AL18" s="35">
        <v>1</v>
      </c>
      <c r="AM18" s="35">
        <v>2</v>
      </c>
      <c r="AN18" s="35">
        <v>0</v>
      </c>
      <c r="AO18" s="35">
        <v>1</v>
      </c>
      <c r="AP18" s="35">
        <v>3</v>
      </c>
      <c r="AQ18" s="35">
        <v>1</v>
      </c>
      <c r="AR18" s="35">
        <v>2</v>
      </c>
      <c r="AS18" s="35">
        <v>1</v>
      </c>
      <c r="AT18" s="35">
        <v>1</v>
      </c>
      <c r="AU18" s="35">
        <v>3</v>
      </c>
      <c r="AV18" s="35">
        <v>1</v>
      </c>
      <c r="AW18" s="35">
        <v>0</v>
      </c>
      <c r="AX18" s="35">
        <v>1</v>
      </c>
      <c r="AY18" s="35">
        <v>3</v>
      </c>
      <c r="AZ18" s="35">
        <v>2</v>
      </c>
      <c r="BA18" s="35">
        <v>4</v>
      </c>
      <c r="BB18" s="35">
        <v>0</v>
      </c>
      <c r="BC18" s="35"/>
      <c r="BD18" s="35"/>
      <c r="BE18" s="35"/>
      <c r="BF18" s="35"/>
      <c r="BG18" s="35"/>
      <c r="BH18" s="35"/>
      <c r="BI18" s="35"/>
      <c r="BJ18" s="35"/>
      <c r="BK18" s="35"/>
      <c r="BL18" s="35"/>
      <c r="BM18" s="37"/>
      <c r="BN18" s="37"/>
    </row>
    <row r="19" spans="1:66" ht="24" customHeight="1" x14ac:dyDescent="0.3">
      <c r="A19" s="154"/>
      <c r="B19" s="920"/>
      <c r="C19" s="935"/>
      <c r="D19" s="935"/>
      <c r="E19" s="935"/>
      <c r="F19" s="935"/>
      <c r="G19" s="934"/>
      <c r="H19" s="38" t="s">
        <v>46</v>
      </c>
      <c r="I19" s="39" t="str">
        <f>IF(I18="","",IF((I18-I17)&gt;=0,"G",IF((I18/I17&lt;=0.15),"R","A")))</f>
        <v/>
      </c>
      <c r="J19" s="41" t="str">
        <f>IF(J18="","",IF((J18-J17)&gt;=0,"G",IF((J18/J17&lt;=0.15),"R","A")))</f>
        <v/>
      </c>
      <c r="K19" s="41" t="str">
        <f>IF(K18="","",IF((K18-K17)&gt;=0,"G",IF((K18/K17&lt;=0.15),"R","A")))</f>
        <v/>
      </c>
      <c r="L19" s="53" t="str">
        <f>IF(L18="","",IF((L18-L17)&gt;=0,"G",IF((L18/L17&lt;=0.15),"R","A")))</f>
        <v/>
      </c>
      <c r="M19" s="40" t="str">
        <f>IF(M$6&gt;$E$3,"",IF(M18="","OD",IF(M18="Blank","Blank",IF(M18="TBC","TBC",IF(M18="Undefined","Undefined",IF(M18="Missed","Missed",IF(M18="OD","OD",IF(M$4="OD","OD",IF((M18-M17)&lt;=0,"G",IF((M18-(M17/0.95))&lt;=0,"A","R"))))))))))</f>
        <v>Blank</v>
      </c>
      <c r="N19" s="40" t="str">
        <f t="shared" ref="N19:BM19" si="12">IF(N$6&gt;$E$3,"",IF(N18="","OD",IF(N18="Blank","Blank",IF(N18="TBC","TBC",IF(N18="Undefined","Undefined",IF(N18="Missed","Missed",IF(N18="OD","OD",IF(N$4="OD","OD",IF((N18-N17)&lt;=0,"G",IF((N18-(N17/0.95))&lt;=0,"A","R"))))))))))</f>
        <v>Missed</v>
      </c>
      <c r="O19" s="40" t="str">
        <f t="shared" si="12"/>
        <v>Missed</v>
      </c>
      <c r="P19" s="40" t="str">
        <f t="shared" si="12"/>
        <v>Missed</v>
      </c>
      <c r="Q19" s="40" t="str">
        <f t="shared" si="12"/>
        <v>R</v>
      </c>
      <c r="R19" s="40" t="str">
        <f t="shared" si="12"/>
        <v>G</v>
      </c>
      <c r="S19" s="40" t="str">
        <f t="shared" si="12"/>
        <v>R</v>
      </c>
      <c r="T19" s="40" t="str">
        <f t="shared" si="12"/>
        <v>R</v>
      </c>
      <c r="U19" s="40" t="str">
        <f t="shared" si="12"/>
        <v>R</v>
      </c>
      <c r="V19" s="40" t="str">
        <f t="shared" si="12"/>
        <v>R</v>
      </c>
      <c r="W19" s="40" t="str">
        <f t="shared" si="12"/>
        <v>R</v>
      </c>
      <c r="X19" s="40" t="str">
        <f t="shared" si="12"/>
        <v>R</v>
      </c>
      <c r="Y19" s="40" t="str">
        <f t="shared" si="12"/>
        <v>R</v>
      </c>
      <c r="Z19" s="40" t="str">
        <f t="shared" si="12"/>
        <v>G</v>
      </c>
      <c r="AA19" s="40" t="str">
        <f t="shared" si="12"/>
        <v>R</v>
      </c>
      <c r="AB19" s="40" t="str">
        <f t="shared" si="12"/>
        <v>R</v>
      </c>
      <c r="AC19" s="40" t="str">
        <f t="shared" si="12"/>
        <v>R</v>
      </c>
      <c r="AD19" s="40" t="str">
        <f t="shared" si="12"/>
        <v>R</v>
      </c>
      <c r="AE19" s="40" t="str">
        <f t="shared" si="12"/>
        <v>R</v>
      </c>
      <c r="AF19" s="40" t="str">
        <f t="shared" si="12"/>
        <v>R</v>
      </c>
      <c r="AG19" s="40" t="str">
        <f t="shared" si="12"/>
        <v>R</v>
      </c>
      <c r="AH19" s="40" t="str">
        <f t="shared" si="12"/>
        <v>G</v>
      </c>
      <c r="AI19" s="40" t="str">
        <f t="shared" si="12"/>
        <v>R</v>
      </c>
      <c r="AJ19" s="40" t="str">
        <f t="shared" si="12"/>
        <v>R</v>
      </c>
      <c r="AK19" s="40" t="str">
        <f t="shared" si="12"/>
        <v>R</v>
      </c>
      <c r="AL19" s="40" t="str">
        <f t="shared" si="12"/>
        <v>R</v>
      </c>
      <c r="AM19" s="40" t="str">
        <f t="shared" si="12"/>
        <v>R</v>
      </c>
      <c r="AN19" s="40" t="str">
        <f t="shared" si="12"/>
        <v>G</v>
      </c>
      <c r="AO19" s="40" t="str">
        <f t="shared" si="12"/>
        <v>R</v>
      </c>
      <c r="AP19" s="40" t="str">
        <f t="shared" si="12"/>
        <v>R</v>
      </c>
      <c r="AQ19" s="40" t="str">
        <f t="shared" si="12"/>
        <v>R</v>
      </c>
      <c r="AR19" s="40" t="str">
        <f t="shared" si="12"/>
        <v>R</v>
      </c>
      <c r="AS19" s="40" t="str">
        <f t="shared" si="12"/>
        <v>R</v>
      </c>
      <c r="AT19" s="40" t="str">
        <f t="shared" si="12"/>
        <v>R</v>
      </c>
      <c r="AU19" s="40" t="str">
        <f t="shared" si="12"/>
        <v>R</v>
      </c>
      <c r="AV19" s="40" t="str">
        <f t="shared" si="12"/>
        <v>R</v>
      </c>
      <c r="AW19" s="40" t="str">
        <f t="shared" si="12"/>
        <v>G</v>
      </c>
      <c r="AX19" s="40" t="str">
        <f t="shared" si="12"/>
        <v>R</v>
      </c>
      <c r="AY19" s="40" t="str">
        <f t="shared" si="12"/>
        <v>R</v>
      </c>
      <c r="AZ19" s="40" t="str">
        <f t="shared" si="12"/>
        <v>R</v>
      </c>
      <c r="BA19" s="40" t="str">
        <f t="shared" si="12"/>
        <v>R</v>
      </c>
      <c r="BB19" s="40" t="str">
        <f t="shared" si="12"/>
        <v>G</v>
      </c>
      <c r="BC19" s="40" t="str">
        <f t="shared" si="12"/>
        <v/>
      </c>
      <c r="BD19" s="40" t="str">
        <f t="shared" si="12"/>
        <v/>
      </c>
      <c r="BE19" s="40" t="str">
        <f t="shared" si="12"/>
        <v/>
      </c>
      <c r="BF19" s="40" t="str">
        <f t="shared" si="12"/>
        <v/>
      </c>
      <c r="BG19" s="40" t="str">
        <f t="shared" si="12"/>
        <v/>
      </c>
      <c r="BH19" s="40" t="str">
        <f t="shared" si="12"/>
        <v/>
      </c>
      <c r="BI19" s="40" t="str">
        <f t="shared" si="12"/>
        <v/>
      </c>
      <c r="BJ19" s="40" t="str">
        <f t="shared" si="12"/>
        <v/>
      </c>
      <c r="BK19" s="40" t="str">
        <f t="shared" si="12"/>
        <v/>
      </c>
      <c r="BL19" s="40" t="str">
        <f t="shared" si="12"/>
        <v/>
      </c>
      <c r="BM19" s="40" t="str">
        <f t="shared" si="12"/>
        <v/>
      </c>
      <c r="BN19" s="42"/>
    </row>
    <row r="20" spans="1:66" ht="24" customHeight="1" x14ac:dyDescent="0.3">
      <c r="A20" s="154"/>
      <c r="B20" s="920" t="s">
        <v>31</v>
      </c>
      <c r="C20" s="935" t="s">
        <v>71</v>
      </c>
      <c r="D20" s="935" t="s">
        <v>72</v>
      </c>
      <c r="E20" s="935" t="s">
        <v>169</v>
      </c>
      <c r="F20" s="935" t="s">
        <v>154</v>
      </c>
      <c r="G20" s="934" t="s">
        <v>73</v>
      </c>
      <c r="H20" s="27" t="s">
        <v>44</v>
      </c>
      <c r="I20" s="28"/>
      <c r="J20" s="30"/>
      <c r="K20" s="30"/>
      <c r="L20" s="51"/>
      <c r="M20" s="30"/>
      <c r="N20" s="29"/>
      <c r="O20" s="29"/>
      <c r="P20" s="29"/>
      <c r="Q20" s="99">
        <f>+Q21</f>
        <v>20307.689999999999</v>
      </c>
      <c r="R20" s="99">
        <f>AVERAGE($Q21:Q21)</f>
        <v>20307.689999999999</v>
      </c>
      <c r="S20" s="99">
        <f>AVERAGE($Q21:R21)</f>
        <v>27896.89</v>
      </c>
      <c r="T20" s="99">
        <f>AVERAGE($Q21:S21)</f>
        <v>25473.926666666666</v>
      </c>
      <c r="U20" s="99">
        <f>AVERAGE($Q21:T21)</f>
        <v>25609.695</v>
      </c>
      <c r="V20" s="99">
        <f>AVERAGE($Q21:U21)</f>
        <v>28565.047999999999</v>
      </c>
      <c r="W20" s="99">
        <f>AVERAGE($Q21:V21)</f>
        <v>28936.764999999999</v>
      </c>
      <c r="X20" s="99">
        <f>AVERAGE($Q21:W21)</f>
        <v>27781.174395604397</v>
      </c>
      <c r="Y20" s="99">
        <f>AVERAGE($Q21:X21)</f>
        <v>29643.272040598291</v>
      </c>
      <c r="Z20" s="99">
        <f>AVERAGE($Q21:Y21)</f>
        <v>28988.802497625831</v>
      </c>
      <c r="AA20" s="99">
        <f>AVERAGE($Q21:Z21)</f>
        <v>29212.181071392657</v>
      </c>
      <c r="AB20" s="99">
        <f>AVERAGE($Q21:AA21)</f>
        <v>29886.132524795466</v>
      </c>
      <c r="AC20" s="99">
        <f>AVERAGE($Q21:AB21)</f>
        <v>29045.179620597395</v>
      </c>
      <c r="AD20" s="99">
        <f>AVERAGE($Q21:AC21)</f>
        <v>29466.666902529465</v>
      </c>
      <c r="AE20" s="99">
        <f>AVERAGE($Q21:AD21)</f>
        <v>29911.551239423621</v>
      </c>
      <c r="AF20" s="99">
        <f>AVERAGE($Q21:AE21)</f>
        <v>29385.232618783681</v>
      </c>
      <c r="AG20" s="99">
        <f>AVERAGE($Q21:AF21)</f>
        <v>28840.620368842097</v>
      </c>
      <c r="AH20" s="99">
        <f>AVERAGE($Q21:AG21)</f>
        <v>30099.15435380477</v>
      </c>
      <c r="AI20" s="99">
        <f>AVERAGE($Q21:AH21)</f>
        <v>30369.374173655124</v>
      </c>
      <c r="AJ20" s="99">
        <f>IF(AJ$6&gt;$E$3,"",AVERAGE($Q21:AI21))</f>
        <v>30781.082247999952</v>
      </c>
      <c r="AK20" s="99">
        <f>IF(AK$6&gt;$E$3,"",AVERAGE($Q21:AJ21))</f>
        <v>30664.03369115551</v>
      </c>
      <c r="AL20" s="99">
        <f>IF(AL$6&gt;$E$3,"",AVERAGE($Q21:AK21))</f>
        <v>30320.703017873762</v>
      </c>
      <c r="AM20" s="99">
        <f>IF(AM$6&gt;$E$3,"",AVERAGE($Q21:AL21))</f>
        <v>30363.963163857148</v>
      </c>
      <c r="AN20" s="99">
        <f>IF(AN$6&gt;$E$3,"",AVERAGE($Q21:AM21))</f>
        <v>30779.412660528644</v>
      </c>
      <c r="AO20" s="99">
        <f>IF(AO$6&gt;$E$3,"",AVERAGE($Q21:AN21))</f>
        <v>30578.50834512783</v>
      </c>
      <c r="AP20" s="99">
        <f>IF(AP$6&gt;$E$3,"",AVERAGE($Q21:AO21))</f>
        <v>31003.615284049985</v>
      </c>
      <c r="AQ20" s="99">
        <f>IF(AQ$6&gt;$E$3,"",AVERAGE($Q21:AP21))</f>
        <v>31070.092968806501</v>
      </c>
      <c r="AR20" s="99">
        <f>IF(AR$6&gt;$E$3,"",AVERAGE($Q21:AQ21))</f>
        <v>30777.899448648048</v>
      </c>
      <c r="AS20" s="99">
        <f>IF(AS$6&gt;$E$3,"",AVERAGE($Q21:AR21))</f>
        <v>31335.413821438917</v>
      </c>
      <c r="AT20" s="99">
        <f>IF(AT$6&gt;$E$3,"",AVERAGE($Q21:AS21))</f>
        <v>31194.134099554554</v>
      </c>
      <c r="AU20" s="99">
        <f>IF(AU$6&gt;$E$3,"",AVERAGE($Q21:AT21))</f>
        <v>31606.009368131497</v>
      </c>
      <c r="AV20" s="99">
        <f>IF(AV$6&gt;$E$3,"",AVERAGE($Q21:AU21))</f>
        <v>31489.613367008973</v>
      </c>
      <c r="AW20" s="99">
        <f>IF(AW$6&gt;$E$3,"",AVERAGE($Q21:AV21))</f>
        <v>31238.32501069345</v>
      </c>
      <c r="AX20" s="99">
        <f>IF(AX$6&gt;$E$3,"",AVERAGE($Q21:AW21))</f>
        <v>31169.917526999117</v>
      </c>
      <c r="AY20" s="99">
        <f>IF(AY$6&gt;$E$3,"",AVERAGE($Q21:AX21))</f>
        <v>31439.972773804067</v>
      </c>
      <c r="AZ20" s="99">
        <f>IF(AZ$6&gt;$E$3,"",AVERAGE($Q21:AY21))</f>
        <v>31195.986997073531</v>
      </c>
      <c r="BA20" s="99">
        <f>IF(BA$6&gt;$E$3,"",AVERAGE($Q21:AZ21))</f>
        <v>31054.970351463209</v>
      </c>
      <c r="BB20" s="99">
        <f>IF(BB$6&gt;$E$3,"",AVERAGE($Q21:BA21))</f>
        <v>31629.788200592062</v>
      </c>
      <c r="BC20" s="99" t="str">
        <f>IF(BC$6&gt;$E$3,"",AVERAGE($Q21:BB21))</f>
        <v/>
      </c>
      <c r="BD20" s="99" t="str">
        <f>IF(BD$6&gt;$E$3,"",AVERAGE($Q21:BC21))</f>
        <v/>
      </c>
      <c r="BE20" s="99" t="str">
        <f>IF(BE$6&gt;$E$3,"",AVERAGE($Q21:BD21))</f>
        <v/>
      </c>
      <c r="BF20" s="99" t="str">
        <f>IF(BF$6&gt;$E$3,"",AVERAGE($Q21:BE21))</f>
        <v/>
      </c>
      <c r="BG20" s="99" t="str">
        <f>IF(BG$6&gt;$E$3,"",AVERAGE($Q21:BF21))</f>
        <v/>
      </c>
      <c r="BH20" s="99" t="str">
        <f>IF(BH$6&gt;$E$3,"",AVERAGE($Q21:BG21))</f>
        <v/>
      </c>
      <c r="BI20" s="99" t="str">
        <f>IF(BI$6&gt;$E$3,"",AVERAGE($Q21:BH21))</f>
        <v/>
      </c>
      <c r="BJ20" s="99" t="str">
        <f>IF(BJ$6&gt;$E$3,"",AVERAGE($Q21:BI21))</f>
        <v/>
      </c>
      <c r="BK20" s="99" t="str">
        <f>IF(BK$6&gt;$E$3,"",AVERAGE($Q21:BJ21))</f>
        <v/>
      </c>
      <c r="BL20" s="99" t="str">
        <f>IF(BL$6&gt;$E$3,"",AVERAGE($Q21:BK21))</f>
        <v/>
      </c>
      <c r="BM20" s="99" t="str">
        <f>IF(BM$6&gt;$E$3,"",AVERAGE($Q21:BL21))</f>
        <v/>
      </c>
      <c r="BN20" s="31"/>
    </row>
    <row r="21" spans="1:66" ht="24" customHeight="1" x14ac:dyDescent="0.3">
      <c r="A21" s="154"/>
      <c r="B21" s="920"/>
      <c r="C21" s="935"/>
      <c r="D21" s="935"/>
      <c r="E21" s="935"/>
      <c r="F21" s="935"/>
      <c r="G21" s="934"/>
      <c r="H21" s="33" t="s">
        <v>45</v>
      </c>
      <c r="I21" s="34"/>
      <c r="J21" s="36"/>
      <c r="K21" s="36"/>
      <c r="L21" s="52"/>
      <c r="M21" s="36" t="s">
        <v>122</v>
      </c>
      <c r="N21" s="35" t="s">
        <v>496</v>
      </c>
      <c r="O21" s="35" t="s">
        <v>496</v>
      </c>
      <c r="P21" s="35" t="s">
        <v>496</v>
      </c>
      <c r="Q21" s="100">
        <v>20307.689999999999</v>
      </c>
      <c r="R21" s="100">
        <v>35486.089999999997</v>
      </c>
      <c r="S21" s="100">
        <v>20628</v>
      </c>
      <c r="T21" s="100">
        <v>26017</v>
      </c>
      <c r="U21" s="100">
        <v>40386.46</v>
      </c>
      <c r="V21" s="100">
        <v>30795.35</v>
      </c>
      <c r="W21" s="100">
        <f>677548/32.5</f>
        <v>20847.630769230771</v>
      </c>
      <c r="X21" s="100">
        <f>960254/22.5</f>
        <v>42677.955555555556</v>
      </c>
      <c r="Y21" s="100">
        <f>771974/32.5</f>
        <v>23753.046153846153</v>
      </c>
      <c r="Z21" s="100">
        <f>796176/25.5</f>
        <v>31222.588235294119</v>
      </c>
      <c r="AA21" s="100">
        <f>933954/25.5</f>
        <v>36625.647058823532</v>
      </c>
      <c r="AB21" s="100">
        <f t="shared" ref="AB21:BB21" si="13">+AB31</f>
        <v>19794.697674418603</v>
      </c>
      <c r="AC21" s="100">
        <f t="shared" si="13"/>
        <v>34524.514285714286</v>
      </c>
      <c r="AD21" s="100">
        <f t="shared" si="13"/>
        <v>35695.047619047618</v>
      </c>
      <c r="AE21" s="100">
        <f t="shared" si="13"/>
        <v>22016.771929824561</v>
      </c>
      <c r="AF21" s="100">
        <f t="shared" si="13"/>
        <v>20671.436619718308</v>
      </c>
      <c r="AG21" s="100">
        <f t="shared" si="13"/>
        <v>50235.698113207545</v>
      </c>
      <c r="AH21" s="100">
        <f t="shared" si="13"/>
        <v>34963.111111111109</v>
      </c>
      <c r="AI21" s="100">
        <f t="shared" si="13"/>
        <v>38191.827586206899</v>
      </c>
      <c r="AJ21" s="100">
        <f t="shared" si="13"/>
        <v>28440.111111111109</v>
      </c>
      <c r="AK21" s="100">
        <f t="shared" si="13"/>
        <v>23454.089552238805</v>
      </c>
      <c r="AL21" s="100">
        <f t="shared" si="13"/>
        <v>31272.426229508197</v>
      </c>
      <c r="AM21" s="100">
        <f t="shared" si="13"/>
        <v>39919.30158730159</v>
      </c>
      <c r="AN21" s="100">
        <f t="shared" si="13"/>
        <v>25957.709090909091</v>
      </c>
      <c r="AO21" s="100">
        <f t="shared" si="13"/>
        <v>41206.181818181816</v>
      </c>
      <c r="AP21" s="100">
        <f t="shared" si="13"/>
        <v>32732.035087719298</v>
      </c>
      <c r="AQ21" s="100">
        <f t="shared" si="13"/>
        <v>23180.867924528302</v>
      </c>
      <c r="AR21" s="100">
        <f t="shared" si="13"/>
        <v>46388.301886792455</v>
      </c>
      <c r="AS21" s="100">
        <f t="shared" si="13"/>
        <v>27238.301886792451</v>
      </c>
      <c r="AT21" s="100">
        <f t="shared" si="13"/>
        <v>43550.392156862748</v>
      </c>
      <c r="AU21" s="100">
        <f t="shared" si="13"/>
        <v>27997.733333333334</v>
      </c>
      <c r="AV21" s="100">
        <f t="shared" si="13"/>
        <v>23448.385964912282</v>
      </c>
      <c r="AW21" s="100">
        <f t="shared" si="13"/>
        <v>28980.878048780487</v>
      </c>
      <c r="AX21" s="100">
        <f t="shared" si="13"/>
        <v>40351.795918367345</v>
      </c>
      <c r="AY21" s="100">
        <f t="shared" si="13"/>
        <v>22900.470588235294</v>
      </c>
      <c r="AZ21" s="100">
        <f t="shared" si="13"/>
        <v>26119.387755102041</v>
      </c>
      <c r="BA21" s="100">
        <f t="shared" si="13"/>
        <v>52323.230769230766</v>
      </c>
      <c r="BB21" s="100">
        <f t="shared" si="13"/>
        <v>43514.86363636364</v>
      </c>
      <c r="BC21" s="100"/>
      <c r="BD21" s="100"/>
      <c r="BE21" s="100"/>
      <c r="BF21" s="100"/>
      <c r="BG21" s="100"/>
      <c r="BH21" s="100"/>
      <c r="BI21" s="100"/>
      <c r="BJ21" s="100"/>
      <c r="BK21" s="100"/>
      <c r="BL21" s="100"/>
      <c r="BM21" s="100"/>
      <c r="BN21" s="37"/>
    </row>
    <row r="22" spans="1:66" ht="24" customHeight="1" thickBot="1" x14ac:dyDescent="0.35">
      <c r="A22" s="154"/>
      <c r="B22" s="920"/>
      <c r="C22" s="935"/>
      <c r="D22" s="935"/>
      <c r="E22" s="935"/>
      <c r="F22" s="935"/>
      <c r="G22" s="934"/>
      <c r="H22" s="38" t="s">
        <v>46</v>
      </c>
      <c r="I22" s="43" t="str">
        <f>IF(I21="","",IF((I21-I20)&gt;=0,"G",IF((I21/I20&lt;=0.18),"R","A")))</f>
        <v/>
      </c>
      <c r="J22" s="81" t="str">
        <f>IF(J21="","",IF((J21-J20)&gt;=0,"G",IF((J21/J20&lt;=0.18),"R","A")))</f>
        <v/>
      </c>
      <c r="K22" s="81" t="str">
        <f>IF(K21="","",IF((K21-K20)&gt;=0,"G",IF((K21/K20&lt;=0.18),"R","A")))</f>
        <v/>
      </c>
      <c r="L22" s="54" t="str">
        <f>IF(L21="","",IF((L21-L20)&gt;=0,"G",IF((L21/L20&lt;=0.18),"R","A")))</f>
        <v/>
      </c>
      <c r="M22" s="40" t="str">
        <f>IF(M$6&gt;$E$3,"",IF(M21="","OD",IF(M21="Blank","Blank",IF(M21="TBC","TBC",IF(M21="Undefined","Undefined",IF(M21="Missed","Missed",IF(M21="OD","OD",IF(M$4="OD","OD",IF((M21-M20)&gt;=0,"G",IF((M21-(M20*0.95))&gt;=0,"A","R"))))))))))</f>
        <v>Blank</v>
      </c>
      <c r="N22" s="40" t="str">
        <f t="shared" ref="N22:BM22" si="14">IF(N$6&gt;$E$3,"",IF(N21="","OD",IF(N21="Blank","Blank",IF(N21="TBC","TBC",IF(N21="Undefined","Undefined",IF(N21="Missed","Missed",IF(N21="OD","OD",IF(N$4="OD","OD",IF((N21-N20)&gt;=0,"G",IF((N21-(N20*0.95))&gt;=0,"A","R"))))))))))</f>
        <v>Missed</v>
      </c>
      <c r="O22" s="40" t="str">
        <f t="shared" si="14"/>
        <v>Missed</v>
      </c>
      <c r="P22" s="40" t="str">
        <f t="shared" si="14"/>
        <v>Missed</v>
      </c>
      <c r="Q22" s="40" t="str">
        <f t="shared" si="14"/>
        <v>G</v>
      </c>
      <c r="R22" s="40" t="str">
        <f t="shared" si="14"/>
        <v>G</v>
      </c>
      <c r="S22" s="40" t="str">
        <f t="shared" si="14"/>
        <v>R</v>
      </c>
      <c r="T22" s="40" t="str">
        <f t="shared" si="14"/>
        <v>G</v>
      </c>
      <c r="U22" s="40" t="str">
        <f t="shared" si="14"/>
        <v>G</v>
      </c>
      <c r="V22" s="40" t="str">
        <f t="shared" si="14"/>
        <v>G</v>
      </c>
      <c r="W22" s="40" t="str">
        <f t="shared" si="14"/>
        <v>R</v>
      </c>
      <c r="X22" s="40" t="str">
        <f t="shared" si="14"/>
        <v>G</v>
      </c>
      <c r="Y22" s="40" t="str">
        <f t="shared" si="14"/>
        <v>R</v>
      </c>
      <c r="Z22" s="40" t="str">
        <f t="shared" si="14"/>
        <v>G</v>
      </c>
      <c r="AA22" s="40" t="str">
        <f t="shared" si="14"/>
        <v>G</v>
      </c>
      <c r="AB22" s="40" t="str">
        <f t="shared" si="14"/>
        <v>R</v>
      </c>
      <c r="AC22" s="40" t="str">
        <f t="shared" si="14"/>
        <v>G</v>
      </c>
      <c r="AD22" s="40" t="str">
        <f t="shared" si="14"/>
        <v>G</v>
      </c>
      <c r="AE22" s="40" t="str">
        <f t="shared" si="14"/>
        <v>R</v>
      </c>
      <c r="AF22" s="40" t="str">
        <f t="shared" si="14"/>
        <v>R</v>
      </c>
      <c r="AG22" s="40" t="str">
        <f t="shared" si="14"/>
        <v>G</v>
      </c>
      <c r="AH22" s="40" t="str">
        <f t="shared" si="14"/>
        <v>G</v>
      </c>
      <c r="AI22" s="40" t="str">
        <f t="shared" si="14"/>
        <v>G</v>
      </c>
      <c r="AJ22" s="40" t="str">
        <f t="shared" si="14"/>
        <v>R</v>
      </c>
      <c r="AK22" s="40" t="str">
        <f t="shared" si="14"/>
        <v>R</v>
      </c>
      <c r="AL22" s="40" t="str">
        <f t="shared" si="14"/>
        <v>G</v>
      </c>
      <c r="AM22" s="40" t="str">
        <f t="shared" si="14"/>
        <v>G</v>
      </c>
      <c r="AN22" s="40" t="str">
        <f t="shared" si="14"/>
        <v>R</v>
      </c>
      <c r="AO22" s="40" t="str">
        <f t="shared" si="14"/>
        <v>G</v>
      </c>
      <c r="AP22" s="40" t="str">
        <f t="shared" si="14"/>
        <v>G</v>
      </c>
      <c r="AQ22" s="40" t="str">
        <f t="shared" si="14"/>
        <v>R</v>
      </c>
      <c r="AR22" s="40" t="str">
        <f t="shared" si="14"/>
        <v>G</v>
      </c>
      <c r="AS22" s="40" t="str">
        <f t="shared" si="14"/>
        <v>R</v>
      </c>
      <c r="AT22" s="40" t="str">
        <f t="shared" si="14"/>
        <v>G</v>
      </c>
      <c r="AU22" s="40" t="str">
        <f t="shared" si="14"/>
        <v>R</v>
      </c>
      <c r="AV22" s="40" t="str">
        <f t="shared" si="14"/>
        <v>R</v>
      </c>
      <c r="AW22" s="40" t="str">
        <f t="shared" si="14"/>
        <v>R</v>
      </c>
      <c r="AX22" s="40" t="str">
        <f t="shared" si="14"/>
        <v>G</v>
      </c>
      <c r="AY22" s="40" t="str">
        <f t="shared" si="14"/>
        <v>R</v>
      </c>
      <c r="AZ22" s="40" t="str">
        <f t="shared" si="14"/>
        <v>R</v>
      </c>
      <c r="BA22" s="40" t="str">
        <f t="shared" si="14"/>
        <v>G</v>
      </c>
      <c r="BB22" s="40" t="str">
        <f t="shared" si="14"/>
        <v>G</v>
      </c>
      <c r="BC22" s="40" t="str">
        <f t="shared" si="14"/>
        <v/>
      </c>
      <c r="BD22" s="40" t="str">
        <f t="shared" si="14"/>
        <v/>
      </c>
      <c r="BE22" s="40" t="str">
        <f t="shared" si="14"/>
        <v/>
      </c>
      <c r="BF22" s="40" t="str">
        <f t="shared" si="14"/>
        <v/>
      </c>
      <c r="BG22" s="40" t="str">
        <f t="shared" si="14"/>
        <v/>
      </c>
      <c r="BH22" s="40" t="str">
        <f t="shared" si="14"/>
        <v/>
      </c>
      <c r="BI22" s="40" t="str">
        <f t="shared" si="14"/>
        <v/>
      </c>
      <c r="BJ22" s="40" t="str">
        <f t="shared" si="14"/>
        <v/>
      </c>
      <c r="BK22" s="40" t="str">
        <f t="shared" si="14"/>
        <v/>
      </c>
      <c r="BL22" s="40" t="str">
        <f t="shared" si="14"/>
        <v/>
      </c>
      <c r="BM22" s="40" t="str">
        <f t="shared" si="14"/>
        <v/>
      </c>
      <c r="BN22" s="42"/>
    </row>
    <row r="23" spans="1:66" x14ac:dyDescent="0.3">
      <c r="N23"/>
      <c r="O23"/>
      <c r="P23"/>
      <c r="Q23"/>
      <c r="R23"/>
      <c r="S23"/>
      <c r="T23"/>
      <c r="U23"/>
      <c r="V23"/>
      <c r="W23"/>
      <c r="X23"/>
      <c r="Y23"/>
      <c r="Z23"/>
    </row>
    <row r="24" spans="1:66" x14ac:dyDescent="0.3">
      <c r="P24" s="117"/>
      <c r="Q24"/>
      <c r="R24"/>
      <c r="S24"/>
      <c r="T24"/>
      <c r="U24"/>
      <c r="V24"/>
      <c r="W24"/>
    </row>
    <row r="25" spans="1:66" s="666" customFormat="1" x14ac:dyDescent="0.3">
      <c r="C25" s="667"/>
      <c r="D25" s="666" t="s">
        <v>256</v>
      </c>
      <c r="E25" s="668" t="s">
        <v>252</v>
      </c>
      <c r="N25" s="668"/>
      <c r="O25" s="668"/>
      <c r="P25" s="668"/>
      <c r="Q25" s="668">
        <v>696</v>
      </c>
      <c r="R25" s="668">
        <v>643</v>
      </c>
      <c r="S25" s="668">
        <v>478</v>
      </c>
      <c r="T25" s="668">
        <v>730</v>
      </c>
      <c r="U25" s="668">
        <v>573</v>
      </c>
      <c r="V25" s="668">
        <v>492</v>
      </c>
      <c r="W25" s="668">
        <v>412</v>
      </c>
      <c r="X25" s="668">
        <v>574</v>
      </c>
      <c r="Y25" s="668">
        <v>382</v>
      </c>
      <c r="Z25" s="668">
        <v>398</v>
      </c>
      <c r="AA25" s="668">
        <v>510</v>
      </c>
      <c r="AB25" s="668">
        <v>512</v>
      </c>
      <c r="AC25" s="668">
        <v>293</v>
      </c>
      <c r="AD25" s="668">
        <v>497</v>
      </c>
      <c r="AE25" s="668">
        <v>579</v>
      </c>
      <c r="AF25" s="668">
        <v>457</v>
      </c>
      <c r="AG25" s="668">
        <v>815</v>
      </c>
      <c r="AH25" s="668">
        <v>588</v>
      </c>
      <c r="AI25" s="668">
        <v>584</v>
      </c>
      <c r="AJ25" s="668">
        <v>437</v>
      </c>
      <c r="AK25" s="668">
        <v>547</v>
      </c>
      <c r="AL25" s="668">
        <v>489</v>
      </c>
      <c r="AM25" s="668">
        <v>677</v>
      </c>
      <c r="AN25" s="668">
        <v>459</v>
      </c>
      <c r="AO25" s="668">
        <v>350</v>
      </c>
      <c r="AP25" s="668">
        <v>637</v>
      </c>
      <c r="AQ25" s="668">
        <v>362</v>
      </c>
      <c r="AR25" s="668">
        <v>485</v>
      </c>
      <c r="AS25" s="668">
        <v>265</v>
      </c>
      <c r="AT25" s="668">
        <v>511</v>
      </c>
      <c r="AU25" s="668">
        <v>377</v>
      </c>
      <c r="AV25" s="668">
        <v>474</v>
      </c>
      <c r="AW25" s="668">
        <v>264</v>
      </c>
      <c r="AX25" s="668">
        <v>613</v>
      </c>
      <c r="AY25" s="668">
        <v>836</v>
      </c>
      <c r="AZ25" s="668">
        <v>535</v>
      </c>
      <c r="BA25" s="668">
        <v>381</v>
      </c>
      <c r="BB25" s="668">
        <v>359</v>
      </c>
      <c r="BC25" s="668"/>
      <c r="BD25" s="668"/>
      <c r="BE25" s="668"/>
      <c r="BF25" s="668"/>
      <c r="BG25" s="668"/>
      <c r="BH25" s="668"/>
      <c r="BI25" s="668"/>
      <c r="BJ25" s="668"/>
      <c r="BK25" s="668"/>
      <c r="BL25" s="668"/>
      <c r="BM25" s="668"/>
    </row>
    <row r="26" spans="1:66" s="666" customFormat="1" x14ac:dyDescent="0.3">
      <c r="C26" s="667"/>
      <c r="E26" s="669" t="s">
        <v>253</v>
      </c>
      <c r="N26" s="669"/>
      <c r="O26" s="669"/>
      <c r="P26" s="669"/>
      <c r="Q26" s="669">
        <v>189</v>
      </c>
      <c r="R26" s="669">
        <v>222</v>
      </c>
      <c r="S26" s="669">
        <v>191</v>
      </c>
      <c r="T26" s="669">
        <v>201</v>
      </c>
      <c r="U26" s="669">
        <v>262</v>
      </c>
      <c r="V26" s="669">
        <v>200</v>
      </c>
      <c r="W26" s="669">
        <v>195</v>
      </c>
      <c r="X26" s="669">
        <v>268</v>
      </c>
      <c r="Y26" s="669">
        <v>274</v>
      </c>
      <c r="Z26" s="669">
        <v>276</v>
      </c>
      <c r="AA26" s="669">
        <v>252</v>
      </c>
      <c r="AB26" s="669">
        <v>106</v>
      </c>
      <c r="AC26" s="669">
        <v>180</v>
      </c>
      <c r="AD26" s="669">
        <v>250</v>
      </c>
      <c r="AE26" s="669">
        <v>168</v>
      </c>
      <c r="AF26" s="669">
        <v>201</v>
      </c>
      <c r="AG26" s="669">
        <v>283</v>
      </c>
      <c r="AH26" s="669">
        <v>176</v>
      </c>
      <c r="AI26" s="669">
        <v>233</v>
      </c>
      <c r="AJ26" s="669">
        <v>259</v>
      </c>
      <c r="AK26" s="669">
        <v>231</v>
      </c>
      <c r="AL26" s="669">
        <v>278</v>
      </c>
      <c r="AM26" s="669">
        <v>287</v>
      </c>
      <c r="AN26" s="669">
        <v>208</v>
      </c>
      <c r="AO26" s="669">
        <v>167</v>
      </c>
      <c r="AP26" s="669">
        <v>238</v>
      </c>
      <c r="AQ26" s="669">
        <v>155</v>
      </c>
      <c r="AR26" s="669">
        <v>211</v>
      </c>
      <c r="AS26" s="669">
        <v>227</v>
      </c>
      <c r="AT26" s="669">
        <v>275</v>
      </c>
      <c r="AU26" s="669">
        <v>193</v>
      </c>
      <c r="AV26" s="669">
        <v>276</v>
      </c>
      <c r="AW26" s="669">
        <v>299</v>
      </c>
      <c r="AX26" s="669">
        <v>268</v>
      </c>
      <c r="AY26" s="669">
        <v>171</v>
      </c>
      <c r="AZ26" s="669">
        <v>192</v>
      </c>
      <c r="BA26" s="669">
        <v>285</v>
      </c>
      <c r="BB26" s="669">
        <v>248</v>
      </c>
      <c r="BC26" s="669"/>
      <c r="BD26" s="669"/>
      <c r="BE26" s="669"/>
      <c r="BF26" s="669"/>
      <c r="BG26" s="669"/>
      <c r="BH26" s="669"/>
      <c r="BI26" s="669"/>
      <c r="BJ26" s="669"/>
      <c r="BK26" s="669"/>
      <c r="BL26" s="669"/>
      <c r="BM26" s="669"/>
    </row>
    <row r="27" spans="1:66" s="666" customFormat="1" x14ac:dyDescent="0.3">
      <c r="C27" s="667"/>
      <c r="E27" s="233" t="s">
        <v>148</v>
      </c>
      <c r="N27" s="233"/>
      <c r="O27" s="233"/>
      <c r="P27" s="233"/>
      <c r="Q27" s="233">
        <f t="shared" ref="Q27:V27" si="15">SUM(Q25:Q26)</f>
        <v>885</v>
      </c>
      <c r="R27" s="233">
        <f t="shared" si="15"/>
        <v>865</v>
      </c>
      <c r="S27" s="233">
        <f t="shared" si="15"/>
        <v>669</v>
      </c>
      <c r="T27" s="233">
        <f t="shared" si="15"/>
        <v>931</v>
      </c>
      <c r="U27" s="233">
        <f t="shared" si="15"/>
        <v>835</v>
      </c>
      <c r="V27" s="233">
        <f t="shared" si="15"/>
        <v>692</v>
      </c>
      <c r="W27" s="233">
        <f>SUM(W25:W26)</f>
        <v>607</v>
      </c>
      <c r="X27" s="233">
        <f t="shared" ref="X27:BM27" si="16">SUM(X25:X26)</f>
        <v>842</v>
      </c>
      <c r="Y27" s="233">
        <f t="shared" si="16"/>
        <v>656</v>
      </c>
      <c r="Z27" s="233">
        <f t="shared" si="16"/>
        <v>674</v>
      </c>
      <c r="AA27" s="233">
        <f t="shared" si="16"/>
        <v>762</v>
      </c>
      <c r="AB27" s="233">
        <f t="shared" si="16"/>
        <v>618</v>
      </c>
      <c r="AC27" s="233">
        <f t="shared" si="16"/>
        <v>473</v>
      </c>
      <c r="AD27" s="233">
        <f t="shared" si="16"/>
        <v>747</v>
      </c>
      <c r="AE27" s="233">
        <f t="shared" si="16"/>
        <v>747</v>
      </c>
      <c r="AF27" s="233">
        <f t="shared" si="16"/>
        <v>658</v>
      </c>
      <c r="AG27" s="233">
        <f t="shared" si="16"/>
        <v>1098</v>
      </c>
      <c r="AH27" s="233">
        <f t="shared" si="16"/>
        <v>764</v>
      </c>
      <c r="AI27" s="233">
        <f t="shared" si="16"/>
        <v>817</v>
      </c>
      <c r="AJ27" s="233">
        <f t="shared" si="16"/>
        <v>696</v>
      </c>
      <c r="AK27" s="233">
        <f t="shared" si="16"/>
        <v>778</v>
      </c>
      <c r="AL27" s="233">
        <f t="shared" si="16"/>
        <v>767</v>
      </c>
      <c r="AM27" s="233">
        <f t="shared" si="16"/>
        <v>964</v>
      </c>
      <c r="AN27" s="233">
        <f t="shared" si="16"/>
        <v>667</v>
      </c>
      <c r="AO27" s="233">
        <f t="shared" si="16"/>
        <v>517</v>
      </c>
      <c r="AP27" s="233">
        <f t="shared" si="16"/>
        <v>875</v>
      </c>
      <c r="AQ27" s="233">
        <f t="shared" si="16"/>
        <v>517</v>
      </c>
      <c r="AR27" s="233">
        <f t="shared" si="16"/>
        <v>696</v>
      </c>
      <c r="AS27" s="233">
        <f t="shared" si="16"/>
        <v>492</v>
      </c>
      <c r="AT27" s="233">
        <f t="shared" si="16"/>
        <v>786</v>
      </c>
      <c r="AU27" s="233">
        <f t="shared" si="16"/>
        <v>570</v>
      </c>
      <c r="AV27" s="233">
        <f t="shared" si="16"/>
        <v>750</v>
      </c>
      <c r="AW27" s="233">
        <f t="shared" si="16"/>
        <v>563</v>
      </c>
      <c r="AX27" s="233">
        <f t="shared" si="16"/>
        <v>881</v>
      </c>
      <c r="AY27" s="233">
        <f t="shared" si="16"/>
        <v>1007</v>
      </c>
      <c r="AZ27" s="233">
        <f t="shared" si="16"/>
        <v>727</v>
      </c>
      <c r="BA27" s="233">
        <f t="shared" si="16"/>
        <v>666</v>
      </c>
      <c r="BB27" s="233">
        <f t="shared" si="16"/>
        <v>607</v>
      </c>
      <c r="BC27" s="233">
        <f t="shared" si="16"/>
        <v>0</v>
      </c>
      <c r="BD27" s="233">
        <f t="shared" si="16"/>
        <v>0</v>
      </c>
      <c r="BE27" s="233">
        <f t="shared" si="16"/>
        <v>0</v>
      </c>
      <c r="BF27" s="233">
        <f t="shared" si="16"/>
        <v>0</v>
      </c>
      <c r="BG27" s="233">
        <f t="shared" si="16"/>
        <v>0</v>
      </c>
      <c r="BH27" s="233">
        <f t="shared" si="16"/>
        <v>0</v>
      </c>
      <c r="BI27" s="233">
        <f t="shared" si="16"/>
        <v>0</v>
      </c>
      <c r="BJ27" s="233">
        <f t="shared" si="16"/>
        <v>0</v>
      </c>
      <c r="BK27" s="233">
        <f t="shared" si="16"/>
        <v>0</v>
      </c>
      <c r="BL27" s="233">
        <f t="shared" si="16"/>
        <v>0</v>
      </c>
      <c r="BM27" s="233">
        <f t="shared" si="16"/>
        <v>0</v>
      </c>
    </row>
    <row r="29" spans="1:66" s="666" customFormat="1" ht="14.7" customHeight="1" x14ac:dyDescent="0.3">
      <c r="C29" s="667"/>
      <c r="D29" s="666" t="s">
        <v>257</v>
      </c>
      <c r="E29" s="668" t="s">
        <v>31</v>
      </c>
      <c r="N29" s="668"/>
      <c r="O29" s="668"/>
      <c r="P29" s="668"/>
      <c r="Q29" s="668">
        <v>660000</v>
      </c>
      <c r="R29" s="668">
        <v>1153298</v>
      </c>
      <c r="S29" s="668">
        <v>670440</v>
      </c>
      <c r="T29" s="668">
        <v>845563</v>
      </c>
      <c r="U29" s="668">
        <v>1312560</v>
      </c>
      <c r="V29" s="668">
        <v>1000849</v>
      </c>
      <c r="W29" s="668">
        <v>677548</v>
      </c>
      <c r="X29" s="668">
        <v>960254</v>
      </c>
      <c r="Y29" s="668">
        <v>771974</v>
      </c>
      <c r="Z29" s="668">
        <v>796176</v>
      </c>
      <c r="AA29" s="668">
        <v>933954</v>
      </c>
      <c r="AB29" s="668">
        <v>425586</v>
      </c>
      <c r="AC29" s="668">
        <v>604179</v>
      </c>
      <c r="AD29" s="668">
        <v>1124394</v>
      </c>
      <c r="AE29" s="668">
        <v>627478</v>
      </c>
      <c r="AF29" s="668">
        <v>733836</v>
      </c>
      <c r="AG29" s="668">
        <v>1331246</v>
      </c>
      <c r="AH29" s="668">
        <v>1101338</v>
      </c>
      <c r="AI29" s="668">
        <v>1107563</v>
      </c>
      <c r="AJ29" s="668">
        <v>767883</v>
      </c>
      <c r="AK29" s="668">
        <v>785712</v>
      </c>
      <c r="AL29" s="668">
        <v>953809</v>
      </c>
      <c r="AM29" s="668">
        <v>1257458</v>
      </c>
      <c r="AN29" s="668">
        <v>713837</v>
      </c>
      <c r="AO29" s="668">
        <v>1133170</v>
      </c>
      <c r="AP29" s="668">
        <v>932863</v>
      </c>
      <c r="AQ29" s="668">
        <v>614293</v>
      </c>
      <c r="AR29" s="668">
        <v>1229290</v>
      </c>
      <c r="AS29" s="668">
        <v>721815</v>
      </c>
      <c r="AT29" s="668">
        <v>1110535</v>
      </c>
      <c r="AU29" s="668">
        <v>629949</v>
      </c>
      <c r="AV29" s="668">
        <v>668279</v>
      </c>
      <c r="AW29" s="668">
        <v>594108</v>
      </c>
      <c r="AX29" s="668">
        <v>988619</v>
      </c>
      <c r="AY29" s="668">
        <v>583962</v>
      </c>
      <c r="AZ29" s="668">
        <v>639925</v>
      </c>
      <c r="BA29" s="668">
        <v>1360404</v>
      </c>
      <c r="BB29" s="668">
        <v>957327</v>
      </c>
      <c r="BC29" s="668"/>
      <c r="BD29" s="668"/>
      <c r="BE29" s="668"/>
      <c r="BF29" s="668"/>
      <c r="BG29" s="668"/>
      <c r="BH29" s="668"/>
      <c r="BI29" s="668"/>
      <c r="BJ29" s="668"/>
      <c r="BK29" s="668"/>
      <c r="BL29" s="668"/>
      <c r="BM29" s="668"/>
    </row>
    <row r="30" spans="1:66" ht="14.7" customHeight="1" x14ac:dyDescent="0.3">
      <c r="E30" s="231" t="s">
        <v>254</v>
      </c>
      <c r="N30" s="231"/>
      <c r="O30" s="231"/>
      <c r="P30" s="231"/>
      <c r="Q30" s="231">
        <v>32.5</v>
      </c>
      <c r="R30" s="231">
        <v>32.5</v>
      </c>
      <c r="S30" s="231">
        <v>32.5</v>
      </c>
      <c r="T30" s="231">
        <v>32.5</v>
      </c>
      <c r="U30" s="231">
        <v>32.5</v>
      </c>
      <c r="V30" s="231">
        <v>32.5</v>
      </c>
      <c r="W30" s="231">
        <v>32.5</v>
      </c>
      <c r="X30" s="231">
        <v>22.5</v>
      </c>
      <c r="Y30" s="231">
        <v>25.5</v>
      </c>
      <c r="Z30" s="231">
        <v>25.5</v>
      </c>
      <c r="AA30" s="231">
        <v>25.5</v>
      </c>
      <c r="AB30" s="231">
        <v>21.5</v>
      </c>
      <c r="AC30" s="231">
        <v>17.5</v>
      </c>
      <c r="AD30" s="231">
        <v>31.5</v>
      </c>
      <c r="AE30" s="231">
        <v>28.5</v>
      </c>
      <c r="AF30" s="231">
        <v>35.5</v>
      </c>
      <c r="AG30" s="231">
        <v>26.5</v>
      </c>
      <c r="AH30" s="231">
        <v>31.5</v>
      </c>
      <c r="AI30" s="231">
        <v>29</v>
      </c>
      <c r="AJ30" s="231">
        <v>27</v>
      </c>
      <c r="AK30" s="231">
        <v>33.5</v>
      </c>
      <c r="AL30" s="231">
        <v>30.5</v>
      </c>
      <c r="AM30" s="231">
        <v>31.5</v>
      </c>
      <c r="AN30" s="231">
        <v>27.5</v>
      </c>
      <c r="AO30" s="231">
        <v>27.5</v>
      </c>
      <c r="AP30" s="231">
        <v>28.5</v>
      </c>
      <c r="AQ30" s="231">
        <v>26.5</v>
      </c>
      <c r="AR30" s="231">
        <v>26.5</v>
      </c>
      <c r="AS30" s="231">
        <v>26.5</v>
      </c>
      <c r="AT30" s="231">
        <v>25.5</v>
      </c>
      <c r="AU30" s="231">
        <v>22.5</v>
      </c>
      <c r="AV30" s="231">
        <v>28.5</v>
      </c>
      <c r="AW30" s="231">
        <v>20.5</v>
      </c>
      <c r="AX30" s="231">
        <v>24.5</v>
      </c>
      <c r="AY30" s="231">
        <v>25.5</v>
      </c>
      <c r="AZ30" s="231">
        <v>24.5</v>
      </c>
      <c r="BA30" s="231">
        <v>26</v>
      </c>
      <c r="BB30" s="231">
        <v>22</v>
      </c>
      <c r="BC30" s="231"/>
      <c r="BD30" s="231"/>
      <c r="BE30" s="231"/>
      <c r="BF30" s="231"/>
      <c r="BG30" s="231"/>
      <c r="BH30" s="231"/>
      <c r="BI30" s="231"/>
      <c r="BJ30" s="231"/>
      <c r="BK30" s="231"/>
      <c r="BL30" s="231"/>
      <c r="BM30" s="231"/>
    </row>
    <row r="31" spans="1:66" ht="14.7" customHeight="1" x14ac:dyDescent="0.3">
      <c r="E31" s="232" t="s">
        <v>255</v>
      </c>
      <c r="N31" s="232"/>
      <c r="O31" s="232"/>
      <c r="P31" s="232"/>
      <c r="Q31" s="233">
        <f>IFERROR(+Q29/Q30,"")</f>
        <v>20307.692307692309</v>
      </c>
      <c r="R31" s="233">
        <f t="shared" ref="R31:BM31" si="17">IFERROR(+R29/R30,"")</f>
        <v>35486.092307692306</v>
      </c>
      <c r="S31" s="233">
        <f t="shared" si="17"/>
        <v>20628.923076923078</v>
      </c>
      <c r="T31" s="233">
        <f t="shared" si="17"/>
        <v>26017.323076923076</v>
      </c>
      <c r="U31" s="233">
        <f t="shared" si="17"/>
        <v>40386.461538461539</v>
      </c>
      <c r="V31" s="233">
        <f t="shared" si="17"/>
        <v>30795.353846153845</v>
      </c>
      <c r="W31" s="233">
        <f t="shared" si="17"/>
        <v>20847.630769230771</v>
      </c>
      <c r="X31" s="233">
        <f t="shared" si="17"/>
        <v>42677.955555555556</v>
      </c>
      <c r="Y31" s="233">
        <f t="shared" si="17"/>
        <v>30273.49019607843</v>
      </c>
      <c r="Z31" s="233">
        <f t="shared" si="17"/>
        <v>31222.588235294119</v>
      </c>
      <c r="AA31" s="233">
        <f t="shared" si="17"/>
        <v>36625.647058823532</v>
      </c>
      <c r="AB31" s="233">
        <f t="shared" si="17"/>
        <v>19794.697674418603</v>
      </c>
      <c r="AC31" s="233">
        <f t="shared" si="17"/>
        <v>34524.514285714286</v>
      </c>
      <c r="AD31" s="233">
        <f t="shared" si="17"/>
        <v>35695.047619047618</v>
      </c>
      <c r="AE31" s="233">
        <f t="shared" si="17"/>
        <v>22016.771929824561</v>
      </c>
      <c r="AF31" s="233">
        <f t="shared" si="17"/>
        <v>20671.436619718308</v>
      </c>
      <c r="AG31" s="233">
        <f t="shared" si="17"/>
        <v>50235.698113207545</v>
      </c>
      <c r="AH31" s="233">
        <f t="shared" si="17"/>
        <v>34963.111111111109</v>
      </c>
      <c r="AI31" s="233">
        <f t="shared" si="17"/>
        <v>38191.827586206899</v>
      </c>
      <c r="AJ31" s="233">
        <f t="shared" si="17"/>
        <v>28440.111111111109</v>
      </c>
      <c r="AK31" s="233">
        <f t="shared" si="17"/>
        <v>23454.089552238805</v>
      </c>
      <c r="AL31" s="233">
        <f t="shared" si="17"/>
        <v>31272.426229508197</v>
      </c>
      <c r="AM31" s="233">
        <f t="shared" si="17"/>
        <v>39919.30158730159</v>
      </c>
      <c r="AN31" s="233">
        <f t="shared" si="17"/>
        <v>25957.709090909091</v>
      </c>
      <c r="AO31" s="233">
        <f t="shared" si="17"/>
        <v>41206.181818181816</v>
      </c>
      <c r="AP31" s="233">
        <f t="shared" si="17"/>
        <v>32732.035087719298</v>
      </c>
      <c r="AQ31" s="233">
        <f t="shared" si="17"/>
        <v>23180.867924528302</v>
      </c>
      <c r="AR31" s="233">
        <f t="shared" si="17"/>
        <v>46388.301886792455</v>
      </c>
      <c r="AS31" s="233">
        <f t="shared" si="17"/>
        <v>27238.301886792451</v>
      </c>
      <c r="AT31" s="233">
        <f t="shared" si="17"/>
        <v>43550.392156862748</v>
      </c>
      <c r="AU31" s="233">
        <f t="shared" si="17"/>
        <v>27997.733333333334</v>
      </c>
      <c r="AV31" s="233">
        <f t="shared" si="17"/>
        <v>23448.385964912282</v>
      </c>
      <c r="AW31" s="233">
        <f t="shared" si="17"/>
        <v>28980.878048780487</v>
      </c>
      <c r="AX31" s="233">
        <f t="shared" si="17"/>
        <v>40351.795918367345</v>
      </c>
      <c r="AY31" s="233">
        <f t="shared" si="17"/>
        <v>22900.470588235294</v>
      </c>
      <c r="AZ31" s="233">
        <f t="shared" si="17"/>
        <v>26119.387755102041</v>
      </c>
      <c r="BA31" s="233">
        <f t="shared" si="17"/>
        <v>52323.230769230766</v>
      </c>
      <c r="BB31" s="233">
        <f t="shared" si="17"/>
        <v>43514.86363636364</v>
      </c>
      <c r="BC31" s="233" t="str">
        <f t="shared" si="17"/>
        <v/>
      </c>
      <c r="BD31" s="233" t="str">
        <f t="shared" si="17"/>
        <v/>
      </c>
      <c r="BE31" s="233" t="str">
        <f t="shared" si="17"/>
        <v/>
      </c>
      <c r="BF31" s="233" t="str">
        <f t="shared" si="17"/>
        <v/>
      </c>
      <c r="BG31" s="233" t="str">
        <f t="shared" si="17"/>
        <v/>
      </c>
      <c r="BH31" s="233" t="str">
        <f t="shared" si="17"/>
        <v/>
      </c>
      <c r="BI31" s="233" t="str">
        <f t="shared" si="17"/>
        <v/>
      </c>
      <c r="BJ31" s="233" t="str">
        <f t="shared" si="17"/>
        <v/>
      </c>
      <c r="BK31" s="233" t="str">
        <f t="shared" si="17"/>
        <v/>
      </c>
      <c r="BL31" s="233" t="str">
        <f t="shared" si="17"/>
        <v/>
      </c>
      <c r="BM31" s="233" t="str">
        <f t="shared" si="17"/>
        <v/>
      </c>
      <c r="BN31" s="233" t="e">
        <f t="shared" ref="BN31" si="18">+BN29/BN30</f>
        <v>#DIV/0!</v>
      </c>
    </row>
    <row r="33" spans="2:16" x14ac:dyDescent="0.3">
      <c r="N33" s="2" t="s">
        <v>487</v>
      </c>
      <c r="P33" s="2">
        <v>5</v>
      </c>
    </row>
    <row r="34" spans="2:16" ht="15.6" x14ac:dyDescent="0.3">
      <c r="B34" s="1" t="s">
        <v>0</v>
      </c>
      <c r="C34" s="45" t="s">
        <v>1</v>
      </c>
      <c r="N34" s="2" t="s">
        <v>488</v>
      </c>
      <c r="P34" s="2">
        <v>5</v>
      </c>
    </row>
    <row r="35" spans="2:16" ht="15.6" x14ac:dyDescent="0.3">
      <c r="B35" s="4" t="s">
        <v>2</v>
      </c>
      <c r="C35" s="45" t="s">
        <v>3</v>
      </c>
      <c r="N35" s="2" t="s">
        <v>489</v>
      </c>
      <c r="P35" s="2">
        <v>5</v>
      </c>
    </row>
    <row r="36" spans="2:16" ht="15.6" x14ac:dyDescent="0.3">
      <c r="B36" s="5" t="s">
        <v>4</v>
      </c>
      <c r="C36" s="45" t="s">
        <v>5</v>
      </c>
      <c r="N36" s="2" t="s">
        <v>490</v>
      </c>
      <c r="P36" s="2">
        <v>5</v>
      </c>
    </row>
    <row r="37" spans="2:16" x14ac:dyDescent="0.3">
      <c r="B37" s="340" t="s">
        <v>35</v>
      </c>
      <c r="C37" s="13" t="s">
        <v>376</v>
      </c>
      <c r="N37" s="2" t="s">
        <v>491</v>
      </c>
      <c r="P37" s="2">
        <v>1.5</v>
      </c>
    </row>
    <row r="38" spans="2:16" x14ac:dyDescent="0.3">
      <c r="B38" s="341" t="s">
        <v>122</v>
      </c>
      <c r="C38" s="13" t="s">
        <v>377</v>
      </c>
      <c r="N38" s="2" t="s">
        <v>492</v>
      </c>
      <c r="P38" s="2">
        <v>4</v>
      </c>
    </row>
    <row r="39" spans="2:16" x14ac:dyDescent="0.3">
      <c r="N39" s="2" t="s">
        <v>493</v>
      </c>
      <c r="P39" s="2">
        <v>5</v>
      </c>
    </row>
    <row r="40" spans="2:16" x14ac:dyDescent="0.3">
      <c r="P40" s="2">
        <f>SUM(P33:P39)</f>
        <v>30.5</v>
      </c>
    </row>
    <row r="41" spans="2:16" x14ac:dyDescent="0.3">
      <c r="N41" s="2" t="s">
        <v>494</v>
      </c>
    </row>
  </sheetData>
  <mergeCells count="32">
    <mergeCell ref="B17:B19"/>
    <mergeCell ref="C17:C19"/>
    <mergeCell ref="D17:D19"/>
    <mergeCell ref="G17:G19"/>
    <mergeCell ref="E20:E22"/>
    <mergeCell ref="F20:F22"/>
    <mergeCell ref="B20:B22"/>
    <mergeCell ref="C20:C22"/>
    <mergeCell ref="D20:D22"/>
    <mergeCell ref="G20:G22"/>
    <mergeCell ref="E17:E19"/>
    <mergeCell ref="F17:F19"/>
    <mergeCell ref="C6:D6"/>
    <mergeCell ref="G6:G7"/>
    <mergeCell ref="B8:B10"/>
    <mergeCell ref="C8:C10"/>
    <mergeCell ref="D8:D10"/>
    <mergeCell ref="G8:G10"/>
    <mergeCell ref="B11:B13"/>
    <mergeCell ref="C11:C13"/>
    <mergeCell ref="D11:D13"/>
    <mergeCell ref="G11:G13"/>
    <mergeCell ref="E8:E10"/>
    <mergeCell ref="F8:F10"/>
    <mergeCell ref="E11:E13"/>
    <mergeCell ref="F11:F13"/>
    <mergeCell ref="G14:G16"/>
    <mergeCell ref="B14:B16"/>
    <mergeCell ref="C14:C16"/>
    <mergeCell ref="D14:D16"/>
    <mergeCell ref="E14:E16"/>
    <mergeCell ref="F14:F16"/>
  </mergeCells>
  <conditionalFormatting sqref="B38">
    <cfRule type="cellIs" dxfId="454" priority="26" operator="equal">
      <formula>"TBC"</formula>
    </cfRule>
    <cfRule type="cellIs" dxfId="453" priority="27" operator="equal">
      <formula>"OD"</formula>
    </cfRule>
    <cfRule type="cellIs" dxfId="452" priority="28" operator="equal">
      <formula>"G"</formula>
    </cfRule>
    <cfRule type="cellIs" dxfId="451" priority="29" operator="equal">
      <formula>"A"</formula>
    </cfRule>
    <cfRule type="cellIs" dxfId="450" priority="30" operator="equal">
      <formula>"R"</formula>
    </cfRule>
  </conditionalFormatting>
  <conditionalFormatting sqref="I10:BM10">
    <cfRule type="cellIs" dxfId="449" priority="21" operator="equal">
      <formula>"OD"</formula>
    </cfRule>
    <cfRule type="cellIs" dxfId="448" priority="22" operator="equal">
      <formula>"TBC"</formula>
    </cfRule>
    <cfRule type="cellIs" dxfId="447" priority="23" operator="equal">
      <formula>"G"</formula>
    </cfRule>
    <cfRule type="cellIs" dxfId="446" priority="24" operator="equal">
      <formula>"A"</formula>
    </cfRule>
    <cfRule type="cellIs" dxfId="445" priority="25" operator="equal">
      <formula>"R"</formula>
    </cfRule>
  </conditionalFormatting>
  <conditionalFormatting sqref="I13:BM13">
    <cfRule type="cellIs" dxfId="444" priority="16" operator="equal">
      <formula>"OD"</formula>
    </cfRule>
    <cfRule type="cellIs" dxfId="443" priority="17" operator="equal">
      <formula>"TBC"</formula>
    </cfRule>
    <cfRule type="cellIs" dxfId="442" priority="18" operator="equal">
      <formula>"G"</formula>
    </cfRule>
    <cfRule type="cellIs" dxfId="441" priority="20" operator="equal">
      <formula>"R"</formula>
    </cfRule>
  </conditionalFormatting>
  <conditionalFormatting sqref="I16:BM16">
    <cfRule type="cellIs" dxfId="440" priority="11" operator="equal">
      <formula>"OD"</formula>
    </cfRule>
    <cfRule type="cellIs" dxfId="439" priority="12" operator="equal">
      <formula>"TBC"</formula>
    </cfRule>
    <cfRule type="cellIs" dxfId="438" priority="13" operator="equal">
      <formula>"G"</formula>
    </cfRule>
    <cfRule type="cellIs" dxfId="437" priority="15" operator="equal">
      <formula>"R"</formula>
    </cfRule>
  </conditionalFormatting>
  <conditionalFormatting sqref="I19:BM19">
    <cfRule type="cellIs" dxfId="436" priority="1" operator="equal">
      <formula>"OD"</formula>
    </cfRule>
    <cfRule type="cellIs" dxfId="435" priority="2" operator="equal">
      <formula>"TBC"</formula>
    </cfRule>
    <cfRule type="cellIs" dxfId="434" priority="3" operator="equal">
      <formula>"G"</formula>
    </cfRule>
    <cfRule type="cellIs" dxfId="433" priority="4" operator="equal">
      <formula>"A"</formula>
    </cfRule>
    <cfRule type="cellIs" dxfId="432" priority="5" operator="equal">
      <formula>"R"</formula>
    </cfRule>
  </conditionalFormatting>
  <conditionalFormatting sqref="I22:BM22">
    <cfRule type="cellIs" dxfId="431" priority="6" operator="equal">
      <formula>"OD"</formula>
    </cfRule>
    <cfRule type="cellIs" dxfId="430" priority="7" operator="equal">
      <formula>"TBC"</formula>
    </cfRule>
    <cfRule type="cellIs" dxfId="429" priority="8" operator="equal">
      <formula>"G"</formula>
    </cfRule>
    <cfRule type="cellIs" dxfId="428" priority="9" operator="equal">
      <formula>"A"</formula>
    </cfRule>
    <cfRule type="cellIs" dxfId="427" priority="10" operator="equal">
      <formula>"R"</formula>
    </cfRule>
  </conditionalFormatting>
  <conditionalFormatting sqref="I13:BO13">
    <cfRule type="cellIs" dxfId="426" priority="19" operator="equal">
      <formula>"A"</formula>
    </cfRule>
  </conditionalFormatting>
  <conditionalFormatting sqref="I16:BO16">
    <cfRule type="cellIs" dxfId="425" priority="14" operator="equal">
      <formula>"A"</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1520F-B44E-4A76-9C80-EF3F36245476}">
  <sheetPr>
    <tabColor rgb="FF00B050"/>
  </sheetPr>
  <dimension ref="B1:BN31"/>
  <sheetViews>
    <sheetView zoomScale="85" zoomScaleNormal="85" workbookViewId="0">
      <pane xSplit="8" ySplit="7" topLeftCell="AV8" activePane="bottomRight" state="frozen"/>
      <selection pane="topRight" activeCell="I1" sqref="I1"/>
      <selection pane="bottomLeft" activeCell="A8" sqref="A8"/>
      <selection pane="bottomRight" activeCell="BA26" sqref="BA26"/>
    </sheetView>
  </sheetViews>
  <sheetFormatPr defaultColWidth="9.33203125" defaultRowHeight="14.4" x14ac:dyDescent="0.3"/>
  <cols>
    <col min="1" max="1" width="3" style="2" customWidth="1"/>
    <col min="2" max="2" width="18" style="2" customWidth="1"/>
    <col min="3" max="3" width="16.5546875" style="13" bestFit="1" customWidth="1"/>
    <col min="4" max="4" width="25.33203125" style="2" customWidth="1"/>
    <col min="5" max="6" width="12.88671875" style="2" customWidth="1"/>
    <col min="7" max="7" width="31.33203125" style="2" customWidth="1"/>
    <col min="8" max="8" width="9.44140625" style="2" bestFit="1" customWidth="1"/>
    <col min="9" max="12" width="4" style="2" bestFit="1" customWidth="1"/>
    <col min="13" max="39" width="8.88671875" style="2" customWidth="1"/>
    <col min="40" max="40" width="10" style="2" bestFit="1" customWidth="1"/>
    <col min="41" max="65" width="8.88671875" style="2" customWidth="1"/>
    <col min="66" max="66" width="7.6640625" style="2" hidden="1"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8.600000000000001" thickBot="1" x14ac:dyDescent="0.35">
      <c r="B1" s="14" t="s">
        <v>121</v>
      </c>
      <c r="C1" s="10" t="s">
        <v>20</v>
      </c>
      <c r="AE1" s="395" t="s">
        <v>659</v>
      </c>
      <c r="AF1" s="395"/>
      <c r="AG1" s="395"/>
      <c r="AH1" s="395"/>
      <c r="AI1" s="395"/>
      <c r="AJ1" s="395"/>
    </row>
    <row r="2" spans="2:66" ht="15" thickBot="1" x14ac:dyDescent="0.35">
      <c r="D2" s="119" t="s">
        <v>123</v>
      </c>
      <c r="E2" s="346">
        <v>42</v>
      </c>
      <c r="F2" s="2" t="s">
        <v>248</v>
      </c>
      <c r="AE2" s="2" t="s">
        <v>660</v>
      </c>
    </row>
    <row r="3" spans="2:66" ht="15" thickBot="1" x14ac:dyDescent="0.35">
      <c r="B3" s="2" t="s">
        <v>384</v>
      </c>
      <c r="D3" s="120" t="s">
        <v>193</v>
      </c>
      <c r="E3" s="120">
        <f>+'KPI Analysis'!D3</f>
        <v>42</v>
      </c>
      <c r="AE3" s="2" t="s">
        <v>661</v>
      </c>
    </row>
    <row r="4" spans="2:66" ht="15.6"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5" thickBot="1" x14ac:dyDescent="0.35">
      <c r="AB5" s="2" t="s">
        <v>662</v>
      </c>
      <c r="AE5" s="395">
        <v>35</v>
      </c>
      <c r="AF5" s="395">
        <v>40</v>
      </c>
      <c r="AI5" s="395">
        <v>34</v>
      </c>
    </row>
    <row r="6" spans="2:66" ht="18" x14ac:dyDescent="0.3">
      <c r="B6" s="14" t="s">
        <v>79</v>
      </c>
      <c r="C6" s="926" t="s">
        <v>132</v>
      </c>
      <c r="D6" s="927"/>
      <c r="E6" s="106"/>
      <c r="F6" s="106"/>
      <c r="G6" s="928" t="s">
        <v>37</v>
      </c>
      <c r="H6" s="15" t="s">
        <v>7</v>
      </c>
      <c r="I6" s="48">
        <f>J6-1</f>
        <v>49</v>
      </c>
      <c r="J6" s="82">
        <f>K6-1</f>
        <v>50</v>
      </c>
      <c r="K6" s="82">
        <f>L6-1</f>
        <v>51</v>
      </c>
      <c r="L6" s="83">
        <v>52</v>
      </c>
      <c r="M6" s="48">
        <v>1</v>
      </c>
      <c r="N6" s="84">
        <f t="shared" ref="N6:BM6" si="1">M6+1</f>
        <v>2</v>
      </c>
      <c r="O6" s="49">
        <f t="shared" si="1"/>
        <v>3</v>
      </c>
      <c r="P6" s="49">
        <f t="shared" si="1"/>
        <v>4</v>
      </c>
      <c r="Q6" s="126">
        <f t="shared" si="1"/>
        <v>5</v>
      </c>
      <c r="R6" s="18">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40.200000000000003" customHeight="1" x14ac:dyDescent="0.3">
      <c r="B7" s="14" t="s">
        <v>38</v>
      </c>
      <c r="C7" s="21" t="s">
        <v>39</v>
      </c>
      <c r="D7" s="21" t="s">
        <v>40</v>
      </c>
      <c r="E7" s="21" t="s">
        <v>140</v>
      </c>
      <c r="F7" s="21" t="s">
        <v>159</v>
      </c>
      <c r="G7" s="929"/>
      <c r="H7" s="15" t="s">
        <v>41</v>
      </c>
      <c r="I7" s="50">
        <f t="shared" ref="I7:K7" si="2">J7-7</f>
        <v>45632</v>
      </c>
      <c r="J7" s="25">
        <f t="shared" si="2"/>
        <v>45639</v>
      </c>
      <c r="K7" s="25">
        <f t="shared" si="2"/>
        <v>45646</v>
      </c>
      <c r="L7" s="85">
        <f>M7-7</f>
        <v>45653</v>
      </c>
      <c r="M7" s="50">
        <v>45660</v>
      </c>
      <c r="N7" s="61">
        <f t="shared" ref="N7:BM7" si="3">M7+7</f>
        <v>45667</v>
      </c>
      <c r="O7" s="25">
        <f t="shared" si="3"/>
        <v>45674</v>
      </c>
      <c r="P7" s="25">
        <f t="shared" si="3"/>
        <v>45681</v>
      </c>
      <c r="Q7" s="85">
        <f t="shared" si="3"/>
        <v>45688</v>
      </c>
      <c r="R7" s="24">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24" customHeight="1" x14ac:dyDescent="0.3">
      <c r="B8" s="920" t="s">
        <v>30</v>
      </c>
      <c r="C8" s="922" t="s">
        <v>75</v>
      </c>
      <c r="D8" s="922" t="s">
        <v>76</v>
      </c>
      <c r="E8" s="922" t="s">
        <v>142</v>
      </c>
      <c r="F8" s="922" t="s">
        <v>154</v>
      </c>
      <c r="G8" s="941" t="s">
        <v>461</v>
      </c>
      <c r="H8" s="63" t="s">
        <v>44</v>
      </c>
      <c r="I8" s="64">
        <v>35</v>
      </c>
      <c r="J8" s="65">
        <v>35</v>
      </c>
      <c r="K8" s="65"/>
      <c r="L8" s="86"/>
      <c r="M8" s="64"/>
      <c r="N8" s="65">
        <v>35</v>
      </c>
      <c r="O8" s="65">
        <v>35</v>
      </c>
      <c r="P8" s="65">
        <v>35</v>
      </c>
      <c r="Q8" s="86">
        <v>35</v>
      </c>
      <c r="R8" s="65">
        <v>35</v>
      </c>
      <c r="S8" s="65">
        <v>35</v>
      </c>
      <c r="T8" s="65">
        <v>35</v>
      </c>
      <c r="U8" s="65">
        <v>35</v>
      </c>
      <c r="V8" s="67">
        <v>35</v>
      </c>
      <c r="W8" s="65">
        <v>35</v>
      </c>
      <c r="X8" s="67">
        <v>35</v>
      </c>
      <c r="Y8" s="67">
        <v>35</v>
      </c>
      <c r="Z8" s="67">
        <v>35</v>
      </c>
      <c r="AA8" s="67">
        <v>35</v>
      </c>
      <c r="AB8" s="67">
        <v>35</v>
      </c>
      <c r="AC8" s="67">
        <v>35</v>
      </c>
      <c r="AD8" s="67">
        <v>35</v>
      </c>
      <c r="AE8" s="67">
        <v>35</v>
      </c>
      <c r="AF8" s="67">
        <v>35</v>
      </c>
      <c r="AG8" s="67">
        <v>35</v>
      </c>
      <c r="AH8" s="67">
        <v>35</v>
      </c>
      <c r="AI8" s="67">
        <v>35</v>
      </c>
      <c r="AJ8" s="67">
        <f>IF(AJ$6&gt;$E$3,"",35)</f>
        <v>35</v>
      </c>
      <c r="AK8" s="67">
        <f t="shared" ref="AK8:BM8" si="4">IF(AK$6&gt;$E$3,"",35)</f>
        <v>35</v>
      </c>
      <c r="AL8" s="67">
        <f t="shared" si="4"/>
        <v>35</v>
      </c>
      <c r="AM8" s="67">
        <f t="shared" si="4"/>
        <v>35</v>
      </c>
      <c r="AN8" s="67">
        <f t="shared" si="4"/>
        <v>35</v>
      </c>
      <c r="AO8" s="67">
        <f t="shared" si="4"/>
        <v>35</v>
      </c>
      <c r="AP8" s="67">
        <f t="shared" si="4"/>
        <v>35</v>
      </c>
      <c r="AQ8" s="67">
        <f t="shared" si="4"/>
        <v>35</v>
      </c>
      <c r="AR8" s="67">
        <f t="shared" si="4"/>
        <v>35</v>
      </c>
      <c r="AS8" s="67">
        <f t="shared" si="4"/>
        <v>35</v>
      </c>
      <c r="AT8" s="67">
        <f t="shared" si="4"/>
        <v>35</v>
      </c>
      <c r="AU8" s="67">
        <f t="shared" si="4"/>
        <v>35</v>
      </c>
      <c r="AV8" s="67">
        <f t="shared" si="4"/>
        <v>35</v>
      </c>
      <c r="AW8" s="67">
        <f t="shared" si="4"/>
        <v>35</v>
      </c>
      <c r="AX8" s="67">
        <f t="shared" si="4"/>
        <v>35</v>
      </c>
      <c r="AY8" s="67">
        <f t="shared" si="4"/>
        <v>35</v>
      </c>
      <c r="AZ8" s="67">
        <f t="shared" si="4"/>
        <v>35</v>
      </c>
      <c r="BA8" s="67">
        <f t="shared" si="4"/>
        <v>35</v>
      </c>
      <c r="BB8" s="67">
        <f t="shared" si="4"/>
        <v>35</v>
      </c>
      <c r="BC8" s="67" t="str">
        <f t="shared" si="4"/>
        <v/>
      </c>
      <c r="BD8" s="67" t="str">
        <f t="shared" si="4"/>
        <v/>
      </c>
      <c r="BE8" s="67" t="str">
        <f t="shared" si="4"/>
        <v/>
      </c>
      <c r="BF8" s="67" t="str">
        <f t="shared" si="4"/>
        <v/>
      </c>
      <c r="BG8" s="67" t="str">
        <f t="shared" si="4"/>
        <v/>
      </c>
      <c r="BH8" s="67" t="str">
        <f t="shared" si="4"/>
        <v/>
      </c>
      <c r="BI8" s="67" t="str">
        <f t="shared" si="4"/>
        <v/>
      </c>
      <c r="BJ8" s="67" t="str">
        <f t="shared" si="4"/>
        <v/>
      </c>
      <c r="BK8" s="67" t="str">
        <f t="shared" si="4"/>
        <v/>
      </c>
      <c r="BL8" s="67" t="str">
        <f t="shared" si="4"/>
        <v/>
      </c>
      <c r="BM8" s="67" t="str">
        <f t="shared" si="4"/>
        <v/>
      </c>
      <c r="BN8" s="32"/>
    </row>
    <row r="9" spans="2:66" ht="24" customHeight="1" x14ac:dyDescent="0.3">
      <c r="B9" s="920"/>
      <c r="C9" s="921"/>
      <c r="D9" s="921"/>
      <c r="E9" s="921"/>
      <c r="F9" s="921"/>
      <c r="G9" s="942"/>
      <c r="H9" s="33" t="s">
        <v>45</v>
      </c>
      <c r="I9" s="34">
        <v>27</v>
      </c>
      <c r="J9" s="36">
        <v>36</v>
      </c>
      <c r="K9" s="36"/>
      <c r="L9" s="87"/>
      <c r="M9" s="34" t="s">
        <v>122</v>
      </c>
      <c r="N9" s="36">
        <v>33</v>
      </c>
      <c r="O9" s="35">
        <v>30</v>
      </c>
      <c r="P9" s="35">
        <v>33</v>
      </c>
      <c r="Q9" s="37">
        <v>36</v>
      </c>
      <c r="R9" s="36">
        <v>36</v>
      </c>
      <c r="S9" s="35">
        <v>38</v>
      </c>
      <c r="T9" s="35">
        <v>32</v>
      </c>
      <c r="U9" s="35">
        <v>31</v>
      </c>
      <c r="V9" s="35">
        <v>25</v>
      </c>
      <c r="W9" s="35">
        <v>38</v>
      </c>
      <c r="X9" s="35">
        <v>33</v>
      </c>
      <c r="Y9" s="35">
        <v>37</v>
      </c>
      <c r="Z9" s="35">
        <v>35</v>
      </c>
      <c r="AA9" s="35">
        <v>35</v>
      </c>
      <c r="AB9" s="35">
        <v>21</v>
      </c>
      <c r="AC9" s="35">
        <v>16</v>
      </c>
      <c r="AD9" s="35">
        <v>33</v>
      </c>
      <c r="AE9" s="35">
        <v>34</v>
      </c>
      <c r="AF9" s="35">
        <v>37</v>
      </c>
      <c r="AG9" s="35">
        <v>36</v>
      </c>
      <c r="AH9" s="35">
        <v>20</v>
      </c>
      <c r="AI9" s="35">
        <v>33</v>
      </c>
      <c r="AJ9" s="35">
        <v>24</v>
      </c>
      <c r="AK9" s="35">
        <v>22</v>
      </c>
      <c r="AL9" s="738">
        <v>38</v>
      </c>
      <c r="AM9" s="738">
        <v>40</v>
      </c>
      <c r="AN9" s="738">
        <v>29</v>
      </c>
      <c r="AO9" s="738">
        <v>25</v>
      </c>
      <c r="AP9" s="738">
        <v>41</v>
      </c>
      <c r="AQ9" s="738">
        <v>32</v>
      </c>
      <c r="AR9" s="738">
        <v>33</v>
      </c>
      <c r="AS9" s="35">
        <v>11</v>
      </c>
      <c r="AT9" s="35">
        <v>8</v>
      </c>
      <c r="AU9" s="35">
        <v>61</v>
      </c>
      <c r="AV9" s="35">
        <v>14</v>
      </c>
      <c r="AW9" s="35">
        <v>28</v>
      </c>
      <c r="AX9" s="35">
        <v>25</v>
      </c>
      <c r="AY9" s="35">
        <v>22</v>
      </c>
      <c r="AZ9" s="35">
        <v>26</v>
      </c>
      <c r="BA9" s="35">
        <v>27</v>
      </c>
      <c r="BB9" s="35">
        <v>24</v>
      </c>
      <c r="BC9" s="35"/>
      <c r="BD9" s="35"/>
      <c r="BE9" s="35"/>
      <c r="BF9" s="35"/>
      <c r="BG9" s="35"/>
      <c r="BH9" s="35"/>
      <c r="BI9" s="35"/>
      <c r="BJ9" s="35"/>
      <c r="BK9" s="35"/>
      <c r="BL9" s="35"/>
      <c r="BM9" s="35"/>
      <c r="BN9" s="37"/>
    </row>
    <row r="10" spans="2:66" ht="40.5" customHeight="1" x14ac:dyDescent="0.3">
      <c r="B10" s="920"/>
      <c r="C10" s="921"/>
      <c r="D10" s="921"/>
      <c r="E10" s="921"/>
      <c r="F10" s="921"/>
      <c r="G10" s="943"/>
      <c r="H10" s="38" t="s">
        <v>46</v>
      </c>
      <c r="I10" s="88">
        <v>-8</v>
      </c>
      <c r="J10" s="89">
        <v>1</v>
      </c>
      <c r="K10" s="41" t="str">
        <f t="shared" ref="K10:L10" si="5">IF(K9="","",IF((K9-K8)&gt;=0,"G",IF((K9/K8&lt;=0.9),"R","A")))</f>
        <v/>
      </c>
      <c r="L10" s="90" t="str">
        <f t="shared" si="5"/>
        <v/>
      </c>
      <c r="M10" s="40" t="str">
        <f>IF(M$6&gt;$E$3,"",IF(M9="","OD",IF(M9="Blank","Blank",IF(M9="TBC","TBC",IF(M9="Undefined","Undefined",IF(M9="Missed","Missed",IF(M9="OD","OD",IF(M$4="OD","OD",IF((M9-M8)&gt;=0,"G",IF((M9-(M8*0.95))&gt;=0,"A","R"))))))))))</f>
        <v>Blank</v>
      </c>
      <c r="N10" s="40" t="str">
        <f t="shared" ref="N10:BM10" si="6">IF(N$6&gt;$E$3,"",IF(N9="","OD",IF(N9="Blank","Blank",IF(N9="TBC","TBC",IF(N9="Undefined","Undefined",IF(N9="Missed","Missed",IF(N9="OD","OD",IF(N$4="OD","OD",IF((N9-N8)&gt;=0,"G",IF((N9-(N8*0.95))&gt;=0,"A","R"))))))))))</f>
        <v>R</v>
      </c>
      <c r="O10" s="40" t="str">
        <f t="shared" si="6"/>
        <v>R</v>
      </c>
      <c r="P10" s="40" t="str">
        <f t="shared" si="6"/>
        <v>R</v>
      </c>
      <c r="Q10" s="40" t="str">
        <f t="shared" si="6"/>
        <v>G</v>
      </c>
      <c r="R10" s="40" t="str">
        <f t="shared" si="6"/>
        <v>G</v>
      </c>
      <c r="S10" s="40" t="str">
        <f t="shared" si="6"/>
        <v>G</v>
      </c>
      <c r="T10" s="40" t="str">
        <f t="shared" si="6"/>
        <v>R</v>
      </c>
      <c r="U10" s="40" t="str">
        <f t="shared" si="6"/>
        <v>R</v>
      </c>
      <c r="V10" s="40" t="str">
        <f t="shared" si="6"/>
        <v>R</v>
      </c>
      <c r="W10" s="40" t="str">
        <f t="shared" si="6"/>
        <v>G</v>
      </c>
      <c r="X10" s="40" t="str">
        <f t="shared" si="6"/>
        <v>R</v>
      </c>
      <c r="Y10" s="40" t="str">
        <f t="shared" si="6"/>
        <v>G</v>
      </c>
      <c r="Z10" s="40" t="str">
        <f t="shared" si="6"/>
        <v>G</v>
      </c>
      <c r="AA10" s="40" t="str">
        <f t="shared" si="6"/>
        <v>G</v>
      </c>
      <c r="AB10" s="40" t="str">
        <f t="shared" si="6"/>
        <v>R</v>
      </c>
      <c r="AC10" s="40" t="str">
        <f t="shared" si="6"/>
        <v>R</v>
      </c>
      <c r="AD10" s="40" t="str">
        <f t="shared" si="6"/>
        <v>R</v>
      </c>
      <c r="AE10" s="40" t="str">
        <f t="shared" si="6"/>
        <v>A</v>
      </c>
      <c r="AF10" s="40" t="str">
        <f t="shared" si="6"/>
        <v>G</v>
      </c>
      <c r="AG10" s="40" t="str">
        <f t="shared" si="6"/>
        <v>G</v>
      </c>
      <c r="AH10" s="40" t="str">
        <f t="shared" si="6"/>
        <v>R</v>
      </c>
      <c r="AI10" s="40" t="str">
        <f t="shared" si="6"/>
        <v>R</v>
      </c>
      <c r="AJ10" s="40" t="str">
        <f t="shared" si="6"/>
        <v>R</v>
      </c>
      <c r="AK10" s="40" t="str">
        <f t="shared" si="6"/>
        <v>R</v>
      </c>
      <c r="AL10" s="40" t="str">
        <f t="shared" si="6"/>
        <v>G</v>
      </c>
      <c r="AM10" s="40" t="str">
        <f t="shared" si="6"/>
        <v>G</v>
      </c>
      <c r="AN10" s="40" t="str">
        <f t="shared" si="6"/>
        <v>R</v>
      </c>
      <c r="AO10" s="40" t="str">
        <f t="shared" si="6"/>
        <v>R</v>
      </c>
      <c r="AP10" s="40" t="str">
        <f t="shared" si="6"/>
        <v>G</v>
      </c>
      <c r="AQ10" s="40" t="str">
        <f t="shared" si="6"/>
        <v>R</v>
      </c>
      <c r="AR10" s="40" t="str">
        <f t="shared" si="6"/>
        <v>R</v>
      </c>
      <c r="AS10" s="40" t="str">
        <f t="shared" si="6"/>
        <v>R</v>
      </c>
      <c r="AT10" s="40" t="str">
        <f t="shared" si="6"/>
        <v>R</v>
      </c>
      <c r="AU10" s="40" t="str">
        <f t="shared" si="6"/>
        <v>G</v>
      </c>
      <c r="AV10" s="40" t="str">
        <f t="shared" si="6"/>
        <v>R</v>
      </c>
      <c r="AW10" s="40" t="str">
        <f t="shared" si="6"/>
        <v>R</v>
      </c>
      <c r="AX10" s="40" t="str">
        <f t="shared" si="6"/>
        <v>R</v>
      </c>
      <c r="AY10" s="40" t="str">
        <f t="shared" si="6"/>
        <v>R</v>
      </c>
      <c r="AZ10" s="40" t="str">
        <f t="shared" si="6"/>
        <v>R</v>
      </c>
      <c r="BA10" s="40" t="str">
        <f t="shared" si="6"/>
        <v>R</v>
      </c>
      <c r="BB10" s="40" t="str">
        <f t="shared" si="6"/>
        <v>R</v>
      </c>
      <c r="BC10" s="40" t="str">
        <f t="shared" si="6"/>
        <v/>
      </c>
      <c r="BD10" s="40" t="str">
        <f t="shared" si="6"/>
        <v/>
      </c>
      <c r="BE10" s="40" t="str">
        <f t="shared" si="6"/>
        <v/>
      </c>
      <c r="BF10" s="40" t="str">
        <f t="shared" si="6"/>
        <v/>
      </c>
      <c r="BG10" s="40" t="str">
        <f t="shared" si="6"/>
        <v/>
      </c>
      <c r="BH10" s="40" t="str">
        <f t="shared" si="6"/>
        <v/>
      </c>
      <c r="BI10" s="40" t="str">
        <f t="shared" si="6"/>
        <v/>
      </c>
      <c r="BJ10" s="40" t="str">
        <f t="shared" si="6"/>
        <v/>
      </c>
      <c r="BK10" s="40" t="str">
        <f t="shared" si="6"/>
        <v/>
      </c>
      <c r="BL10" s="40" t="str">
        <f t="shared" si="6"/>
        <v/>
      </c>
      <c r="BM10" s="40" t="str">
        <f t="shared" si="6"/>
        <v/>
      </c>
      <c r="BN10" s="42"/>
    </row>
    <row r="11" spans="2:66" ht="24" customHeight="1" x14ac:dyDescent="0.3">
      <c r="B11" s="920" t="s">
        <v>33</v>
      </c>
      <c r="C11" s="921" t="s">
        <v>69</v>
      </c>
      <c r="D11" s="921" t="s">
        <v>466</v>
      </c>
      <c r="E11" s="921" t="s">
        <v>144</v>
      </c>
      <c r="F11" s="921" t="s">
        <v>154</v>
      </c>
      <c r="G11" s="938" t="s">
        <v>462</v>
      </c>
      <c r="H11" s="27" t="s">
        <v>44</v>
      </c>
      <c r="I11" s="28">
        <v>100</v>
      </c>
      <c r="J11" s="30">
        <v>100</v>
      </c>
      <c r="K11" s="30"/>
      <c r="L11" s="92"/>
      <c r="M11" s="28"/>
      <c r="N11" s="30">
        <v>100</v>
      </c>
      <c r="O11" s="30">
        <v>100</v>
      </c>
      <c r="P11" s="30">
        <v>100</v>
      </c>
      <c r="Q11" s="31">
        <v>100</v>
      </c>
      <c r="R11" s="30">
        <v>100</v>
      </c>
      <c r="S11" s="30">
        <v>100</v>
      </c>
      <c r="T11" s="30">
        <v>100</v>
      </c>
      <c r="U11" s="30">
        <v>100</v>
      </c>
      <c r="V11" s="29">
        <v>100</v>
      </c>
      <c r="W11" s="30">
        <v>100</v>
      </c>
      <c r="X11" s="29">
        <v>100</v>
      </c>
      <c r="Y11" s="29">
        <v>100</v>
      </c>
      <c r="Z11" s="29">
        <v>100</v>
      </c>
      <c r="AA11" s="29">
        <v>100</v>
      </c>
      <c r="AB11" s="29">
        <v>100</v>
      </c>
      <c r="AC11" s="29">
        <v>100</v>
      </c>
      <c r="AD11" s="29">
        <v>100</v>
      </c>
      <c r="AE11" s="29">
        <v>100</v>
      </c>
      <c r="AF11" s="29">
        <v>100</v>
      </c>
      <c r="AG11" s="29">
        <v>100</v>
      </c>
      <c r="AH11" s="29">
        <v>100</v>
      </c>
      <c r="AI11" s="29">
        <v>100</v>
      </c>
      <c r="AJ11" s="67">
        <f>IF(AJ$6&gt;$E$3,"",100)</f>
        <v>100</v>
      </c>
      <c r="AK11" s="67">
        <f t="shared" ref="AK11:BM11" si="7">IF(AK$6&gt;$E$3,"",100)</f>
        <v>100</v>
      </c>
      <c r="AL11" s="67">
        <f t="shared" si="7"/>
        <v>100</v>
      </c>
      <c r="AM11" s="67">
        <f t="shared" si="7"/>
        <v>100</v>
      </c>
      <c r="AN11" s="67">
        <f t="shared" si="7"/>
        <v>100</v>
      </c>
      <c r="AO11" s="67">
        <f t="shared" si="7"/>
        <v>100</v>
      </c>
      <c r="AP11" s="67">
        <f t="shared" si="7"/>
        <v>100</v>
      </c>
      <c r="AQ11" s="67">
        <f t="shared" si="7"/>
        <v>100</v>
      </c>
      <c r="AR11" s="67">
        <f t="shared" si="7"/>
        <v>100</v>
      </c>
      <c r="AS11" s="67">
        <f t="shared" si="7"/>
        <v>100</v>
      </c>
      <c r="AT11" s="67">
        <f t="shared" si="7"/>
        <v>100</v>
      </c>
      <c r="AU11" s="67">
        <f t="shared" si="7"/>
        <v>100</v>
      </c>
      <c r="AV11" s="67">
        <f t="shared" si="7"/>
        <v>100</v>
      </c>
      <c r="AW11" s="67">
        <f t="shared" si="7"/>
        <v>100</v>
      </c>
      <c r="AX11" s="67">
        <f t="shared" si="7"/>
        <v>100</v>
      </c>
      <c r="AY11" s="67">
        <f t="shared" si="7"/>
        <v>100</v>
      </c>
      <c r="AZ11" s="67">
        <f t="shared" si="7"/>
        <v>100</v>
      </c>
      <c r="BA11" s="67">
        <f t="shared" si="7"/>
        <v>100</v>
      </c>
      <c r="BB11" s="67">
        <f t="shared" si="7"/>
        <v>100</v>
      </c>
      <c r="BC11" s="67" t="str">
        <f t="shared" si="7"/>
        <v/>
      </c>
      <c r="BD11" s="67" t="str">
        <f t="shared" si="7"/>
        <v/>
      </c>
      <c r="BE11" s="67" t="str">
        <f t="shared" si="7"/>
        <v/>
      </c>
      <c r="BF11" s="67" t="str">
        <f t="shared" si="7"/>
        <v/>
      </c>
      <c r="BG11" s="67" t="str">
        <f t="shared" si="7"/>
        <v/>
      </c>
      <c r="BH11" s="67" t="str">
        <f t="shared" si="7"/>
        <v/>
      </c>
      <c r="BI11" s="67" t="str">
        <f t="shared" si="7"/>
        <v/>
      </c>
      <c r="BJ11" s="67" t="str">
        <f t="shared" si="7"/>
        <v/>
      </c>
      <c r="BK11" s="67" t="str">
        <f t="shared" si="7"/>
        <v/>
      </c>
      <c r="BL11" s="67" t="str">
        <f t="shared" si="7"/>
        <v/>
      </c>
      <c r="BM11" s="67" t="str">
        <f t="shared" si="7"/>
        <v/>
      </c>
      <c r="BN11" s="31"/>
    </row>
    <row r="12" spans="2:66" ht="24" customHeight="1" x14ac:dyDescent="0.3">
      <c r="B12" s="920"/>
      <c r="C12" s="921"/>
      <c r="D12" s="921"/>
      <c r="E12" s="921"/>
      <c r="F12" s="921"/>
      <c r="G12" s="939"/>
      <c r="H12" s="33" t="s">
        <v>45</v>
      </c>
      <c r="I12" s="34">
        <f>560/6</f>
        <v>93.333333333333329</v>
      </c>
      <c r="J12" s="36">
        <v>91</v>
      </c>
      <c r="K12" s="36"/>
      <c r="L12" s="87"/>
      <c r="M12" s="34" t="s">
        <v>122</v>
      </c>
      <c r="N12" s="389">
        <v>87.878787878787875</v>
      </c>
      <c r="O12" s="389">
        <v>100</v>
      </c>
      <c r="P12" s="389">
        <v>88.235294117647058</v>
      </c>
      <c r="Q12" s="696">
        <v>96.875</v>
      </c>
      <c r="R12" s="392">
        <v>88.571428571428569</v>
      </c>
      <c r="S12" s="389">
        <v>88.571428571428569</v>
      </c>
      <c r="T12" s="389">
        <v>93.548387096774192</v>
      </c>
      <c r="U12" s="389">
        <v>84.848484848484844</v>
      </c>
      <c r="V12" s="389">
        <v>88.888888888888886</v>
      </c>
      <c r="W12" s="389">
        <v>89.743589743589737</v>
      </c>
      <c r="X12" s="389">
        <v>82.352941176470594</v>
      </c>
      <c r="Y12" s="389">
        <v>94.444444444444443</v>
      </c>
      <c r="Z12" s="697">
        <v>91.428571428571431</v>
      </c>
      <c r="AA12" s="697">
        <v>85.714285714285708</v>
      </c>
      <c r="AB12" s="697">
        <v>80.952380952380949</v>
      </c>
      <c r="AC12" s="697">
        <v>81.25</v>
      </c>
      <c r="AD12" s="697">
        <v>90.909090909090907</v>
      </c>
      <c r="AE12" s="697">
        <v>70.588235294117652</v>
      </c>
      <c r="AF12" s="697">
        <v>81.081081081081081</v>
      </c>
      <c r="AG12" s="697">
        <v>80.555555555555557</v>
      </c>
      <c r="AH12" s="697">
        <v>85</v>
      </c>
      <c r="AI12" s="697">
        <v>75.757575757575751</v>
      </c>
      <c r="AJ12" s="697">
        <v>79.166666666666671</v>
      </c>
      <c r="AK12" s="697">
        <v>63.636363636363633</v>
      </c>
      <c r="AL12" s="697">
        <v>76.315789473684205</v>
      </c>
      <c r="AM12" s="697">
        <v>82.5</v>
      </c>
      <c r="AN12" s="389">
        <v>72.41379310344827</v>
      </c>
      <c r="AO12" s="389">
        <v>76</v>
      </c>
      <c r="AP12" s="389">
        <v>65.853658536585371</v>
      </c>
      <c r="AQ12" s="389">
        <v>75</v>
      </c>
      <c r="AR12" s="389">
        <v>69.696969696969703</v>
      </c>
      <c r="AS12" s="35">
        <v>90</v>
      </c>
      <c r="AT12" s="35">
        <v>100</v>
      </c>
      <c r="AU12" s="389">
        <v>63.934426229508198</v>
      </c>
      <c r="AV12" s="389">
        <v>57.142857142857146</v>
      </c>
      <c r="AW12" s="389">
        <v>67.857142857142861</v>
      </c>
      <c r="AX12" s="389">
        <v>68</v>
      </c>
      <c r="AY12" s="389">
        <v>77</v>
      </c>
      <c r="AZ12" s="35">
        <v>77</v>
      </c>
      <c r="BA12" s="35">
        <v>81</v>
      </c>
      <c r="BB12" s="35">
        <v>76</v>
      </c>
      <c r="BC12" s="35"/>
      <c r="BD12" s="35"/>
      <c r="BE12" s="35"/>
      <c r="BF12" s="35"/>
      <c r="BG12" s="35"/>
      <c r="BH12" s="35"/>
      <c r="BI12" s="35"/>
      <c r="BJ12" s="35"/>
      <c r="BK12" s="35"/>
      <c r="BL12" s="35"/>
      <c r="BM12" s="37"/>
      <c r="BN12" s="37"/>
    </row>
    <row r="13" spans="2:66" ht="34.5" customHeight="1" x14ac:dyDescent="0.3">
      <c r="B13" s="920"/>
      <c r="C13" s="921"/>
      <c r="D13" s="921"/>
      <c r="E13" s="921"/>
      <c r="F13" s="921"/>
      <c r="G13" s="939"/>
      <c r="H13" s="38" t="s">
        <v>46</v>
      </c>
      <c r="I13" s="91">
        <v>-7</v>
      </c>
      <c r="J13" s="91">
        <v>-9</v>
      </c>
      <c r="K13" s="41" t="str">
        <f t="shared" ref="K13:L13" si="8">IF(K12="","",IF((K12-K11)&gt;=0,"G",IF((K12/K11&lt;=0.9),"R","A")))</f>
        <v/>
      </c>
      <c r="L13" s="90" t="str">
        <f t="shared" si="8"/>
        <v/>
      </c>
      <c r="M13" s="40" t="str">
        <f>IF(M$6&gt;$E$3,"",IF(M12="","OD",IF(M12="Blank","Blank",IF(M12="TBC","TBC",IF(M12="Undefined","Undefined",IF(M12="Missed","Missed",IF(M12="OD","OD",IF(M$4="OD","OD",IF((M12-M11)&gt;=0,"G",IF((M12-(M11*0.95))&gt;=0,"A","R"))))))))))</f>
        <v>Blank</v>
      </c>
      <c r="N13" s="40" t="str">
        <f t="shared" ref="N13:BM13" si="9">IF(N$6&gt;$E$3,"",IF(N12="","OD",IF(N12="Blank","Blank",IF(N12="TBC","TBC",IF(N12="Undefined","Undefined",IF(N12="Missed","Missed",IF(N12="OD","OD",IF(N$4="OD","OD",IF((N12-N11)&gt;=0,"G",IF((N12-(N11*0.95))&gt;=0,"A","R"))))))))))</f>
        <v>R</v>
      </c>
      <c r="O13" s="40" t="str">
        <f t="shared" si="9"/>
        <v>G</v>
      </c>
      <c r="P13" s="40" t="str">
        <f t="shared" si="9"/>
        <v>R</v>
      </c>
      <c r="Q13" s="40" t="str">
        <f t="shared" si="9"/>
        <v>A</v>
      </c>
      <c r="R13" s="40" t="str">
        <f t="shared" si="9"/>
        <v>R</v>
      </c>
      <c r="S13" s="40" t="str">
        <f t="shared" si="9"/>
        <v>R</v>
      </c>
      <c r="T13" s="40" t="str">
        <f t="shared" si="9"/>
        <v>R</v>
      </c>
      <c r="U13" s="40" t="str">
        <f t="shared" si="9"/>
        <v>R</v>
      </c>
      <c r="V13" s="40" t="str">
        <f t="shared" si="9"/>
        <v>R</v>
      </c>
      <c r="W13" s="40" t="str">
        <f t="shared" si="9"/>
        <v>R</v>
      </c>
      <c r="X13" s="40" t="str">
        <f t="shared" si="9"/>
        <v>R</v>
      </c>
      <c r="Y13" s="40" t="str">
        <f t="shared" si="9"/>
        <v>R</v>
      </c>
      <c r="Z13" s="40" t="str">
        <f t="shared" si="9"/>
        <v>R</v>
      </c>
      <c r="AA13" s="40" t="str">
        <f t="shared" si="9"/>
        <v>R</v>
      </c>
      <c r="AB13" s="40" t="str">
        <f t="shared" si="9"/>
        <v>R</v>
      </c>
      <c r="AC13" s="40" t="str">
        <f t="shared" si="9"/>
        <v>R</v>
      </c>
      <c r="AD13" s="40" t="str">
        <f t="shared" si="9"/>
        <v>R</v>
      </c>
      <c r="AE13" s="40" t="str">
        <f t="shared" si="9"/>
        <v>R</v>
      </c>
      <c r="AF13" s="40" t="str">
        <f t="shared" si="9"/>
        <v>R</v>
      </c>
      <c r="AG13" s="40" t="str">
        <f t="shared" si="9"/>
        <v>R</v>
      </c>
      <c r="AH13" s="40" t="str">
        <f t="shared" si="9"/>
        <v>R</v>
      </c>
      <c r="AI13" s="40" t="str">
        <f t="shared" si="9"/>
        <v>R</v>
      </c>
      <c r="AJ13" s="40" t="str">
        <f t="shared" si="9"/>
        <v>R</v>
      </c>
      <c r="AK13" s="40" t="str">
        <f t="shared" si="9"/>
        <v>R</v>
      </c>
      <c r="AL13" s="40" t="str">
        <f t="shared" si="9"/>
        <v>R</v>
      </c>
      <c r="AM13" s="40" t="str">
        <f t="shared" si="9"/>
        <v>R</v>
      </c>
      <c r="AN13" s="40" t="str">
        <f t="shared" si="9"/>
        <v>R</v>
      </c>
      <c r="AO13" s="40" t="str">
        <f t="shared" si="9"/>
        <v>R</v>
      </c>
      <c r="AP13" s="40" t="str">
        <f t="shared" si="9"/>
        <v>R</v>
      </c>
      <c r="AQ13" s="40" t="str">
        <f t="shared" si="9"/>
        <v>R</v>
      </c>
      <c r="AR13" s="40" t="str">
        <f t="shared" si="9"/>
        <v>R</v>
      </c>
      <c r="AS13" s="40" t="str">
        <f t="shared" si="9"/>
        <v>R</v>
      </c>
      <c r="AT13" s="40" t="str">
        <f t="shared" si="9"/>
        <v>G</v>
      </c>
      <c r="AU13" s="40" t="str">
        <f t="shared" si="9"/>
        <v>R</v>
      </c>
      <c r="AV13" s="40" t="str">
        <f t="shared" si="9"/>
        <v>R</v>
      </c>
      <c r="AW13" s="40" t="str">
        <f t="shared" si="9"/>
        <v>R</v>
      </c>
      <c r="AX13" s="40" t="str">
        <f t="shared" si="9"/>
        <v>R</v>
      </c>
      <c r="AY13" s="40" t="str">
        <f t="shared" si="9"/>
        <v>R</v>
      </c>
      <c r="AZ13" s="40" t="str">
        <f t="shared" si="9"/>
        <v>R</v>
      </c>
      <c r="BA13" s="40" t="str">
        <f t="shared" si="9"/>
        <v>R</v>
      </c>
      <c r="BB13" s="40" t="str">
        <f t="shared" si="9"/>
        <v>R</v>
      </c>
      <c r="BC13" s="40" t="str">
        <f t="shared" si="9"/>
        <v/>
      </c>
      <c r="BD13" s="40" t="str">
        <f t="shared" si="9"/>
        <v/>
      </c>
      <c r="BE13" s="40" t="str">
        <f t="shared" si="9"/>
        <v/>
      </c>
      <c r="BF13" s="40" t="str">
        <f t="shared" si="9"/>
        <v/>
      </c>
      <c r="BG13" s="40" t="str">
        <f t="shared" si="9"/>
        <v/>
      </c>
      <c r="BH13" s="40" t="str">
        <f t="shared" si="9"/>
        <v/>
      </c>
      <c r="BI13" s="40" t="str">
        <f t="shared" si="9"/>
        <v/>
      </c>
      <c r="BJ13" s="40" t="str">
        <f t="shared" si="9"/>
        <v/>
      </c>
      <c r="BK13" s="40" t="str">
        <f t="shared" si="9"/>
        <v/>
      </c>
      <c r="BL13" s="40" t="str">
        <f t="shared" si="9"/>
        <v/>
      </c>
      <c r="BM13" s="40" t="str">
        <f t="shared" si="9"/>
        <v/>
      </c>
      <c r="BN13" s="40" t="str">
        <f>IF(BN$6&gt;$E$2,"",IF(BN9="Blank","Blank",IF(BN9="TBC","TBC",IF(BN12="","OD",IF((BN12-BN11)&gt;=0,"G",IF((BN12-(BN11*0.95))&gt;=0,"A","R"))))))</f>
        <v/>
      </c>
    </row>
    <row r="14" spans="2:66" ht="24" customHeight="1" x14ac:dyDescent="0.3">
      <c r="B14" s="920" t="s">
        <v>32</v>
      </c>
      <c r="C14" s="921" t="s">
        <v>77</v>
      </c>
      <c r="D14" s="921" t="s">
        <v>78</v>
      </c>
      <c r="E14" s="921" t="s">
        <v>142</v>
      </c>
      <c r="F14" s="921" t="s">
        <v>171</v>
      </c>
      <c r="G14" s="938" t="s">
        <v>463</v>
      </c>
      <c r="H14" s="27" t="s">
        <v>44</v>
      </c>
      <c r="I14" s="28">
        <v>0</v>
      </c>
      <c r="J14" s="30">
        <v>0</v>
      </c>
      <c r="K14" s="30"/>
      <c r="L14" s="92"/>
      <c r="M14" s="28"/>
      <c r="N14" s="29">
        <v>0</v>
      </c>
      <c r="O14" s="29">
        <v>0</v>
      </c>
      <c r="P14" s="29">
        <v>0</v>
      </c>
      <c r="Q14" s="31">
        <v>0</v>
      </c>
      <c r="R14" s="30">
        <v>0</v>
      </c>
      <c r="S14" s="29">
        <v>0</v>
      </c>
      <c r="T14" s="29">
        <v>0</v>
      </c>
      <c r="U14" s="29">
        <v>0</v>
      </c>
      <c r="V14" s="29">
        <v>0</v>
      </c>
      <c r="W14" s="29">
        <v>0</v>
      </c>
      <c r="X14" s="29">
        <v>0</v>
      </c>
      <c r="Y14" s="29">
        <v>0</v>
      </c>
      <c r="Z14" s="29">
        <v>0</v>
      </c>
      <c r="AA14" s="29">
        <v>0</v>
      </c>
      <c r="AB14" s="29">
        <v>0</v>
      </c>
      <c r="AC14" s="29">
        <v>0</v>
      </c>
      <c r="AD14" s="29">
        <v>0</v>
      </c>
      <c r="AE14" s="29">
        <v>0</v>
      </c>
      <c r="AF14" s="29">
        <v>0</v>
      </c>
      <c r="AG14" s="29">
        <v>0</v>
      </c>
      <c r="AH14" s="29">
        <v>0</v>
      </c>
      <c r="AI14" s="29">
        <v>0</v>
      </c>
      <c r="AJ14" s="67">
        <f>IF(AJ$6&gt;$E$3,"",0)</f>
        <v>0</v>
      </c>
      <c r="AK14" s="67">
        <f t="shared" ref="AK14:BM14" si="10">IF(AK$6&gt;$E$3,"",0)</f>
        <v>0</v>
      </c>
      <c r="AL14" s="67">
        <f t="shared" si="10"/>
        <v>0</v>
      </c>
      <c r="AM14" s="67">
        <f t="shared" si="10"/>
        <v>0</v>
      </c>
      <c r="AN14" s="67">
        <f t="shared" si="10"/>
        <v>0</v>
      </c>
      <c r="AO14" s="67">
        <f t="shared" si="10"/>
        <v>0</v>
      </c>
      <c r="AP14" s="67">
        <f t="shared" si="10"/>
        <v>0</v>
      </c>
      <c r="AQ14" s="67">
        <f t="shared" si="10"/>
        <v>0</v>
      </c>
      <c r="AR14" s="67">
        <f t="shared" si="10"/>
        <v>0</v>
      </c>
      <c r="AS14" s="67">
        <f t="shared" si="10"/>
        <v>0</v>
      </c>
      <c r="AT14" s="67">
        <f t="shared" si="10"/>
        <v>0</v>
      </c>
      <c r="AU14" s="67">
        <f t="shared" si="10"/>
        <v>0</v>
      </c>
      <c r="AV14" s="67">
        <f t="shared" si="10"/>
        <v>0</v>
      </c>
      <c r="AW14" s="67">
        <f t="shared" si="10"/>
        <v>0</v>
      </c>
      <c r="AX14" s="67">
        <f t="shared" si="10"/>
        <v>0</v>
      </c>
      <c r="AY14" s="67">
        <f t="shared" si="10"/>
        <v>0</v>
      </c>
      <c r="AZ14" s="67">
        <f t="shared" si="10"/>
        <v>0</v>
      </c>
      <c r="BA14" s="67">
        <f t="shared" si="10"/>
        <v>0</v>
      </c>
      <c r="BB14" s="67">
        <f t="shared" si="10"/>
        <v>0</v>
      </c>
      <c r="BC14" s="67" t="str">
        <f t="shared" si="10"/>
        <v/>
      </c>
      <c r="BD14" s="67" t="str">
        <f t="shared" si="10"/>
        <v/>
      </c>
      <c r="BE14" s="67" t="str">
        <f t="shared" si="10"/>
        <v/>
      </c>
      <c r="BF14" s="67" t="str">
        <f t="shared" si="10"/>
        <v/>
      </c>
      <c r="BG14" s="67" t="str">
        <f t="shared" si="10"/>
        <v/>
      </c>
      <c r="BH14" s="67" t="str">
        <f t="shared" si="10"/>
        <v/>
      </c>
      <c r="BI14" s="67" t="str">
        <f t="shared" si="10"/>
        <v/>
      </c>
      <c r="BJ14" s="67" t="str">
        <f t="shared" si="10"/>
        <v/>
      </c>
      <c r="BK14" s="67" t="str">
        <f t="shared" si="10"/>
        <v/>
      </c>
      <c r="BL14" s="67" t="str">
        <f t="shared" si="10"/>
        <v/>
      </c>
      <c r="BM14" s="67" t="str">
        <f t="shared" si="10"/>
        <v/>
      </c>
      <c r="BN14" s="31"/>
    </row>
    <row r="15" spans="2:66" ht="24" customHeight="1" x14ac:dyDescent="0.3">
      <c r="B15" s="920"/>
      <c r="C15" s="921"/>
      <c r="D15" s="921"/>
      <c r="E15" s="921"/>
      <c r="F15" s="921"/>
      <c r="G15" s="939"/>
      <c r="H15" s="33" t="s">
        <v>45</v>
      </c>
      <c r="I15" s="34">
        <v>3</v>
      </c>
      <c r="J15" s="36">
        <v>3</v>
      </c>
      <c r="K15" s="36"/>
      <c r="L15" s="87"/>
      <c r="M15" s="34" t="s">
        <v>122</v>
      </c>
      <c r="N15" s="35">
        <v>6</v>
      </c>
      <c r="O15" s="35">
        <v>3</v>
      </c>
      <c r="P15" s="35">
        <v>3</v>
      </c>
      <c r="Q15" s="37">
        <v>5</v>
      </c>
      <c r="R15" s="36">
        <v>5</v>
      </c>
      <c r="S15" s="35">
        <v>3</v>
      </c>
      <c r="T15" s="35">
        <v>2</v>
      </c>
      <c r="U15" s="35">
        <v>4</v>
      </c>
      <c r="V15" s="35">
        <v>3</v>
      </c>
      <c r="W15" s="35">
        <v>2</v>
      </c>
      <c r="X15" s="35">
        <v>4</v>
      </c>
      <c r="Y15" s="35">
        <v>3</v>
      </c>
      <c r="Z15" s="35">
        <v>4</v>
      </c>
      <c r="AA15" s="35">
        <v>5</v>
      </c>
      <c r="AB15" s="35">
        <v>0</v>
      </c>
      <c r="AC15" s="35">
        <v>2</v>
      </c>
      <c r="AD15" s="35">
        <v>0</v>
      </c>
      <c r="AE15" s="35">
        <v>0</v>
      </c>
      <c r="AF15" s="35">
        <v>0</v>
      </c>
      <c r="AG15" s="35">
        <v>2</v>
      </c>
      <c r="AH15" s="35">
        <v>1</v>
      </c>
      <c r="AI15" s="35">
        <v>0</v>
      </c>
      <c r="AJ15" s="35">
        <v>3</v>
      </c>
      <c r="AK15" s="35">
        <v>2</v>
      </c>
      <c r="AL15" s="35">
        <v>4</v>
      </c>
      <c r="AM15" s="35">
        <v>4</v>
      </c>
      <c r="AN15" s="35">
        <v>2</v>
      </c>
      <c r="AO15" s="35">
        <v>4</v>
      </c>
      <c r="AP15" s="35">
        <v>1</v>
      </c>
      <c r="AQ15" s="35">
        <v>3</v>
      </c>
      <c r="AR15" s="35">
        <v>0</v>
      </c>
      <c r="AS15" s="35">
        <v>2</v>
      </c>
      <c r="AT15" s="35">
        <v>3</v>
      </c>
      <c r="AU15" s="35">
        <v>0</v>
      </c>
      <c r="AV15" s="35">
        <v>4</v>
      </c>
      <c r="AW15" s="35">
        <v>2</v>
      </c>
      <c r="AX15" s="35">
        <v>3</v>
      </c>
      <c r="AY15" s="35" t="s">
        <v>194</v>
      </c>
      <c r="AZ15" s="35" t="s">
        <v>194</v>
      </c>
      <c r="BA15" s="35" t="s">
        <v>194</v>
      </c>
      <c r="BB15" s="35" t="s">
        <v>194</v>
      </c>
      <c r="BC15" s="35"/>
      <c r="BD15" s="35"/>
      <c r="BE15" s="35"/>
      <c r="BF15" s="35"/>
      <c r="BG15" s="35"/>
      <c r="BH15" s="35"/>
      <c r="BI15" s="35"/>
      <c r="BJ15" s="35"/>
      <c r="BK15" s="35"/>
      <c r="BL15" s="35"/>
      <c r="BM15" s="37"/>
      <c r="BN15" s="37"/>
    </row>
    <row r="16" spans="2:66" ht="24" customHeight="1" x14ac:dyDescent="0.3">
      <c r="B16" s="920"/>
      <c r="C16" s="921"/>
      <c r="D16" s="921"/>
      <c r="E16" s="921"/>
      <c r="F16" s="921"/>
      <c r="G16" s="939"/>
      <c r="H16" s="38" t="s">
        <v>46</v>
      </c>
      <c r="I16" s="88">
        <v>-3</v>
      </c>
      <c r="J16" s="93">
        <v>-3</v>
      </c>
      <c r="K16" s="41" t="str">
        <f t="shared" ref="K16:L16" si="11">IF(K15="","",IF((K15-K14)&gt;=0,"G",IF((K15/K14&lt;=0.9),"R","A")))</f>
        <v/>
      </c>
      <c r="L16" s="90" t="str">
        <f t="shared" si="11"/>
        <v/>
      </c>
      <c r="M16" s="40" t="str">
        <f>IF(M$6&gt;$E$3,"",IF(M15="","OD",IF(M15="Blank","Blank",IF(M15="TBC","TBC",IF(M15="Undefined","Undefined",IF(M15="Missed","Missed",IF(M15="OD","OD",IF(M$4="OD","OD",IF((M15-M14)&lt;=0,"G",IF((M15-(M14/0.95))&lt;=0,"A","R"))))))))))</f>
        <v>Blank</v>
      </c>
      <c r="N16" s="40" t="str">
        <f t="shared" ref="N16:BM16" si="12">IF(N$6&gt;$E$3,"",IF(N15="","OD",IF(N15="Blank","Blank",IF(N15="TBC","TBC",IF(N15="Undefined","Undefined",IF(N15="Missed","Missed",IF(N15="OD","OD",IF(N$4="OD","OD",IF((N15-N14)&lt;=0,"G",IF((N15-(N14/0.95))&lt;=0,"A","R"))))))))))</f>
        <v>R</v>
      </c>
      <c r="O16" s="40" t="str">
        <f t="shared" si="12"/>
        <v>R</v>
      </c>
      <c r="P16" s="40" t="str">
        <f t="shared" si="12"/>
        <v>R</v>
      </c>
      <c r="Q16" s="40" t="str">
        <f t="shared" si="12"/>
        <v>R</v>
      </c>
      <c r="R16" s="40" t="str">
        <f t="shared" si="12"/>
        <v>R</v>
      </c>
      <c r="S16" s="40" t="str">
        <f t="shared" si="12"/>
        <v>R</v>
      </c>
      <c r="T16" s="40" t="str">
        <f t="shared" si="12"/>
        <v>R</v>
      </c>
      <c r="U16" s="40" t="str">
        <f t="shared" si="12"/>
        <v>R</v>
      </c>
      <c r="V16" s="40" t="str">
        <f t="shared" si="12"/>
        <v>R</v>
      </c>
      <c r="W16" s="40" t="str">
        <f t="shared" si="12"/>
        <v>R</v>
      </c>
      <c r="X16" s="40" t="str">
        <f t="shared" si="12"/>
        <v>R</v>
      </c>
      <c r="Y16" s="40" t="str">
        <f t="shared" si="12"/>
        <v>R</v>
      </c>
      <c r="Z16" s="40" t="str">
        <f t="shared" si="12"/>
        <v>R</v>
      </c>
      <c r="AA16" s="40" t="str">
        <f t="shared" si="12"/>
        <v>R</v>
      </c>
      <c r="AB16" s="40" t="str">
        <f t="shared" si="12"/>
        <v>G</v>
      </c>
      <c r="AC16" s="40" t="str">
        <f t="shared" si="12"/>
        <v>R</v>
      </c>
      <c r="AD16" s="40" t="str">
        <f t="shared" si="12"/>
        <v>G</v>
      </c>
      <c r="AE16" s="40" t="str">
        <f t="shared" si="12"/>
        <v>G</v>
      </c>
      <c r="AF16" s="40" t="str">
        <f t="shared" si="12"/>
        <v>G</v>
      </c>
      <c r="AG16" s="40" t="str">
        <f t="shared" si="12"/>
        <v>R</v>
      </c>
      <c r="AH16" s="40" t="str">
        <f t="shared" si="12"/>
        <v>R</v>
      </c>
      <c r="AI16" s="40" t="str">
        <f t="shared" si="12"/>
        <v>G</v>
      </c>
      <c r="AJ16" s="40" t="str">
        <f t="shared" si="12"/>
        <v>R</v>
      </c>
      <c r="AK16" s="40" t="str">
        <f t="shared" si="12"/>
        <v>R</v>
      </c>
      <c r="AL16" s="40" t="str">
        <f t="shared" si="12"/>
        <v>R</v>
      </c>
      <c r="AM16" s="40" t="str">
        <f t="shared" si="12"/>
        <v>R</v>
      </c>
      <c r="AN16" s="40" t="str">
        <f t="shared" si="12"/>
        <v>R</v>
      </c>
      <c r="AO16" s="40" t="str">
        <f t="shared" si="12"/>
        <v>R</v>
      </c>
      <c r="AP16" s="40" t="str">
        <f t="shared" si="12"/>
        <v>R</v>
      </c>
      <c r="AQ16" s="40" t="str">
        <f t="shared" si="12"/>
        <v>R</v>
      </c>
      <c r="AR16" s="40" t="str">
        <f t="shared" si="12"/>
        <v>G</v>
      </c>
      <c r="AS16" s="40" t="str">
        <f t="shared" si="12"/>
        <v>R</v>
      </c>
      <c r="AT16" s="40" t="str">
        <f t="shared" si="12"/>
        <v>R</v>
      </c>
      <c r="AU16" s="40" t="str">
        <f t="shared" si="12"/>
        <v>G</v>
      </c>
      <c r="AV16" s="40" t="str">
        <f t="shared" si="12"/>
        <v>R</v>
      </c>
      <c r="AW16" s="40" t="str">
        <f t="shared" si="12"/>
        <v>R</v>
      </c>
      <c r="AX16" s="40" t="str">
        <f t="shared" si="12"/>
        <v>R</v>
      </c>
      <c r="AY16" s="40" t="str">
        <f t="shared" si="12"/>
        <v>OD</v>
      </c>
      <c r="AZ16" s="40" t="str">
        <f t="shared" si="12"/>
        <v>OD</v>
      </c>
      <c r="BA16" s="40" t="str">
        <f t="shared" si="12"/>
        <v>OD</v>
      </c>
      <c r="BB16" s="40" t="str">
        <f t="shared" si="12"/>
        <v>OD</v>
      </c>
      <c r="BC16" s="40" t="str">
        <f t="shared" si="12"/>
        <v/>
      </c>
      <c r="BD16" s="40" t="str">
        <f t="shared" si="12"/>
        <v/>
      </c>
      <c r="BE16" s="40" t="str">
        <f t="shared" si="12"/>
        <v/>
      </c>
      <c r="BF16" s="40" t="str">
        <f t="shared" si="12"/>
        <v/>
      </c>
      <c r="BG16" s="40" t="str">
        <f t="shared" si="12"/>
        <v/>
      </c>
      <c r="BH16" s="40" t="str">
        <f t="shared" si="12"/>
        <v/>
      </c>
      <c r="BI16" s="40" t="str">
        <f t="shared" si="12"/>
        <v/>
      </c>
      <c r="BJ16" s="40" t="str">
        <f t="shared" si="12"/>
        <v/>
      </c>
      <c r="BK16" s="40" t="str">
        <f t="shared" si="12"/>
        <v/>
      </c>
      <c r="BL16" s="40" t="str">
        <f t="shared" si="12"/>
        <v/>
      </c>
      <c r="BM16" s="40" t="str">
        <f t="shared" si="12"/>
        <v/>
      </c>
      <c r="BN16" s="41" t="str">
        <f>IF(BN$6&gt;$E$2,"",IF(BN15="Blank","Blank",IF(BN15="TBC","TBC",IF(BN15="","OD",IF((BN15-BN14)&lt;=0,"G",IF((BN15-(BN14*0.95))&lt;=0,"A","R"))))))</f>
        <v/>
      </c>
    </row>
    <row r="17" spans="2:66" ht="24" customHeight="1" x14ac:dyDescent="0.3">
      <c r="B17" s="920" t="s">
        <v>31</v>
      </c>
      <c r="C17" s="921" t="s">
        <v>465</v>
      </c>
      <c r="D17" s="921" t="s">
        <v>464</v>
      </c>
      <c r="E17" s="921" t="s">
        <v>169</v>
      </c>
      <c r="F17" s="921" t="s">
        <v>154</v>
      </c>
      <c r="G17" s="940"/>
      <c r="H17" s="27" t="s">
        <v>44</v>
      </c>
      <c r="I17" s="28"/>
      <c r="J17" s="30"/>
      <c r="K17" s="30"/>
      <c r="L17" s="92"/>
      <c r="M17" s="28"/>
      <c r="N17" s="391">
        <v>171000</v>
      </c>
      <c r="O17" s="391">
        <v>171000</v>
      </c>
      <c r="P17" s="391">
        <v>171000</v>
      </c>
      <c r="Q17" s="391">
        <v>171000</v>
      </c>
      <c r="R17" s="391">
        <v>171000</v>
      </c>
      <c r="S17" s="391">
        <v>171000</v>
      </c>
      <c r="T17" s="391">
        <v>171000</v>
      </c>
      <c r="U17" s="391">
        <v>171000</v>
      </c>
      <c r="V17" s="391">
        <v>171000</v>
      </c>
      <c r="W17" s="391">
        <v>171000</v>
      </c>
      <c r="X17" s="391">
        <v>171000</v>
      </c>
      <c r="Y17" s="391">
        <v>171000</v>
      </c>
      <c r="Z17" s="391">
        <v>171000</v>
      </c>
      <c r="AA17" s="391">
        <v>171000</v>
      </c>
      <c r="AB17" s="391">
        <v>171000</v>
      </c>
      <c r="AC17" s="391">
        <v>171000</v>
      </c>
      <c r="AD17" s="391">
        <v>171000</v>
      </c>
      <c r="AE17" s="391">
        <v>171000</v>
      </c>
      <c r="AF17" s="391">
        <v>171000</v>
      </c>
      <c r="AG17" s="391">
        <v>171000</v>
      </c>
      <c r="AH17" s="391">
        <v>171000</v>
      </c>
      <c r="AI17" s="391">
        <v>171000</v>
      </c>
      <c r="AJ17" s="391">
        <f>IF(AJ$6&gt;$E$3,"",171000)</f>
        <v>171000</v>
      </c>
      <c r="AK17" s="391">
        <f t="shared" ref="AK17:BN17" si="13">IF(AK$6&gt;$E$3,"",171000)</f>
        <v>171000</v>
      </c>
      <c r="AL17" s="391">
        <f t="shared" si="13"/>
        <v>171000</v>
      </c>
      <c r="AM17" s="391">
        <f t="shared" si="13"/>
        <v>171000</v>
      </c>
      <c r="AN17" s="391">
        <f t="shared" si="13"/>
        <v>171000</v>
      </c>
      <c r="AO17" s="391">
        <f t="shared" si="13"/>
        <v>171000</v>
      </c>
      <c r="AP17" s="391">
        <f t="shared" si="13"/>
        <v>171000</v>
      </c>
      <c r="AQ17" s="391">
        <f t="shared" si="13"/>
        <v>171000</v>
      </c>
      <c r="AR17" s="391">
        <f t="shared" si="13"/>
        <v>171000</v>
      </c>
      <c r="AS17" s="391">
        <f t="shared" si="13"/>
        <v>171000</v>
      </c>
      <c r="AT17" s="391">
        <f t="shared" si="13"/>
        <v>171000</v>
      </c>
      <c r="AU17" s="391">
        <f t="shared" si="13"/>
        <v>171000</v>
      </c>
      <c r="AV17" s="391">
        <f t="shared" si="13"/>
        <v>171000</v>
      </c>
      <c r="AW17" s="391">
        <f t="shared" si="13"/>
        <v>171000</v>
      </c>
      <c r="AX17" s="391">
        <f t="shared" si="13"/>
        <v>171000</v>
      </c>
      <c r="AY17" s="391">
        <f t="shared" si="13"/>
        <v>171000</v>
      </c>
      <c r="AZ17" s="391">
        <f t="shared" si="13"/>
        <v>171000</v>
      </c>
      <c r="BA17" s="391">
        <f t="shared" si="13"/>
        <v>171000</v>
      </c>
      <c r="BB17" s="391">
        <f t="shared" si="13"/>
        <v>171000</v>
      </c>
      <c r="BC17" s="391" t="str">
        <f t="shared" si="13"/>
        <v/>
      </c>
      <c r="BD17" s="391" t="str">
        <f t="shared" si="13"/>
        <v/>
      </c>
      <c r="BE17" s="391" t="str">
        <f t="shared" si="13"/>
        <v/>
      </c>
      <c r="BF17" s="391" t="str">
        <f t="shared" si="13"/>
        <v/>
      </c>
      <c r="BG17" s="391" t="str">
        <f t="shared" si="13"/>
        <v/>
      </c>
      <c r="BH17" s="391" t="str">
        <f t="shared" si="13"/>
        <v/>
      </c>
      <c r="BI17" s="391" t="str">
        <f t="shared" si="13"/>
        <v/>
      </c>
      <c r="BJ17" s="391" t="str">
        <f t="shared" si="13"/>
        <v/>
      </c>
      <c r="BK17" s="391" t="str">
        <f t="shared" si="13"/>
        <v/>
      </c>
      <c r="BL17" s="391" t="str">
        <f t="shared" si="13"/>
        <v/>
      </c>
      <c r="BM17" s="391" t="str">
        <f t="shared" si="13"/>
        <v/>
      </c>
      <c r="BN17" s="391" t="str">
        <f t="shared" si="13"/>
        <v/>
      </c>
    </row>
    <row r="18" spans="2:66" ht="24" customHeight="1" x14ac:dyDescent="0.3">
      <c r="B18" s="920"/>
      <c r="C18" s="921"/>
      <c r="D18" s="921"/>
      <c r="E18" s="921"/>
      <c r="F18" s="921"/>
      <c r="G18" s="940"/>
      <c r="H18" s="33" t="s">
        <v>45</v>
      </c>
      <c r="I18" s="34"/>
      <c r="J18" s="36"/>
      <c r="K18" s="36"/>
      <c r="L18" s="87"/>
      <c r="M18" s="34" t="s">
        <v>122</v>
      </c>
      <c r="N18" s="389">
        <v>131542.7059387677</v>
      </c>
      <c r="O18" s="389">
        <v>95420.927213453659</v>
      </c>
      <c r="P18" s="389">
        <v>252447.13386231897</v>
      </c>
      <c r="Q18" s="389">
        <v>143566.15328988226</v>
      </c>
      <c r="R18" s="389">
        <v>135645.70986576605</v>
      </c>
      <c r="S18" s="389">
        <v>77657.02695974744</v>
      </c>
      <c r="T18" s="389">
        <v>211434.48339624764</v>
      </c>
      <c r="U18" s="389">
        <v>161039.42741504134</v>
      </c>
      <c r="V18" s="389">
        <v>133172.53581369063</v>
      </c>
      <c r="W18" s="389">
        <v>89839.791480018073</v>
      </c>
      <c r="X18" s="389">
        <v>240503.48036051422</v>
      </c>
      <c r="Y18" s="389">
        <v>383125.33151537488</v>
      </c>
      <c r="Z18" s="389">
        <v>595166.78986062878</v>
      </c>
      <c r="AA18" s="389">
        <v>74942.536918996964</v>
      </c>
      <c r="AB18" s="389">
        <v>161626.30149879478</v>
      </c>
      <c r="AC18" s="389">
        <v>168037.90737707613</v>
      </c>
      <c r="AD18" s="389">
        <v>123624.70279513692</v>
      </c>
      <c r="AE18" s="389">
        <v>345181.303272049</v>
      </c>
      <c r="AF18" s="389">
        <v>198596.91928988727</v>
      </c>
      <c r="AG18" s="389">
        <v>122099.61601069217</v>
      </c>
      <c r="AH18" s="389">
        <v>283729.33685728017</v>
      </c>
      <c r="AI18" s="389">
        <v>292720.78231568064</v>
      </c>
      <c r="AJ18" s="389">
        <v>168758.04884984426</v>
      </c>
      <c r="AK18" s="389">
        <v>192292.5246266147</v>
      </c>
      <c r="AL18" s="389">
        <v>801566.26835283369</v>
      </c>
      <c r="AM18" s="389">
        <v>322834.12340101699</v>
      </c>
      <c r="AN18" s="389">
        <v>1076576.5548191532</v>
      </c>
      <c r="AO18" s="389">
        <v>129554.11039594523</v>
      </c>
      <c r="AP18" s="389">
        <v>198522.06394795747</v>
      </c>
      <c r="AQ18" s="389">
        <v>110532.0540668749</v>
      </c>
      <c r="AR18" s="389">
        <v>105564.65597124163</v>
      </c>
      <c r="AS18" s="389">
        <v>49538.206627680309</v>
      </c>
      <c r="AT18" s="389">
        <v>28328.460038986352</v>
      </c>
      <c r="AU18" s="389">
        <v>133024.11466749752</v>
      </c>
      <c r="AV18" s="389">
        <v>174353.30869534952</v>
      </c>
      <c r="AW18" s="389">
        <v>210216.74853534414</v>
      </c>
      <c r="AX18" s="389">
        <v>124268.09435302479</v>
      </c>
      <c r="AY18" s="389">
        <v>153929.24452468974</v>
      </c>
      <c r="AZ18" s="389">
        <v>181327</v>
      </c>
      <c r="BA18" s="389">
        <v>211492</v>
      </c>
      <c r="BB18" s="389">
        <v>286807</v>
      </c>
      <c r="BC18" s="389"/>
      <c r="BD18" s="389"/>
      <c r="BE18" s="389"/>
      <c r="BF18" s="389"/>
      <c r="BG18" s="389"/>
      <c r="BH18" s="389"/>
      <c r="BI18" s="389"/>
      <c r="BJ18" s="389"/>
      <c r="BK18" s="389"/>
      <c r="BL18" s="389"/>
      <c r="BM18" s="389"/>
      <c r="BN18" s="37"/>
    </row>
    <row r="19" spans="2:66" ht="24" customHeight="1" thickBot="1" x14ac:dyDescent="0.35">
      <c r="B19" s="920"/>
      <c r="C19" s="921"/>
      <c r="D19" s="921"/>
      <c r="E19" s="921"/>
      <c r="F19" s="921"/>
      <c r="G19" s="940"/>
      <c r="H19" s="38" t="s">
        <v>46</v>
      </c>
      <c r="I19" s="43" t="str">
        <f>IF(I18="","",IF((I18-I17)&gt;=0,"G",IF((I18/I17&lt;=0.9),"R","A")))</f>
        <v/>
      </c>
      <c r="J19" s="81" t="str">
        <f t="shared" ref="J19:L19" si="14">IF(J18="","",IF((J18-J17)&gt;=0,"G",IF((J18/J17&lt;=0.9),"R","A")))</f>
        <v/>
      </c>
      <c r="K19" s="81" t="str">
        <f t="shared" si="14"/>
        <v/>
      </c>
      <c r="L19" s="79" t="str">
        <f t="shared" si="14"/>
        <v/>
      </c>
      <c r="M19" s="40" t="str">
        <f>IF(M$6&gt;$E$3,"",IF(M18="","OD",IF(M18="Blank","Blank",IF(M18="TBC","TBC",IF(M18="Undefined","Undefined",IF(M18="Missed","Missed",IF(M18="OD","OD",IF(M$4="OD","OD",IF((M18-M17)&gt;=0,"G",IF((M18-(M17*0.95))&gt;=0,"A","R"))))))))))</f>
        <v>Blank</v>
      </c>
      <c r="N19" s="40" t="str">
        <f t="shared" ref="N19:BM19" si="15">IF(N$6&gt;$E$3,"",IF(N18="","OD",IF(N18="Blank","Blank",IF(N18="TBC","TBC",IF(N18="Undefined","Undefined",IF(N18="Missed","Missed",IF(N18="OD","OD",IF(N$4="OD","OD",IF((N18-N17)&gt;=0,"G",IF((N18-(N17*0.95))&gt;=0,"A","R"))))))))))</f>
        <v>R</v>
      </c>
      <c r="O19" s="40" t="str">
        <f t="shared" si="15"/>
        <v>R</v>
      </c>
      <c r="P19" s="40" t="str">
        <f t="shared" si="15"/>
        <v>G</v>
      </c>
      <c r="Q19" s="40" t="str">
        <f t="shared" si="15"/>
        <v>R</v>
      </c>
      <c r="R19" s="40" t="str">
        <f t="shared" si="15"/>
        <v>R</v>
      </c>
      <c r="S19" s="40" t="str">
        <f t="shared" si="15"/>
        <v>R</v>
      </c>
      <c r="T19" s="40" t="str">
        <f t="shared" si="15"/>
        <v>G</v>
      </c>
      <c r="U19" s="40" t="str">
        <f t="shared" si="15"/>
        <v>R</v>
      </c>
      <c r="V19" s="40" t="str">
        <f t="shared" si="15"/>
        <v>R</v>
      </c>
      <c r="W19" s="40" t="str">
        <f t="shared" si="15"/>
        <v>R</v>
      </c>
      <c r="X19" s="40" t="str">
        <f t="shared" si="15"/>
        <v>G</v>
      </c>
      <c r="Y19" s="40" t="str">
        <f t="shared" si="15"/>
        <v>G</v>
      </c>
      <c r="Z19" s="40" t="str">
        <f t="shared" si="15"/>
        <v>G</v>
      </c>
      <c r="AA19" s="40" t="str">
        <f t="shared" si="15"/>
        <v>R</v>
      </c>
      <c r="AB19" s="40" t="str">
        <f t="shared" si="15"/>
        <v>R</v>
      </c>
      <c r="AC19" s="40" t="str">
        <f t="shared" si="15"/>
        <v>A</v>
      </c>
      <c r="AD19" s="40" t="str">
        <f t="shared" si="15"/>
        <v>R</v>
      </c>
      <c r="AE19" s="40" t="str">
        <f t="shared" si="15"/>
        <v>G</v>
      </c>
      <c r="AF19" s="40" t="str">
        <f t="shared" si="15"/>
        <v>G</v>
      </c>
      <c r="AG19" s="40" t="str">
        <f t="shared" si="15"/>
        <v>R</v>
      </c>
      <c r="AH19" s="40" t="str">
        <f t="shared" si="15"/>
        <v>G</v>
      </c>
      <c r="AI19" s="40" t="str">
        <f t="shared" si="15"/>
        <v>G</v>
      </c>
      <c r="AJ19" s="40" t="str">
        <f t="shared" si="15"/>
        <v>A</v>
      </c>
      <c r="AK19" s="40" t="str">
        <f t="shared" si="15"/>
        <v>G</v>
      </c>
      <c r="AL19" s="40" t="str">
        <f t="shared" si="15"/>
        <v>G</v>
      </c>
      <c r="AM19" s="40" t="str">
        <f t="shared" si="15"/>
        <v>G</v>
      </c>
      <c r="AN19" s="40" t="str">
        <f t="shared" si="15"/>
        <v>G</v>
      </c>
      <c r="AO19" s="40" t="str">
        <f t="shared" si="15"/>
        <v>R</v>
      </c>
      <c r="AP19" s="40" t="str">
        <f t="shared" si="15"/>
        <v>G</v>
      </c>
      <c r="AQ19" s="40" t="str">
        <f t="shared" si="15"/>
        <v>R</v>
      </c>
      <c r="AR19" s="40" t="str">
        <f t="shared" si="15"/>
        <v>R</v>
      </c>
      <c r="AS19" s="40" t="str">
        <f t="shared" si="15"/>
        <v>R</v>
      </c>
      <c r="AT19" s="40" t="str">
        <f t="shared" si="15"/>
        <v>R</v>
      </c>
      <c r="AU19" s="40" t="str">
        <f t="shared" si="15"/>
        <v>R</v>
      </c>
      <c r="AV19" s="40" t="str">
        <f t="shared" si="15"/>
        <v>G</v>
      </c>
      <c r="AW19" s="40" t="str">
        <f t="shared" si="15"/>
        <v>G</v>
      </c>
      <c r="AX19" s="40" t="str">
        <f t="shared" si="15"/>
        <v>R</v>
      </c>
      <c r="AY19" s="40" t="str">
        <f t="shared" si="15"/>
        <v>R</v>
      </c>
      <c r="AZ19" s="40" t="str">
        <f t="shared" si="15"/>
        <v>G</v>
      </c>
      <c r="BA19" s="40" t="str">
        <f t="shared" si="15"/>
        <v>G</v>
      </c>
      <c r="BB19" s="40" t="str">
        <f t="shared" si="15"/>
        <v>G</v>
      </c>
      <c r="BC19" s="40" t="str">
        <f t="shared" si="15"/>
        <v/>
      </c>
      <c r="BD19" s="40" t="str">
        <f t="shared" si="15"/>
        <v/>
      </c>
      <c r="BE19" s="40" t="str">
        <f t="shared" si="15"/>
        <v/>
      </c>
      <c r="BF19" s="40" t="str">
        <f t="shared" si="15"/>
        <v/>
      </c>
      <c r="BG19" s="40" t="str">
        <f t="shared" si="15"/>
        <v/>
      </c>
      <c r="BH19" s="40" t="str">
        <f t="shared" si="15"/>
        <v/>
      </c>
      <c r="BI19" s="40" t="str">
        <f t="shared" si="15"/>
        <v/>
      </c>
      <c r="BJ19" s="40" t="str">
        <f t="shared" si="15"/>
        <v/>
      </c>
      <c r="BK19" s="40" t="str">
        <f t="shared" si="15"/>
        <v/>
      </c>
      <c r="BL19" s="40" t="str">
        <f t="shared" si="15"/>
        <v/>
      </c>
      <c r="BM19" s="40" t="str">
        <f t="shared" si="15"/>
        <v/>
      </c>
      <c r="BN19" s="42"/>
    </row>
    <row r="21" spans="2:66" x14ac:dyDescent="0.3">
      <c r="C21" s="2"/>
    </row>
    <row r="22" spans="2:66" ht="15.6" x14ac:dyDescent="0.3">
      <c r="B22" s="1" t="s">
        <v>0</v>
      </c>
      <c r="C22" s="45" t="s">
        <v>1</v>
      </c>
    </row>
    <row r="23" spans="2:66" ht="15.6" x14ac:dyDescent="0.3">
      <c r="B23" s="4" t="s">
        <v>2</v>
      </c>
      <c r="C23" s="45" t="s">
        <v>3</v>
      </c>
      <c r="G23" s="2" t="s">
        <v>461</v>
      </c>
    </row>
    <row r="24" spans="2:66" ht="15.6" x14ac:dyDescent="0.3">
      <c r="B24" s="5" t="s">
        <v>4</v>
      </c>
      <c r="C24" s="45" t="s">
        <v>5</v>
      </c>
      <c r="G24" s="2" t="s">
        <v>462</v>
      </c>
    </row>
    <row r="25" spans="2:66" x14ac:dyDescent="0.3">
      <c r="B25" s="340" t="s">
        <v>35</v>
      </c>
      <c r="C25" s="13" t="s">
        <v>376</v>
      </c>
      <c r="G25" s="2" t="s">
        <v>463</v>
      </c>
    </row>
    <row r="26" spans="2:66" x14ac:dyDescent="0.3">
      <c r="B26" s="341" t="s">
        <v>122</v>
      </c>
      <c r="C26" s="13" t="s">
        <v>377</v>
      </c>
    </row>
    <row r="31" spans="2:66" x14ac:dyDescent="0.3">
      <c r="F31" s="2">
        <f>39/5</f>
        <v>7.8</v>
      </c>
    </row>
  </sheetData>
  <mergeCells count="26">
    <mergeCell ref="C11:C13"/>
    <mergeCell ref="D11:D13"/>
    <mergeCell ref="C6:D6"/>
    <mergeCell ref="G6:G7"/>
    <mergeCell ref="B8:B10"/>
    <mergeCell ref="C8:C10"/>
    <mergeCell ref="D8:D10"/>
    <mergeCell ref="G8:G10"/>
    <mergeCell ref="E8:E10"/>
    <mergeCell ref="F8:F10"/>
    <mergeCell ref="E17:E19"/>
    <mergeCell ref="G11:G13"/>
    <mergeCell ref="B14:B16"/>
    <mergeCell ref="C14:C16"/>
    <mergeCell ref="D14:D16"/>
    <mergeCell ref="G14:G16"/>
    <mergeCell ref="E11:E13"/>
    <mergeCell ref="F11:F13"/>
    <mergeCell ref="E14:E16"/>
    <mergeCell ref="F14:F16"/>
    <mergeCell ref="F17:F19"/>
    <mergeCell ref="B17:B19"/>
    <mergeCell ref="C17:C19"/>
    <mergeCell ref="D17:D19"/>
    <mergeCell ref="G17:G19"/>
    <mergeCell ref="B11:B13"/>
  </mergeCells>
  <conditionalFormatting sqref="B26">
    <cfRule type="cellIs" dxfId="424" priority="41" operator="equal">
      <formula>"TBC"</formula>
    </cfRule>
    <cfRule type="cellIs" dxfId="423" priority="42" operator="equal">
      <formula>"OD"</formula>
    </cfRule>
    <cfRule type="cellIs" dxfId="422" priority="43" operator="equal">
      <formula>"G"</formula>
    </cfRule>
    <cfRule type="cellIs" dxfId="421" priority="44" operator="equal">
      <formula>"A"</formula>
    </cfRule>
    <cfRule type="cellIs" dxfId="420" priority="45" operator="equal">
      <formula>"R"</formula>
    </cfRule>
  </conditionalFormatting>
  <conditionalFormatting sqref="H13:BN13">
    <cfRule type="cellIs" dxfId="419" priority="14" operator="equal">
      <formula>"A"</formula>
    </cfRule>
  </conditionalFormatting>
  <conditionalFormatting sqref="I10:L10 I13:L13 BN13 I16:L16 BN16 I19:L19">
    <cfRule type="cellIs" dxfId="418" priority="48" operator="equal">
      <formula>"od"</formula>
    </cfRule>
  </conditionalFormatting>
  <conditionalFormatting sqref="I10:BM10">
    <cfRule type="cellIs" dxfId="417" priority="17" operator="equal">
      <formula>"TBC"</formula>
    </cfRule>
    <cfRule type="cellIs" dxfId="416" priority="18" operator="equal">
      <formula>"G"</formula>
    </cfRule>
    <cfRule type="cellIs" dxfId="415" priority="19" operator="equal">
      <formula>"A"</formula>
    </cfRule>
    <cfRule type="cellIs" dxfId="414" priority="20" operator="equal">
      <formula>"R"</formula>
    </cfRule>
  </conditionalFormatting>
  <conditionalFormatting sqref="I19:BM19">
    <cfRule type="cellIs" dxfId="413" priority="7" operator="equal">
      <formula>"TBC"</formula>
    </cfRule>
    <cfRule type="cellIs" dxfId="412" priority="8" operator="equal">
      <formula>"G"</formula>
    </cfRule>
    <cfRule type="cellIs" dxfId="411" priority="9" operator="equal">
      <formula>"A"</formula>
    </cfRule>
    <cfRule type="cellIs" dxfId="410" priority="10" operator="equal">
      <formula>"R"</formula>
    </cfRule>
  </conditionalFormatting>
  <conditionalFormatting sqref="I13:BN13">
    <cfRule type="cellIs" dxfId="409" priority="12" operator="equal">
      <formula>"TBC"</formula>
    </cfRule>
    <cfRule type="cellIs" dxfId="408" priority="13" operator="equal">
      <formula>"G"</formula>
    </cfRule>
    <cfRule type="cellIs" dxfId="407" priority="15" operator="equal">
      <formula>"R"</formula>
    </cfRule>
  </conditionalFormatting>
  <conditionalFormatting sqref="I16:BN16">
    <cfRule type="cellIs" dxfId="406" priority="2" operator="equal">
      <formula>"TBC"</formula>
    </cfRule>
    <cfRule type="cellIs" dxfId="405" priority="3" operator="equal">
      <formula>"G"</formula>
    </cfRule>
    <cfRule type="cellIs" dxfId="404" priority="4" operator="equal">
      <formula>"A"</formula>
    </cfRule>
    <cfRule type="cellIs" dxfId="403" priority="5" operator="equal">
      <formula>"R"</formula>
    </cfRule>
  </conditionalFormatting>
  <conditionalFormatting sqref="M10:BM10">
    <cfRule type="cellIs" dxfId="402" priority="16" operator="equal">
      <formula>"OD"</formula>
    </cfRule>
  </conditionalFormatting>
  <conditionalFormatting sqref="M13:BM13">
    <cfRule type="cellIs" dxfId="401" priority="11" operator="equal">
      <formula>"OD"</formula>
    </cfRule>
  </conditionalFormatting>
  <conditionalFormatting sqref="M16:BM16">
    <cfRule type="cellIs" dxfId="400" priority="1" operator="equal">
      <formula>"OD"</formula>
    </cfRule>
  </conditionalFormatting>
  <conditionalFormatting sqref="M19:BM19">
    <cfRule type="cellIs" dxfId="399" priority="6" operator="equal">
      <formula>"OD"</formula>
    </cfRule>
  </conditionalFormatting>
  <hyperlinks>
    <hyperlink ref="G11" r:id="rId1" display="https://sasinternational.lightning.force.com/lightning/r/Report/00OP3000003GHJJMA4/view" xr:uid="{C925DED9-5A0E-4242-8737-88D7B603199D}"/>
    <hyperlink ref="G14" r:id="rId2" display="https://sasinternational.lightning.force.com/lightning/r/Report/00OP3000005cl33MAA/view?queryScope=userFolders" xr:uid="{6F150BEC-FD7A-4B09-903D-6A62AD93124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ACFE7-0C01-40E9-890A-DEEF36D3C07A}">
  <sheetPr>
    <tabColor rgb="FF00B050"/>
  </sheetPr>
  <dimension ref="B1:BN29"/>
  <sheetViews>
    <sheetView zoomScale="70" zoomScaleNormal="70" workbookViewId="0">
      <pane xSplit="6" ySplit="7" topLeftCell="AO8" activePane="bottomRight" state="frozen"/>
      <selection pane="topRight" activeCell="G1" sqref="G1"/>
      <selection pane="bottomLeft" activeCell="A8" sqref="A8"/>
      <selection pane="bottomRight" activeCell="BE21" sqref="BE21"/>
    </sheetView>
  </sheetViews>
  <sheetFormatPr defaultColWidth="9.33203125" defaultRowHeight="14.4" x14ac:dyDescent="0.3"/>
  <cols>
    <col min="1" max="1" width="3" style="2" customWidth="1"/>
    <col min="2" max="2" width="18" style="2" customWidth="1"/>
    <col min="3" max="3" width="16.5546875" style="13" bestFit="1" customWidth="1"/>
    <col min="4" max="4" width="35" style="2" customWidth="1"/>
    <col min="5" max="5" width="11.33203125" style="2" customWidth="1"/>
    <col min="6" max="6" width="10.33203125" style="2" customWidth="1"/>
    <col min="7" max="7" width="31.33203125" style="2" customWidth="1"/>
    <col min="8" max="8" width="9.44140625" style="2" bestFit="1" customWidth="1"/>
    <col min="9" max="12" width="3" style="2" bestFit="1" customWidth="1"/>
    <col min="13" max="35" width="8.109375" style="2" customWidth="1"/>
    <col min="36" max="36" width="9.44140625" style="2" bestFit="1" customWidth="1"/>
    <col min="37" max="65" width="8.109375" style="2" customWidth="1"/>
    <col min="66" max="66" width="7.6640625" style="2" hidden="1"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8.600000000000001" thickBot="1" x14ac:dyDescent="0.35">
      <c r="B1" s="14" t="s">
        <v>121</v>
      </c>
      <c r="C1" s="10" t="s">
        <v>21</v>
      </c>
      <c r="P1" s="2">
        <f>1/0.95</f>
        <v>1.0526315789473684</v>
      </c>
    </row>
    <row r="2" spans="2:66" ht="15" thickBot="1" x14ac:dyDescent="0.35">
      <c r="D2" s="119" t="s">
        <v>123</v>
      </c>
      <c r="E2" s="346">
        <v>42</v>
      </c>
      <c r="F2" s="2" t="s">
        <v>248</v>
      </c>
    </row>
    <row r="3" spans="2:66" ht="15" thickBot="1" x14ac:dyDescent="0.35">
      <c r="B3" s="2" t="s">
        <v>384</v>
      </c>
      <c r="D3" s="120" t="s">
        <v>193</v>
      </c>
      <c r="E3" s="120">
        <f>+'KPI Analysis'!D3</f>
        <v>42</v>
      </c>
    </row>
    <row r="4" spans="2:66" ht="15.6"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5" thickBot="1" x14ac:dyDescent="0.35"/>
    <row r="6" spans="2:66" ht="24" customHeight="1" x14ac:dyDescent="0.3">
      <c r="B6" s="14" t="s">
        <v>79</v>
      </c>
      <c r="C6" s="109" t="s">
        <v>162</v>
      </c>
      <c r="D6" s="106"/>
      <c r="E6" s="106"/>
      <c r="F6" s="106"/>
      <c r="G6" s="928" t="s">
        <v>37</v>
      </c>
      <c r="H6" s="15" t="s">
        <v>7</v>
      </c>
      <c r="I6" s="57">
        <f>J6-1</f>
        <v>49</v>
      </c>
      <c r="J6" s="58">
        <f>K6-1</f>
        <v>50</v>
      </c>
      <c r="K6" s="58">
        <f>L6-1</f>
        <v>51</v>
      </c>
      <c r="L6" s="59">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46.5" customHeight="1" x14ac:dyDescent="0.3">
      <c r="B7" s="14" t="s">
        <v>38</v>
      </c>
      <c r="C7" s="21" t="s">
        <v>39</v>
      </c>
      <c r="D7" s="21" t="s">
        <v>40</v>
      </c>
      <c r="E7" s="21" t="s">
        <v>140</v>
      </c>
      <c r="F7" s="21" t="s">
        <v>159</v>
      </c>
      <c r="G7" s="929"/>
      <c r="H7" s="15" t="s">
        <v>41</v>
      </c>
      <c r="I7" s="60">
        <f t="shared" ref="I7:K7" si="2">J7-7</f>
        <v>45632</v>
      </c>
      <c r="J7" s="61">
        <f t="shared" si="2"/>
        <v>45639</v>
      </c>
      <c r="K7" s="61">
        <f t="shared" si="2"/>
        <v>45646</v>
      </c>
      <c r="L7" s="62">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24" customHeight="1" x14ac:dyDescent="0.3">
      <c r="B8" s="920" t="s">
        <v>30</v>
      </c>
      <c r="C8" s="944" t="s">
        <v>117</v>
      </c>
      <c r="D8" s="944" t="s">
        <v>118</v>
      </c>
      <c r="E8" s="944" t="s">
        <v>168</v>
      </c>
      <c r="F8" s="944" t="s">
        <v>154</v>
      </c>
      <c r="G8" s="946" t="s">
        <v>586</v>
      </c>
      <c r="H8" s="63" t="s">
        <v>44</v>
      </c>
      <c r="I8" s="64"/>
      <c r="J8" s="65"/>
      <c r="K8" s="65"/>
      <c r="L8" s="66"/>
      <c r="M8" s="65"/>
      <c r="N8" s="67">
        <f>'[3]Product Design'!L8</f>
        <v>150</v>
      </c>
      <c r="O8" s="67">
        <f>'[3]Product Design'!M8</f>
        <v>150</v>
      </c>
      <c r="P8" s="67">
        <f>'[3]Product Design'!N8</f>
        <v>150</v>
      </c>
      <c r="Q8" s="67">
        <f>'[3]Product Design'!O8</f>
        <v>150</v>
      </c>
      <c r="R8" s="67">
        <f>'[3]Product Design'!P8</f>
        <v>150</v>
      </c>
      <c r="S8" s="67">
        <f>'[3]Product Design'!Q8</f>
        <v>150</v>
      </c>
      <c r="T8" s="67">
        <f>'[3]Product Design'!R8</f>
        <v>150</v>
      </c>
      <c r="U8" s="67">
        <f>'[3]Product Design'!S8</f>
        <v>150</v>
      </c>
      <c r="V8" s="67">
        <f>'[3]Product Design'!T8</f>
        <v>150</v>
      </c>
      <c r="W8" s="67">
        <f>'[3]Product Design'!U8</f>
        <v>150</v>
      </c>
      <c r="X8" s="29">
        <v>150</v>
      </c>
      <c r="Y8" s="29">
        <v>250</v>
      </c>
      <c r="Z8" s="29">
        <v>250</v>
      </c>
      <c r="AA8" s="29">
        <v>250</v>
      </c>
      <c r="AB8" s="29">
        <v>250</v>
      </c>
      <c r="AC8" s="29">
        <v>250</v>
      </c>
      <c r="AD8" s="29">
        <v>250</v>
      </c>
      <c r="AE8" s="29">
        <v>250</v>
      </c>
      <c r="AF8" s="67">
        <v>250</v>
      </c>
      <c r="AG8" s="29">
        <v>250</v>
      </c>
      <c r="AH8" s="29">
        <v>250</v>
      </c>
      <c r="AI8" s="67">
        <v>250</v>
      </c>
      <c r="AJ8" s="67">
        <f>IF(AJ$6&gt;$E$3,"",250)</f>
        <v>250</v>
      </c>
      <c r="AK8" s="67">
        <f t="shared" ref="AK8:AM8" si="4">IF(AK$6&gt;$E$3,"",250)</f>
        <v>250</v>
      </c>
      <c r="AL8" s="67">
        <f t="shared" si="4"/>
        <v>250</v>
      </c>
      <c r="AM8" s="67">
        <f t="shared" si="4"/>
        <v>250</v>
      </c>
      <c r="AN8" s="67">
        <v>350</v>
      </c>
      <c r="AO8" s="67">
        <v>350</v>
      </c>
      <c r="AP8" s="67">
        <f>IF(AP$6&gt;$E$3,"",350)</f>
        <v>350</v>
      </c>
      <c r="AQ8" s="67">
        <f t="shared" ref="AQ8:AV8" si="5">IF(AQ$6&gt;$E$3,"",350)</f>
        <v>350</v>
      </c>
      <c r="AR8" s="67">
        <f t="shared" si="5"/>
        <v>350</v>
      </c>
      <c r="AS8" s="67">
        <f t="shared" si="5"/>
        <v>350</v>
      </c>
      <c r="AT8" s="67">
        <f t="shared" si="5"/>
        <v>350</v>
      </c>
      <c r="AU8" s="67">
        <f t="shared" si="5"/>
        <v>350</v>
      </c>
      <c r="AV8" s="67">
        <f t="shared" si="5"/>
        <v>350</v>
      </c>
      <c r="AW8" s="67">
        <f>IF(AW$6&gt;$E$3,"",350)</f>
        <v>350</v>
      </c>
      <c r="AX8" s="67">
        <f t="shared" ref="AX8:BN8" si="6">IF(AX$6&gt;$E$3,"",350)</f>
        <v>350</v>
      </c>
      <c r="AY8" s="67">
        <f t="shared" si="6"/>
        <v>350</v>
      </c>
      <c r="AZ8" s="67">
        <f t="shared" si="6"/>
        <v>350</v>
      </c>
      <c r="BA8" s="67">
        <f t="shared" si="6"/>
        <v>350</v>
      </c>
      <c r="BB8" s="67">
        <f t="shared" si="6"/>
        <v>350</v>
      </c>
      <c r="BC8" s="67" t="str">
        <f t="shared" si="6"/>
        <v/>
      </c>
      <c r="BD8" s="67" t="str">
        <f t="shared" si="6"/>
        <v/>
      </c>
      <c r="BE8" s="67" t="str">
        <f t="shared" si="6"/>
        <v/>
      </c>
      <c r="BF8" s="67" t="str">
        <f t="shared" si="6"/>
        <v/>
      </c>
      <c r="BG8" s="67" t="str">
        <f t="shared" si="6"/>
        <v/>
      </c>
      <c r="BH8" s="67" t="str">
        <f t="shared" si="6"/>
        <v/>
      </c>
      <c r="BI8" s="67" t="str">
        <f t="shared" si="6"/>
        <v/>
      </c>
      <c r="BJ8" s="67" t="str">
        <f t="shared" si="6"/>
        <v/>
      </c>
      <c r="BK8" s="67" t="str">
        <f t="shared" si="6"/>
        <v/>
      </c>
      <c r="BL8" s="67" t="str">
        <f t="shared" si="6"/>
        <v/>
      </c>
      <c r="BM8" s="67" t="str">
        <f t="shared" si="6"/>
        <v/>
      </c>
      <c r="BN8" s="67" t="str">
        <f t="shared" si="6"/>
        <v/>
      </c>
    </row>
    <row r="9" spans="2:66" ht="24" customHeight="1" x14ac:dyDescent="0.3">
      <c r="B9" s="920"/>
      <c r="C9" s="945"/>
      <c r="D9" s="945"/>
      <c r="E9" s="945"/>
      <c r="F9" s="945"/>
      <c r="G9" s="946"/>
      <c r="H9" s="33" t="s">
        <v>45</v>
      </c>
      <c r="I9" s="34"/>
      <c r="J9" s="36"/>
      <c r="K9" s="36"/>
      <c r="L9" s="52"/>
      <c r="M9" s="36" t="s">
        <v>122</v>
      </c>
      <c r="N9" s="35">
        <f>'[3]Product Design'!L9</f>
        <v>65</v>
      </c>
      <c r="O9" s="35">
        <f>'[3]Product Design'!M9</f>
        <v>73</v>
      </c>
      <c r="P9" s="35">
        <f>'[3]Product Design'!N9</f>
        <v>231</v>
      </c>
      <c r="Q9" s="35">
        <f>'[3]Product Design'!O9</f>
        <v>157</v>
      </c>
      <c r="R9" s="35">
        <f>'[3]Product Design'!P9</f>
        <v>118</v>
      </c>
      <c r="S9" s="35">
        <f>'[3]Product Design'!Q9</f>
        <v>159</v>
      </c>
      <c r="T9" s="35">
        <f>'[3]Product Design'!R9</f>
        <v>271</v>
      </c>
      <c r="U9" s="35">
        <f>'[3]Product Design'!S9</f>
        <v>80</v>
      </c>
      <c r="V9" s="35">
        <f>'[3]Product Design'!T9</f>
        <v>171</v>
      </c>
      <c r="W9" s="35">
        <f>'[3]Product Design'!U9</f>
        <v>156</v>
      </c>
      <c r="X9" s="35">
        <v>196</v>
      </c>
      <c r="Y9" s="35">
        <v>145</v>
      </c>
      <c r="Z9" s="35">
        <v>146</v>
      </c>
      <c r="AA9" s="35">
        <v>69</v>
      </c>
      <c r="AB9" s="35">
        <v>330</v>
      </c>
      <c r="AC9" s="35">
        <v>292</v>
      </c>
      <c r="AD9" s="35">
        <v>136</v>
      </c>
      <c r="AE9" s="35">
        <v>220</v>
      </c>
      <c r="AF9" s="35">
        <v>350</v>
      </c>
      <c r="AG9" s="35">
        <v>141</v>
      </c>
      <c r="AH9" s="35">
        <v>354</v>
      </c>
      <c r="AI9" s="35">
        <v>329</v>
      </c>
      <c r="AJ9" s="35">
        <v>327</v>
      </c>
      <c r="AK9" s="35">
        <v>822</v>
      </c>
      <c r="AL9" s="35">
        <v>447</v>
      </c>
      <c r="AM9" s="35"/>
      <c r="AN9" s="35">
        <v>310</v>
      </c>
      <c r="AO9" s="35">
        <v>354</v>
      </c>
      <c r="AP9" s="35">
        <v>314</v>
      </c>
      <c r="AQ9" s="35">
        <v>314</v>
      </c>
      <c r="AR9" s="35">
        <v>279</v>
      </c>
      <c r="AS9" s="35">
        <v>231</v>
      </c>
      <c r="AT9" s="35">
        <v>337</v>
      </c>
      <c r="AU9" s="35">
        <v>297</v>
      </c>
      <c r="AV9" s="229">
        <v>379</v>
      </c>
      <c r="AW9" s="35">
        <v>290</v>
      </c>
      <c r="AX9" s="35">
        <v>279</v>
      </c>
      <c r="AY9" s="35">
        <v>326</v>
      </c>
      <c r="AZ9" s="35">
        <v>271</v>
      </c>
      <c r="BA9" s="35">
        <v>427</v>
      </c>
      <c r="BB9" s="35"/>
      <c r="BC9" s="35"/>
      <c r="BD9" s="35"/>
      <c r="BE9" s="35"/>
      <c r="BF9" s="35"/>
      <c r="BG9" s="35"/>
      <c r="BH9" s="35"/>
      <c r="BI9" s="35"/>
      <c r="BJ9" s="35"/>
      <c r="BK9" s="35"/>
      <c r="BL9" s="35"/>
      <c r="BM9" s="35"/>
      <c r="BN9" s="37"/>
    </row>
    <row r="10" spans="2:66" ht="24" customHeight="1" x14ac:dyDescent="0.3">
      <c r="B10" s="920"/>
      <c r="C10" s="945"/>
      <c r="D10" s="945"/>
      <c r="E10" s="945"/>
      <c r="F10" s="945"/>
      <c r="G10" s="946"/>
      <c r="H10" s="38" t="s">
        <v>46</v>
      </c>
      <c r="I10" s="39" t="str">
        <f>IF(I9="","",IF((I9-I8)&gt;=0,"G",IF((I9/I8&lt;=0.9),"R","A")))</f>
        <v/>
      </c>
      <c r="J10" s="41" t="str">
        <f t="shared" ref="J10:L10" si="7">IF(J9="","",IF((J9-J8)&gt;=0,"G",IF((J9/J8&lt;=0.9),"R","A")))</f>
        <v/>
      </c>
      <c r="K10" s="41" t="str">
        <f t="shared" si="7"/>
        <v/>
      </c>
      <c r="L10" s="53" t="str">
        <f t="shared" si="7"/>
        <v/>
      </c>
      <c r="M10" s="40" t="str">
        <f>IF(M$6&gt;$E$3,"",IF(M9="","OD",IF(M9="Blank","Blank",IF(M9="TBC","TBC",IF(M9="Undefined","Undefined",IF(M9="Missed","Missed",IF(M9="OD","OD",IF(M$4="OD","OD",IF((M9-M8)&gt;=0,"G",IF((M9-(M8*0.95))&gt;=0,"A","R"))))))))))</f>
        <v>Blank</v>
      </c>
      <c r="N10" s="40" t="str">
        <f t="shared" ref="N10:BM10" si="8">IF(N$6&gt;$E$3,"",IF(N9="","OD",IF(N9="Blank","Blank",IF(N9="TBC","TBC",IF(N9="Undefined","Undefined",IF(N9="Missed","Missed",IF(N9="OD","OD",IF(N$4="OD","OD",IF((N9-N8)&gt;=0,"G",IF((N9-(N8*0.95))&gt;=0,"A","R"))))))))))</f>
        <v>R</v>
      </c>
      <c r="O10" s="40" t="str">
        <f t="shared" si="8"/>
        <v>R</v>
      </c>
      <c r="P10" s="40" t="str">
        <f t="shared" si="8"/>
        <v>G</v>
      </c>
      <c r="Q10" s="40" t="str">
        <f t="shared" si="8"/>
        <v>G</v>
      </c>
      <c r="R10" s="40" t="str">
        <f t="shared" si="8"/>
        <v>R</v>
      </c>
      <c r="S10" s="40" t="str">
        <f t="shared" si="8"/>
        <v>G</v>
      </c>
      <c r="T10" s="40" t="str">
        <f t="shared" si="8"/>
        <v>G</v>
      </c>
      <c r="U10" s="40" t="str">
        <f t="shared" si="8"/>
        <v>R</v>
      </c>
      <c r="V10" s="40" t="str">
        <f t="shared" si="8"/>
        <v>G</v>
      </c>
      <c r="W10" s="40" t="str">
        <f t="shared" si="8"/>
        <v>G</v>
      </c>
      <c r="X10" s="40" t="str">
        <f t="shared" si="8"/>
        <v>G</v>
      </c>
      <c r="Y10" s="40" t="str">
        <f t="shared" si="8"/>
        <v>R</v>
      </c>
      <c r="Z10" s="40" t="str">
        <f t="shared" si="8"/>
        <v>R</v>
      </c>
      <c r="AA10" s="40" t="str">
        <f t="shared" si="8"/>
        <v>R</v>
      </c>
      <c r="AB10" s="40" t="str">
        <f t="shared" si="8"/>
        <v>G</v>
      </c>
      <c r="AC10" s="40" t="str">
        <f t="shared" si="8"/>
        <v>G</v>
      </c>
      <c r="AD10" s="40" t="str">
        <f t="shared" si="8"/>
        <v>R</v>
      </c>
      <c r="AE10" s="40" t="str">
        <f t="shared" si="8"/>
        <v>R</v>
      </c>
      <c r="AF10" s="40" t="str">
        <f t="shared" si="8"/>
        <v>G</v>
      </c>
      <c r="AG10" s="40" t="str">
        <f t="shared" si="8"/>
        <v>R</v>
      </c>
      <c r="AH10" s="40" t="str">
        <f t="shared" si="8"/>
        <v>G</v>
      </c>
      <c r="AI10" s="40" t="str">
        <f t="shared" si="8"/>
        <v>G</v>
      </c>
      <c r="AJ10" s="40" t="str">
        <f t="shared" si="8"/>
        <v>G</v>
      </c>
      <c r="AK10" s="40" t="str">
        <f t="shared" si="8"/>
        <v>G</v>
      </c>
      <c r="AL10" s="40" t="str">
        <f t="shared" si="8"/>
        <v>G</v>
      </c>
      <c r="AM10" s="40" t="str">
        <f t="shared" si="8"/>
        <v>OD</v>
      </c>
      <c r="AN10" s="40" t="str">
        <f t="shared" si="8"/>
        <v>R</v>
      </c>
      <c r="AO10" s="40" t="str">
        <f t="shared" si="8"/>
        <v>G</v>
      </c>
      <c r="AP10" s="40" t="str">
        <f t="shared" si="8"/>
        <v>R</v>
      </c>
      <c r="AQ10" s="40" t="str">
        <f t="shared" si="8"/>
        <v>R</v>
      </c>
      <c r="AR10" s="40" t="str">
        <f t="shared" si="8"/>
        <v>R</v>
      </c>
      <c r="AS10" s="40" t="str">
        <f t="shared" si="8"/>
        <v>R</v>
      </c>
      <c r="AT10" s="40" t="str">
        <f t="shared" si="8"/>
        <v>A</v>
      </c>
      <c r="AU10" s="40" t="str">
        <f t="shared" si="8"/>
        <v>R</v>
      </c>
      <c r="AV10" s="40" t="str">
        <f t="shared" si="8"/>
        <v>G</v>
      </c>
      <c r="AW10" s="40" t="str">
        <f t="shared" si="8"/>
        <v>R</v>
      </c>
      <c r="AX10" s="40" t="str">
        <f t="shared" si="8"/>
        <v>R</v>
      </c>
      <c r="AY10" s="40" t="str">
        <f t="shared" si="8"/>
        <v>R</v>
      </c>
      <c r="AZ10" s="40" t="str">
        <f t="shared" si="8"/>
        <v>R</v>
      </c>
      <c r="BA10" s="40" t="str">
        <f t="shared" si="8"/>
        <v>G</v>
      </c>
      <c r="BB10" s="40" t="str">
        <f t="shared" si="8"/>
        <v>OD</v>
      </c>
      <c r="BC10" s="40" t="str">
        <f t="shared" si="8"/>
        <v/>
      </c>
      <c r="BD10" s="40" t="str">
        <f t="shared" si="8"/>
        <v/>
      </c>
      <c r="BE10" s="40" t="str">
        <f t="shared" si="8"/>
        <v/>
      </c>
      <c r="BF10" s="40" t="str">
        <f t="shared" si="8"/>
        <v/>
      </c>
      <c r="BG10" s="40" t="str">
        <f t="shared" si="8"/>
        <v/>
      </c>
      <c r="BH10" s="40" t="str">
        <f t="shared" si="8"/>
        <v/>
      </c>
      <c r="BI10" s="40" t="str">
        <f t="shared" si="8"/>
        <v/>
      </c>
      <c r="BJ10" s="40" t="str">
        <f t="shared" si="8"/>
        <v/>
      </c>
      <c r="BK10" s="40" t="str">
        <f t="shared" si="8"/>
        <v/>
      </c>
      <c r="BL10" s="40" t="str">
        <f t="shared" si="8"/>
        <v/>
      </c>
      <c r="BM10" s="40" t="str">
        <f t="shared" si="8"/>
        <v/>
      </c>
      <c r="BN10" s="42"/>
    </row>
    <row r="11" spans="2:66" ht="24" customHeight="1" x14ac:dyDescent="0.3">
      <c r="B11" s="920" t="s">
        <v>114</v>
      </c>
      <c r="C11" s="945" t="s">
        <v>107</v>
      </c>
      <c r="D11" s="945" t="s">
        <v>519</v>
      </c>
      <c r="E11" s="945" t="s">
        <v>144</v>
      </c>
      <c r="F11" s="945" t="s">
        <v>154</v>
      </c>
      <c r="G11" s="947" t="s">
        <v>586</v>
      </c>
      <c r="H11" s="27" t="s">
        <v>44</v>
      </c>
      <c r="I11" s="28"/>
      <c r="J11" s="30"/>
      <c r="K11" s="30"/>
      <c r="L11" s="51"/>
      <c r="M11" s="30"/>
      <c r="N11" s="29">
        <v>90</v>
      </c>
      <c r="O11" s="29">
        <v>90</v>
      </c>
      <c r="P11" s="29">
        <v>90</v>
      </c>
      <c r="Q11" s="29">
        <v>90</v>
      </c>
      <c r="R11" s="29">
        <v>90</v>
      </c>
      <c r="S11" s="29">
        <v>90</v>
      </c>
      <c r="T11" s="29">
        <v>90</v>
      </c>
      <c r="U11" s="29">
        <v>90</v>
      </c>
      <c r="V11" s="29">
        <v>90</v>
      </c>
      <c r="W11" s="29">
        <v>90</v>
      </c>
      <c r="X11" s="29">
        <v>90</v>
      </c>
      <c r="Y11" s="29">
        <v>90</v>
      </c>
      <c r="Z11" s="29">
        <v>90</v>
      </c>
      <c r="AA11" s="29">
        <v>90</v>
      </c>
      <c r="AB11" s="29">
        <v>90</v>
      </c>
      <c r="AC11" s="29">
        <v>90</v>
      </c>
      <c r="AD11" s="29">
        <v>90</v>
      </c>
      <c r="AE11" s="29">
        <v>90</v>
      </c>
      <c r="AF11" s="29">
        <v>90</v>
      </c>
      <c r="AG11" s="29">
        <v>90</v>
      </c>
      <c r="AH11" s="29">
        <v>90</v>
      </c>
      <c r="AI11" s="29">
        <v>90</v>
      </c>
      <c r="AJ11" s="67">
        <f>IF(AJ$6&gt;$E$3,"",90)</f>
        <v>90</v>
      </c>
      <c r="AK11" s="67">
        <f t="shared" ref="AK11:BM11" si="9">IF(AK$6&gt;$E$3,"",90)</f>
        <v>90</v>
      </c>
      <c r="AL11" s="67">
        <f t="shared" si="9"/>
        <v>90</v>
      </c>
      <c r="AM11" s="67">
        <f t="shared" si="9"/>
        <v>90</v>
      </c>
      <c r="AN11" s="67">
        <f t="shared" si="9"/>
        <v>90</v>
      </c>
      <c r="AO11" s="67">
        <f t="shared" si="9"/>
        <v>90</v>
      </c>
      <c r="AP11" s="67">
        <f t="shared" si="9"/>
        <v>90</v>
      </c>
      <c r="AQ11" s="67">
        <f t="shared" si="9"/>
        <v>90</v>
      </c>
      <c r="AR11" s="67">
        <f t="shared" si="9"/>
        <v>90</v>
      </c>
      <c r="AS11" s="67">
        <f t="shared" si="9"/>
        <v>90</v>
      </c>
      <c r="AT11" s="67">
        <f t="shared" si="9"/>
        <v>90</v>
      </c>
      <c r="AU11" s="67">
        <f t="shared" si="9"/>
        <v>90</v>
      </c>
      <c r="AV11" s="67">
        <f t="shared" si="9"/>
        <v>90</v>
      </c>
      <c r="AW11" s="67">
        <f t="shared" si="9"/>
        <v>90</v>
      </c>
      <c r="AX11" s="67">
        <f t="shared" si="9"/>
        <v>90</v>
      </c>
      <c r="AY11" s="67">
        <f t="shared" si="9"/>
        <v>90</v>
      </c>
      <c r="AZ11" s="67">
        <f t="shared" si="9"/>
        <v>90</v>
      </c>
      <c r="BA11" s="67">
        <f t="shared" si="9"/>
        <v>90</v>
      </c>
      <c r="BB11" s="67">
        <f t="shared" si="9"/>
        <v>90</v>
      </c>
      <c r="BC11" s="67" t="str">
        <f t="shared" si="9"/>
        <v/>
      </c>
      <c r="BD11" s="67" t="str">
        <f t="shared" si="9"/>
        <v/>
      </c>
      <c r="BE11" s="67" t="str">
        <f t="shared" si="9"/>
        <v/>
      </c>
      <c r="BF11" s="67" t="str">
        <f t="shared" si="9"/>
        <v/>
      </c>
      <c r="BG11" s="67" t="str">
        <f t="shared" si="9"/>
        <v/>
      </c>
      <c r="BH11" s="67" t="str">
        <f t="shared" si="9"/>
        <v/>
      </c>
      <c r="BI11" s="67" t="str">
        <f t="shared" si="9"/>
        <v/>
      </c>
      <c r="BJ11" s="67" t="str">
        <f t="shared" si="9"/>
        <v/>
      </c>
      <c r="BK11" s="67" t="str">
        <f t="shared" si="9"/>
        <v/>
      </c>
      <c r="BL11" s="67" t="str">
        <f t="shared" si="9"/>
        <v/>
      </c>
      <c r="BM11" s="67" t="str">
        <f t="shared" si="9"/>
        <v/>
      </c>
      <c r="BN11" s="31"/>
    </row>
    <row r="12" spans="2:66" ht="24" customHeight="1" x14ac:dyDescent="0.3">
      <c r="B12" s="920"/>
      <c r="C12" s="945"/>
      <c r="D12" s="945"/>
      <c r="E12" s="945"/>
      <c r="F12" s="945"/>
      <c r="G12" s="946"/>
      <c r="H12" s="33" t="s">
        <v>45</v>
      </c>
      <c r="I12" s="34"/>
      <c r="J12" s="36"/>
      <c r="K12" s="36"/>
      <c r="L12" s="52"/>
      <c r="M12" s="36" t="s">
        <v>122</v>
      </c>
      <c r="N12" s="35">
        <v>100</v>
      </c>
      <c r="O12" s="35">
        <v>96</v>
      </c>
      <c r="P12" s="35">
        <v>78</v>
      </c>
      <c r="Q12" s="35">
        <v>95</v>
      </c>
      <c r="R12" s="35">
        <v>96</v>
      </c>
      <c r="S12" s="35">
        <v>89</v>
      </c>
      <c r="T12" s="35">
        <v>85</v>
      </c>
      <c r="U12" s="35">
        <v>96</v>
      </c>
      <c r="V12" s="35">
        <v>91</v>
      </c>
      <c r="W12" s="35">
        <v>90</v>
      </c>
      <c r="X12" s="35">
        <v>82.86</v>
      </c>
      <c r="Y12" s="35">
        <v>95</v>
      </c>
      <c r="Z12" s="35">
        <v>35</v>
      </c>
      <c r="AA12" s="35">
        <v>47</v>
      </c>
      <c r="AB12" s="35">
        <v>39</v>
      </c>
      <c r="AC12" s="35">
        <v>52</v>
      </c>
      <c r="AD12" s="35">
        <v>37</v>
      </c>
      <c r="AE12" s="35">
        <v>35</v>
      </c>
      <c r="AF12" s="35">
        <v>38</v>
      </c>
      <c r="AG12" s="35">
        <v>22</v>
      </c>
      <c r="AH12" s="35">
        <v>43</v>
      </c>
      <c r="AI12" s="35">
        <v>37</v>
      </c>
      <c r="AJ12" s="35">
        <v>35</v>
      </c>
      <c r="AK12" s="35">
        <v>35</v>
      </c>
      <c r="AL12" s="35">
        <v>32</v>
      </c>
      <c r="AM12" s="35"/>
      <c r="AN12" s="35">
        <v>33</v>
      </c>
      <c r="AO12" s="35">
        <v>33</v>
      </c>
      <c r="AP12" s="35">
        <v>96</v>
      </c>
      <c r="AQ12" s="35">
        <v>82</v>
      </c>
      <c r="AR12" s="35">
        <v>89</v>
      </c>
      <c r="AS12" s="35">
        <v>88.1</v>
      </c>
      <c r="AT12" s="35">
        <v>92.5</v>
      </c>
      <c r="AU12" s="35">
        <v>96</v>
      </c>
      <c r="AV12" s="35">
        <v>96</v>
      </c>
      <c r="AW12" s="35">
        <v>83</v>
      </c>
      <c r="AX12" s="35">
        <v>94</v>
      </c>
      <c r="AY12" s="35">
        <v>100</v>
      </c>
      <c r="AZ12" s="35">
        <v>91.3</v>
      </c>
      <c r="BA12" s="35">
        <v>85.2</v>
      </c>
      <c r="BB12" s="35"/>
      <c r="BC12" s="35"/>
      <c r="BD12" s="35"/>
      <c r="BE12" s="35"/>
      <c r="BF12" s="35"/>
      <c r="BG12" s="35"/>
      <c r="BH12" s="35"/>
      <c r="BI12" s="35"/>
      <c r="BJ12" s="35"/>
      <c r="BK12" s="35"/>
      <c r="BL12" s="35"/>
      <c r="BM12" s="37"/>
      <c r="BN12" s="37"/>
    </row>
    <row r="13" spans="2:66" ht="24" customHeight="1" x14ac:dyDescent="0.3">
      <c r="B13" s="920"/>
      <c r="C13" s="945"/>
      <c r="D13" s="945"/>
      <c r="E13" s="945"/>
      <c r="F13" s="945"/>
      <c r="G13" s="946"/>
      <c r="H13" s="38" t="s">
        <v>46</v>
      </c>
      <c r="I13" s="39" t="str">
        <f>IF(I12="","",IF((I12-I11)&gt;=0,"G",IF((I12/I11&lt;=0.9),"R","A")))</f>
        <v/>
      </c>
      <c r="J13" s="41" t="str">
        <f t="shared" ref="J13:L13" si="10">IF(J12="","",IF((J12-J11)&gt;=0,"G",IF((J12/J11&lt;=0.9),"R","A")))</f>
        <v/>
      </c>
      <c r="K13" s="41" t="str">
        <f t="shared" si="10"/>
        <v/>
      </c>
      <c r="L13" s="53" t="str">
        <f t="shared" si="10"/>
        <v/>
      </c>
      <c r="M13" s="40" t="str">
        <f>IF(M$6&gt;$E$3,"",IF(M12="","OD",IF(M12="Blank","Blank",IF(M12="TBC","TBC",IF(M12="Undefined","Undefined",IF(M12="Missed","Missed",IF(M12="OD","OD",IF(M$4="OD","OD",IF((M12-M11)&gt;=0,"G",IF((M12-(M11*0.95))&gt;=0,"A","R"))))))))))</f>
        <v>Blank</v>
      </c>
      <c r="N13" s="40" t="str">
        <f t="shared" ref="N13:BM13" si="11">IF(N$6&gt;$E$3,"",IF(N12="","OD",IF(N12="Blank","Blank",IF(N12="TBC","TBC",IF(N12="Undefined","Undefined",IF(N12="Missed","Missed",IF(N12="OD","OD",IF(N$4="OD","OD",IF((N12-N11)&gt;=0,"G",IF((N12-(N11*0.95))&gt;=0,"A","R"))))))))))</f>
        <v>G</v>
      </c>
      <c r="O13" s="40" t="str">
        <f t="shared" si="11"/>
        <v>G</v>
      </c>
      <c r="P13" s="40" t="str">
        <f t="shared" si="11"/>
        <v>R</v>
      </c>
      <c r="Q13" s="40" t="str">
        <f t="shared" si="11"/>
        <v>G</v>
      </c>
      <c r="R13" s="40" t="str">
        <f t="shared" si="11"/>
        <v>G</v>
      </c>
      <c r="S13" s="40" t="str">
        <f t="shared" si="11"/>
        <v>A</v>
      </c>
      <c r="T13" s="40" t="str">
        <f t="shared" si="11"/>
        <v>R</v>
      </c>
      <c r="U13" s="40" t="str">
        <f t="shared" si="11"/>
        <v>G</v>
      </c>
      <c r="V13" s="40" t="str">
        <f t="shared" si="11"/>
        <v>G</v>
      </c>
      <c r="W13" s="40" t="str">
        <f t="shared" si="11"/>
        <v>G</v>
      </c>
      <c r="X13" s="40" t="str">
        <f t="shared" si="11"/>
        <v>R</v>
      </c>
      <c r="Y13" s="40" t="str">
        <f t="shared" si="11"/>
        <v>G</v>
      </c>
      <c r="Z13" s="40" t="str">
        <f t="shared" si="11"/>
        <v>R</v>
      </c>
      <c r="AA13" s="40" t="str">
        <f t="shared" si="11"/>
        <v>R</v>
      </c>
      <c r="AB13" s="40" t="str">
        <f t="shared" si="11"/>
        <v>R</v>
      </c>
      <c r="AC13" s="40" t="str">
        <f t="shared" si="11"/>
        <v>R</v>
      </c>
      <c r="AD13" s="40" t="str">
        <f t="shared" si="11"/>
        <v>R</v>
      </c>
      <c r="AE13" s="40" t="str">
        <f t="shared" si="11"/>
        <v>R</v>
      </c>
      <c r="AF13" s="40" t="str">
        <f t="shared" si="11"/>
        <v>R</v>
      </c>
      <c r="AG13" s="40" t="str">
        <f t="shared" si="11"/>
        <v>R</v>
      </c>
      <c r="AH13" s="40" t="str">
        <f t="shared" si="11"/>
        <v>R</v>
      </c>
      <c r="AI13" s="40" t="str">
        <f t="shared" si="11"/>
        <v>R</v>
      </c>
      <c r="AJ13" s="40" t="str">
        <f t="shared" si="11"/>
        <v>R</v>
      </c>
      <c r="AK13" s="40" t="str">
        <f t="shared" si="11"/>
        <v>R</v>
      </c>
      <c r="AL13" s="40" t="str">
        <f t="shared" si="11"/>
        <v>R</v>
      </c>
      <c r="AM13" s="40" t="str">
        <f t="shared" si="11"/>
        <v>OD</v>
      </c>
      <c r="AN13" s="40" t="str">
        <f t="shared" si="11"/>
        <v>R</v>
      </c>
      <c r="AO13" s="40" t="str">
        <f t="shared" si="11"/>
        <v>R</v>
      </c>
      <c r="AP13" s="40" t="str">
        <f t="shared" si="11"/>
        <v>G</v>
      </c>
      <c r="AQ13" s="40" t="str">
        <f t="shared" si="11"/>
        <v>R</v>
      </c>
      <c r="AR13" s="40" t="str">
        <f t="shared" si="11"/>
        <v>A</v>
      </c>
      <c r="AS13" s="40" t="str">
        <f t="shared" si="11"/>
        <v>A</v>
      </c>
      <c r="AT13" s="40" t="str">
        <f t="shared" si="11"/>
        <v>G</v>
      </c>
      <c r="AU13" s="40" t="str">
        <f t="shared" si="11"/>
        <v>G</v>
      </c>
      <c r="AV13" s="40" t="str">
        <f t="shared" si="11"/>
        <v>G</v>
      </c>
      <c r="AW13" s="40" t="str">
        <f t="shared" si="11"/>
        <v>R</v>
      </c>
      <c r="AX13" s="40" t="str">
        <f t="shared" si="11"/>
        <v>G</v>
      </c>
      <c r="AY13" s="40" t="str">
        <f t="shared" si="11"/>
        <v>G</v>
      </c>
      <c r="AZ13" s="40" t="str">
        <f t="shared" si="11"/>
        <v>G</v>
      </c>
      <c r="BA13" s="40" t="str">
        <f t="shared" si="11"/>
        <v>R</v>
      </c>
      <c r="BB13" s="40" t="str">
        <f t="shared" si="11"/>
        <v>OD</v>
      </c>
      <c r="BC13" s="40" t="str">
        <f t="shared" si="11"/>
        <v/>
      </c>
      <c r="BD13" s="40" t="str">
        <f t="shared" si="11"/>
        <v/>
      </c>
      <c r="BE13" s="40" t="str">
        <f t="shared" si="11"/>
        <v/>
      </c>
      <c r="BF13" s="40" t="str">
        <f t="shared" si="11"/>
        <v/>
      </c>
      <c r="BG13" s="40" t="str">
        <f t="shared" si="11"/>
        <v/>
      </c>
      <c r="BH13" s="40" t="str">
        <f t="shared" si="11"/>
        <v/>
      </c>
      <c r="BI13" s="40" t="str">
        <f t="shared" si="11"/>
        <v/>
      </c>
      <c r="BJ13" s="40" t="str">
        <f t="shared" si="11"/>
        <v/>
      </c>
      <c r="BK13" s="40" t="str">
        <f t="shared" si="11"/>
        <v/>
      </c>
      <c r="BL13" s="40" t="str">
        <f t="shared" si="11"/>
        <v/>
      </c>
      <c r="BM13" s="40" t="str">
        <f t="shared" si="11"/>
        <v/>
      </c>
      <c r="BN13" s="42"/>
    </row>
    <row r="14" spans="2:66" ht="24" customHeight="1" x14ac:dyDescent="0.3">
      <c r="B14" s="920" t="s">
        <v>115</v>
      </c>
      <c r="C14" s="921" t="s">
        <v>116</v>
      </c>
      <c r="D14" s="921" t="s">
        <v>111</v>
      </c>
      <c r="E14" s="921" t="s">
        <v>146</v>
      </c>
      <c r="F14" s="921" t="s">
        <v>171</v>
      </c>
      <c r="G14" s="946" t="s">
        <v>586</v>
      </c>
      <c r="H14" s="27" t="s">
        <v>44</v>
      </c>
      <c r="I14" s="28"/>
      <c r="J14" s="30"/>
      <c r="K14" s="30"/>
      <c r="L14" s="51"/>
      <c r="M14" s="30"/>
      <c r="N14" s="29">
        <v>7</v>
      </c>
      <c r="O14" s="29">
        <v>7</v>
      </c>
      <c r="P14" s="29">
        <v>7</v>
      </c>
      <c r="Q14" s="29">
        <v>7</v>
      </c>
      <c r="R14" s="29">
        <v>7</v>
      </c>
      <c r="S14" s="29">
        <v>7</v>
      </c>
      <c r="T14" s="29">
        <v>7</v>
      </c>
      <c r="U14" s="29">
        <v>7</v>
      </c>
      <c r="V14" s="29">
        <v>7</v>
      </c>
      <c r="W14" s="29">
        <v>7</v>
      </c>
      <c r="X14" s="29">
        <v>7</v>
      </c>
      <c r="Y14" s="29">
        <v>7</v>
      </c>
      <c r="Z14" s="29">
        <v>7</v>
      </c>
      <c r="AA14" s="29">
        <v>7</v>
      </c>
      <c r="AB14" s="29">
        <v>7</v>
      </c>
      <c r="AC14" s="29">
        <v>7</v>
      </c>
      <c r="AD14" s="29">
        <v>7</v>
      </c>
      <c r="AE14" s="29">
        <v>7</v>
      </c>
      <c r="AF14" s="29">
        <v>7</v>
      </c>
      <c r="AG14" s="29">
        <v>7</v>
      </c>
      <c r="AH14" s="29">
        <v>7</v>
      </c>
      <c r="AI14" s="29">
        <v>7</v>
      </c>
      <c r="AJ14" s="67">
        <f>IF(AJ$6&gt;$E$3,"",7)</f>
        <v>7</v>
      </c>
      <c r="AK14" s="67">
        <f t="shared" ref="AK14:BM14" si="12">IF(AK$6&gt;$E$3,"",7)</f>
        <v>7</v>
      </c>
      <c r="AL14" s="67">
        <f t="shared" si="12"/>
        <v>7</v>
      </c>
      <c r="AM14" s="67">
        <f t="shared" si="12"/>
        <v>7</v>
      </c>
      <c r="AN14" s="67">
        <f t="shared" si="12"/>
        <v>7</v>
      </c>
      <c r="AO14" s="67">
        <f t="shared" si="12"/>
        <v>7</v>
      </c>
      <c r="AP14" s="67">
        <f t="shared" si="12"/>
        <v>7</v>
      </c>
      <c r="AQ14" s="67">
        <f t="shared" si="12"/>
        <v>7</v>
      </c>
      <c r="AR14" s="67">
        <f t="shared" si="12"/>
        <v>7</v>
      </c>
      <c r="AS14" s="67">
        <f t="shared" si="12"/>
        <v>7</v>
      </c>
      <c r="AT14" s="67">
        <f t="shared" si="12"/>
        <v>7</v>
      </c>
      <c r="AU14" s="67">
        <f t="shared" si="12"/>
        <v>7</v>
      </c>
      <c r="AV14" s="67">
        <f t="shared" si="12"/>
        <v>7</v>
      </c>
      <c r="AW14" s="67">
        <f t="shared" si="12"/>
        <v>7</v>
      </c>
      <c r="AX14" s="67">
        <f t="shared" si="12"/>
        <v>7</v>
      </c>
      <c r="AY14" s="67">
        <f t="shared" si="12"/>
        <v>7</v>
      </c>
      <c r="AZ14" s="67">
        <f t="shared" si="12"/>
        <v>7</v>
      </c>
      <c r="BA14" s="67">
        <f t="shared" si="12"/>
        <v>7</v>
      </c>
      <c r="BB14" s="67">
        <f t="shared" si="12"/>
        <v>7</v>
      </c>
      <c r="BC14" s="67" t="str">
        <f t="shared" si="12"/>
        <v/>
      </c>
      <c r="BD14" s="67" t="str">
        <f t="shared" si="12"/>
        <v/>
      </c>
      <c r="BE14" s="67" t="str">
        <f t="shared" si="12"/>
        <v/>
      </c>
      <c r="BF14" s="67" t="str">
        <f t="shared" si="12"/>
        <v/>
      </c>
      <c r="BG14" s="67" t="str">
        <f t="shared" si="12"/>
        <v/>
      </c>
      <c r="BH14" s="67" t="str">
        <f t="shared" si="12"/>
        <v/>
      </c>
      <c r="BI14" s="67" t="str">
        <f t="shared" si="12"/>
        <v/>
      </c>
      <c r="BJ14" s="67" t="str">
        <f t="shared" si="12"/>
        <v/>
      </c>
      <c r="BK14" s="67" t="str">
        <f t="shared" si="12"/>
        <v/>
      </c>
      <c r="BL14" s="67" t="str">
        <f t="shared" si="12"/>
        <v/>
      </c>
      <c r="BM14" s="67" t="str">
        <f t="shared" si="12"/>
        <v/>
      </c>
      <c r="BN14" s="31"/>
    </row>
    <row r="15" spans="2:66" ht="24" customHeight="1" x14ac:dyDescent="0.3">
      <c r="B15" s="920"/>
      <c r="C15" s="921"/>
      <c r="D15" s="921"/>
      <c r="E15" s="921"/>
      <c r="F15" s="921"/>
      <c r="G15" s="946"/>
      <c r="H15" s="33" t="s">
        <v>45</v>
      </c>
      <c r="I15" s="34"/>
      <c r="J15" s="36"/>
      <c r="K15" s="36"/>
      <c r="L15" s="52"/>
      <c r="M15" s="36" t="s">
        <v>122</v>
      </c>
      <c r="N15" s="103">
        <v>11</v>
      </c>
      <c r="O15" s="103">
        <v>3.9</v>
      </c>
      <c r="P15" s="103">
        <v>7.9</v>
      </c>
      <c r="Q15" s="103">
        <v>10</v>
      </c>
      <c r="R15" s="103">
        <v>6.9</v>
      </c>
      <c r="S15" s="103">
        <v>6.9</v>
      </c>
      <c r="T15" s="103">
        <v>8.8000000000000007</v>
      </c>
      <c r="U15" s="103">
        <v>5.6</v>
      </c>
      <c r="V15" s="103">
        <v>6.4</v>
      </c>
      <c r="W15" s="103">
        <v>8.6</v>
      </c>
      <c r="X15" s="35">
        <v>7.8</v>
      </c>
      <c r="Y15" s="29">
        <v>7.4</v>
      </c>
      <c r="Z15" s="29">
        <v>6.7</v>
      </c>
      <c r="AA15" s="29">
        <v>8.1999999999999993</v>
      </c>
      <c r="AB15" s="35">
        <v>8</v>
      </c>
      <c r="AC15" s="35">
        <v>6.6</v>
      </c>
      <c r="AD15" s="35">
        <v>5.6</v>
      </c>
      <c r="AE15" s="35">
        <v>7.8</v>
      </c>
      <c r="AF15" s="35">
        <v>6.9</v>
      </c>
      <c r="AG15" s="35">
        <v>12.7</v>
      </c>
      <c r="AH15" s="35">
        <v>11.5</v>
      </c>
      <c r="AI15" s="35">
        <v>7.1</v>
      </c>
      <c r="AJ15" s="35">
        <v>7.1</v>
      </c>
      <c r="AK15" s="35">
        <v>7.2</v>
      </c>
      <c r="AL15" s="35">
        <v>4</v>
      </c>
      <c r="AM15" s="35"/>
      <c r="AN15" s="35">
        <v>8.1</v>
      </c>
      <c r="AO15" s="35">
        <v>5.8</v>
      </c>
      <c r="AP15" s="35">
        <v>11</v>
      </c>
      <c r="AQ15" s="35">
        <v>6.6</v>
      </c>
      <c r="AR15" s="35">
        <v>11</v>
      </c>
      <c r="AS15" s="35">
        <v>5.4</v>
      </c>
      <c r="AT15" s="35">
        <v>4.9000000000000004</v>
      </c>
      <c r="AU15" s="35">
        <v>7.9</v>
      </c>
      <c r="AV15" s="35">
        <v>5.6</v>
      </c>
      <c r="AW15" s="35">
        <v>4.5999999999999996</v>
      </c>
      <c r="AX15" s="35">
        <v>6.5</v>
      </c>
      <c r="AY15" s="35">
        <v>2.6</v>
      </c>
      <c r="AZ15" s="35">
        <v>7</v>
      </c>
      <c r="BA15" s="35">
        <v>9.8000000000000007</v>
      </c>
      <c r="BB15" s="35"/>
      <c r="BC15" s="35"/>
      <c r="BD15" s="35"/>
      <c r="BE15" s="35"/>
      <c r="BF15" s="35"/>
      <c r="BG15" s="35"/>
      <c r="BH15" s="35"/>
      <c r="BI15" s="35"/>
      <c r="BJ15" s="35"/>
      <c r="BK15" s="35"/>
      <c r="BL15" s="35"/>
      <c r="BM15" s="37"/>
      <c r="BN15" s="37"/>
    </row>
    <row r="16" spans="2:66" ht="28.8" customHeight="1" x14ac:dyDescent="0.3">
      <c r="B16" s="920"/>
      <c r="C16" s="921"/>
      <c r="D16" s="921"/>
      <c r="E16" s="921"/>
      <c r="F16" s="921"/>
      <c r="G16" s="946"/>
      <c r="H16" s="38" t="s">
        <v>46</v>
      </c>
      <c r="I16" s="39" t="str">
        <f>IF(I15="","",IF((I15-I14)&gt;=0,"G",IF((I15/I14&lt;=0.9),"R","A")))</f>
        <v/>
      </c>
      <c r="J16" s="41" t="str">
        <f t="shared" ref="J16:L16" si="13">IF(J15="","",IF((J15-J14)&gt;=0,"G",IF((J15/J14&lt;=0.9),"R","A")))</f>
        <v/>
      </c>
      <c r="K16" s="41" t="str">
        <f t="shared" si="13"/>
        <v/>
      </c>
      <c r="L16" s="53" t="str">
        <f t="shared" si="13"/>
        <v/>
      </c>
      <c r="M16" s="40" t="str">
        <f>IF(M$6&gt;$E$3,"",IF(M15="","OD",IF(M15="Blank","Blank",IF(M15="TBC","TBC",IF(M15="Undefined","Undefined",IF(M15="Missed","Missed",IF(M15="OD","OD",IF(M$4="OD","OD",IF((M15-M14)&lt;=0,"G",IF((M15-(M14/0.95))&lt;=0,"A","R"))))))))))</f>
        <v>Blank</v>
      </c>
      <c r="N16" s="40" t="str">
        <f t="shared" ref="N16:BM16" si="14">IF(N$6&gt;$E$3,"",IF(N15="","OD",IF(N15="Blank","Blank",IF(N15="TBC","TBC",IF(N15="Undefined","Undefined",IF(N15="Missed","Missed",IF(N15="OD","OD",IF(N$4="OD","OD",IF((N15-N14)&lt;=0,"G",IF((N15-(N14/0.95))&lt;=0,"A","R"))))))))))</f>
        <v>R</v>
      </c>
      <c r="O16" s="40" t="str">
        <f t="shared" si="14"/>
        <v>G</v>
      </c>
      <c r="P16" s="40" t="str">
        <f t="shared" si="14"/>
        <v>R</v>
      </c>
      <c r="Q16" s="40" t="str">
        <f t="shared" si="14"/>
        <v>R</v>
      </c>
      <c r="R16" s="40" t="str">
        <f t="shared" si="14"/>
        <v>G</v>
      </c>
      <c r="S16" s="40" t="str">
        <f t="shared" si="14"/>
        <v>G</v>
      </c>
      <c r="T16" s="40" t="str">
        <f t="shared" si="14"/>
        <v>R</v>
      </c>
      <c r="U16" s="40" t="str">
        <f t="shared" si="14"/>
        <v>G</v>
      </c>
      <c r="V16" s="40" t="str">
        <f t="shared" si="14"/>
        <v>G</v>
      </c>
      <c r="W16" s="40" t="str">
        <f t="shared" si="14"/>
        <v>R</v>
      </c>
      <c r="X16" s="40" t="str">
        <f t="shared" si="14"/>
        <v>R</v>
      </c>
      <c r="Y16" s="40" t="str">
        <f t="shared" si="14"/>
        <v>R</v>
      </c>
      <c r="Z16" s="40" t="str">
        <f t="shared" si="14"/>
        <v>G</v>
      </c>
      <c r="AA16" s="40" t="str">
        <f t="shared" si="14"/>
        <v>R</v>
      </c>
      <c r="AB16" s="40" t="str">
        <f t="shared" si="14"/>
        <v>R</v>
      </c>
      <c r="AC16" s="40" t="str">
        <f t="shared" si="14"/>
        <v>G</v>
      </c>
      <c r="AD16" s="40" t="str">
        <f t="shared" si="14"/>
        <v>G</v>
      </c>
      <c r="AE16" s="40" t="str">
        <f t="shared" si="14"/>
        <v>R</v>
      </c>
      <c r="AF16" s="40" t="str">
        <f t="shared" si="14"/>
        <v>G</v>
      </c>
      <c r="AG16" s="40" t="str">
        <f t="shared" si="14"/>
        <v>R</v>
      </c>
      <c r="AH16" s="40" t="str">
        <f t="shared" si="14"/>
        <v>R</v>
      </c>
      <c r="AI16" s="40" t="str">
        <f t="shared" si="14"/>
        <v>A</v>
      </c>
      <c r="AJ16" s="40" t="str">
        <f t="shared" si="14"/>
        <v>A</v>
      </c>
      <c r="AK16" s="40" t="str">
        <f t="shared" si="14"/>
        <v>A</v>
      </c>
      <c r="AL16" s="40" t="str">
        <f t="shared" si="14"/>
        <v>G</v>
      </c>
      <c r="AM16" s="40" t="str">
        <f t="shared" si="14"/>
        <v>OD</v>
      </c>
      <c r="AN16" s="40" t="str">
        <f t="shared" si="14"/>
        <v>R</v>
      </c>
      <c r="AO16" s="40" t="str">
        <f t="shared" si="14"/>
        <v>G</v>
      </c>
      <c r="AP16" s="40" t="str">
        <f t="shared" si="14"/>
        <v>R</v>
      </c>
      <c r="AQ16" s="40" t="str">
        <f t="shared" si="14"/>
        <v>G</v>
      </c>
      <c r="AR16" s="40" t="str">
        <f t="shared" si="14"/>
        <v>R</v>
      </c>
      <c r="AS16" s="40" t="str">
        <f t="shared" si="14"/>
        <v>G</v>
      </c>
      <c r="AT16" s="40" t="str">
        <f t="shared" si="14"/>
        <v>G</v>
      </c>
      <c r="AU16" s="40" t="str">
        <f t="shared" si="14"/>
        <v>R</v>
      </c>
      <c r="AV16" s="40" t="str">
        <f t="shared" si="14"/>
        <v>G</v>
      </c>
      <c r="AW16" s="40" t="str">
        <f t="shared" si="14"/>
        <v>G</v>
      </c>
      <c r="AX16" s="40" t="str">
        <f t="shared" si="14"/>
        <v>G</v>
      </c>
      <c r="AY16" s="40" t="str">
        <f t="shared" si="14"/>
        <v>G</v>
      </c>
      <c r="AZ16" s="40" t="str">
        <f t="shared" si="14"/>
        <v>G</v>
      </c>
      <c r="BA16" s="40" t="str">
        <f t="shared" si="14"/>
        <v>R</v>
      </c>
      <c r="BB16" s="40" t="str">
        <f t="shared" si="14"/>
        <v>OD</v>
      </c>
      <c r="BC16" s="40" t="str">
        <f t="shared" si="14"/>
        <v/>
      </c>
      <c r="BD16" s="40" t="str">
        <f t="shared" si="14"/>
        <v/>
      </c>
      <c r="BE16" s="40" t="str">
        <f t="shared" si="14"/>
        <v/>
      </c>
      <c r="BF16" s="40" t="str">
        <f t="shared" si="14"/>
        <v/>
      </c>
      <c r="BG16" s="40" t="str">
        <f t="shared" si="14"/>
        <v/>
      </c>
      <c r="BH16" s="40" t="str">
        <f t="shared" si="14"/>
        <v/>
      </c>
      <c r="BI16" s="40" t="str">
        <f t="shared" si="14"/>
        <v/>
      </c>
      <c r="BJ16" s="40" t="str">
        <f t="shared" si="14"/>
        <v/>
      </c>
      <c r="BK16" s="40" t="str">
        <f t="shared" si="14"/>
        <v/>
      </c>
      <c r="BL16" s="40" t="str">
        <f t="shared" si="14"/>
        <v/>
      </c>
      <c r="BM16" s="40" t="str">
        <f t="shared" si="14"/>
        <v/>
      </c>
      <c r="BN16" s="42"/>
    </row>
    <row r="17" spans="2:66" ht="24" customHeight="1" x14ac:dyDescent="0.3">
      <c r="B17" s="920" t="s">
        <v>32</v>
      </c>
      <c r="C17" s="945" t="s">
        <v>438</v>
      </c>
      <c r="D17" s="945" t="s">
        <v>440</v>
      </c>
      <c r="E17" s="945" t="s">
        <v>439</v>
      </c>
      <c r="F17" s="921" t="s">
        <v>171</v>
      </c>
      <c r="G17" s="946" t="s">
        <v>587</v>
      </c>
      <c r="H17" s="27" t="s">
        <v>44</v>
      </c>
      <c r="I17" s="28"/>
      <c r="J17" s="30"/>
      <c r="K17" s="30"/>
      <c r="L17" s="51"/>
      <c r="M17" s="30"/>
      <c r="N17" s="29">
        <v>1</v>
      </c>
      <c r="O17" s="29">
        <v>1</v>
      </c>
      <c r="P17" s="29">
        <v>1</v>
      </c>
      <c r="Q17" s="29">
        <v>1</v>
      </c>
      <c r="R17" s="29">
        <v>1</v>
      </c>
      <c r="S17" s="29">
        <v>1</v>
      </c>
      <c r="T17" s="29">
        <v>1</v>
      </c>
      <c r="U17" s="29">
        <v>1</v>
      </c>
      <c r="V17" s="29">
        <v>1</v>
      </c>
      <c r="W17" s="29">
        <v>1</v>
      </c>
      <c r="X17" s="29">
        <v>1</v>
      </c>
      <c r="Y17" s="29">
        <v>1</v>
      </c>
      <c r="Z17" s="29">
        <v>1</v>
      </c>
      <c r="AA17" s="29">
        <v>1</v>
      </c>
      <c r="AB17" s="29">
        <v>1</v>
      </c>
      <c r="AC17" s="29">
        <v>1</v>
      </c>
      <c r="AD17" s="29">
        <v>1</v>
      </c>
      <c r="AE17" s="29">
        <v>1</v>
      </c>
      <c r="AF17" s="29">
        <v>1</v>
      </c>
      <c r="AG17" s="29">
        <v>1</v>
      </c>
      <c r="AH17" s="29">
        <v>1</v>
      </c>
      <c r="AI17" s="29">
        <v>1</v>
      </c>
      <c r="AJ17" s="67">
        <f>IF(AJ$6&gt;$E$3,"",1)</f>
        <v>1</v>
      </c>
      <c r="AK17" s="67">
        <f t="shared" ref="AK17:BM17" si="15">IF(AK$6&gt;$E$3,"",1)</f>
        <v>1</v>
      </c>
      <c r="AL17" s="67">
        <f t="shared" si="15"/>
        <v>1</v>
      </c>
      <c r="AM17" s="67">
        <f t="shared" si="15"/>
        <v>1</v>
      </c>
      <c r="AN17" s="67">
        <f t="shared" si="15"/>
        <v>1</v>
      </c>
      <c r="AO17" s="67">
        <f t="shared" si="15"/>
        <v>1</v>
      </c>
      <c r="AP17" s="67">
        <f t="shared" si="15"/>
        <v>1</v>
      </c>
      <c r="AQ17" s="67">
        <f t="shared" si="15"/>
        <v>1</v>
      </c>
      <c r="AR17" s="67">
        <f t="shared" si="15"/>
        <v>1</v>
      </c>
      <c r="AS17" s="67">
        <f t="shared" si="15"/>
        <v>1</v>
      </c>
      <c r="AT17" s="67">
        <f t="shared" si="15"/>
        <v>1</v>
      </c>
      <c r="AU17" s="67">
        <f t="shared" si="15"/>
        <v>1</v>
      </c>
      <c r="AV17" s="67">
        <f t="shared" si="15"/>
        <v>1</v>
      </c>
      <c r="AW17" s="67">
        <f t="shared" si="15"/>
        <v>1</v>
      </c>
      <c r="AX17" s="67">
        <f t="shared" si="15"/>
        <v>1</v>
      </c>
      <c r="AY17" s="67">
        <f t="shared" si="15"/>
        <v>1</v>
      </c>
      <c r="AZ17" s="67">
        <f t="shared" si="15"/>
        <v>1</v>
      </c>
      <c r="BA17" s="67">
        <f t="shared" si="15"/>
        <v>1</v>
      </c>
      <c r="BB17" s="67">
        <f t="shared" si="15"/>
        <v>1</v>
      </c>
      <c r="BC17" s="67" t="str">
        <f t="shared" si="15"/>
        <v/>
      </c>
      <c r="BD17" s="67" t="str">
        <f t="shared" si="15"/>
        <v/>
      </c>
      <c r="BE17" s="67" t="str">
        <f t="shared" si="15"/>
        <v/>
      </c>
      <c r="BF17" s="67" t="str">
        <f t="shared" si="15"/>
        <v/>
      </c>
      <c r="BG17" s="67" t="str">
        <f t="shared" si="15"/>
        <v/>
      </c>
      <c r="BH17" s="67" t="str">
        <f t="shared" si="15"/>
        <v/>
      </c>
      <c r="BI17" s="67" t="str">
        <f t="shared" si="15"/>
        <v/>
      </c>
      <c r="BJ17" s="67" t="str">
        <f t="shared" si="15"/>
        <v/>
      </c>
      <c r="BK17" s="67" t="str">
        <f t="shared" si="15"/>
        <v/>
      </c>
      <c r="BL17" s="67" t="str">
        <f t="shared" si="15"/>
        <v/>
      </c>
      <c r="BM17" s="67" t="str">
        <f t="shared" si="15"/>
        <v/>
      </c>
      <c r="BN17" s="31"/>
    </row>
    <row r="18" spans="2:66" ht="24" customHeight="1" x14ac:dyDescent="0.3">
      <c r="B18" s="920"/>
      <c r="C18" s="945"/>
      <c r="D18" s="945"/>
      <c r="E18" s="945"/>
      <c r="F18" s="921"/>
      <c r="G18" s="946"/>
      <c r="H18" s="33" t="s">
        <v>45</v>
      </c>
      <c r="I18" s="34"/>
      <c r="J18" s="36"/>
      <c r="K18" s="36"/>
      <c r="L18" s="52"/>
      <c r="M18" s="36" t="s">
        <v>122</v>
      </c>
      <c r="N18" s="35">
        <v>0</v>
      </c>
      <c r="O18" s="35">
        <v>0</v>
      </c>
      <c r="P18" s="35">
        <v>0</v>
      </c>
      <c r="Q18" s="35">
        <v>1</v>
      </c>
      <c r="R18" s="35">
        <v>2</v>
      </c>
      <c r="S18" s="35">
        <v>0.94</v>
      </c>
      <c r="T18" s="35">
        <v>0</v>
      </c>
      <c r="U18" s="35">
        <v>0</v>
      </c>
      <c r="V18" s="35">
        <v>0</v>
      </c>
      <c r="W18" s="35">
        <v>0</v>
      </c>
      <c r="X18" s="35">
        <v>3</v>
      </c>
      <c r="Y18" s="35">
        <v>0</v>
      </c>
      <c r="Z18" s="35">
        <v>0</v>
      </c>
      <c r="AA18" s="35">
        <v>3</v>
      </c>
      <c r="AB18" s="35">
        <v>0</v>
      </c>
      <c r="AC18" s="35">
        <v>0</v>
      </c>
      <c r="AD18" s="35">
        <v>2</v>
      </c>
      <c r="AE18" s="35">
        <v>0</v>
      </c>
      <c r="AF18" s="35">
        <v>2</v>
      </c>
      <c r="AG18" s="35">
        <v>0</v>
      </c>
      <c r="AH18" s="35">
        <v>0</v>
      </c>
      <c r="AI18" s="35">
        <v>0</v>
      </c>
      <c r="AJ18" s="35">
        <v>1</v>
      </c>
      <c r="AK18" s="35">
        <v>0</v>
      </c>
      <c r="AL18" s="35">
        <v>0</v>
      </c>
      <c r="AM18" s="35"/>
      <c r="AN18" s="35">
        <v>0</v>
      </c>
      <c r="AO18" s="35">
        <v>0</v>
      </c>
      <c r="AP18" s="35">
        <v>0</v>
      </c>
      <c r="AQ18" s="35">
        <v>1</v>
      </c>
      <c r="AR18" s="35">
        <v>0</v>
      </c>
      <c r="AS18" s="35">
        <v>0</v>
      </c>
      <c r="AT18" s="35">
        <v>1</v>
      </c>
      <c r="AU18" s="35">
        <v>0</v>
      </c>
      <c r="AV18" s="35">
        <v>0</v>
      </c>
      <c r="AW18" s="35">
        <v>0</v>
      </c>
      <c r="AX18" s="35">
        <v>0</v>
      </c>
      <c r="AY18" s="35">
        <v>0</v>
      </c>
      <c r="AZ18" s="35">
        <v>2</v>
      </c>
      <c r="BA18" s="35">
        <v>0</v>
      </c>
      <c r="BB18" s="35"/>
      <c r="BC18" s="35"/>
      <c r="BD18" s="35"/>
      <c r="BE18" s="35"/>
      <c r="BF18" s="35"/>
      <c r="BG18" s="35"/>
      <c r="BH18" s="35"/>
      <c r="BI18" s="35"/>
      <c r="BJ18" s="35"/>
      <c r="BK18" s="35"/>
      <c r="BL18" s="35"/>
      <c r="BM18" s="37"/>
      <c r="BN18" s="37"/>
    </row>
    <row r="19" spans="2:66" ht="24" customHeight="1" x14ac:dyDescent="0.3">
      <c r="B19" s="920"/>
      <c r="C19" s="945"/>
      <c r="D19" s="945"/>
      <c r="E19" s="945"/>
      <c r="F19" s="921"/>
      <c r="G19" s="946"/>
      <c r="H19" s="38" t="s">
        <v>46</v>
      </c>
      <c r="I19" s="39" t="str">
        <f>IF(I18="","",IF((I18-I17)&gt;=0,"G",IF((I18/I17&lt;=0.9),"R","A")))</f>
        <v/>
      </c>
      <c r="J19" s="41" t="str">
        <f t="shared" ref="J19:L19" si="16">IF(J18="","",IF((J18-J17)&gt;=0,"G",IF((J18/J17&lt;=0.9),"R","A")))</f>
        <v/>
      </c>
      <c r="K19" s="41" t="str">
        <f t="shared" si="16"/>
        <v/>
      </c>
      <c r="L19" s="53" t="str">
        <f t="shared" si="16"/>
        <v/>
      </c>
      <c r="M19" s="40" t="str">
        <f>IF(M$6&gt;$E$3,"",IF(M18="","OD",IF(M18="Blank","Blank",IF(M18="TBC","TBC",IF(M18="Undefined","Undefined",IF(M18="Missed","Missed",IF(M18="OD","OD",IF(M$4="OD","OD",IF((M18-M17)&lt;=0,"G",IF((M18-(M17/0.95))&lt;=0,"A","R"))))))))))</f>
        <v>Blank</v>
      </c>
      <c r="N19" s="40" t="str">
        <f t="shared" ref="N19:BM19" si="17">IF(N$6&gt;$E$3,"",IF(N18="","OD",IF(N18="Blank","Blank",IF(N18="TBC","TBC",IF(N18="Undefined","Undefined",IF(N18="Missed","Missed",IF(N18="OD","OD",IF(N$4="OD","OD",IF((N18-N17)&lt;=0,"G",IF((N18-(N17/0.95))&lt;=0,"A","R"))))))))))</f>
        <v>G</v>
      </c>
      <c r="O19" s="40" t="str">
        <f t="shared" si="17"/>
        <v>G</v>
      </c>
      <c r="P19" s="40" t="str">
        <f t="shared" si="17"/>
        <v>G</v>
      </c>
      <c r="Q19" s="40" t="str">
        <f t="shared" si="17"/>
        <v>G</v>
      </c>
      <c r="R19" s="40" t="str">
        <f t="shared" si="17"/>
        <v>R</v>
      </c>
      <c r="S19" s="40" t="str">
        <f t="shared" si="17"/>
        <v>G</v>
      </c>
      <c r="T19" s="40" t="str">
        <f t="shared" si="17"/>
        <v>G</v>
      </c>
      <c r="U19" s="40" t="str">
        <f t="shared" si="17"/>
        <v>G</v>
      </c>
      <c r="V19" s="40" t="str">
        <f t="shared" si="17"/>
        <v>G</v>
      </c>
      <c r="W19" s="40" t="str">
        <f t="shared" si="17"/>
        <v>G</v>
      </c>
      <c r="X19" s="40" t="str">
        <f t="shared" si="17"/>
        <v>R</v>
      </c>
      <c r="Y19" s="40" t="str">
        <f t="shared" si="17"/>
        <v>G</v>
      </c>
      <c r="Z19" s="40" t="str">
        <f t="shared" si="17"/>
        <v>G</v>
      </c>
      <c r="AA19" s="40" t="str">
        <f t="shared" si="17"/>
        <v>R</v>
      </c>
      <c r="AB19" s="40" t="str">
        <f t="shared" si="17"/>
        <v>G</v>
      </c>
      <c r="AC19" s="40" t="str">
        <f t="shared" si="17"/>
        <v>G</v>
      </c>
      <c r="AD19" s="40" t="str">
        <f t="shared" si="17"/>
        <v>R</v>
      </c>
      <c r="AE19" s="40" t="str">
        <f t="shared" si="17"/>
        <v>G</v>
      </c>
      <c r="AF19" s="40" t="str">
        <f t="shared" si="17"/>
        <v>R</v>
      </c>
      <c r="AG19" s="40" t="str">
        <f t="shared" si="17"/>
        <v>G</v>
      </c>
      <c r="AH19" s="40" t="str">
        <f t="shared" si="17"/>
        <v>G</v>
      </c>
      <c r="AI19" s="40" t="str">
        <f t="shared" si="17"/>
        <v>G</v>
      </c>
      <c r="AJ19" s="40" t="str">
        <f t="shared" si="17"/>
        <v>G</v>
      </c>
      <c r="AK19" s="40" t="str">
        <f t="shared" si="17"/>
        <v>G</v>
      </c>
      <c r="AL19" s="40" t="str">
        <f t="shared" si="17"/>
        <v>G</v>
      </c>
      <c r="AM19" s="40" t="str">
        <f t="shared" si="17"/>
        <v>OD</v>
      </c>
      <c r="AN19" s="40" t="str">
        <f t="shared" si="17"/>
        <v>G</v>
      </c>
      <c r="AO19" s="40" t="str">
        <f t="shared" si="17"/>
        <v>G</v>
      </c>
      <c r="AP19" s="40" t="str">
        <f t="shared" si="17"/>
        <v>G</v>
      </c>
      <c r="AQ19" s="40" t="str">
        <f t="shared" si="17"/>
        <v>G</v>
      </c>
      <c r="AR19" s="40" t="str">
        <f t="shared" si="17"/>
        <v>G</v>
      </c>
      <c r="AS19" s="40" t="str">
        <f t="shared" si="17"/>
        <v>G</v>
      </c>
      <c r="AT19" s="40" t="str">
        <f t="shared" si="17"/>
        <v>G</v>
      </c>
      <c r="AU19" s="40" t="str">
        <f t="shared" si="17"/>
        <v>G</v>
      </c>
      <c r="AV19" s="40" t="str">
        <f t="shared" si="17"/>
        <v>G</v>
      </c>
      <c r="AW19" s="40" t="str">
        <f t="shared" si="17"/>
        <v>G</v>
      </c>
      <c r="AX19" s="40" t="str">
        <f t="shared" si="17"/>
        <v>G</v>
      </c>
      <c r="AY19" s="40" t="str">
        <f t="shared" si="17"/>
        <v>G</v>
      </c>
      <c r="AZ19" s="40" t="str">
        <f t="shared" si="17"/>
        <v>R</v>
      </c>
      <c r="BA19" s="40" t="str">
        <f t="shared" si="17"/>
        <v>G</v>
      </c>
      <c r="BB19" s="40" t="str">
        <f t="shared" si="17"/>
        <v>OD</v>
      </c>
      <c r="BC19" s="40" t="str">
        <f t="shared" si="17"/>
        <v/>
      </c>
      <c r="BD19" s="40" t="str">
        <f t="shared" si="17"/>
        <v/>
      </c>
      <c r="BE19" s="40" t="str">
        <f t="shared" si="17"/>
        <v/>
      </c>
      <c r="BF19" s="40" t="str">
        <f t="shared" si="17"/>
        <v/>
      </c>
      <c r="BG19" s="40" t="str">
        <f t="shared" si="17"/>
        <v/>
      </c>
      <c r="BH19" s="40" t="str">
        <f t="shared" si="17"/>
        <v/>
      </c>
      <c r="BI19" s="40" t="str">
        <f t="shared" si="17"/>
        <v/>
      </c>
      <c r="BJ19" s="40" t="str">
        <f t="shared" si="17"/>
        <v/>
      </c>
      <c r="BK19" s="40" t="str">
        <f t="shared" si="17"/>
        <v/>
      </c>
      <c r="BL19" s="40" t="str">
        <f t="shared" si="17"/>
        <v/>
      </c>
      <c r="BM19" s="40" t="str">
        <f t="shared" si="17"/>
        <v/>
      </c>
      <c r="BN19" s="42"/>
    </row>
    <row r="20" spans="2:66" ht="24" customHeight="1" x14ac:dyDescent="0.3">
      <c r="B20" s="920" t="s">
        <v>31</v>
      </c>
      <c r="C20" s="945"/>
      <c r="D20" s="945"/>
      <c r="E20" s="945"/>
      <c r="F20" s="921" t="s">
        <v>171</v>
      </c>
      <c r="G20" s="940"/>
      <c r="H20" s="27" t="s">
        <v>44</v>
      </c>
      <c r="I20" s="28"/>
      <c r="J20" s="30"/>
      <c r="K20" s="30"/>
      <c r="L20" s="51"/>
      <c r="M20" s="30"/>
      <c r="N20" s="29"/>
      <c r="O20" s="29"/>
      <c r="P20" s="29"/>
      <c r="Q20" s="29"/>
      <c r="R20" s="29"/>
      <c r="S20" s="29"/>
      <c r="T20" s="29"/>
      <c r="U20" s="29"/>
      <c r="V20" s="29"/>
      <c r="W20" s="29"/>
      <c r="X20" s="29"/>
      <c r="Y20" s="29"/>
      <c r="Z20" s="29"/>
      <c r="AA20" s="29"/>
      <c r="AB20" s="29"/>
      <c r="AC20" s="29"/>
      <c r="AD20" s="29"/>
      <c r="AE20" s="29"/>
      <c r="AF20" s="29"/>
      <c r="AG20" s="29"/>
      <c r="AH20" s="29"/>
      <c r="AI20" s="29"/>
      <c r="AJ20" s="67" t="str">
        <f>IF(AJ$6&gt;$E$3,"","Undefined")</f>
        <v>Undefined</v>
      </c>
      <c r="AK20" s="67" t="str">
        <f t="shared" ref="AK20:BN20" si="18">IF(AK$6&gt;$E$3,"","Undefined")</f>
        <v>Undefined</v>
      </c>
      <c r="AL20" s="67" t="str">
        <f t="shared" si="18"/>
        <v>Undefined</v>
      </c>
      <c r="AM20" s="67" t="str">
        <f t="shared" si="18"/>
        <v>Undefined</v>
      </c>
      <c r="AN20" s="67" t="str">
        <f t="shared" si="18"/>
        <v>Undefined</v>
      </c>
      <c r="AO20" s="67" t="str">
        <f t="shared" si="18"/>
        <v>Undefined</v>
      </c>
      <c r="AP20" s="67" t="str">
        <f t="shared" si="18"/>
        <v>Undefined</v>
      </c>
      <c r="AQ20" s="67" t="str">
        <f t="shared" si="18"/>
        <v>Undefined</v>
      </c>
      <c r="AR20" s="67" t="str">
        <f t="shared" si="18"/>
        <v>Undefined</v>
      </c>
      <c r="AS20" s="67" t="str">
        <f t="shared" si="18"/>
        <v>Undefined</v>
      </c>
      <c r="AT20" s="67" t="str">
        <f t="shared" si="18"/>
        <v>Undefined</v>
      </c>
      <c r="AU20" s="67" t="str">
        <f t="shared" si="18"/>
        <v>Undefined</v>
      </c>
      <c r="AV20" s="67" t="str">
        <f t="shared" si="18"/>
        <v>Undefined</v>
      </c>
      <c r="AW20" s="67" t="str">
        <f t="shared" si="18"/>
        <v>Undefined</v>
      </c>
      <c r="AX20" s="67" t="str">
        <f t="shared" si="18"/>
        <v>Undefined</v>
      </c>
      <c r="AY20" s="67" t="str">
        <f t="shared" si="18"/>
        <v>Undefined</v>
      </c>
      <c r="AZ20" s="67" t="str">
        <f t="shared" si="18"/>
        <v>Undefined</v>
      </c>
      <c r="BA20" s="67" t="str">
        <f t="shared" si="18"/>
        <v>Undefined</v>
      </c>
      <c r="BB20" s="67" t="str">
        <f t="shared" si="18"/>
        <v>Undefined</v>
      </c>
      <c r="BC20" s="67" t="str">
        <f t="shared" si="18"/>
        <v/>
      </c>
      <c r="BD20" s="67" t="str">
        <f t="shared" si="18"/>
        <v/>
      </c>
      <c r="BE20" s="67" t="str">
        <f t="shared" si="18"/>
        <v/>
      </c>
      <c r="BF20" s="67" t="str">
        <f t="shared" si="18"/>
        <v/>
      </c>
      <c r="BG20" s="67" t="str">
        <f t="shared" si="18"/>
        <v/>
      </c>
      <c r="BH20" s="67" t="str">
        <f t="shared" si="18"/>
        <v/>
      </c>
      <c r="BI20" s="67" t="str">
        <f t="shared" si="18"/>
        <v/>
      </c>
      <c r="BJ20" s="67" t="str">
        <f t="shared" si="18"/>
        <v/>
      </c>
      <c r="BK20" s="67" t="str">
        <f t="shared" si="18"/>
        <v/>
      </c>
      <c r="BL20" s="67" t="str">
        <f t="shared" si="18"/>
        <v/>
      </c>
      <c r="BM20" s="67" t="str">
        <f t="shared" si="18"/>
        <v/>
      </c>
      <c r="BN20" s="67" t="str">
        <f t="shared" si="18"/>
        <v/>
      </c>
    </row>
    <row r="21" spans="2:66" ht="24" customHeight="1" x14ac:dyDescent="0.3">
      <c r="B21" s="920"/>
      <c r="C21" s="945"/>
      <c r="D21" s="945"/>
      <c r="E21" s="945"/>
      <c r="F21" s="921"/>
      <c r="G21" s="940"/>
      <c r="H21" s="33" t="s">
        <v>45</v>
      </c>
      <c r="I21" s="34"/>
      <c r="J21" s="36"/>
      <c r="K21" s="36"/>
      <c r="L21" s="52"/>
      <c r="M21" s="36" t="s">
        <v>122</v>
      </c>
      <c r="N21" s="35" t="s">
        <v>182</v>
      </c>
      <c r="O21" s="35" t="s">
        <v>182</v>
      </c>
      <c r="P21" s="35" t="s">
        <v>182</v>
      </c>
      <c r="Q21" s="35" t="s">
        <v>182</v>
      </c>
      <c r="R21" s="35" t="s">
        <v>182</v>
      </c>
      <c r="S21" s="35" t="s">
        <v>182</v>
      </c>
      <c r="T21" s="35" t="s">
        <v>182</v>
      </c>
      <c r="U21" s="35" t="s">
        <v>182</v>
      </c>
      <c r="V21" s="35" t="s">
        <v>182</v>
      </c>
      <c r="W21" s="35" t="s">
        <v>182</v>
      </c>
      <c r="X21" s="35" t="s">
        <v>182</v>
      </c>
      <c r="Y21" s="35" t="s">
        <v>182</v>
      </c>
      <c r="Z21" s="35" t="s">
        <v>182</v>
      </c>
      <c r="AA21" s="35" t="s">
        <v>182</v>
      </c>
      <c r="AB21" s="35" t="s">
        <v>182</v>
      </c>
      <c r="AC21" s="35" t="s">
        <v>182</v>
      </c>
      <c r="AD21" s="35" t="s">
        <v>182</v>
      </c>
      <c r="AE21" s="35" t="s">
        <v>182</v>
      </c>
      <c r="AF21" s="35" t="s">
        <v>182</v>
      </c>
      <c r="AG21" s="35" t="s">
        <v>182</v>
      </c>
      <c r="AH21" s="35" t="s">
        <v>182</v>
      </c>
      <c r="AI21" s="35" t="s">
        <v>182</v>
      </c>
      <c r="AJ21" s="35" t="str">
        <f>IF(AJ$6&gt;$E$3,"","undefined")</f>
        <v>undefined</v>
      </c>
      <c r="AK21" s="35" t="str">
        <f t="shared" ref="AK21:BN21" si="19">IF(AK$6&gt;$E$3,"","undefined")</f>
        <v>undefined</v>
      </c>
      <c r="AL21" s="35" t="str">
        <f t="shared" si="19"/>
        <v>undefined</v>
      </c>
      <c r="AM21" s="35" t="str">
        <f t="shared" si="19"/>
        <v>undefined</v>
      </c>
      <c r="AN21" s="35" t="str">
        <f t="shared" si="19"/>
        <v>undefined</v>
      </c>
      <c r="AO21" s="35" t="str">
        <f t="shared" si="19"/>
        <v>undefined</v>
      </c>
      <c r="AP21" s="35" t="str">
        <f t="shared" si="19"/>
        <v>undefined</v>
      </c>
      <c r="AQ21" s="35" t="str">
        <f t="shared" si="19"/>
        <v>undefined</v>
      </c>
      <c r="AR21" s="35" t="str">
        <f t="shared" si="19"/>
        <v>undefined</v>
      </c>
      <c r="AS21" s="35" t="str">
        <f t="shared" si="19"/>
        <v>undefined</v>
      </c>
      <c r="AT21" s="35" t="str">
        <f t="shared" si="19"/>
        <v>undefined</v>
      </c>
      <c r="AU21" s="35" t="str">
        <f t="shared" si="19"/>
        <v>undefined</v>
      </c>
      <c r="AV21" s="35" t="str">
        <f t="shared" si="19"/>
        <v>undefined</v>
      </c>
      <c r="AW21" s="35" t="str">
        <f t="shared" si="19"/>
        <v>undefined</v>
      </c>
      <c r="AX21" s="35" t="str">
        <f t="shared" si="19"/>
        <v>undefined</v>
      </c>
      <c r="AY21" s="35" t="str">
        <f t="shared" si="19"/>
        <v>undefined</v>
      </c>
      <c r="AZ21" s="35" t="str">
        <f t="shared" si="19"/>
        <v>undefined</v>
      </c>
      <c r="BA21" s="35" t="str">
        <f t="shared" si="19"/>
        <v>undefined</v>
      </c>
      <c r="BB21" s="35" t="str">
        <f t="shared" si="19"/>
        <v>undefined</v>
      </c>
      <c r="BC21" s="35" t="str">
        <f t="shared" si="19"/>
        <v/>
      </c>
      <c r="BD21" s="35" t="str">
        <f t="shared" si="19"/>
        <v/>
      </c>
      <c r="BE21" s="35" t="str">
        <f t="shared" si="19"/>
        <v/>
      </c>
      <c r="BF21" s="35" t="str">
        <f t="shared" si="19"/>
        <v/>
      </c>
      <c r="BG21" s="35" t="str">
        <f t="shared" si="19"/>
        <v/>
      </c>
      <c r="BH21" s="35" t="str">
        <f t="shared" si="19"/>
        <v/>
      </c>
      <c r="BI21" s="35" t="str">
        <f t="shared" si="19"/>
        <v/>
      </c>
      <c r="BJ21" s="35" t="str">
        <f t="shared" si="19"/>
        <v/>
      </c>
      <c r="BK21" s="35" t="str">
        <f t="shared" si="19"/>
        <v/>
      </c>
      <c r="BL21" s="35" t="str">
        <f t="shared" si="19"/>
        <v/>
      </c>
      <c r="BM21" s="35" t="str">
        <f t="shared" si="19"/>
        <v/>
      </c>
      <c r="BN21" s="35" t="str">
        <f t="shared" si="19"/>
        <v/>
      </c>
    </row>
    <row r="22" spans="2:66" ht="24" customHeight="1" thickBot="1" x14ac:dyDescent="0.35">
      <c r="B22" s="920"/>
      <c r="C22" s="945"/>
      <c r="D22" s="945"/>
      <c r="E22" s="945"/>
      <c r="F22" s="921"/>
      <c r="G22" s="940"/>
      <c r="H22" s="38" t="s">
        <v>46</v>
      </c>
      <c r="I22" s="43" t="str">
        <f>IF(I21="","",IF((I21-I20)&gt;=0,"G",IF((I21/I20&lt;=0.9),"R","A")))</f>
        <v/>
      </c>
      <c r="J22" s="81" t="str">
        <f t="shared" ref="J22:L22" si="20">IF(J21="","",IF((J21-J20)&gt;=0,"G",IF((J21/J20&lt;=0.9),"R","A")))</f>
        <v/>
      </c>
      <c r="K22" s="81" t="str">
        <f t="shared" si="20"/>
        <v/>
      </c>
      <c r="L22" s="54" t="str">
        <f t="shared" si="20"/>
        <v/>
      </c>
      <c r="M22" s="40" t="str">
        <f>IF(M$6&gt;$E$3,"",IF(M21="","OD",IF(M21="Blank","Blank",IF(M21="TBC","TBC",IF(M21="Undefined","Undefined",IF(M21="Missed","Missed",IF(M21="OD","OD",IF(M$4="OD","OD",IF((M21-M20)&lt;=0,"G",IF((M21-(M20/0.95))&lt;=0,"A","R"))))))))))</f>
        <v>Blank</v>
      </c>
      <c r="N22" s="40" t="str">
        <f t="shared" ref="N22:BM22" si="21">IF(N$6&gt;$E$3,"",IF(N21="","OD",IF(N21="Blank","Blank",IF(N21="TBC","TBC",IF(N21="Undefined","Undefined",IF(N21="Missed","Missed",IF(N21="OD","OD",IF(N$4="OD","OD",IF((N21-N20)&lt;=0,"G",IF((N21-(N20/0.95))&lt;=0,"A","R"))))))))))</f>
        <v>Undefined</v>
      </c>
      <c r="O22" s="40" t="str">
        <f t="shared" si="21"/>
        <v>Undefined</v>
      </c>
      <c r="P22" s="40" t="str">
        <f t="shared" si="21"/>
        <v>Undefined</v>
      </c>
      <c r="Q22" s="40" t="str">
        <f t="shared" si="21"/>
        <v>Undefined</v>
      </c>
      <c r="R22" s="40" t="str">
        <f t="shared" si="21"/>
        <v>Undefined</v>
      </c>
      <c r="S22" s="40" t="str">
        <f t="shared" si="21"/>
        <v>Undefined</v>
      </c>
      <c r="T22" s="40" t="str">
        <f t="shared" si="21"/>
        <v>Undefined</v>
      </c>
      <c r="U22" s="40" t="str">
        <f t="shared" si="21"/>
        <v>Undefined</v>
      </c>
      <c r="V22" s="40" t="str">
        <f t="shared" si="21"/>
        <v>Undefined</v>
      </c>
      <c r="W22" s="40" t="str">
        <f t="shared" si="21"/>
        <v>Undefined</v>
      </c>
      <c r="X22" s="40" t="str">
        <f t="shared" si="21"/>
        <v>Undefined</v>
      </c>
      <c r="Y22" s="40" t="str">
        <f t="shared" si="21"/>
        <v>Undefined</v>
      </c>
      <c r="Z22" s="40" t="str">
        <f t="shared" si="21"/>
        <v>Undefined</v>
      </c>
      <c r="AA22" s="40" t="str">
        <f t="shared" si="21"/>
        <v>Undefined</v>
      </c>
      <c r="AB22" s="40" t="str">
        <f t="shared" si="21"/>
        <v>Undefined</v>
      </c>
      <c r="AC22" s="40" t="str">
        <f t="shared" si="21"/>
        <v>Undefined</v>
      </c>
      <c r="AD22" s="40" t="str">
        <f t="shared" si="21"/>
        <v>Undefined</v>
      </c>
      <c r="AE22" s="40" t="str">
        <f t="shared" si="21"/>
        <v>Undefined</v>
      </c>
      <c r="AF22" s="40" t="str">
        <f t="shared" si="21"/>
        <v>Undefined</v>
      </c>
      <c r="AG22" s="40" t="str">
        <f t="shared" si="21"/>
        <v>Undefined</v>
      </c>
      <c r="AH22" s="40" t="str">
        <f t="shared" si="21"/>
        <v>Undefined</v>
      </c>
      <c r="AI22" s="40" t="str">
        <f t="shared" si="21"/>
        <v>Undefined</v>
      </c>
      <c r="AJ22" s="40" t="str">
        <f t="shared" si="21"/>
        <v>Undefined</v>
      </c>
      <c r="AK22" s="40" t="str">
        <f t="shared" si="21"/>
        <v>Undefined</v>
      </c>
      <c r="AL22" s="40" t="str">
        <f t="shared" si="21"/>
        <v>Undefined</v>
      </c>
      <c r="AM22" s="40" t="str">
        <f t="shared" si="21"/>
        <v>Undefined</v>
      </c>
      <c r="AN22" s="40" t="str">
        <f t="shared" si="21"/>
        <v>Undefined</v>
      </c>
      <c r="AO22" s="40" t="str">
        <f t="shared" si="21"/>
        <v>Undefined</v>
      </c>
      <c r="AP22" s="40" t="str">
        <f t="shared" si="21"/>
        <v>Undefined</v>
      </c>
      <c r="AQ22" s="40" t="str">
        <f t="shared" si="21"/>
        <v>Undefined</v>
      </c>
      <c r="AR22" s="40" t="str">
        <f t="shared" si="21"/>
        <v>Undefined</v>
      </c>
      <c r="AS22" s="40" t="str">
        <f t="shared" si="21"/>
        <v>Undefined</v>
      </c>
      <c r="AT22" s="40" t="str">
        <f t="shared" si="21"/>
        <v>Undefined</v>
      </c>
      <c r="AU22" s="40" t="str">
        <f t="shared" si="21"/>
        <v>Undefined</v>
      </c>
      <c r="AV22" s="40" t="str">
        <f t="shared" si="21"/>
        <v>Undefined</v>
      </c>
      <c r="AW22" s="40" t="str">
        <f t="shared" si="21"/>
        <v>Undefined</v>
      </c>
      <c r="AX22" s="40" t="str">
        <f t="shared" si="21"/>
        <v>Undefined</v>
      </c>
      <c r="AY22" s="40" t="str">
        <f t="shared" si="21"/>
        <v>Undefined</v>
      </c>
      <c r="AZ22" s="40" t="str">
        <f t="shared" si="21"/>
        <v>Undefined</v>
      </c>
      <c r="BA22" s="40" t="str">
        <f t="shared" si="21"/>
        <v>Undefined</v>
      </c>
      <c r="BB22" s="40" t="str">
        <f t="shared" si="21"/>
        <v>Undefined</v>
      </c>
      <c r="BC22" s="40" t="str">
        <f t="shared" si="21"/>
        <v/>
      </c>
      <c r="BD22" s="40" t="str">
        <f t="shared" si="21"/>
        <v/>
      </c>
      <c r="BE22" s="40" t="str">
        <f t="shared" si="21"/>
        <v/>
      </c>
      <c r="BF22" s="40" t="str">
        <f t="shared" si="21"/>
        <v/>
      </c>
      <c r="BG22" s="40" t="str">
        <f t="shared" si="21"/>
        <v/>
      </c>
      <c r="BH22" s="40" t="str">
        <f t="shared" si="21"/>
        <v/>
      </c>
      <c r="BI22" s="40" t="str">
        <f t="shared" si="21"/>
        <v/>
      </c>
      <c r="BJ22" s="40" t="str">
        <f t="shared" si="21"/>
        <v/>
      </c>
      <c r="BK22" s="40" t="str">
        <f t="shared" si="21"/>
        <v/>
      </c>
      <c r="BL22" s="40" t="str">
        <f t="shared" si="21"/>
        <v/>
      </c>
      <c r="BM22" s="40" t="str">
        <f t="shared" si="21"/>
        <v/>
      </c>
      <c r="BN22" s="42"/>
    </row>
    <row r="25" spans="2:66" ht="15.6" x14ac:dyDescent="0.3">
      <c r="B25" s="1" t="s">
        <v>0</v>
      </c>
      <c r="C25" s="45" t="s">
        <v>1</v>
      </c>
    </row>
    <row r="26" spans="2:66" ht="15.6" x14ac:dyDescent="0.3">
      <c r="B26" s="4" t="s">
        <v>2</v>
      </c>
      <c r="C26" s="45" t="s">
        <v>3</v>
      </c>
    </row>
    <row r="27" spans="2:66" ht="15.6" x14ac:dyDescent="0.3">
      <c r="B27" s="5" t="s">
        <v>4</v>
      </c>
      <c r="C27" s="45" t="s">
        <v>5</v>
      </c>
    </row>
    <row r="28" spans="2:66" x14ac:dyDescent="0.3">
      <c r="B28" s="340" t="s">
        <v>35</v>
      </c>
      <c r="C28" s="13" t="s">
        <v>376</v>
      </c>
    </row>
    <row r="29" spans="2:66" x14ac:dyDescent="0.3">
      <c r="B29" s="341" t="s">
        <v>122</v>
      </c>
      <c r="C29" s="13" t="s">
        <v>377</v>
      </c>
    </row>
  </sheetData>
  <mergeCells count="31">
    <mergeCell ref="B20:B22"/>
    <mergeCell ref="C20:C22"/>
    <mergeCell ref="D20:D22"/>
    <mergeCell ref="G20:G22"/>
    <mergeCell ref="B14:B16"/>
    <mergeCell ref="C14:C16"/>
    <mergeCell ref="D14:D16"/>
    <mergeCell ref="G14:G16"/>
    <mergeCell ref="E20:E22"/>
    <mergeCell ref="F20:F22"/>
    <mergeCell ref="B11:B13"/>
    <mergeCell ref="C11:C13"/>
    <mergeCell ref="D11:D13"/>
    <mergeCell ref="G11:G13"/>
    <mergeCell ref="B17:B19"/>
    <mergeCell ref="C17:C19"/>
    <mergeCell ref="D17:D19"/>
    <mergeCell ref="G17:G19"/>
    <mergeCell ref="E11:E13"/>
    <mergeCell ref="F11:F13"/>
    <mergeCell ref="E14:E16"/>
    <mergeCell ref="F14:F16"/>
    <mergeCell ref="E17:E19"/>
    <mergeCell ref="F17:F19"/>
    <mergeCell ref="G6:G7"/>
    <mergeCell ref="B8:B10"/>
    <mergeCell ref="C8:C10"/>
    <mergeCell ref="D8:D10"/>
    <mergeCell ref="G8:G10"/>
    <mergeCell ref="E8:E10"/>
    <mergeCell ref="F8:F10"/>
  </mergeCells>
  <conditionalFormatting sqref="B29">
    <cfRule type="cellIs" dxfId="398" priority="65" operator="equal">
      <formula>"TBC"</formula>
    </cfRule>
    <cfRule type="cellIs" dxfId="397" priority="66" operator="equal">
      <formula>"OD"</formula>
    </cfRule>
    <cfRule type="cellIs" dxfId="396" priority="67" operator="equal">
      <formula>"G"</formula>
    </cfRule>
    <cfRule type="cellIs" dxfId="395" priority="68" operator="equal">
      <formula>"A"</formula>
    </cfRule>
    <cfRule type="cellIs" dxfId="394" priority="69" operator="equal">
      <formula>"R"</formula>
    </cfRule>
  </conditionalFormatting>
  <conditionalFormatting sqref="I10:BM10">
    <cfRule type="cellIs" dxfId="393" priority="21" operator="equal">
      <formula>"OD"</formula>
    </cfRule>
    <cfRule type="cellIs" dxfId="392" priority="22" operator="equal">
      <formula>"TBC"</formula>
    </cfRule>
    <cfRule type="cellIs" dxfId="391" priority="23" operator="equal">
      <formula>"G"</formula>
    </cfRule>
    <cfRule type="cellIs" dxfId="390" priority="24" operator="equal">
      <formula>"A"</formula>
    </cfRule>
    <cfRule type="cellIs" dxfId="389" priority="25" operator="equal">
      <formula>"R"</formula>
    </cfRule>
  </conditionalFormatting>
  <conditionalFormatting sqref="I13:BM13">
    <cfRule type="cellIs" dxfId="388" priority="16" operator="equal">
      <formula>"OD"</formula>
    </cfRule>
    <cfRule type="cellIs" dxfId="387" priority="18" operator="equal">
      <formula>"G"</formula>
    </cfRule>
    <cfRule type="cellIs" dxfId="386" priority="19" operator="equal">
      <formula>"A"</formula>
    </cfRule>
    <cfRule type="cellIs" dxfId="385" priority="20" operator="equal">
      <formula>"R"</formula>
    </cfRule>
  </conditionalFormatting>
  <conditionalFormatting sqref="I16:BM16">
    <cfRule type="cellIs" dxfId="384" priority="11" operator="equal">
      <formula>"OD"</formula>
    </cfRule>
    <cfRule type="cellIs" dxfId="383" priority="12" operator="equal">
      <formula>"TBC"</formula>
    </cfRule>
    <cfRule type="cellIs" dxfId="382" priority="13" operator="equal">
      <formula>"G"</formula>
    </cfRule>
    <cfRule type="cellIs" dxfId="381" priority="14" operator="equal">
      <formula>"A"</formula>
    </cfRule>
    <cfRule type="cellIs" dxfId="380" priority="15" operator="equal">
      <formula>"R"</formula>
    </cfRule>
  </conditionalFormatting>
  <conditionalFormatting sqref="I19:BM19">
    <cfRule type="cellIs" dxfId="379" priority="6" operator="equal">
      <formula>"OD"</formula>
    </cfRule>
    <cfRule type="cellIs" dxfId="378" priority="7" operator="equal">
      <formula>"TBC"</formula>
    </cfRule>
    <cfRule type="cellIs" dxfId="377" priority="8" operator="equal">
      <formula>"G"</formula>
    </cfRule>
    <cfRule type="cellIs" dxfId="376" priority="9" operator="equal">
      <formula>"A"</formula>
    </cfRule>
    <cfRule type="cellIs" dxfId="375" priority="10" operator="equal">
      <formula>"R"</formula>
    </cfRule>
  </conditionalFormatting>
  <conditionalFormatting sqref="I22:BM22">
    <cfRule type="cellIs" dxfId="374" priority="1" operator="equal">
      <formula>"OD"</formula>
    </cfRule>
    <cfRule type="cellIs" dxfId="373" priority="2" operator="equal">
      <formula>"TBC"</formula>
    </cfRule>
    <cfRule type="cellIs" dxfId="372" priority="3" operator="equal">
      <formula>"G"</formula>
    </cfRule>
    <cfRule type="cellIs" dxfId="371" priority="4" operator="equal">
      <formula>"A"</formula>
    </cfRule>
    <cfRule type="cellIs" dxfId="370" priority="5" operator="equal">
      <formula>"R"</formula>
    </cfRule>
  </conditionalFormatting>
  <conditionalFormatting sqref="M13:BM13">
    <cfRule type="cellIs" dxfId="369" priority="17" operator="equal">
      <formula>"TBC"</formula>
    </cfRule>
  </conditionalFormatting>
  <hyperlinks>
    <hyperlink ref="G11" r:id="rId1" xr:uid="{378040BE-625B-454A-9128-803E3D249F8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9E21A-1726-4EBF-99F1-CD9B2D0398C0}">
  <sheetPr>
    <tabColor rgb="FF00B050"/>
  </sheetPr>
  <dimension ref="B1:BN29"/>
  <sheetViews>
    <sheetView zoomScale="90" zoomScaleNormal="90" workbookViewId="0">
      <pane xSplit="6" ySplit="7" topLeftCell="AN8" activePane="bottomRight" state="frozen"/>
      <selection pane="topRight" activeCell="G1" sqref="G1"/>
      <selection pane="bottomLeft" activeCell="A8" sqref="A8"/>
      <selection pane="bottomRight" activeCell="E3" sqref="E3"/>
    </sheetView>
  </sheetViews>
  <sheetFormatPr defaultColWidth="9.33203125" defaultRowHeight="14.4" x14ac:dyDescent="0.3"/>
  <cols>
    <col min="1" max="1" width="3" style="2" customWidth="1"/>
    <col min="2" max="2" width="18" style="2" customWidth="1"/>
    <col min="3" max="3" width="16.5546875" style="13" bestFit="1" customWidth="1"/>
    <col min="4" max="4" width="35" style="2" customWidth="1"/>
    <col min="5" max="5" width="9.88671875" style="2" customWidth="1"/>
    <col min="6" max="6" width="8.6640625" style="2" customWidth="1"/>
    <col min="7" max="7" width="31.33203125" style="2" customWidth="1"/>
    <col min="8" max="8" width="9.44140625" style="2" bestFit="1" customWidth="1"/>
    <col min="9" max="12" width="3" style="2" bestFit="1" customWidth="1"/>
    <col min="13" max="65" width="8.33203125" style="2" customWidth="1"/>
    <col min="66" max="66" width="7.6640625" style="2" hidden="1"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8.600000000000001" thickBot="1" x14ac:dyDescent="0.35">
      <c r="B1" s="14" t="s">
        <v>121</v>
      </c>
      <c r="C1" s="10" t="s">
        <v>21</v>
      </c>
      <c r="R1" s="2" t="s">
        <v>548</v>
      </c>
    </row>
    <row r="2" spans="2:66" ht="15" thickBot="1" x14ac:dyDescent="0.35">
      <c r="D2" s="119" t="s">
        <v>123</v>
      </c>
      <c r="E2" s="346">
        <v>42</v>
      </c>
      <c r="F2" s="2" t="s">
        <v>248</v>
      </c>
    </row>
    <row r="3" spans="2:66" ht="15" thickBot="1" x14ac:dyDescent="0.35">
      <c r="B3" s="2" t="s">
        <v>384</v>
      </c>
      <c r="D3" s="120" t="s">
        <v>193</v>
      </c>
      <c r="E3" s="120">
        <f>+'KPI Analysis'!D3</f>
        <v>42</v>
      </c>
    </row>
    <row r="4" spans="2:66" ht="15.6"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5" thickBot="1" x14ac:dyDescent="0.35"/>
    <row r="6" spans="2:66" ht="24" customHeight="1" x14ac:dyDescent="0.3">
      <c r="B6" s="14" t="s">
        <v>79</v>
      </c>
      <c r="C6" s="189" t="s">
        <v>161</v>
      </c>
      <c r="D6" s="190"/>
      <c r="E6" s="106"/>
      <c r="F6" s="106"/>
      <c r="G6" s="928" t="s">
        <v>37</v>
      </c>
      <c r="H6" s="15" t="s">
        <v>7</v>
      </c>
      <c r="I6" s="57">
        <f>J6-1</f>
        <v>49</v>
      </c>
      <c r="J6" s="58">
        <f>K6-1</f>
        <v>50</v>
      </c>
      <c r="K6" s="58">
        <f>L6-1</f>
        <v>51</v>
      </c>
      <c r="L6" s="59">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44.4" customHeight="1" x14ac:dyDescent="0.3">
      <c r="B7" s="14" t="s">
        <v>38</v>
      </c>
      <c r="C7" s="21" t="s">
        <v>39</v>
      </c>
      <c r="D7" s="21" t="s">
        <v>40</v>
      </c>
      <c r="E7" s="21" t="s">
        <v>140</v>
      </c>
      <c r="F7" s="21" t="s">
        <v>159</v>
      </c>
      <c r="G7" s="929"/>
      <c r="H7" s="15" t="s">
        <v>41</v>
      </c>
      <c r="I7" s="60">
        <f t="shared" ref="I7:K7" si="2">J7-7</f>
        <v>45632</v>
      </c>
      <c r="J7" s="61">
        <f t="shared" si="2"/>
        <v>45639</v>
      </c>
      <c r="K7" s="61">
        <f t="shared" si="2"/>
        <v>45646</v>
      </c>
      <c r="L7" s="62">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24" customHeight="1" x14ac:dyDescent="0.3">
      <c r="B8" s="920" t="s">
        <v>30</v>
      </c>
      <c r="C8" s="944" t="s">
        <v>107</v>
      </c>
      <c r="D8" s="944" t="s">
        <v>108</v>
      </c>
      <c r="E8" s="944" t="s">
        <v>167</v>
      </c>
      <c r="F8" s="944" t="s">
        <v>154</v>
      </c>
      <c r="G8" s="943" t="s">
        <v>590</v>
      </c>
      <c r="H8" s="63" t="s">
        <v>44</v>
      </c>
      <c r="I8" s="64"/>
      <c r="J8" s="65"/>
      <c r="K8" s="65"/>
      <c r="L8" s="66"/>
      <c r="M8" s="65"/>
      <c r="N8" s="67">
        <f>+'[3]MB Prod. Eng'!L5</f>
        <v>80</v>
      </c>
      <c r="O8" s="67">
        <f>+'[3]MB Prod. Eng'!M5</f>
        <v>80</v>
      </c>
      <c r="P8" s="67">
        <f>+'[3]MB Prod. Eng'!N5</f>
        <v>80</v>
      </c>
      <c r="Q8" s="67">
        <f>+'[3]MB Prod. Eng'!O5</f>
        <v>80</v>
      </c>
      <c r="R8" s="67">
        <f>+'[3]MB Prod. Eng'!P5</f>
        <v>80</v>
      </c>
      <c r="S8" s="67">
        <f>+'[3]MB Prod. Eng'!Q5</f>
        <v>80</v>
      </c>
      <c r="T8" s="67">
        <f>+'[3]MB Prod. Eng'!R5</f>
        <v>80</v>
      </c>
      <c r="U8" s="67">
        <f>+'[3]MB Prod. Eng'!S5</f>
        <v>80</v>
      </c>
      <c r="V8" s="67">
        <f>+'[3]MB Prod. Eng'!T5</f>
        <v>80</v>
      </c>
      <c r="W8" s="67">
        <f>+'[3]MB Prod. Eng'!U5</f>
        <v>80</v>
      </c>
      <c r="X8" s="65">
        <v>80</v>
      </c>
      <c r="Y8" s="67">
        <v>80</v>
      </c>
      <c r="Z8" s="67">
        <v>80</v>
      </c>
      <c r="AA8" s="67">
        <v>80</v>
      </c>
      <c r="AB8" s="67">
        <v>80</v>
      </c>
      <c r="AC8" s="67">
        <v>80</v>
      </c>
      <c r="AD8" s="67">
        <v>80</v>
      </c>
      <c r="AE8" s="67">
        <v>80</v>
      </c>
      <c r="AF8" s="67">
        <v>80</v>
      </c>
      <c r="AG8" s="67">
        <v>80</v>
      </c>
      <c r="AH8" s="67">
        <v>80</v>
      </c>
      <c r="AI8" s="67">
        <v>80</v>
      </c>
      <c r="AJ8" s="67">
        <f>IF(AJ$6&gt;$E$3,"",80)</f>
        <v>80</v>
      </c>
      <c r="AK8" s="67">
        <f t="shared" ref="AK8:BM8" si="4">IF(AK$6&gt;$E$3,"",80)</f>
        <v>80</v>
      </c>
      <c r="AL8" s="67">
        <f t="shared" si="4"/>
        <v>80</v>
      </c>
      <c r="AM8" s="67">
        <f t="shared" si="4"/>
        <v>80</v>
      </c>
      <c r="AN8" s="67">
        <f t="shared" si="4"/>
        <v>80</v>
      </c>
      <c r="AO8" s="67">
        <f t="shared" si="4"/>
        <v>80</v>
      </c>
      <c r="AP8" s="67">
        <f t="shared" si="4"/>
        <v>80</v>
      </c>
      <c r="AQ8" s="67">
        <f t="shared" si="4"/>
        <v>80</v>
      </c>
      <c r="AR8" s="67">
        <f t="shared" si="4"/>
        <v>80</v>
      </c>
      <c r="AS8" s="67">
        <f t="shared" si="4"/>
        <v>80</v>
      </c>
      <c r="AT8" s="67">
        <f t="shared" si="4"/>
        <v>80</v>
      </c>
      <c r="AU8" s="67">
        <f t="shared" si="4"/>
        <v>80</v>
      </c>
      <c r="AV8" s="67">
        <f t="shared" si="4"/>
        <v>80</v>
      </c>
      <c r="AW8" s="67">
        <f t="shared" si="4"/>
        <v>80</v>
      </c>
      <c r="AX8" s="67">
        <f t="shared" si="4"/>
        <v>80</v>
      </c>
      <c r="AY8" s="67">
        <f t="shared" si="4"/>
        <v>80</v>
      </c>
      <c r="AZ8" s="67">
        <f t="shared" si="4"/>
        <v>80</v>
      </c>
      <c r="BA8" s="67">
        <f t="shared" si="4"/>
        <v>80</v>
      </c>
      <c r="BB8" s="67">
        <f t="shared" si="4"/>
        <v>80</v>
      </c>
      <c r="BC8" s="67" t="str">
        <f t="shared" si="4"/>
        <v/>
      </c>
      <c r="BD8" s="67" t="str">
        <f t="shared" si="4"/>
        <v/>
      </c>
      <c r="BE8" s="67" t="str">
        <f t="shared" si="4"/>
        <v/>
      </c>
      <c r="BF8" s="67" t="str">
        <f t="shared" si="4"/>
        <v/>
      </c>
      <c r="BG8" s="67" t="str">
        <f t="shared" si="4"/>
        <v/>
      </c>
      <c r="BH8" s="67" t="str">
        <f t="shared" si="4"/>
        <v/>
      </c>
      <c r="BI8" s="67" t="str">
        <f t="shared" si="4"/>
        <v/>
      </c>
      <c r="BJ8" s="67" t="str">
        <f t="shared" si="4"/>
        <v/>
      </c>
      <c r="BK8" s="67" t="str">
        <f t="shared" si="4"/>
        <v/>
      </c>
      <c r="BL8" s="67" t="str">
        <f t="shared" si="4"/>
        <v/>
      </c>
      <c r="BM8" s="67" t="str">
        <f t="shared" si="4"/>
        <v/>
      </c>
      <c r="BN8" s="32"/>
    </row>
    <row r="9" spans="2:66" ht="24" customHeight="1" x14ac:dyDescent="0.3">
      <c r="B9" s="920"/>
      <c r="C9" s="945"/>
      <c r="D9" s="945"/>
      <c r="E9" s="945"/>
      <c r="F9" s="945"/>
      <c r="G9" s="939"/>
      <c r="H9" s="33" t="s">
        <v>45</v>
      </c>
      <c r="I9" s="34"/>
      <c r="J9" s="36"/>
      <c r="K9" s="36"/>
      <c r="L9" s="52"/>
      <c r="M9" s="36" t="s">
        <v>122</v>
      </c>
      <c r="N9" s="35">
        <f>+'[3]MB Prod. Eng'!L6</f>
        <v>21</v>
      </c>
      <c r="O9" s="35">
        <f>+'[3]MB Prod. Eng'!M6</f>
        <v>118</v>
      </c>
      <c r="P9" s="35">
        <f>+'[3]MB Prod. Eng'!N6</f>
        <v>163</v>
      </c>
      <c r="Q9" s="35">
        <f>+'[3]MB Prod. Eng'!O6</f>
        <v>145</v>
      </c>
      <c r="R9" s="35">
        <f>+'[3]MB Prod. Eng'!P6</f>
        <v>114</v>
      </c>
      <c r="S9" s="35">
        <f>+'[3]MB Prod. Eng'!Q6</f>
        <v>183</v>
      </c>
      <c r="T9" s="35">
        <f>+'[3]MB Prod. Eng'!R6</f>
        <v>125</v>
      </c>
      <c r="U9" s="35">
        <f>+'[3]MB Prod. Eng'!S6</f>
        <v>71</v>
      </c>
      <c r="V9" s="35">
        <f>+'[3]MB Prod. Eng'!T6</f>
        <v>118</v>
      </c>
      <c r="W9" s="35">
        <f>+'[3]MB Prod. Eng'!U6</f>
        <v>175</v>
      </c>
      <c r="X9" s="35">
        <v>65</v>
      </c>
      <c r="Y9" s="35">
        <v>43</v>
      </c>
      <c r="Z9" s="35">
        <v>92</v>
      </c>
      <c r="AA9" s="35">
        <v>59</v>
      </c>
      <c r="AB9" s="35">
        <v>152</v>
      </c>
      <c r="AC9" s="35">
        <v>66</v>
      </c>
      <c r="AD9" s="35">
        <v>100</v>
      </c>
      <c r="AE9" s="35">
        <v>185</v>
      </c>
      <c r="AF9" s="35">
        <v>41</v>
      </c>
      <c r="AG9" s="35">
        <v>138</v>
      </c>
      <c r="AH9" s="35">
        <v>147</v>
      </c>
      <c r="AI9" s="35">
        <v>183</v>
      </c>
      <c r="AJ9" s="35">
        <v>176</v>
      </c>
      <c r="AK9" s="35">
        <v>137</v>
      </c>
      <c r="AL9" s="35">
        <v>105</v>
      </c>
      <c r="AM9" s="35">
        <v>93</v>
      </c>
      <c r="AN9" s="35">
        <v>7</v>
      </c>
      <c r="AO9" s="35">
        <v>172</v>
      </c>
      <c r="AP9" s="35">
        <v>194</v>
      </c>
      <c r="AQ9" s="35">
        <v>41</v>
      </c>
      <c r="AR9" s="35">
        <v>63</v>
      </c>
      <c r="AS9" s="35">
        <v>47</v>
      </c>
      <c r="AT9" s="35">
        <v>93</v>
      </c>
      <c r="AU9" s="35">
        <v>170</v>
      </c>
      <c r="AV9" s="35">
        <v>128</v>
      </c>
      <c r="AW9" s="35">
        <v>70</v>
      </c>
      <c r="AX9" s="35">
        <v>105</v>
      </c>
      <c r="AY9" s="35">
        <v>77</v>
      </c>
      <c r="AZ9" s="35">
        <v>231</v>
      </c>
      <c r="BA9" s="35">
        <v>319</v>
      </c>
      <c r="BB9" s="35"/>
      <c r="BC9" s="35"/>
      <c r="BD9" s="35"/>
      <c r="BE9" s="35"/>
      <c r="BF9" s="35"/>
      <c r="BG9" s="35"/>
      <c r="BH9" s="35"/>
      <c r="BI9" s="35"/>
      <c r="BJ9" s="35"/>
      <c r="BK9" s="35"/>
      <c r="BL9" s="35"/>
      <c r="BM9" s="35"/>
      <c r="BN9" s="37"/>
    </row>
    <row r="10" spans="2:66" ht="24" customHeight="1" x14ac:dyDescent="0.3">
      <c r="B10" s="920"/>
      <c r="C10" s="945"/>
      <c r="D10" s="945"/>
      <c r="E10" s="945"/>
      <c r="F10" s="945"/>
      <c r="G10" s="939"/>
      <c r="H10" s="38" t="s">
        <v>46</v>
      </c>
      <c r="I10" s="39" t="str">
        <f>IF(I9="","",IF((I9-I8)&gt;=0,"G",IF((I9/I8&lt;=0.9),"R","A")))</f>
        <v/>
      </c>
      <c r="J10" s="41" t="str">
        <f t="shared" ref="J10:L10" si="5">IF(J9="","",IF((J9-J8)&gt;=0,"G",IF((J9/J8&lt;=0.9),"R","A")))</f>
        <v/>
      </c>
      <c r="K10" s="41" t="str">
        <f t="shared" si="5"/>
        <v/>
      </c>
      <c r="L10" s="53" t="str">
        <f t="shared" si="5"/>
        <v/>
      </c>
      <c r="M10" s="40" t="str">
        <f>IF(M$6&gt;$E$3,"",IF(M9="","OD",IF(M9="Blank","Blank",IF(M9="TBC","TBC",IF(M9="Undefined","Undefined",IF(M9="Missed","Missed",IF(M9="OD","OD",IF(M$4="OD","OD",IF((M9-M8)&gt;=0,"G",IF((M9-(M8*0.95))&gt;=0,"A","R"))))))))))</f>
        <v>Blank</v>
      </c>
      <c r="N10" s="40" t="str">
        <f t="shared" ref="N10:BM10" si="6">IF(N$6&gt;$E$3,"",IF(N9="","OD",IF(N9="Blank","Blank",IF(N9="TBC","TBC",IF(N9="Undefined","Undefined",IF(N9="Missed","Missed",IF(N9="OD","OD",IF(N$4="OD","OD",IF((N9-N8)&gt;=0,"G",IF((N9-(N8*0.95))&gt;=0,"A","R"))))))))))</f>
        <v>R</v>
      </c>
      <c r="O10" s="40" t="str">
        <f t="shared" si="6"/>
        <v>G</v>
      </c>
      <c r="P10" s="40" t="str">
        <f t="shared" si="6"/>
        <v>G</v>
      </c>
      <c r="Q10" s="40" t="str">
        <f t="shared" si="6"/>
        <v>G</v>
      </c>
      <c r="R10" s="40" t="str">
        <f t="shared" si="6"/>
        <v>G</v>
      </c>
      <c r="S10" s="40" t="str">
        <f t="shared" si="6"/>
        <v>G</v>
      </c>
      <c r="T10" s="40" t="str">
        <f t="shared" si="6"/>
        <v>G</v>
      </c>
      <c r="U10" s="40" t="str">
        <f t="shared" si="6"/>
        <v>R</v>
      </c>
      <c r="V10" s="40" t="str">
        <f t="shared" si="6"/>
        <v>G</v>
      </c>
      <c r="W10" s="40" t="str">
        <f t="shared" si="6"/>
        <v>G</v>
      </c>
      <c r="X10" s="40" t="str">
        <f t="shared" si="6"/>
        <v>R</v>
      </c>
      <c r="Y10" s="40" t="str">
        <f t="shared" si="6"/>
        <v>R</v>
      </c>
      <c r="Z10" s="40" t="str">
        <f t="shared" si="6"/>
        <v>G</v>
      </c>
      <c r="AA10" s="40" t="str">
        <f t="shared" si="6"/>
        <v>R</v>
      </c>
      <c r="AB10" s="40" t="str">
        <f t="shared" si="6"/>
        <v>G</v>
      </c>
      <c r="AC10" s="40" t="str">
        <f t="shared" si="6"/>
        <v>R</v>
      </c>
      <c r="AD10" s="40" t="str">
        <f t="shared" si="6"/>
        <v>G</v>
      </c>
      <c r="AE10" s="40" t="str">
        <f t="shared" si="6"/>
        <v>G</v>
      </c>
      <c r="AF10" s="40" t="str">
        <f t="shared" si="6"/>
        <v>R</v>
      </c>
      <c r="AG10" s="40" t="str">
        <f t="shared" si="6"/>
        <v>G</v>
      </c>
      <c r="AH10" s="40" t="str">
        <f t="shared" si="6"/>
        <v>G</v>
      </c>
      <c r="AI10" s="40" t="str">
        <f t="shared" si="6"/>
        <v>G</v>
      </c>
      <c r="AJ10" s="40" t="str">
        <f t="shared" si="6"/>
        <v>G</v>
      </c>
      <c r="AK10" s="40" t="str">
        <f t="shared" si="6"/>
        <v>G</v>
      </c>
      <c r="AL10" s="40" t="str">
        <f t="shared" si="6"/>
        <v>G</v>
      </c>
      <c r="AM10" s="40" t="str">
        <f t="shared" si="6"/>
        <v>G</v>
      </c>
      <c r="AN10" s="40" t="str">
        <f t="shared" si="6"/>
        <v>R</v>
      </c>
      <c r="AO10" s="40" t="str">
        <f t="shared" si="6"/>
        <v>G</v>
      </c>
      <c r="AP10" s="40" t="str">
        <f t="shared" si="6"/>
        <v>G</v>
      </c>
      <c r="AQ10" s="40" t="str">
        <f t="shared" si="6"/>
        <v>R</v>
      </c>
      <c r="AR10" s="40" t="str">
        <f t="shared" si="6"/>
        <v>R</v>
      </c>
      <c r="AS10" s="40" t="str">
        <f t="shared" si="6"/>
        <v>R</v>
      </c>
      <c r="AT10" s="40" t="str">
        <f t="shared" si="6"/>
        <v>G</v>
      </c>
      <c r="AU10" s="40" t="str">
        <f t="shared" si="6"/>
        <v>G</v>
      </c>
      <c r="AV10" s="40" t="str">
        <f t="shared" si="6"/>
        <v>G</v>
      </c>
      <c r="AW10" s="40" t="str">
        <f t="shared" si="6"/>
        <v>R</v>
      </c>
      <c r="AX10" s="40" t="str">
        <f t="shared" si="6"/>
        <v>G</v>
      </c>
      <c r="AY10" s="40" t="str">
        <f t="shared" si="6"/>
        <v>A</v>
      </c>
      <c r="AZ10" s="40" t="str">
        <f t="shared" si="6"/>
        <v>G</v>
      </c>
      <c r="BA10" s="40" t="str">
        <f t="shared" si="6"/>
        <v>G</v>
      </c>
      <c r="BB10" s="40" t="str">
        <f t="shared" si="6"/>
        <v>OD</v>
      </c>
      <c r="BC10" s="40" t="str">
        <f t="shared" si="6"/>
        <v/>
      </c>
      <c r="BD10" s="40" t="str">
        <f t="shared" si="6"/>
        <v/>
      </c>
      <c r="BE10" s="40" t="str">
        <f t="shared" si="6"/>
        <v/>
      </c>
      <c r="BF10" s="40" t="str">
        <f t="shared" si="6"/>
        <v/>
      </c>
      <c r="BG10" s="40" t="str">
        <f t="shared" si="6"/>
        <v/>
      </c>
      <c r="BH10" s="40" t="str">
        <f t="shared" si="6"/>
        <v/>
      </c>
      <c r="BI10" s="40" t="str">
        <f t="shared" si="6"/>
        <v/>
      </c>
      <c r="BJ10" s="40" t="str">
        <f t="shared" si="6"/>
        <v/>
      </c>
      <c r="BK10" s="40" t="str">
        <f t="shared" si="6"/>
        <v/>
      </c>
      <c r="BL10" s="40" t="str">
        <f t="shared" si="6"/>
        <v/>
      </c>
      <c r="BM10" s="40" t="str">
        <f t="shared" si="6"/>
        <v/>
      </c>
      <c r="BN10" s="42"/>
    </row>
    <row r="11" spans="2:66" ht="24" customHeight="1" x14ac:dyDescent="0.3">
      <c r="B11" s="920" t="s">
        <v>112</v>
      </c>
      <c r="C11" s="945" t="s">
        <v>109</v>
      </c>
      <c r="D11" s="945" t="s">
        <v>592</v>
      </c>
      <c r="E11" s="945" t="s">
        <v>146</v>
      </c>
      <c r="F11" s="945" t="s">
        <v>171</v>
      </c>
      <c r="G11" s="938" t="s">
        <v>588</v>
      </c>
      <c r="H11" s="27" t="s">
        <v>44</v>
      </c>
      <c r="I11" s="28"/>
      <c r="J11" s="30"/>
      <c r="K11" s="30"/>
      <c r="L11" s="51"/>
      <c r="M11" s="30"/>
      <c r="N11" s="67">
        <f>+'[3]MB Prod. Eng'!L8</f>
        <v>5</v>
      </c>
      <c r="O11" s="67">
        <f>+'[3]MB Prod. Eng'!M8</f>
        <v>5</v>
      </c>
      <c r="P11" s="67">
        <f>+'[3]MB Prod. Eng'!N8</f>
        <v>5</v>
      </c>
      <c r="Q11" s="67">
        <f>+'[3]MB Prod. Eng'!O8</f>
        <v>5</v>
      </c>
      <c r="R11" s="67">
        <f>+'[3]MB Prod. Eng'!P8</f>
        <v>5</v>
      </c>
      <c r="S11" s="67">
        <f>+'[3]MB Prod. Eng'!Q8</f>
        <v>5</v>
      </c>
      <c r="T11" s="67">
        <f>+'[3]MB Prod. Eng'!R8</f>
        <v>5</v>
      </c>
      <c r="U11" s="67">
        <f>+'[3]MB Prod. Eng'!S8</f>
        <v>5</v>
      </c>
      <c r="V11" s="67">
        <f>+'[3]MB Prod. Eng'!T8</f>
        <v>5</v>
      </c>
      <c r="W11" s="67">
        <f>+'[3]MB Prod. Eng'!U8</f>
        <v>5</v>
      </c>
      <c r="X11" s="29">
        <v>5</v>
      </c>
      <c r="Y11" s="29">
        <v>5</v>
      </c>
      <c r="Z11" s="29">
        <v>5</v>
      </c>
      <c r="AA11" s="29">
        <v>5</v>
      </c>
      <c r="AB11" s="29">
        <v>5</v>
      </c>
      <c r="AC11" s="29">
        <v>5</v>
      </c>
      <c r="AD11" s="29">
        <v>5</v>
      </c>
      <c r="AE11" s="29">
        <v>5</v>
      </c>
      <c r="AF11" s="29">
        <v>5</v>
      </c>
      <c r="AG11" s="29">
        <v>5</v>
      </c>
      <c r="AH11" s="29">
        <v>5</v>
      </c>
      <c r="AI11" s="29">
        <v>5</v>
      </c>
      <c r="AJ11" s="67">
        <f>IF(AJ$6&gt;$E$3,"",5)</f>
        <v>5</v>
      </c>
      <c r="AK11" s="67">
        <f t="shared" ref="AK11:BN11" si="7">IF(AK$6&gt;$E$3,"",5)</f>
        <v>5</v>
      </c>
      <c r="AL11" s="67">
        <f t="shared" si="7"/>
        <v>5</v>
      </c>
      <c r="AM11" s="67">
        <f t="shared" si="7"/>
        <v>5</v>
      </c>
      <c r="AN11" s="67">
        <f t="shared" si="7"/>
        <v>5</v>
      </c>
      <c r="AO11" s="67">
        <f t="shared" si="7"/>
        <v>5</v>
      </c>
      <c r="AP11" s="67">
        <f t="shared" si="7"/>
        <v>5</v>
      </c>
      <c r="AQ11" s="67">
        <f t="shared" si="7"/>
        <v>5</v>
      </c>
      <c r="AR11" s="67">
        <f t="shared" si="7"/>
        <v>5</v>
      </c>
      <c r="AS11" s="67">
        <f t="shared" si="7"/>
        <v>5</v>
      </c>
      <c r="AT11" s="67">
        <f t="shared" si="7"/>
        <v>5</v>
      </c>
      <c r="AU11" s="67">
        <f t="shared" si="7"/>
        <v>5</v>
      </c>
      <c r="AV11" s="67">
        <f t="shared" si="7"/>
        <v>5</v>
      </c>
      <c r="AW11" s="67">
        <f t="shared" si="7"/>
        <v>5</v>
      </c>
      <c r="AX11" s="67">
        <f t="shared" si="7"/>
        <v>5</v>
      </c>
      <c r="AY11" s="67">
        <f t="shared" si="7"/>
        <v>5</v>
      </c>
      <c r="AZ11" s="67">
        <f t="shared" si="7"/>
        <v>5</v>
      </c>
      <c r="BA11" s="67">
        <f t="shared" si="7"/>
        <v>5</v>
      </c>
      <c r="BB11" s="67">
        <f t="shared" si="7"/>
        <v>5</v>
      </c>
      <c r="BC11" s="67" t="str">
        <f t="shared" si="7"/>
        <v/>
      </c>
      <c r="BD11" s="67" t="str">
        <f t="shared" si="7"/>
        <v/>
      </c>
      <c r="BE11" s="67" t="str">
        <f t="shared" si="7"/>
        <v/>
      </c>
      <c r="BF11" s="67" t="str">
        <f t="shared" si="7"/>
        <v/>
      </c>
      <c r="BG11" s="67" t="str">
        <f t="shared" si="7"/>
        <v/>
      </c>
      <c r="BH11" s="67" t="str">
        <f t="shared" si="7"/>
        <v/>
      </c>
      <c r="BI11" s="67" t="str">
        <f t="shared" si="7"/>
        <v/>
      </c>
      <c r="BJ11" s="67" t="str">
        <f t="shared" si="7"/>
        <v/>
      </c>
      <c r="BK11" s="67" t="str">
        <f t="shared" si="7"/>
        <v/>
      </c>
      <c r="BL11" s="67" t="str">
        <f t="shared" si="7"/>
        <v/>
      </c>
      <c r="BM11" s="67" t="str">
        <f t="shared" si="7"/>
        <v/>
      </c>
      <c r="BN11" s="67" t="str">
        <f t="shared" si="7"/>
        <v/>
      </c>
    </row>
    <row r="12" spans="2:66" ht="24" customHeight="1" x14ac:dyDescent="0.3">
      <c r="B12" s="920"/>
      <c r="C12" s="945"/>
      <c r="D12" s="945"/>
      <c r="E12" s="945"/>
      <c r="F12" s="945"/>
      <c r="G12" s="939"/>
      <c r="H12" s="33" t="s">
        <v>45</v>
      </c>
      <c r="I12" s="34"/>
      <c r="J12" s="36"/>
      <c r="K12" s="36"/>
      <c r="L12" s="52"/>
      <c r="M12" s="36" t="s">
        <v>122</v>
      </c>
      <c r="N12" s="35">
        <f>+'[3]MB Prod. Eng'!L9</f>
        <v>6</v>
      </c>
      <c r="O12" s="35">
        <f>+'[3]MB Prod. Eng'!M9</f>
        <v>8</v>
      </c>
      <c r="P12" s="35">
        <f>+'[3]MB Prod. Eng'!N9</f>
        <v>11</v>
      </c>
      <c r="Q12" s="35">
        <f>+'[3]MB Prod. Eng'!O9</f>
        <v>6</v>
      </c>
      <c r="R12" s="35">
        <f>+'[3]MB Prod. Eng'!P9</f>
        <v>5</v>
      </c>
      <c r="S12" s="35">
        <f>+'[3]MB Prod. Eng'!Q9</f>
        <v>4</v>
      </c>
      <c r="T12" s="35">
        <f>+'[3]MB Prod. Eng'!R9</f>
        <v>4</v>
      </c>
      <c r="U12" s="35">
        <f>+'[3]MB Prod. Eng'!S9</f>
        <v>6</v>
      </c>
      <c r="V12" s="35">
        <f>+'[3]MB Prod. Eng'!T9</f>
        <v>5</v>
      </c>
      <c r="W12" s="35">
        <f>+'[3]MB Prod. Eng'!U9</f>
        <v>2</v>
      </c>
      <c r="X12" s="35">
        <v>3</v>
      </c>
      <c r="Y12" s="35">
        <v>3</v>
      </c>
      <c r="Z12" s="35">
        <v>4</v>
      </c>
      <c r="AA12" s="35">
        <v>4.4000000000000004</v>
      </c>
      <c r="AB12" s="35">
        <v>6.5</v>
      </c>
      <c r="AC12" s="35">
        <v>3.5</v>
      </c>
      <c r="AD12" s="35">
        <v>2.8</v>
      </c>
      <c r="AE12" s="35">
        <v>2</v>
      </c>
      <c r="AF12" s="35">
        <v>2</v>
      </c>
      <c r="AG12" s="35">
        <v>4.8</v>
      </c>
      <c r="AH12" s="35">
        <v>3</v>
      </c>
      <c r="AI12" s="35">
        <v>2.5</v>
      </c>
      <c r="AJ12" s="35">
        <v>2</v>
      </c>
      <c r="AK12" s="35">
        <v>3.5</v>
      </c>
      <c r="AL12" s="35">
        <v>4</v>
      </c>
      <c r="AM12" s="35">
        <v>4</v>
      </c>
      <c r="AN12" s="35">
        <v>4</v>
      </c>
      <c r="AO12" s="35">
        <v>4</v>
      </c>
      <c r="AP12" s="35">
        <v>1.5</v>
      </c>
      <c r="AQ12" s="35">
        <v>1.8</v>
      </c>
      <c r="AR12" s="35">
        <v>2.67</v>
      </c>
      <c r="AS12" s="35">
        <v>4.4000000000000004</v>
      </c>
      <c r="AT12" s="35">
        <v>4</v>
      </c>
      <c r="AU12" s="35">
        <v>4</v>
      </c>
      <c r="AV12" s="35">
        <v>3</v>
      </c>
      <c r="AW12" s="35">
        <v>3</v>
      </c>
      <c r="AX12" s="35">
        <v>3</v>
      </c>
      <c r="AY12" s="35">
        <v>3</v>
      </c>
      <c r="AZ12" s="35">
        <v>2</v>
      </c>
      <c r="BA12" s="35">
        <v>3</v>
      </c>
      <c r="BB12" s="35"/>
      <c r="BC12" s="35"/>
      <c r="BD12" s="35"/>
      <c r="BE12" s="35"/>
      <c r="BF12" s="35"/>
      <c r="BG12" s="35"/>
      <c r="BH12" s="35"/>
      <c r="BI12" s="35"/>
      <c r="BJ12" s="35"/>
      <c r="BK12" s="35"/>
      <c r="BL12" s="35"/>
      <c r="BM12" s="37"/>
      <c r="BN12" s="37"/>
    </row>
    <row r="13" spans="2:66" ht="24" customHeight="1" x14ac:dyDescent="0.3">
      <c r="B13" s="920"/>
      <c r="C13" s="945"/>
      <c r="D13" s="945"/>
      <c r="E13" s="945"/>
      <c r="F13" s="945"/>
      <c r="G13" s="939"/>
      <c r="H13" s="38" t="s">
        <v>46</v>
      </c>
      <c r="I13" s="39" t="str">
        <f>IF(I12="","",IF((I12-I11)&gt;=0,"G",IF((I12/I11&lt;=0.9),"R","A")))</f>
        <v/>
      </c>
      <c r="J13" s="41" t="str">
        <f t="shared" ref="J13:L13" si="8">IF(J12="","",IF((J12-J11)&gt;=0,"G",IF((J12/J11&lt;=0.9),"R","A")))</f>
        <v/>
      </c>
      <c r="K13" s="41" t="str">
        <f t="shared" si="8"/>
        <v/>
      </c>
      <c r="L13" s="53" t="str">
        <f t="shared" si="8"/>
        <v/>
      </c>
      <c r="M13" s="40" t="str">
        <f>IF(M$6&gt;$E$3,"",IF(M12="","OD",IF(M12="Blank","Blank",IF(M12="TBC","TBC",IF(M12="Undefined","Undefined",IF(M12="Missed","Missed",IF(M12="OD","OD",IF(M$4="OD","OD",IF((M12-M11)&lt;=0,"G",IF((M12-(M11/0.95))&lt;=0,"A","R"))))))))))</f>
        <v>Blank</v>
      </c>
      <c r="N13" s="40" t="str">
        <f t="shared" ref="N13:BM13" si="9">IF(N$6&gt;$E$3,"",IF(N12="","OD",IF(N12="Blank","Blank",IF(N12="TBC","TBC",IF(N12="Undefined","Undefined",IF(N12="Missed","Missed",IF(N12="OD","OD",IF(N$4="OD","OD",IF((N12-N11)&lt;=0,"G",IF((N12-(N11/0.95))&lt;=0,"A","R"))))))))))</f>
        <v>R</v>
      </c>
      <c r="O13" s="40" t="str">
        <f t="shared" si="9"/>
        <v>R</v>
      </c>
      <c r="P13" s="40" t="str">
        <f t="shared" si="9"/>
        <v>R</v>
      </c>
      <c r="Q13" s="40" t="str">
        <f t="shared" si="9"/>
        <v>R</v>
      </c>
      <c r="R13" s="40" t="str">
        <f t="shared" si="9"/>
        <v>G</v>
      </c>
      <c r="S13" s="40" t="str">
        <f t="shared" si="9"/>
        <v>G</v>
      </c>
      <c r="T13" s="40" t="str">
        <f t="shared" si="9"/>
        <v>G</v>
      </c>
      <c r="U13" s="40" t="str">
        <f t="shared" si="9"/>
        <v>R</v>
      </c>
      <c r="V13" s="40" t="str">
        <f t="shared" si="9"/>
        <v>G</v>
      </c>
      <c r="W13" s="40" t="str">
        <f t="shared" si="9"/>
        <v>G</v>
      </c>
      <c r="X13" s="40" t="str">
        <f t="shared" si="9"/>
        <v>G</v>
      </c>
      <c r="Y13" s="40" t="str">
        <f t="shared" si="9"/>
        <v>G</v>
      </c>
      <c r="Z13" s="40" t="str">
        <f t="shared" si="9"/>
        <v>G</v>
      </c>
      <c r="AA13" s="40" t="str">
        <f t="shared" si="9"/>
        <v>G</v>
      </c>
      <c r="AB13" s="40" t="str">
        <f t="shared" si="9"/>
        <v>R</v>
      </c>
      <c r="AC13" s="40" t="str">
        <f t="shared" si="9"/>
        <v>G</v>
      </c>
      <c r="AD13" s="40" t="str">
        <f t="shared" si="9"/>
        <v>G</v>
      </c>
      <c r="AE13" s="40" t="str">
        <f t="shared" si="9"/>
        <v>G</v>
      </c>
      <c r="AF13" s="40" t="str">
        <f t="shared" si="9"/>
        <v>G</v>
      </c>
      <c r="AG13" s="40" t="str">
        <f t="shared" si="9"/>
        <v>G</v>
      </c>
      <c r="AH13" s="40" t="str">
        <f t="shared" si="9"/>
        <v>G</v>
      </c>
      <c r="AI13" s="40" t="str">
        <f t="shared" si="9"/>
        <v>G</v>
      </c>
      <c r="AJ13" s="40" t="str">
        <f t="shared" si="9"/>
        <v>G</v>
      </c>
      <c r="AK13" s="40" t="str">
        <f t="shared" si="9"/>
        <v>G</v>
      </c>
      <c r="AL13" s="40" t="str">
        <f t="shared" si="9"/>
        <v>G</v>
      </c>
      <c r="AM13" s="40" t="str">
        <f t="shared" si="9"/>
        <v>G</v>
      </c>
      <c r="AN13" s="40" t="str">
        <f t="shared" si="9"/>
        <v>G</v>
      </c>
      <c r="AO13" s="40" t="str">
        <f t="shared" si="9"/>
        <v>G</v>
      </c>
      <c r="AP13" s="40" t="str">
        <f t="shared" si="9"/>
        <v>G</v>
      </c>
      <c r="AQ13" s="40" t="str">
        <f t="shared" si="9"/>
        <v>G</v>
      </c>
      <c r="AR13" s="40" t="str">
        <f t="shared" si="9"/>
        <v>G</v>
      </c>
      <c r="AS13" s="40" t="str">
        <f t="shared" si="9"/>
        <v>G</v>
      </c>
      <c r="AT13" s="40" t="str">
        <f t="shared" si="9"/>
        <v>G</v>
      </c>
      <c r="AU13" s="40" t="str">
        <f t="shared" si="9"/>
        <v>G</v>
      </c>
      <c r="AV13" s="40" t="str">
        <f t="shared" si="9"/>
        <v>G</v>
      </c>
      <c r="AW13" s="40" t="str">
        <f t="shared" si="9"/>
        <v>G</v>
      </c>
      <c r="AX13" s="40" t="str">
        <f t="shared" si="9"/>
        <v>G</v>
      </c>
      <c r="AY13" s="40" t="str">
        <f t="shared" si="9"/>
        <v>G</v>
      </c>
      <c r="AZ13" s="40" t="str">
        <f t="shared" si="9"/>
        <v>G</v>
      </c>
      <c r="BA13" s="40" t="str">
        <f t="shared" si="9"/>
        <v>G</v>
      </c>
      <c r="BB13" s="40" t="str">
        <f t="shared" si="9"/>
        <v>OD</v>
      </c>
      <c r="BC13" s="40" t="str">
        <f t="shared" si="9"/>
        <v/>
      </c>
      <c r="BD13" s="40" t="str">
        <f t="shared" si="9"/>
        <v/>
      </c>
      <c r="BE13" s="40" t="str">
        <f t="shared" si="9"/>
        <v/>
      </c>
      <c r="BF13" s="40" t="str">
        <f t="shared" si="9"/>
        <v/>
      </c>
      <c r="BG13" s="40" t="str">
        <f t="shared" si="9"/>
        <v/>
      </c>
      <c r="BH13" s="40" t="str">
        <f t="shared" si="9"/>
        <v/>
      </c>
      <c r="BI13" s="40" t="str">
        <f t="shared" si="9"/>
        <v/>
      </c>
      <c r="BJ13" s="40" t="str">
        <f t="shared" si="9"/>
        <v/>
      </c>
      <c r="BK13" s="40" t="str">
        <f t="shared" si="9"/>
        <v/>
      </c>
      <c r="BL13" s="40" t="str">
        <f t="shared" si="9"/>
        <v/>
      </c>
      <c r="BM13" s="40" t="str">
        <f t="shared" si="9"/>
        <v/>
      </c>
      <c r="BN13" s="42"/>
    </row>
    <row r="14" spans="2:66" ht="24" customHeight="1" x14ac:dyDescent="0.3">
      <c r="B14" s="920" t="s">
        <v>113</v>
      </c>
      <c r="C14" s="921" t="s">
        <v>110</v>
      </c>
      <c r="D14" s="945" t="s">
        <v>593</v>
      </c>
      <c r="E14" s="945" t="s">
        <v>146</v>
      </c>
      <c r="F14" s="945" t="s">
        <v>171</v>
      </c>
      <c r="G14" s="939" t="s">
        <v>590</v>
      </c>
      <c r="H14" s="27" t="s">
        <v>44</v>
      </c>
      <c r="I14" s="28"/>
      <c r="J14" s="30"/>
      <c r="K14" s="30"/>
      <c r="L14" s="51"/>
      <c r="M14" s="30"/>
      <c r="N14" s="67">
        <f>+'[3]MB Prod. Eng'!L11</f>
        <v>10</v>
      </c>
      <c r="O14" s="67">
        <f>+'[3]MB Prod. Eng'!M11</f>
        <v>10</v>
      </c>
      <c r="P14" s="67">
        <f>+'[3]MB Prod. Eng'!N11</f>
        <v>10</v>
      </c>
      <c r="Q14" s="67">
        <f>+'[3]MB Prod. Eng'!O11</f>
        <v>10</v>
      </c>
      <c r="R14" s="67">
        <f>+'[3]MB Prod. Eng'!P11</f>
        <v>10</v>
      </c>
      <c r="S14" s="67">
        <f>+'[3]MB Prod. Eng'!Q11</f>
        <v>10</v>
      </c>
      <c r="T14" s="67">
        <f>+'[3]MB Prod. Eng'!R11</f>
        <v>10</v>
      </c>
      <c r="U14" s="67">
        <f>+'[3]MB Prod. Eng'!S11</f>
        <v>10</v>
      </c>
      <c r="V14" s="67">
        <f>+'[3]MB Prod. Eng'!T11</f>
        <v>10</v>
      </c>
      <c r="W14" s="67">
        <f>+'[3]MB Prod. Eng'!U11</f>
        <v>10</v>
      </c>
      <c r="X14" s="29">
        <v>10</v>
      </c>
      <c r="Y14" s="29">
        <v>10</v>
      </c>
      <c r="Z14" s="29">
        <v>10</v>
      </c>
      <c r="AA14" s="29">
        <v>10</v>
      </c>
      <c r="AB14" s="29">
        <v>10</v>
      </c>
      <c r="AC14" s="29">
        <v>10</v>
      </c>
      <c r="AD14" s="29">
        <v>10</v>
      </c>
      <c r="AE14" s="29">
        <v>10</v>
      </c>
      <c r="AF14" s="29">
        <v>10</v>
      </c>
      <c r="AG14" s="29">
        <v>10</v>
      </c>
      <c r="AH14" s="29">
        <v>10</v>
      </c>
      <c r="AI14" s="29">
        <v>10</v>
      </c>
      <c r="AJ14" s="67">
        <f>IF(AJ$6&gt;$E$3,"",10)</f>
        <v>10</v>
      </c>
      <c r="AK14" s="67">
        <f t="shared" ref="AK14:BM14" si="10">IF(AK$6&gt;$E$3,"",10)</f>
        <v>10</v>
      </c>
      <c r="AL14" s="67">
        <f t="shared" si="10"/>
        <v>10</v>
      </c>
      <c r="AM14" s="67">
        <f t="shared" si="10"/>
        <v>10</v>
      </c>
      <c r="AN14" s="67">
        <f t="shared" si="10"/>
        <v>10</v>
      </c>
      <c r="AO14" s="67">
        <f t="shared" si="10"/>
        <v>10</v>
      </c>
      <c r="AP14" s="67">
        <f t="shared" si="10"/>
        <v>10</v>
      </c>
      <c r="AQ14" s="67">
        <f t="shared" si="10"/>
        <v>10</v>
      </c>
      <c r="AR14" s="67">
        <f t="shared" si="10"/>
        <v>10</v>
      </c>
      <c r="AS14" s="67">
        <f t="shared" si="10"/>
        <v>10</v>
      </c>
      <c r="AT14" s="67">
        <f t="shared" si="10"/>
        <v>10</v>
      </c>
      <c r="AU14" s="67">
        <f t="shared" si="10"/>
        <v>10</v>
      </c>
      <c r="AV14" s="67">
        <f t="shared" si="10"/>
        <v>10</v>
      </c>
      <c r="AW14" s="67">
        <f t="shared" si="10"/>
        <v>10</v>
      </c>
      <c r="AX14" s="67">
        <f t="shared" si="10"/>
        <v>10</v>
      </c>
      <c r="AY14" s="67">
        <f t="shared" si="10"/>
        <v>10</v>
      </c>
      <c r="AZ14" s="67">
        <f t="shared" si="10"/>
        <v>10</v>
      </c>
      <c r="BA14" s="67">
        <f t="shared" si="10"/>
        <v>10</v>
      </c>
      <c r="BB14" s="67">
        <f t="shared" si="10"/>
        <v>10</v>
      </c>
      <c r="BC14" s="67" t="str">
        <f t="shared" si="10"/>
        <v/>
      </c>
      <c r="BD14" s="67" t="str">
        <f t="shared" si="10"/>
        <v/>
      </c>
      <c r="BE14" s="67" t="str">
        <f t="shared" si="10"/>
        <v/>
      </c>
      <c r="BF14" s="67" t="str">
        <f t="shared" si="10"/>
        <v/>
      </c>
      <c r="BG14" s="67" t="str">
        <f t="shared" si="10"/>
        <v/>
      </c>
      <c r="BH14" s="67" t="str">
        <f t="shared" si="10"/>
        <v/>
      </c>
      <c r="BI14" s="67" t="str">
        <f t="shared" si="10"/>
        <v/>
      </c>
      <c r="BJ14" s="67" t="str">
        <f t="shared" si="10"/>
        <v/>
      </c>
      <c r="BK14" s="67" t="str">
        <f t="shared" si="10"/>
        <v/>
      </c>
      <c r="BL14" s="67" t="str">
        <f t="shared" si="10"/>
        <v/>
      </c>
      <c r="BM14" s="67" t="str">
        <f t="shared" si="10"/>
        <v/>
      </c>
      <c r="BN14" s="31"/>
    </row>
    <row r="15" spans="2:66" ht="24" customHeight="1" x14ac:dyDescent="0.3">
      <c r="B15" s="920"/>
      <c r="C15" s="921"/>
      <c r="D15" s="945"/>
      <c r="E15" s="945"/>
      <c r="F15" s="945"/>
      <c r="G15" s="939"/>
      <c r="H15" s="33" t="s">
        <v>45</v>
      </c>
      <c r="I15" s="34"/>
      <c r="J15" s="36"/>
      <c r="K15" s="36"/>
      <c r="L15" s="52"/>
      <c r="M15" s="36" t="s">
        <v>122</v>
      </c>
      <c r="N15" s="35">
        <v>27</v>
      </c>
      <c r="O15" s="35">
        <v>30</v>
      </c>
      <c r="P15" s="35">
        <v>22</v>
      </c>
      <c r="Q15" s="35">
        <v>21</v>
      </c>
      <c r="R15" s="35">
        <v>13</v>
      </c>
      <c r="S15" s="35">
        <v>9</v>
      </c>
      <c r="T15" s="35">
        <v>8</v>
      </c>
      <c r="U15" s="35">
        <v>9</v>
      </c>
      <c r="V15" s="35">
        <v>11</v>
      </c>
      <c r="W15" s="35">
        <v>10</v>
      </c>
      <c r="X15" s="35">
        <v>4</v>
      </c>
      <c r="Y15" s="35">
        <v>11</v>
      </c>
      <c r="Z15" s="35">
        <v>11</v>
      </c>
      <c r="AA15" s="35">
        <v>15</v>
      </c>
      <c r="AB15" s="35">
        <v>16</v>
      </c>
      <c r="AC15" s="35">
        <v>16</v>
      </c>
      <c r="AD15" s="35">
        <v>13</v>
      </c>
      <c r="AE15" s="35">
        <v>7</v>
      </c>
      <c r="AF15" s="35">
        <v>9</v>
      </c>
      <c r="AG15" s="35">
        <v>11</v>
      </c>
      <c r="AH15" s="35">
        <v>13</v>
      </c>
      <c r="AI15" s="35">
        <v>8</v>
      </c>
      <c r="AJ15" s="35">
        <v>9</v>
      </c>
      <c r="AK15" s="35">
        <v>9</v>
      </c>
      <c r="AL15" s="35">
        <v>10</v>
      </c>
      <c r="AM15" s="35">
        <v>11</v>
      </c>
      <c r="AN15" s="35">
        <v>16</v>
      </c>
      <c r="AO15" s="35">
        <v>17</v>
      </c>
      <c r="AP15" s="35">
        <v>10</v>
      </c>
      <c r="AQ15" s="35">
        <v>9</v>
      </c>
      <c r="AR15" s="35">
        <v>13</v>
      </c>
      <c r="AS15" s="35">
        <v>11</v>
      </c>
      <c r="AT15" s="35">
        <v>13</v>
      </c>
      <c r="AU15" s="35">
        <v>12</v>
      </c>
      <c r="AV15" s="35">
        <v>9</v>
      </c>
      <c r="AW15" s="35">
        <v>8</v>
      </c>
      <c r="AX15" s="35">
        <v>6</v>
      </c>
      <c r="AY15" s="35">
        <v>14</v>
      </c>
      <c r="AZ15" s="35">
        <v>26</v>
      </c>
      <c r="BA15" s="35">
        <v>12</v>
      </c>
      <c r="BB15" s="35"/>
      <c r="BC15" s="35"/>
      <c r="BD15" s="35"/>
      <c r="BE15" s="35"/>
      <c r="BF15" s="35"/>
      <c r="BG15" s="35"/>
      <c r="BH15" s="35"/>
      <c r="BI15" s="35"/>
      <c r="BJ15" s="35"/>
      <c r="BK15" s="35"/>
      <c r="BL15" s="35"/>
      <c r="BM15" s="37"/>
      <c r="BN15" s="37"/>
    </row>
    <row r="16" spans="2:66" ht="24" customHeight="1" x14ac:dyDescent="0.3">
      <c r="B16" s="920"/>
      <c r="C16" s="921"/>
      <c r="D16" s="945"/>
      <c r="E16" s="945"/>
      <c r="F16" s="945"/>
      <c r="G16" s="939"/>
      <c r="H16" s="38" t="s">
        <v>46</v>
      </c>
      <c r="I16" s="39" t="str">
        <f>IF(I15="","",IF((I15-I14)&gt;=0,"G",IF((I15/I14&lt;=0.9),"R","A")))</f>
        <v/>
      </c>
      <c r="J16" s="41" t="str">
        <f t="shared" ref="J16:L16" si="11">IF(J15="","",IF((J15-J14)&gt;=0,"G",IF((J15/J14&lt;=0.9),"R","A")))</f>
        <v/>
      </c>
      <c r="K16" s="41" t="str">
        <f t="shared" si="11"/>
        <v/>
      </c>
      <c r="L16" s="53" t="str">
        <f t="shared" si="11"/>
        <v/>
      </c>
      <c r="M16" s="40" t="str">
        <f>IF(M$6&gt;$E$3,"",IF(M15="","OD",IF(M15="Blank","Blank",IF(M15="TBC","TBC",IF(M15="Undefined","Undefined",IF(M15="Missed","Missed",IF(M15="OD","OD",IF(M$4="OD","OD",IF((M15-M14)&lt;=0,"G",IF((M15-(M14/0.95))&lt;=0,"A","R"))))))))))</f>
        <v>Blank</v>
      </c>
      <c r="N16" s="40" t="str">
        <f t="shared" ref="N16:BM16" si="12">IF(N$6&gt;$E$3,"",IF(N15="","OD",IF(N15="Blank","Blank",IF(N15="TBC","TBC",IF(N15="Undefined","Undefined",IF(N15="Missed","Missed",IF(N15="OD","OD",IF(N$4="OD","OD",IF((N15-N14)&lt;=0,"G",IF((N15-(N14/0.95))&lt;=0,"A","R"))))))))))</f>
        <v>R</v>
      </c>
      <c r="O16" s="40" t="str">
        <f t="shared" si="12"/>
        <v>R</v>
      </c>
      <c r="P16" s="40" t="str">
        <f t="shared" si="12"/>
        <v>R</v>
      </c>
      <c r="Q16" s="40" t="str">
        <f t="shared" si="12"/>
        <v>R</v>
      </c>
      <c r="R16" s="40" t="str">
        <f t="shared" si="12"/>
        <v>R</v>
      </c>
      <c r="S16" s="40" t="str">
        <f t="shared" si="12"/>
        <v>G</v>
      </c>
      <c r="T16" s="40" t="str">
        <f t="shared" si="12"/>
        <v>G</v>
      </c>
      <c r="U16" s="40" t="str">
        <f t="shared" si="12"/>
        <v>G</v>
      </c>
      <c r="V16" s="40" t="str">
        <f t="shared" si="12"/>
        <v>R</v>
      </c>
      <c r="W16" s="40" t="str">
        <f t="shared" si="12"/>
        <v>G</v>
      </c>
      <c r="X16" s="40" t="str">
        <f t="shared" si="12"/>
        <v>G</v>
      </c>
      <c r="Y16" s="40" t="str">
        <f t="shared" si="12"/>
        <v>R</v>
      </c>
      <c r="Z16" s="40" t="str">
        <f t="shared" si="12"/>
        <v>R</v>
      </c>
      <c r="AA16" s="40" t="str">
        <f t="shared" si="12"/>
        <v>R</v>
      </c>
      <c r="AB16" s="40" t="str">
        <f t="shared" si="12"/>
        <v>R</v>
      </c>
      <c r="AC16" s="40" t="str">
        <f t="shared" si="12"/>
        <v>R</v>
      </c>
      <c r="AD16" s="40" t="str">
        <f t="shared" si="12"/>
        <v>R</v>
      </c>
      <c r="AE16" s="40" t="str">
        <f t="shared" si="12"/>
        <v>G</v>
      </c>
      <c r="AF16" s="40" t="str">
        <f t="shared" si="12"/>
        <v>G</v>
      </c>
      <c r="AG16" s="40" t="str">
        <f t="shared" si="12"/>
        <v>R</v>
      </c>
      <c r="AH16" s="40" t="str">
        <f t="shared" si="12"/>
        <v>R</v>
      </c>
      <c r="AI16" s="40" t="str">
        <f t="shared" si="12"/>
        <v>G</v>
      </c>
      <c r="AJ16" s="40" t="str">
        <f t="shared" si="12"/>
        <v>G</v>
      </c>
      <c r="AK16" s="40" t="str">
        <f t="shared" si="12"/>
        <v>G</v>
      </c>
      <c r="AL16" s="40" t="str">
        <f t="shared" si="12"/>
        <v>G</v>
      </c>
      <c r="AM16" s="40" t="str">
        <f t="shared" si="12"/>
        <v>R</v>
      </c>
      <c r="AN16" s="40" t="str">
        <f t="shared" si="12"/>
        <v>R</v>
      </c>
      <c r="AO16" s="40" t="str">
        <f t="shared" si="12"/>
        <v>R</v>
      </c>
      <c r="AP16" s="40" t="str">
        <f t="shared" si="12"/>
        <v>G</v>
      </c>
      <c r="AQ16" s="40" t="str">
        <f t="shared" si="12"/>
        <v>G</v>
      </c>
      <c r="AR16" s="40" t="str">
        <f t="shared" si="12"/>
        <v>R</v>
      </c>
      <c r="AS16" s="40" t="str">
        <f t="shared" si="12"/>
        <v>R</v>
      </c>
      <c r="AT16" s="40" t="str">
        <f t="shared" si="12"/>
        <v>R</v>
      </c>
      <c r="AU16" s="40" t="str">
        <f t="shared" si="12"/>
        <v>R</v>
      </c>
      <c r="AV16" s="40" t="str">
        <f t="shared" si="12"/>
        <v>G</v>
      </c>
      <c r="AW16" s="40" t="str">
        <f t="shared" si="12"/>
        <v>G</v>
      </c>
      <c r="AX16" s="40" t="str">
        <f t="shared" si="12"/>
        <v>G</v>
      </c>
      <c r="AY16" s="40" t="str">
        <f t="shared" si="12"/>
        <v>R</v>
      </c>
      <c r="AZ16" s="40" t="str">
        <f t="shared" si="12"/>
        <v>R</v>
      </c>
      <c r="BA16" s="40" t="str">
        <f t="shared" si="12"/>
        <v>R</v>
      </c>
      <c r="BB16" s="40" t="str">
        <f t="shared" si="12"/>
        <v>OD</v>
      </c>
      <c r="BC16" s="40" t="str">
        <f t="shared" si="12"/>
        <v/>
      </c>
      <c r="BD16" s="40" t="str">
        <f t="shared" si="12"/>
        <v/>
      </c>
      <c r="BE16" s="40" t="str">
        <f t="shared" si="12"/>
        <v/>
      </c>
      <c r="BF16" s="40" t="str">
        <f t="shared" si="12"/>
        <v/>
      </c>
      <c r="BG16" s="40" t="str">
        <f t="shared" si="12"/>
        <v/>
      </c>
      <c r="BH16" s="40" t="str">
        <f t="shared" si="12"/>
        <v/>
      </c>
      <c r="BI16" s="40" t="str">
        <f t="shared" si="12"/>
        <v/>
      </c>
      <c r="BJ16" s="40" t="str">
        <f t="shared" si="12"/>
        <v/>
      </c>
      <c r="BK16" s="40" t="str">
        <f t="shared" si="12"/>
        <v/>
      </c>
      <c r="BL16" s="40" t="str">
        <f t="shared" si="12"/>
        <v/>
      </c>
      <c r="BM16" s="40" t="str">
        <f t="shared" si="12"/>
        <v/>
      </c>
      <c r="BN16" s="42"/>
    </row>
    <row r="17" spans="2:66" ht="24" customHeight="1" x14ac:dyDescent="0.3">
      <c r="B17" s="920" t="s">
        <v>32</v>
      </c>
      <c r="C17" s="945"/>
      <c r="D17" s="945" t="s">
        <v>549</v>
      </c>
      <c r="E17" s="945" t="s">
        <v>144</v>
      </c>
      <c r="F17" s="945" t="s">
        <v>171</v>
      </c>
      <c r="G17" s="939" t="s">
        <v>589</v>
      </c>
      <c r="H17" s="27" t="s">
        <v>44</v>
      </c>
      <c r="I17" s="28"/>
      <c r="J17" s="30"/>
      <c r="K17" s="30"/>
      <c r="L17" s="51"/>
      <c r="M17" s="30"/>
      <c r="N17" s="29">
        <v>2.5</v>
      </c>
      <c r="O17" s="29">
        <v>2.5</v>
      </c>
      <c r="P17" s="29">
        <v>2.5</v>
      </c>
      <c r="Q17" s="29">
        <v>2.5</v>
      </c>
      <c r="R17" s="29">
        <v>2.5</v>
      </c>
      <c r="S17" s="29">
        <v>2.5</v>
      </c>
      <c r="T17" s="29">
        <v>2.5</v>
      </c>
      <c r="U17" s="29">
        <v>2.5</v>
      </c>
      <c r="V17" s="29">
        <v>2.5</v>
      </c>
      <c r="W17" s="29">
        <v>2.5</v>
      </c>
      <c r="X17" s="29">
        <v>2.5</v>
      </c>
      <c r="Y17" s="29">
        <v>2.5</v>
      </c>
      <c r="Z17" s="29">
        <v>2.5</v>
      </c>
      <c r="AA17" s="29">
        <v>2.5</v>
      </c>
      <c r="AB17" s="29">
        <v>2.5</v>
      </c>
      <c r="AC17" s="29">
        <v>2.5</v>
      </c>
      <c r="AD17" s="29">
        <v>2.5</v>
      </c>
      <c r="AE17" s="29">
        <v>2.5</v>
      </c>
      <c r="AF17" s="29">
        <v>2.5</v>
      </c>
      <c r="AG17" s="29">
        <v>2.5</v>
      </c>
      <c r="AH17" s="29">
        <v>2.5</v>
      </c>
      <c r="AI17" s="29">
        <v>2.5</v>
      </c>
      <c r="AJ17" s="67">
        <f>IF(AJ$6&gt;$E$3,"",2.5)</f>
        <v>2.5</v>
      </c>
      <c r="AK17" s="67">
        <f t="shared" ref="AK17:BN17" si="13">IF(AK$6&gt;$E$3,"",2.5)</f>
        <v>2.5</v>
      </c>
      <c r="AL17" s="67">
        <f t="shared" si="13"/>
        <v>2.5</v>
      </c>
      <c r="AM17" s="67">
        <f t="shared" si="13"/>
        <v>2.5</v>
      </c>
      <c r="AN17" s="67">
        <f t="shared" si="13"/>
        <v>2.5</v>
      </c>
      <c r="AO17" s="67">
        <f t="shared" si="13"/>
        <v>2.5</v>
      </c>
      <c r="AP17" s="67">
        <f t="shared" si="13"/>
        <v>2.5</v>
      </c>
      <c r="AQ17" s="67">
        <f t="shared" si="13"/>
        <v>2.5</v>
      </c>
      <c r="AR17" s="67">
        <f t="shared" si="13"/>
        <v>2.5</v>
      </c>
      <c r="AS17" s="67">
        <f t="shared" si="13"/>
        <v>2.5</v>
      </c>
      <c r="AT17" s="67">
        <f t="shared" si="13"/>
        <v>2.5</v>
      </c>
      <c r="AU17" s="67">
        <f t="shared" si="13"/>
        <v>2.5</v>
      </c>
      <c r="AV17" s="67">
        <f t="shared" si="13"/>
        <v>2.5</v>
      </c>
      <c r="AW17" s="67">
        <f t="shared" si="13"/>
        <v>2.5</v>
      </c>
      <c r="AX17" s="67">
        <f t="shared" si="13"/>
        <v>2.5</v>
      </c>
      <c r="AY17" s="67">
        <f t="shared" si="13"/>
        <v>2.5</v>
      </c>
      <c r="AZ17" s="67">
        <f t="shared" si="13"/>
        <v>2.5</v>
      </c>
      <c r="BA17" s="67">
        <f t="shared" si="13"/>
        <v>2.5</v>
      </c>
      <c r="BB17" s="67">
        <f t="shared" si="13"/>
        <v>2.5</v>
      </c>
      <c r="BC17" s="67" t="str">
        <f t="shared" si="13"/>
        <v/>
      </c>
      <c r="BD17" s="67" t="str">
        <f t="shared" si="13"/>
        <v/>
      </c>
      <c r="BE17" s="67" t="str">
        <f t="shared" si="13"/>
        <v/>
      </c>
      <c r="BF17" s="67" t="str">
        <f t="shared" si="13"/>
        <v/>
      </c>
      <c r="BG17" s="67" t="str">
        <f t="shared" si="13"/>
        <v/>
      </c>
      <c r="BH17" s="67" t="str">
        <f t="shared" si="13"/>
        <v/>
      </c>
      <c r="BI17" s="67" t="str">
        <f t="shared" si="13"/>
        <v/>
      </c>
      <c r="BJ17" s="67" t="str">
        <f t="shared" si="13"/>
        <v/>
      </c>
      <c r="BK17" s="67" t="str">
        <f t="shared" si="13"/>
        <v/>
      </c>
      <c r="BL17" s="67" t="str">
        <f t="shared" si="13"/>
        <v/>
      </c>
      <c r="BM17" s="67" t="str">
        <f t="shared" si="13"/>
        <v/>
      </c>
      <c r="BN17" s="67" t="str">
        <f t="shared" si="13"/>
        <v/>
      </c>
    </row>
    <row r="18" spans="2:66" ht="24" customHeight="1" x14ac:dyDescent="0.3">
      <c r="B18" s="920"/>
      <c r="C18" s="945"/>
      <c r="D18" s="945"/>
      <c r="E18" s="945"/>
      <c r="F18" s="945"/>
      <c r="G18" s="939"/>
      <c r="H18" s="33" t="s">
        <v>45</v>
      </c>
      <c r="I18" s="34"/>
      <c r="J18" s="36"/>
      <c r="K18" s="36"/>
      <c r="L18" s="52"/>
      <c r="M18" s="36" t="s">
        <v>122</v>
      </c>
      <c r="N18" s="35" t="s">
        <v>496</v>
      </c>
      <c r="O18" s="35" t="s">
        <v>496</v>
      </c>
      <c r="P18" s="35" t="s">
        <v>496</v>
      </c>
      <c r="Q18" s="35" t="s">
        <v>496</v>
      </c>
      <c r="R18" s="35" t="s">
        <v>496</v>
      </c>
      <c r="S18" s="35" t="s">
        <v>496</v>
      </c>
      <c r="T18" s="35" t="s">
        <v>496</v>
      </c>
      <c r="U18" s="35" t="s">
        <v>496</v>
      </c>
      <c r="V18" s="35" t="s">
        <v>496</v>
      </c>
      <c r="W18" s="35" t="s">
        <v>496</v>
      </c>
      <c r="X18" s="35" t="s">
        <v>496</v>
      </c>
      <c r="Y18" s="35" t="s">
        <v>496</v>
      </c>
      <c r="Z18" s="35" t="s">
        <v>496</v>
      </c>
      <c r="AA18" s="35" t="s">
        <v>496</v>
      </c>
      <c r="AB18" s="35">
        <v>2.8</v>
      </c>
      <c r="AC18" s="35">
        <v>0</v>
      </c>
      <c r="AD18" s="35">
        <v>0</v>
      </c>
      <c r="AE18" s="35">
        <v>0.5</v>
      </c>
      <c r="AF18" s="35">
        <v>2.1</v>
      </c>
      <c r="AG18" s="35">
        <v>0.6</v>
      </c>
      <c r="AH18" s="35">
        <v>4</v>
      </c>
      <c r="AI18" s="35">
        <v>0.5</v>
      </c>
      <c r="AJ18" s="35">
        <v>2.4</v>
      </c>
      <c r="AK18" s="35">
        <v>2.5</v>
      </c>
      <c r="AL18" s="35">
        <v>0.8</v>
      </c>
      <c r="AM18" s="35">
        <v>0</v>
      </c>
      <c r="AN18" s="35">
        <v>0</v>
      </c>
      <c r="AO18" s="35">
        <v>0.5</v>
      </c>
      <c r="AP18" s="35">
        <v>0.8</v>
      </c>
      <c r="AQ18" s="35">
        <v>2.1</v>
      </c>
      <c r="AR18" s="35">
        <v>0</v>
      </c>
      <c r="AS18" s="35">
        <v>0</v>
      </c>
      <c r="AT18" s="35">
        <v>0</v>
      </c>
      <c r="AU18" s="35">
        <v>0</v>
      </c>
      <c r="AV18" s="35">
        <v>4.7</v>
      </c>
      <c r="AW18" s="35">
        <v>2.7</v>
      </c>
      <c r="AX18" s="35">
        <v>0.8</v>
      </c>
      <c r="AY18" s="35">
        <v>0</v>
      </c>
      <c r="AZ18" s="35">
        <v>0</v>
      </c>
      <c r="BA18" s="35">
        <v>0.2</v>
      </c>
      <c r="BB18" s="35"/>
      <c r="BC18" s="35"/>
      <c r="BD18" s="35"/>
      <c r="BE18" s="35"/>
      <c r="BF18" s="35"/>
      <c r="BG18" s="35"/>
      <c r="BH18" s="35"/>
      <c r="BI18" s="35"/>
      <c r="BJ18" s="35"/>
      <c r="BK18" s="35"/>
      <c r="BL18" s="35"/>
      <c r="BM18" s="37"/>
      <c r="BN18" s="37"/>
    </row>
    <row r="19" spans="2:66" ht="24" customHeight="1" x14ac:dyDescent="0.3">
      <c r="B19" s="920"/>
      <c r="C19" s="945"/>
      <c r="D19" s="945"/>
      <c r="E19" s="945"/>
      <c r="F19" s="945"/>
      <c r="G19" s="939"/>
      <c r="H19" s="38" t="s">
        <v>46</v>
      </c>
      <c r="I19" s="39" t="str">
        <f>IF(I18="","",IF((I18-I17)&gt;=0,"G",IF((I18/I17&lt;=0.9),"R","A")))</f>
        <v/>
      </c>
      <c r="J19" s="41" t="str">
        <f t="shared" ref="J19:L19" si="14">IF(J18="","",IF((J18-J17)&gt;=0,"G",IF((J18/J17&lt;=0.9),"R","A")))</f>
        <v/>
      </c>
      <c r="K19" s="41" t="str">
        <f t="shared" si="14"/>
        <v/>
      </c>
      <c r="L19" s="53" t="str">
        <f t="shared" si="14"/>
        <v/>
      </c>
      <c r="M19" s="40" t="str">
        <f>IF(M$6&gt;$E$3,"",IF(M18="","OD",IF(M18="Blank","Blank",IF(M18="TBC","TBC",IF(M18="Undefined","Undefined",IF(M18="Missed","Missed",IF(M18="OD","OD",IF(M$4="OD","OD",IF((M18-M17)&lt;=0,"G",IF((M18-(M17/0.95))&lt;=0,"A","R"))))))))))</f>
        <v>Blank</v>
      </c>
      <c r="N19" s="40" t="str">
        <f t="shared" ref="N19:BM19" si="15">IF(N$6&gt;$E$3,"",IF(N18="","OD",IF(N18="Blank","Blank",IF(N18="TBC","TBC",IF(N18="Undefined","Undefined",IF(N18="Missed","Missed",IF(N18="OD","OD",IF(N$4="OD","OD",IF((N18-N17)&lt;=0,"G",IF((N18-(N17/0.95))&lt;=0,"A","R"))))))))))</f>
        <v>Missed</v>
      </c>
      <c r="O19" s="40" t="str">
        <f t="shared" si="15"/>
        <v>Missed</v>
      </c>
      <c r="P19" s="40" t="str">
        <f t="shared" si="15"/>
        <v>Missed</v>
      </c>
      <c r="Q19" s="40" t="str">
        <f t="shared" si="15"/>
        <v>Missed</v>
      </c>
      <c r="R19" s="40" t="str">
        <f t="shared" si="15"/>
        <v>Missed</v>
      </c>
      <c r="S19" s="40" t="str">
        <f t="shared" si="15"/>
        <v>Missed</v>
      </c>
      <c r="T19" s="40" t="str">
        <f t="shared" si="15"/>
        <v>Missed</v>
      </c>
      <c r="U19" s="40" t="str">
        <f t="shared" si="15"/>
        <v>Missed</v>
      </c>
      <c r="V19" s="40" t="str">
        <f t="shared" si="15"/>
        <v>Missed</v>
      </c>
      <c r="W19" s="40" t="str">
        <f t="shared" si="15"/>
        <v>Missed</v>
      </c>
      <c r="X19" s="40" t="str">
        <f t="shared" si="15"/>
        <v>Missed</v>
      </c>
      <c r="Y19" s="40" t="str">
        <f t="shared" si="15"/>
        <v>Missed</v>
      </c>
      <c r="Z19" s="40" t="str">
        <f t="shared" si="15"/>
        <v>Missed</v>
      </c>
      <c r="AA19" s="40" t="str">
        <f t="shared" si="15"/>
        <v>Missed</v>
      </c>
      <c r="AB19" s="40" t="str">
        <f t="shared" si="15"/>
        <v>R</v>
      </c>
      <c r="AC19" s="40" t="str">
        <f t="shared" si="15"/>
        <v>G</v>
      </c>
      <c r="AD19" s="40" t="str">
        <f t="shared" si="15"/>
        <v>G</v>
      </c>
      <c r="AE19" s="40" t="str">
        <f t="shared" si="15"/>
        <v>G</v>
      </c>
      <c r="AF19" s="40" t="str">
        <f t="shared" si="15"/>
        <v>G</v>
      </c>
      <c r="AG19" s="40" t="str">
        <f t="shared" si="15"/>
        <v>G</v>
      </c>
      <c r="AH19" s="40" t="str">
        <f t="shared" si="15"/>
        <v>R</v>
      </c>
      <c r="AI19" s="40" t="str">
        <f t="shared" si="15"/>
        <v>G</v>
      </c>
      <c r="AJ19" s="40" t="str">
        <f t="shared" si="15"/>
        <v>G</v>
      </c>
      <c r="AK19" s="40" t="str">
        <f t="shared" si="15"/>
        <v>G</v>
      </c>
      <c r="AL19" s="40" t="str">
        <f t="shared" si="15"/>
        <v>G</v>
      </c>
      <c r="AM19" s="40" t="str">
        <f t="shared" si="15"/>
        <v>G</v>
      </c>
      <c r="AN19" s="40" t="str">
        <f t="shared" si="15"/>
        <v>G</v>
      </c>
      <c r="AO19" s="40" t="str">
        <f t="shared" si="15"/>
        <v>G</v>
      </c>
      <c r="AP19" s="40" t="str">
        <f t="shared" si="15"/>
        <v>G</v>
      </c>
      <c r="AQ19" s="40" t="str">
        <f t="shared" si="15"/>
        <v>G</v>
      </c>
      <c r="AR19" s="40" t="str">
        <f t="shared" si="15"/>
        <v>G</v>
      </c>
      <c r="AS19" s="40" t="str">
        <f t="shared" si="15"/>
        <v>G</v>
      </c>
      <c r="AT19" s="40" t="str">
        <f t="shared" si="15"/>
        <v>G</v>
      </c>
      <c r="AU19" s="40" t="str">
        <f t="shared" si="15"/>
        <v>G</v>
      </c>
      <c r="AV19" s="40" t="str">
        <f t="shared" si="15"/>
        <v>R</v>
      </c>
      <c r="AW19" s="40" t="str">
        <f t="shared" si="15"/>
        <v>R</v>
      </c>
      <c r="AX19" s="40" t="str">
        <f t="shared" si="15"/>
        <v>G</v>
      </c>
      <c r="AY19" s="40" t="str">
        <f t="shared" si="15"/>
        <v>G</v>
      </c>
      <c r="AZ19" s="40" t="str">
        <f t="shared" si="15"/>
        <v>G</v>
      </c>
      <c r="BA19" s="40" t="str">
        <f t="shared" si="15"/>
        <v>G</v>
      </c>
      <c r="BB19" s="40" t="str">
        <f t="shared" si="15"/>
        <v>OD</v>
      </c>
      <c r="BC19" s="40" t="str">
        <f t="shared" si="15"/>
        <v/>
      </c>
      <c r="BD19" s="40" t="str">
        <f t="shared" si="15"/>
        <v/>
      </c>
      <c r="BE19" s="40" t="str">
        <f t="shared" si="15"/>
        <v/>
      </c>
      <c r="BF19" s="40" t="str">
        <f t="shared" si="15"/>
        <v/>
      </c>
      <c r="BG19" s="40" t="str">
        <f t="shared" si="15"/>
        <v/>
      </c>
      <c r="BH19" s="40" t="str">
        <f t="shared" si="15"/>
        <v/>
      </c>
      <c r="BI19" s="40" t="str">
        <f t="shared" si="15"/>
        <v/>
      </c>
      <c r="BJ19" s="40" t="str">
        <f t="shared" si="15"/>
        <v/>
      </c>
      <c r="BK19" s="40" t="str">
        <f t="shared" si="15"/>
        <v/>
      </c>
      <c r="BL19" s="40" t="str">
        <f t="shared" si="15"/>
        <v/>
      </c>
      <c r="BM19" s="40" t="str">
        <f t="shared" si="15"/>
        <v/>
      </c>
      <c r="BN19" s="41" t="str">
        <f t="shared" ref="BN19" si="16">IF(BN18="Blank","Blank",IF(BN18="TBC","TBC",IF(BN18="Missed","Missed",IF(BN10="OD","OD",IF(BN$6&gt;$E$2,"",IF(BN18="","OD",IF((BN18-BN17)&lt;=0,"G",IF((BN18-(BN17/0.95))&lt;=0,"A","R"))))))))</f>
        <v/>
      </c>
    </row>
    <row r="20" spans="2:66" ht="24" customHeight="1" x14ac:dyDescent="0.3">
      <c r="B20" s="920" t="s">
        <v>31</v>
      </c>
      <c r="C20" s="945" t="s">
        <v>518</v>
      </c>
      <c r="D20" s="945" t="s">
        <v>594</v>
      </c>
      <c r="E20" s="945" t="s">
        <v>169</v>
      </c>
      <c r="F20" s="945" t="s">
        <v>171</v>
      </c>
      <c r="G20" s="939" t="s">
        <v>590</v>
      </c>
      <c r="H20" s="27" t="s">
        <v>44</v>
      </c>
      <c r="I20" s="28"/>
      <c r="J20" s="30"/>
      <c r="K20" s="30"/>
      <c r="L20" s="51"/>
      <c r="M20" s="30"/>
      <c r="N20" s="29">
        <v>40</v>
      </c>
      <c r="O20" s="29">
        <v>40</v>
      </c>
      <c r="P20" s="29">
        <v>40</v>
      </c>
      <c r="Q20" s="29">
        <v>40</v>
      </c>
      <c r="R20" s="29">
        <v>40</v>
      </c>
      <c r="S20" s="29">
        <v>40</v>
      </c>
      <c r="T20" s="29">
        <v>40</v>
      </c>
      <c r="U20" s="29">
        <v>40</v>
      </c>
      <c r="V20" s="29">
        <v>40</v>
      </c>
      <c r="W20" s="29">
        <v>40</v>
      </c>
      <c r="X20" s="29">
        <v>40</v>
      </c>
      <c r="Y20" s="29">
        <v>40</v>
      </c>
      <c r="Z20" s="29">
        <v>40</v>
      </c>
      <c r="AA20" s="29">
        <v>40</v>
      </c>
      <c r="AB20" s="29">
        <v>40</v>
      </c>
      <c r="AC20" s="29">
        <v>40</v>
      </c>
      <c r="AD20" s="29">
        <v>40</v>
      </c>
      <c r="AE20" s="29">
        <v>40</v>
      </c>
      <c r="AF20" s="29">
        <v>40</v>
      </c>
      <c r="AG20" s="29">
        <v>40</v>
      </c>
      <c r="AH20" s="29">
        <v>40</v>
      </c>
      <c r="AI20" s="29">
        <v>40</v>
      </c>
      <c r="AJ20" s="67">
        <f>IF(AJ$6&gt;$E$3,"",40)</f>
        <v>40</v>
      </c>
      <c r="AK20" s="67">
        <f t="shared" ref="AK20:BN20" si="17">IF(AK$6&gt;$E$3,"",40)</f>
        <v>40</v>
      </c>
      <c r="AL20" s="67">
        <f t="shared" si="17"/>
        <v>40</v>
      </c>
      <c r="AM20" s="67">
        <f t="shared" si="17"/>
        <v>40</v>
      </c>
      <c r="AN20" s="67">
        <f t="shared" si="17"/>
        <v>40</v>
      </c>
      <c r="AO20" s="67">
        <f t="shared" si="17"/>
        <v>40</v>
      </c>
      <c r="AP20" s="67">
        <f t="shared" si="17"/>
        <v>40</v>
      </c>
      <c r="AQ20" s="67">
        <f t="shared" si="17"/>
        <v>40</v>
      </c>
      <c r="AR20" s="67">
        <f t="shared" si="17"/>
        <v>40</v>
      </c>
      <c r="AS20" s="67">
        <f t="shared" si="17"/>
        <v>40</v>
      </c>
      <c r="AT20" s="67">
        <f t="shared" si="17"/>
        <v>40</v>
      </c>
      <c r="AU20" s="67">
        <f t="shared" si="17"/>
        <v>40</v>
      </c>
      <c r="AV20" s="67">
        <f t="shared" si="17"/>
        <v>40</v>
      </c>
      <c r="AW20" s="67">
        <f t="shared" si="17"/>
        <v>40</v>
      </c>
      <c r="AX20" s="67">
        <f t="shared" si="17"/>
        <v>40</v>
      </c>
      <c r="AY20" s="67">
        <f t="shared" si="17"/>
        <v>40</v>
      </c>
      <c r="AZ20" s="67">
        <f t="shared" si="17"/>
        <v>40</v>
      </c>
      <c r="BA20" s="67">
        <f t="shared" si="17"/>
        <v>40</v>
      </c>
      <c r="BB20" s="67">
        <f t="shared" si="17"/>
        <v>40</v>
      </c>
      <c r="BC20" s="67" t="str">
        <f t="shared" si="17"/>
        <v/>
      </c>
      <c r="BD20" s="67" t="str">
        <f t="shared" si="17"/>
        <v/>
      </c>
      <c r="BE20" s="67" t="str">
        <f t="shared" si="17"/>
        <v/>
      </c>
      <c r="BF20" s="67" t="str">
        <f t="shared" si="17"/>
        <v/>
      </c>
      <c r="BG20" s="67" t="str">
        <f t="shared" si="17"/>
        <v/>
      </c>
      <c r="BH20" s="67" t="str">
        <f t="shared" si="17"/>
        <v/>
      </c>
      <c r="BI20" s="67" t="str">
        <f t="shared" si="17"/>
        <v/>
      </c>
      <c r="BJ20" s="67" t="str">
        <f t="shared" si="17"/>
        <v/>
      </c>
      <c r="BK20" s="67" t="str">
        <f t="shared" si="17"/>
        <v/>
      </c>
      <c r="BL20" s="67" t="str">
        <f t="shared" si="17"/>
        <v/>
      </c>
      <c r="BM20" s="67" t="str">
        <f t="shared" si="17"/>
        <v/>
      </c>
      <c r="BN20" s="67" t="str">
        <f t="shared" si="17"/>
        <v/>
      </c>
    </row>
    <row r="21" spans="2:66" ht="24" customHeight="1" x14ac:dyDescent="0.3">
      <c r="B21" s="920"/>
      <c r="C21" s="945"/>
      <c r="D21" s="945"/>
      <c r="E21" s="945"/>
      <c r="F21" s="945"/>
      <c r="G21" s="939"/>
      <c r="H21" s="33" t="s">
        <v>45</v>
      </c>
      <c r="I21" s="34"/>
      <c r="J21" s="36"/>
      <c r="K21" s="36"/>
      <c r="L21" s="52"/>
      <c r="M21" s="36" t="s">
        <v>122</v>
      </c>
      <c r="N21" s="35">
        <v>47</v>
      </c>
      <c r="O21" s="35">
        <v>38</v>
      </c>
      <c r="P21" s="35">
        <v>45</v>
      </c>
      <c r="Q21" s="35">
        <v>39</v>
      </c>
      <c r="R21" s="35">
        <v>34</v>
      </c>
      <c r="S21" s="35">
        <v>24</v>
      </c>
      <c r="T21" s="35">
        <v>26</v>
      </c>
      <c r="U21" s="35">
        <v>27</v>
      </c>
      <c r="V21" s="35">
        <v>23</v>
      </c>
      <c r="W21" s="35">
        <v>28</v>
      </c>
      <c r="X21" s="35">
        <v>8</v>
      </c>
      <c r="Y21" s="35">
        <v>8</v>
      </c>
      <c r="Z21" s="35">
        <v>6</v>
      </c>
      <c r="AA21" s="35">
        <v>37</v>
      </c>
      <c r="AB21" s="35">
        <v>31</v>
      </c>
      <c r="AC21" s="35">
        <v>13</v>
      </c>
      <c r="AD21" s="35">
        <v>22</v>
      </c>
      <c r="AE21" s="35">
        <v>27</v>
      </c>
      <c r="AF21" s="35">
        <v>40</v>
      </c>
      <c r="AG21" s="35">
        <v>33</v>
      </c>
      <c r="AH21" s="35">
        <v>3</v>
      </c>
      <c r="AI21" s="35">
        <v>164</v>
      </c>
      <c r="AJ21" s="35">
        <v>111</v>
      </c>
      <c r="AK21" s="35">
        <v>21</v>
      </c>
      <c r="AL21" s="35">
        <v>38</v>
      </c>
      <c r="AM21" s="35">
        <v>34</v>
      </c>
      <c r="AN21" s="35">
        <v>45</v>
      </c>
      <c r="AO21" s="35">
        <v>158</v>
      </c>
      <c r="AP21" s="35">
        <v>55</v>
      </c>
      <c r="AQ21" s="35">
        <v>44</v>
      </c>
      <c r="AR21" s="35">
        <v>49</v>
      </c>
      <c r="AS21" s="35">
        <v>37</v>
      </c>
      <c r="AT21" s="35">
        <v>14</v>
      </c>
      <c r="AU21" s="35">
        <v>28</v>
      </c>
      <c r="AV21" s="35">
        <v>4</v>
      </c>
      <c r="AW21" s="35">
        <v>2</v>
      </c>
      <c r="AX21" s="35">
        <v>1.2</v>
      </c>
      <c r="AY21" s="35">
        <v>37</v>
      </c>
      <c r="AZ21" s="35">
        <v>49</v>
      </c>
      <c r="BA21" s="35">
        <v>10</v>
      </c>
      <c r="BB21" s="35"/>
      <c r="BC21" s="35"/>
      <c r="BD21" s="35"/>
      <c r="BE21" s="35"/>
      <c r="BF21" s="35"/>
      <c r="BG21" s="35"/>
      <c r="BH21" s="35"/>
      <c r="BI21" s="35"/>
      <c r="BJ21" s="35"/>
      <c r="BK21" s="35"/>
      <c r="BL21" s="35"/>
      <c r="BM21" s="37"/>
      <c r="BN21" s="37"/>
    </row>
    <row r="22" spans="2:66" ht="24" customHeight="1" thickBot="1" x14ac:dyDescent="0.35">
      <c r="B22" s="920"/>
      <c r="C22" s="945"/>
      <c r="D22" s="945"/>
      <c r="E22" s="945"/>
      <c r="F22" s="945"/>
      <c r="G22" s="939"/>
      <c r="H22" s="38" t="s">
        <v>46</v>
      </c>
      <c r="I22" s="43" t="str">
        <f>IF(I21="","",IF((I21-I20)&gt;=0,"G",IF((I21/I20&lt;=0.9),"R","A")))</f>
        <v/>
      </c>
      <c r="J22" s="81" t="str">
        <f t="shared" ref="J22:L22" si="18">IF(J21="","",IF((J21-J20)&gt;=0,"G",IF((J21/J20&lt;=0.9),"R","A")))</f>
        <v/>
      </c>
      <c r="K22" s="81" t="str">
        <f t="shared" si="18"/>
        <v/>
      </c>
      <c r="L22" s="54" t="str">
        <f t="shared" si="18"/>
        <v/>
      </c>
      <c r="M22" s="40" t="str">
        <f>IF(M$6&gt;$E$3,"",IF(M21="","OD",IF(M21="Blank","Blank",IF(M21="TBC","TBC",IF(M21="Undefined","Undefined",IF(M21="Missed","Missed",IF(M21="OD","OD",IF(M$4="OD","OD",IF((M21-M20)&lt;=0,"G",IF((M21-(M20/0.95))&lt;=0,"A","R"))))))))))</f>
        <v>Blank</v>
      </c>
      <c r="N22" s="40" t="str">
        <f t="shared" ref="N22:BM22" si="19">IF(N$6&gt;$E$3,"",IF(N21="","OD",IF(N21="Blank","Blank",IF(N21="TBC","TBC",IF(N21="Undefined","Undefined",IF(N21="Missed","Missed",IF(N21="OD","OD",IF(N$4="OD","OD",IF((N21-N20)&lt;=0,"G",IF((N21-(N20/0.95))&lt;=0,"A","R"))))))))))</f>
        <v>R</v>
      </c>
      <c r="O22" s="40" t="str">
        <f t="shared" si="19"/>
        <v>G</v>
      </c>
      <c r="P22" s="40" t="str">
        <f t="shared" si="19"/>
        <v>R</v>
      </c>
      <c r="Q22" s="40" t="str">
        <f t="shared" si="19"/>
        <v>G</v>
      </c>
      <c r="R22" s="40" t="str">
        <f t="shared" si="19"/>
        <v>G</v>
      </c>
      <c r="S22" s="40" t="str">
        <f t="shared" si="19"/>
        <v>G</v>
      </c>
      <c r="T22" s="40" t="str">
        <f t="shared" si="19"/>
        <v>G</v>
      </c>
      <c r="U22" s="40" t="str">
        <f t="shared" si="19"/>
        <v>G</v>
      </c>
      <c r="V22" s="40" t="str">
        <f t="shared" si="19"/>
        <v>G</v>
      </c>
      <c r="W22" s="40" t="str">
        <f t="shared" si="19"/>
        <v>G</v>
      </c>
      <c r="X22" s="40" t="str">
        <f t="shared" si="19"/>
        <v>G</v>
      </c>
      <c r="Y22" s="40" t="str">
        <f t="shared" si="19"/>
        <v>G</v>
      </c>
      <c r="Z22" s="40" t="str">
        <f t="shared" si="19"/>
        <v>G</v>
      </c>
      <c r="AA22" s="40" t="str">
        <f t="shared" si="19"/>
        <v>G</v>
      </c>
      <c r="AB22" s="40" t="str">
        <f t="shared" si="19"/>
        <v>G</v>
      </c>
      <c r="AC22" s="40" t="str">
        <f t="shared" si="19"/>
        <v>G</v>
      </c>
      <c r="AD22" s="40" t="str">
        <f t="shared" si="19"/>
        <v>G</v>
      </c>
      <c r="AE22" s="40" t="str">
        <f t="shared" si="19"/>
        <v>G</v>
      </c>
      <c r="AF22" s="40" t="str">
        <f t="shared" si="19"/>
        <v>G</v>
      </c>
      <c r="AG22" s="40" t="str">
        <f t="shared" si="19"/>
        <v>G</v>
      </c>
      <c r="AH22" s="40" t="str">
        <f t="shared" si="19"/>
        <v>G</v>
      </c>
      <c r="AI22" s="40" t="str">
        <f t="shared" si="19"/>
        <v>R</v>
      </c>
      <c r="AJ22" s="40" t="str">
        <f t="shared" si="19"/>
        <v>R</v>
      </c>
      <c r="AK22" s="40" t="str">
        <f t="shared" si="19"/>
        <v>G</v>
      </c>
      <c r="AL22" s="40" t="str">
        <f t="shared" si="19"/>
        <v>G</v>
      </c>
      <c r="AM22" s="40" t="str">
        <f t="shared" si="19"/>
        <v>G</v>
      </c>
      <c r="AN22" s="40" t="str">
        <f t="shared" si="19"/>
        <v>R</v>
      </c>
      <c r="AO22" s="40" t="str">
        <f t="shared" si="19"/>
        <v>R</v>
      </c>
      <c r="AP22" s="40" t="str">
        <f t="shared" si="19"/>
        <v>R</v>
      </c>
      <c r="AQ22" s="40" t="str">
        <f t="shared" si="19"/>
        <v>R</v>
      </c>
      <c r="AR22" s="40" t="str">
        <f t="shared" si="19"/>
        <v>R</v>
      </c>
      <c r="AS22" s="40" t="str">
        <f t="shared" si="19"/>
        <v>G</v>
      </c>
      <c r="AT22" s="40" t="str">
        <f t="shared" si="19"/>
        <v>G</v>
      </c>
      <c r="AU22" s="40" t="str">
        <f t="shared" si="19"/>
        <v>G</v>
      </c>
      <c r="AV22" s="40" t="str">
        <f t="shared" si="19"/>
        <v>G</v>
      </c>
      <c r="AW22" s="40" t="str">
        <f t="shared" si="19"/>
        <v>G</v>
      </c>
      <c r="AX22" s="40" t="str">
        <f t="shared" si="19"/>
        <v>G</v>
      </c>
      <c r="AY22" s="40" t="str">
        <f t="shared" si="19"/>
        <v>G</v>
      </c>
      <c r="AZ22" s="40" t="str">
        <f t="shared" si="19"/>
        <v>R</v>
      </c>
      <c r="BA22" s="40" t="str">
        <f t="shared" si="19"/>
        <v>G</v>
      </c>
      <c r="BB22" s="40" t="str">
        <f t="shared" si="19"/>
        <v>OD</v>
      </c>
      <c r="BC22" s="40" t="str">
        <f t="shared" si="19"/>
        <v/>
      </c>
      <c r="BD22" s="40" t="str">
        <f t="shared" si="19"/>
        <v/>
      </c>
      <c r="BE22" s="40" t="str">
        <f t="shared" si="19"/>
        <v/>
      </c>
      <c r="BF22" s="40" t="str">
        <f t="shared" si="19"/>
        <v/>
      </c>
      <c r="BG22" s="40" t="str">
        <f t="shared" si="19"/>
        <v/>
      </c>
      <c r="BH22" s="40" t="str">
        <f t="shared" si="19"/>
        <v/>
      </c>
      <c r="BI22" s="40" t="str">
        <f t="shared" si="19"/>
        <v/>
      </c>
      <c r="BJ22" s="40" t="str">
        <f t="shared" si="19"/>
        <v/>
      </c>
      <c r="BK22" s="40" t="str">
        <f t="shared" si="19"/>
        <v/>
      </c>
      <c r="BL22" s="40" t="str">
        <f t="shared" si="19"/>
        <v/>
      </c>
      <c r="BM22" s="40" t="str">
        <f t="shared" si="19"/>
        <v/>
      </c>
      <c r="BN22" s="42"/>
    </row>
    <row r="23" spans="2:66" x14ac:dyDescent="0.3">
      <c r="B23" s="46"/>
      <c r="C23" s="47"/>
    </row>
    <row r="25" spans="2:66" ht="15.6" x14ac:dyDescent="0.3">
      <c r="B25" s="1" t="s">
        <v>0</v>
      </c>
      <c r="C25" s="45" t="s">
        <v>1</v>
      </c>
    </row>
    <row r="26" spans="2:66" ht="15.6" x14ac:dyDescent="0.3">
      <c r="B26" s="4" t="s">
        <v>2</v>
      </c>
      <c r="C26" s="45" t="s">
        <v>3</v>
      </c>
    </row>
    <row r="27" spans="2:66" ht="15.6" x14ac:dyDescent="0.3">
      <c r="B27" s="5" t="s">
        <v>4</v>
      </c>
      <c r="C27" s="45" t="s">
        <v>5</v>
      </c>
    </row>
    <row r="28" spans="2:66" x14ac:dyDescent="0.3">
      <c r="B28" s="340" t="s">
        <v>35</v>
      </c>
      <c r="C28" s="13" t="s">
        <v>376</v>
      </c>
    </row>
    <row r="29" spans="2:66" x14ac:dyDescent="0.3">
      <c r="B29" s="341" t="s">
        <v>122</v>
      </c>
      <c r="C29" s="13" t="s">
        <v>377</v>
      </c>
    </row>
  </sheetData>
  <mergeCells count="31">
    <mergeCell ref="B20:B22"/>
    <mergeCell ref="C20:C22"/>
    <mergeCell ref="D20:D22"/>
    <mergeCell ref="G20:G22"/>
    <mergeCell ref="B14:B16"/>
    <mergeCell ref="C14:C16"/>
    <mergeCell ref="D14:D16"/>
    <mergeCell ref="G14:G16"/>
    <mergeCell ref="E20:E22"/>
    <mergeCell ref="F20:F22"/>
    <mergeCell ref="B11:B13"/>
    <mergeCell ref="C11:C13"/>
    <mergeCell ref="D11:D13"/>
    <mergeCell ref="G11:G13"/>
    <mergeCell ref="B17:B19"/>
    <mergeCell ref="C17:C19"/>
    <mergeCell ref="D17:D19"/>
    <mergeCell ref="G17:G19"/>
    <mergeCell ref="E11:E13"/>
    <mergeCell ref="F11:F13"/>
    <mergeCell ref="E14:E16"/>
    <mergeCell ref="F14:F16"/>
    <mergeCell ref="E17:E19"/>
    <mergeCell ref="F17:F19"/>
    <mergeCell ref="G6:G7"/>
    <mergeCell ref="B8:B10"/>
    <mergeCell ref="C8:C10"/>
    <mergeCell ref="D8:D10"/>
    <mergeCell ref="G8:G10"/>
    <mergeCell ref="E8:E10"/>
    <mergeCell ref="F8:F10"/>
  </mergeCells>
  <conditionalFormatting sqref="B29">
    <cfRule type="cellIs" dxfId="368" priority="101" operator="equal">
      <formula>"TBC"</formula>
    </cfRule>
    <cfRule type="cellIs" dxfId="367" priority="102" operator="equal">
      <formula>"OD"</formula>
    </cfRule>
    <cfRule type="cellIs" dxfId="366" priority="103" operator="equal">
      <formula>"G"</formula>
    </cfRule>
    <cfRule type="cellIs" dxfId="365" priority="104" operator="equal">
      <formula>"A"</formula>
    </cfRule>
    <cfRule type="cellIs" dxfId="364" priority="105" operator="equal">
      <formula>"R"</formula>
    </cfRule>
  </conditionalFormatting>
  <conditionalFormatting sqref="I10:BM10">
    <cfRule type="cellIs" dxfId="363" priority="21" operator="equal">
      <formula>"OD"</formula>
    </cfRule>
    <cfRule type="cellIs" dxfId="362" priority="22" operator="equal">
      <formula>"TBC"</formula>
    </cfRule>
    <cfRule type="cellIs" dxfId="361" priority="23" operator="equal">
      <formula>"G"</formula>
    </cfRule>
    <cfRule type="cellIs" dxfId="360" priority="24" operator="equal">
      <formula>"A"</formula>
    </cfRule>
    <cfRule type="cellIs" dxfId="359" priority="25" operator="equal">
      <formula>"R"</formula>
    </cfRule>
  </conditionalFormatting>
  <conditionalFormatting sqref="I13:BM13">
    <cfRule type="cellIs" dxfId="358" priority="16" operator="equal">
      <formula>"OD"</formula>
    </cfRule>
    <cfRule type="cellIs" dxfId="357" priority="17" operator="equal">
      <formula>"TBC"</formula>
    </cfRule>
    <cfRule type="cellIs" dxfId="356" priority="18" operator="equal">
      <formula>"G"</formula>
    </cfRule>
    <cfRule type="cellIs" dxfId="355" priority="19" operator="equal">
      <formula>"A"</formula>
    </cfRule>
    <cfRule type="cellIs" dxfId="354" priority="20" operator="equal">
      <formula>"R"</formula>
    </cfRule>
  </conditionalFormatting>
  <conditionalFormatting sqref="I16:BM16">
    <cfRule type="cellIs" dxfId="353" priority="11" operator="equal">
      <formula>"OD"</formula>
    </cfRule>
    <cfRule type="cellIs" dxfId="352" priority="12" operator="equal">
      <formula>"TBC"</formula>
    </cfRule>
    <cfRule type="cellIs" dxfId="351" priority="13" operator="equal">
      <formula>"G"</formula>
    </cfRule>
    <cfRule type="cellIs" dxfId="350" priority="14" operator="equal">
      <formula>"A"</formula>
    </cfRule>
    <cfRule type="cellIs" dxfId="349" priority="15" operator="equal">
      <formula>"R"</formula>
    </cfRule>
  </conditionalFormatting>
  <conditionalFormatting sqref="I22:BM22">
    <cfRule type="cellIs" dxfId="348" priority="1" operator="equal">
      <formula>"OD"</formula>
    </cfRule>
    <cfRule type="cellIs" dxfId="347" priority="2" operator="equal">
      <formula>"TBC"</formula>
    </cfRule>
    <cfRule type="cellIs" dxfId="346" priority="3" operator="equal">
      <formula>"G"</formula>
    </cfRule>
    <cfRule type="cellIs" dxfId="345" priority="4" operator="equal">
      <formula>"A"</formula>
    </cfRule>
    <cfRule type="cellIs" dxfId="344" priority="5" operator="equal">
      <formula>"R"</formula>
    </cfRule>
  </conditionalFormatting>
  <conditionalFormatting sqref="I19:BN19">
    <cfRule type="cellIs" dxfId="343" priority="6" operator="equal">
      <formula>"OD"</formula>
    </cfRule>
    <cfRule type="cellIs" dxfId="342" priority="7" operator="equal">
      <formula>"TBC"</formula>
    </cfRule>
    <cfRule type="cellIs" dxfId="341" priority="8" operator="equal">
      <formula>"G"</formula>
    </cfRule>
    <cfRule type="cellIs" dxfId="340" priority="9" operator="equal">
      <formula>"A"</formula>
    </cfRule>
    <cfRule type="cellIs" dxfId="339" priority="10" operator="equal">
      <formula>"R"</formula>
    </cfRule>
  </conditionalFormatting>
  <hyperlinks>
    <hyperlink ref="G11" r:id="rId1" xr:uid="{44575562-09D7-4194-9A12-273F4FB63CF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64EF1-3AC2-404F-8AD8-05FF87536764}">
  <sheetPr>
    <tabColor rgb="FF00B050"/>
  </sheetPr>
  <dimension ref="B1:BN29"/>
  <sheetViews>
    <sheetView workbookViewId="0">
      <pane xSplit="6" ySplit="7" topLeftCell="AM9" activePane="bottomRight" state="frozen"/>
      <selection pane="topRight" activeCell="G1" sqref="G1"/>
      <selection pane="bottomLeft" activeCell="A8" sqref="A8"/>
      <selection pane="bottomRight" activeCell="E2" sqref="E2"/>
    </sheetView>
  </sheetViews>
  <sheetFormatPr defaultColWidth="9.33203125" defaultRowHeight="14.4" x14ac:dyDescent="0.3"/>
  <cols>
    <col min="1" max="1" width="3" style="2" customWidth="1"/>
    <col min="2" max="2" width="18" style="117" customWidth="1"/>
    <col min="3" max="3" width="16.5546875" style="13" bestFit="1" customWidth="1"/>
    <col min="4" max="4" width="35" style="2" customWidth="1"/>
    <col min="5" max="5" width="8.33203125" style="2" customWidth="1"/>
    <col min="6" max="6" width="9.5546875" style="2" customWidth="1"/>
    <col min="7" max="7" width="28" style="117" customWidth="1"/>
    <col min="8" max="8" width="9.44140625" style="2" bestFit="1" customWidth="1"/>
    <col min="9" max="12" width="3" style="2" bestFit="1" customWidth="1"/>
    <col min="13" max="65" width="8.44140625" style="2" customWidth="1"/>
    <col min="66" max="66" width="7.6640625" style="2" hidden="1"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8.600000000000001" thickBot="1" x14ac:dyDescent="0.35">
      <c r="B1" s="121" t="s">
        <v>121</v>
      </c>
      <c r="C1" s="10" t="s">
        <v>21</v>
      </c>
      <c r="V1" s="2">
        <f>+V11/0.95</f>
        <v>5.2631578947368425</v>
      </c>
    </row>
    <row r="2" spans="2:66" ht="15" thickBot="1" x14ac:dyDescent="0.35">
      <c r="D2" s="119" t="s">
        <v>123</v>
      </c>
      <c r="E2" s="218">
        <v>42</v>
      </c>
      <c r="F2" s="2" t="s">
        <v>248</v>
      </c>
    </row>
    <row r="3" spans="2:66" ht="15" thickBot="1" x14ac:dyDescent="0.35">
      <c r="B3" s="2" t="s">
        <v>384</v>
      </c>
      <c r="D3" s="120" t="s">
        <v>193</v>
      </c>
      <c r="E3" s="120">
        <f>+'KPI Analysis'!D3</f>
        <v>42</v>
      </c>
      <c r="G3" s="2"/>
      <c r="V3" s="2">
        <f>+V8*0.95</f>
        <v>76</v>
      </c>
      <c r="AN3" s="2">
        <f>+AN9/AN8</f>
        <v>0.3125</v>
      </c>
    </row>
    <row r="4" spans="2:66" ht="36.6"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IF(AN6&gt;$E$3,"Future",IF(AN6&gt;$E$2,"OD",IF($E$2&gt;=AN6,"Calc")))</f>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5" thickBot="1" x14ac:dyDescent="0.35">
      <c r="B5" s="125"/>
      <c r="C5" s="47"/>
    </row>
    <row r="6" spans="2:66" ht="24" customHeight="1" x14ac:dyDescent="0.3">
      <c r="B6" s="121" t="s">
        <v>79</v>
      </c>
      <c r="C6" s="189" t="s">
        <v>160</v>
      </c>
      <c r="D6" s="190"/>
      <c r="E6" s="106"/>
      <c r="F6" s="106"/>
      <c r="G6" s="928" t="s">
        <v>37</v>
      </c>
      <c r="H6" s="15" t="s">
        <v>7</v>
      </c>
      <c r="I6" s="57">
        <f>J6-1</f>
        <v>49</v>
      </c>
      <c r="J6" s="58">
        <f>K6-1</f>
        <v>50</v>
      </c>
      <c r="K6" s="58">
        <f>L6-1</f>
        <v>51</v>
      </c>
      <c r="L6" s="59">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40.799999999999997" customHeight="1" x14ac:dyDescent="0.3">
      <c r="B7" s="121" t="s">
        <v>38</v>
      </c>
      <c r="C7" s="21" t="s">
        <v>39</v>
      </c>
      <c r="D7" s="21" t="s">
        <v>40</v>
      </c>
      <c r="E7" s="21" t="s">
        <v>140</v>
      </c>
      <c r="F7" s="21" t="s">
        <v>159</v>
      </c>
      <c r="G7" s="929"/>
      <c r="H7" s="15" t="s">
        <v>41</v>
      </c>
      <c r="I7" s="60">
        <f t="shared" ref="I7:K7" si="2">J7-7</f>
        <v>45632</v>
      </c>
      <c r="J7" s="61">
        <f t="shared" si="2"/>
        <v>45639</v>
      </c>
      <c r="K7" s="61">
        <f t="shared" si="2"/>
        <v>45646</v>
      </c>
      <c r="L7" s="62">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24" customHeight="1" x14ac:dyDescent="0.3">
      <c r="B8" s="948" t="s">
        <v>30</v>
      </c>
      <c r="C8" s="922" t="s">
        <v>107</v>
      </c>
      <c r="D8" s="922" t="s">
        <v>108</v>
      </c>
      <c r="E8" s="949" t="s">
        <v>166</v>
      </c>
      <c r="F8" s="949" t="s">
        <v>154</v>
      </c>
      <c r="G8" s="943" t="s">
        <v>590</v>
      </c>
      <c r="H8" s="63" t="s">
        <v>44</v>
      </c>
      <c r="I8" s="64"/>
      <c r="J8" s="65"/>
      <c r="K8" s="65"/>
      <c r="L8" s="66"/>
      <c r="M8" s="65"/>
      <c r="N8" s="67">
        <f>'[3]BE Prod. Eng'!L5</f>
        <v>80</v>
      </c>
      <c r="O8" s="67">
        <f>'[3]BE Prod. Eng'!M5</f>
        <v>80</v>
      </c>
      <c r="P8" s="67">
        <f>'[3]BE Prod. Eng'!N5</f>
        <v>80</v>
      </c>
      <c r="Q8" s="67">
        <f>'[3]BE Prod. Eng'!O5</f>
        <v>80</v>
      </c>
      <c r="R8" s="67">
        <f>'[3]BE Prod. Eng'!P5</f>
        <v>80</v>
      </c>
      <c r="S8" s="67">
        <f>'[3]BE Prod. Eng'!Q5</f>
        <v>80</v>
      </c>
      <c r="T8" s="67">
        <f>'[3]BE Prod. Eng'!R5</f>
        <v>80</v>
      </c>
      <c r="U8" s="67">
        <f>'[3]BE Prod. Eng'!S5</f>
        <v>80</v>
      </c>
      <c r="V8" s="67">
        <f>'[3]BE Prod. Eng'!T5</f>
        <v>80</v>
      </c>
      <c r="W8" s="32">
        <f>'[3]BE Prod. Eng'!U5</f>
        <v>80</v>
      </c>
      <c r="X8" s="65">
        <v>80</v>
      </c>
      <c r="Y8" s="65">
        <v>80</v>
      </c>
      <c r="Z8" s="65">
        <v>80</v>
      </c>
      <c r="AA8" s="65">
        <v>80</v>
      </c>
      <c r="AB8" s="65">
        <v>80</v>
      </c>
      <c r="AC8" s="65">
        <v>80</v>
      </c>
      <c r="AD8" s="65">
        <v>80</v>
      </c>
      <c r="AE8" s="65">
        <v>80</v>
      </c>
      <c r="AF8" s="67">
        <v>80</v>
      </c>
      <c r="AG8" s="67">
        <v>80</v>
      </c>
      <c r="AH8" s="67">
        <v>80</v>
      </c>
      <c r="AI8" s="67">
        <v>80</v>
      </c>
      <c r="AJ8" s="67">
        <f>IF(AJ$6&gt;$E$3,"",80)</f>
        <v>80</v>
      </c>
      <c r="AK8" s="67">
        <f t="shared" ref="AK8:BM8" si="4">IF(AK$6&gt;$E$3,"",80)</f>
        <v>80</v>
      </c>
      <c r="AL8" s="67">
        <f t="shared" si="4"/>
        <v>80</v>
      </c>
      <c r="AM8" s="67">
        <f t="shared" si="4"/>
        <v>80</v>
      </c>
      <c r="AN8" s="67">
        <f t="shared" si="4"/>
        <v>80</v>
      </c>
      <c r="AO8" s="67">
        <f t="shared" si="4"/>
        <v>80</v>
      </c>
      <c r="AP8" s="67">
        <f t="shared" si="4"/>
        <v>80</v>
      </c>
      <c r="AQ8" s="67">
        <v>85</v>
      </c>
      <c r="AR8" s="67">
        <f t="shared" si="4"/>
        <v>80</v>
      </c>
      <c r="AS8" s="67">
        <f t="shared" si="4"/>
        <v>80</v>
      </c>
      <c r="AT8" s="67">
        <f t="shared" si="4"/>
        <v>80</v>
      </c>
      <c r="AU8" s="67">
        <f t="shared" si="4"/>
        <v>80</v>
      </c>
      <c r="AV8" s="67">
        <f t="shared" si="4"/>
        <v>80</v>
      </c>
      <c r="AW8" s="67">
        <f t="shared" si="4"/>
        <v>80</v>
      </c>
      <c r="AX8" s="67">
        <f t="shared" si="4"/>
        <v>80</v>
      </c>
      <c r="AY8" s="67">
        <f t="shared" si="4"/>
        <v>80</v>
      </c>
      <c r="AZ8" s="67">
        <f t="shared" si="4"/>
        <v>80</v>
      </c>
      <c r="BA8" s="67">
        <f t="shared" si="4"/>
        <v>80</v>
      </c>
      <c r="BB8" s="67">
        <f t="shared" si="4"/>
        <v>80</v>
      </c>
      <c r="BC8" s="67" t="str">
        <f t="shared" si="4"/>
        <v/>
      </c>
      <c r="BD8" s="67" t="str">
        <f t="shared" si="4"/>
        <v/>
      </c>
      <c r="BE8" s="67" t="str">
        <f t="shared" si="4"/>
        <v/>
      </c>
      <c r="BF8" s="67" t="str">
        <f t="shared" si="4"/>
        <v/>
      </c>
      <c r="BG8" s="67" t="str">
        <f t="shared" si="4"/>
        <v/>
      </c>
      <c r="BH8" s="67" t="str">
        <f t="shared" si="4"/>
        <v/>
      </c>
      <c r="BI8" s="67" t="str">
        <f t="shared" si="4"/>
        <v/>
      </c>
      <c r="BJ8" s="67" t="str">
        <f t="shared" si="4"/>
        <v/>
      </c>
      <c r="BK8" s="67" t="str">
        <f t="shared" si="4"/>
        <v/>
      </c>
      <c r="BL8" s="67" t="str">
        <f t="shared" si="4"/>
        <v/>
      </c>
      <c r="BM8" s="67" t="str">
        <f t="shared" si="4"/>
        <v/>
      </c>
      <c r="BN8" s="32"/>
    </row>
    <row r="9" spans="2:66" ht="24" customHeight="1" x14ac:dyDescent="0.3">
      <c r="B9" s="948"/>
      <c r="C9" s="921"/>
      <c r="D9" s="921"/>
      <c r="E9" s="950"/>
      <c r="F9" s="950"/>
      <c r="G9" s="939"/>
      <c r="H9" s="33" t="s">
        <v>45</v>
      </c>
      <c r="I9" s="34"/>
      <c r="J9" s="36"/>
      <c r="K9" s="36"/>
      <c r="L9" s="52"/>
      <c r="M9" s="36" t="s">
        <v>122</v>
      </c>
      <c r="N9" s="35">
        <f>'[3]BE Prod. Eng'!L6</f>
        <v>38</v>
      </c>
      <c r="O9" s="35">
        <f>'[3]BE Prod. Eng'!M6</f>
        <v>114</v>
      </c>
      <c r="P9" s="35">
        <f>'[3]BE Prod. Eng'!N6</f>
        <v>71</v>
      </c>
      <c r="Q9" s="35">
        <f>'[3]BE Prod. Eng'!O6</f>
        <v>166</v>
      </c>
      <c r="R9" s="35">
        <f>'[3]BE Prod. Eng'!P6</f>
        <v>102</v>
      </c>
      <c r="S9" s="35">
        <f>'[3]BE Prod. Eng'!Q6</f>
        <v>75</v>
      </c>
      <c r="T9" s="35">
        <f>'[3]BE Prod. Eng'!R6</f>
        <v>70</v>
      </c>
      <c r="U9" s="35">
        <f>'[3]BE Prod. Eng'!S6</f>
        <v>89</v>
      </c>
      <c r="V9" s="35">
        <f>'[3]BE Prod. Eng'!T6</f>
        <v>76</v>
      </c>
      <c r="W9" s="35">
        <f>'[3]BE Prod. Eng'!U6</f>
        <v>50</v>
      </c>
      <c r="X9" s="35">
        <v>129</v>
      </c>
      <c r="Y9" s="35">
        <v>135</v>
      </c>
      <c r="Z9" s="35">
        <v>50</v>
      </c>
      <c r="AA9" s="35">
        <v>130</v>
      </c>
      <c r="AB9" s="35">
        <v>71</v>
      </c>
      <c r="AC9" s="35">
        <v>107</v>
      </c>
      <c r="AD9" s="35">
        <v>87</v>
      </c>
      <c r="AE9" s="35">
        <v>70</v>
      </c>
      <c r="AF9" s="35">
        <v>68</v>
      </c>
      <c r="AG9" s="35">
        <v>69</v>
      </c>
      <c r="AH9" s="35">
        <v>110</v>
      </c>
      <c r="AI9" s="35">
        <v>193</v>
      </c>
      <c r="AJ9" s="35">
        <v>204</v>
      </c>
      <c r="AK9" s="35">
        <v>105</v>
      </c>
      <c r="AL9" s="35">
        <v>79</v>
      </c>
      <c r="AM9" s="35">
        <v>100</v>
      </c>
      <c r="AN9" s="35">
        <v>25</v>
      </c>
      <c r="AO9" s="35">
        <v>63</v>
      </c>
      <c r="AP9" s="35">
        <v>96</v>
      </c>
      <c r="AQ9" s="35">
        <v>72</v>
      </c>
      <c r="AR9" s="35">
        <v>111</v>
      </c>
      <c r="AS9" s="35">
        <v>97</v>
      </c>
      <c r="AT9" s="35">
        <v>78</v>
      </c>
      <c r="AU9" s="35">
        <v>32</v>
      </c>
      <c r="AV9" s="35">
        <v>85</v>
      </c>
      <c r="AW9" s="35">
        <v>85</v>
      </c>
      <c r="AX9" s="35">
        <v>60</v>
      </c>
      <c r="AY9" s="35">
        <v>71</v>
      </c>
      <c r="AZ9" s="35">
        <v>122</v>
      </c>
      <c r="BA9" s="35">
        <v>114</v>
      </c>
      <c r="BB9" s="35"/>
      <c r="BC9" s="35"/>
      <c r="BD9" s="35"/>
      <c r="BE9" s="35"/>
      <c r="BF9" s="35"/>
      <c r="BG9" s="35"/>
      <c r="BH9" s="35"/>
      <c r="BI9" s="35"/>
      <c r="BJ9" s="35"/>
      <c r="BK9" s="35"/>
      <c r="BL9" s="35"/>
      <c r="BM9" s="35"/>
      <c r="BN9" s="37"/>
    </row>
    <row r="10" spans="2:66" ht="24" customHeight="1" x14ac:dyDescent="0.3">
      <c r="B10" s="948"/>
      <c r="C10" s="921"/>
      <c r="D10" s="921"/>
      <c r="E10" s="950"/>
      <c r="F10" s="950"/>
      <c r="G10" s="939"/>
      <c r="H10" s="38" t="s">
        <v>46</v>
      </c>
      <c r="I10" s="39" t="str">
        <f>IF(I9="","",IF((I9-I8)&gt;=0,"G",IF((I9/I8&lt;=0.9),"R","A")))</f>
        <v/>
      </c>
      <c r="J10" s="41" t="str">
        <f>IF(J9="","",IF((J9-J8)&gt;=0,"G",IF((J9/J8&lt;=0.9),"R","A")))</f>
        <v/>
      </c>
      <c r="K10" s="41" t="str">
        <f>IF(K9="","",IF((K9-K8)&gt;=0,"G",IF((K9/K8&lt;=0.9),"R","A")))</f>
        <v/>
      </c>
      <c r="L10" s="53" t="str">
        <f>IF(L9="","",IF((L9-L8)&gt;=0,"G",IF((L9/L8&lt;=0.9),"R","A")))</f>
        <v/>
      </c>
      <c r="M10" s="40" t="str">
        <f>IF(M$6&gt;$E$3,"",IF(M9="","OD",IF(M9="Blank","Blank",IF(M9="TBC","TBC",IF(M9="Undefined","Undefined",IF(M9="Missed","Missed",IF(M9="OD","OD",IF(M$4="OD","OD",IF((M9-M8)&gt;=0,"G",IF((M9-(M8*0.95))&gt;=0,"A","R"))))))))))</f>
        <v>Blank</v>
      </c>
      <c r="N10" s="40" t="str">
        <f t="shared" ref="N10:BM10" si="5">IF(N$6&gt;$E$3,"",IF(N9="","OD",IF(N9="Blank","Blank",IF(N9="TBC","TBC",IF(N9="Undefined","Undefined",IF(N9="Missed","Missed",IF(N9="OD","OD",IF(N$4="OD","OD",IF((N9-N8)&gt;=0,"G",IF((N9-(N8*0.95))&gt;=0,"A","R"))))))))))</f>
        <v>R</v>
      </c>
      <c r="O10" s="40" t="str">
        <f t="shared" si="5"/>
        <v>G</v>
      </c>
      <c r="P10" s="40" t="str">
        <f t="shared" si="5"/>
        <v>R</v>
      </c>
      <c r="Q10" s="40" t="str">
        <f t="shared" si="5"/>
        <v>G</v>
      </c>
      <c r="R10" s="40" t="str">
        <f t="shared" si="5"/>
        <v>G</v>
      </c>
      <c r="S10" s="40" t="str">
        <f t="shared" si="5"/>
        <v>R</v>
      </c>
      <c r="T10" s="40" t="str">
        <f t="shared" si="5"/>
        <v>R</v>
      </c>
      <c r="U10" s="40" t="str">
        <f t="shared" si="5"/>
        <v>G</v>
      </c>
      <c r="V10" s="40" t="str">
        <f t="shared" si="5"/>
        <v>A</v>
      </c>
      <c r="W10" s="40" t="str">
        <f t="shared" si="5"/>
        <v>R</v>
      </c>
      <c r="X10" s="40" t="str">
        <f t="shared" si="5"/>
        <v>G</v>
      </c>
      <c r="Y10" s="40" t="str">
        <f t="shared" si="5"/>
        <v>G</v>
      </c>
      <c r="Z10" s="40" t="str">
        <f t="shared" si="5"/>
        <v>R</v>
      </c>
      <c r="AA10" s="40" t="str">
        <f t="shared" si="5"/>
        <v>G</v>
      </c>
      <c r="AB10" s="40" t="str">
        <f t="shared" si="5"/>
        <v>R</v>
      </c>
      <c r="AC10" s="40" t="str">
        <f t="shared" si="5"/>
        <v>G</v>
      </c>
      <c r="AD10" s="40" t="str">
        <f t="shared" si="5"/>
        <v>G</v>
      </c>
      <c r="AE10" s="40" t="str">
        <f t="shared" si="5"/>
        <v>R</v>
      </c>
      <c r="AF10" s="40" t="str">
        <f t="shared" si="5"/>
        <v>R</v>
      </c>
      <c r="AG10" s="40" t="str">
        <f t="shared" si="5"/>
        <v>R</v>
      </c>
      <c r="AH10" s="40" t="str">
        <f t="shared" si="5"/>
        <v>G</v>
      </c>
      <c r="AI10" s="40" t="str">
        <f t="shared" si="5"/>
        <v>G</v>
      </c>
      <c r="AJ10" s="40" t="str">
        <f t="shared" si="5"/>
        <v>G</v>
      </c>
      <c r="AK10" s="40" t="str">
        <f t="shared" si="5"/>
        <v>G</v>
      </c>
      <c r="AL10" s="40" t="str">
        <f t="shared" si="5"/>
        <v>A</v>
      </c>
      <c r="AM10" s="40" t="str">
        <f t="shared" si="5"/>
        <v>G</v>
      </c>
      <c r="AN10" s="40" t="str">
        <f>IF(AN$6&gt;$E$3,"",IF(AN9="","OD",IF(AN9="Blank","Blank",IF(AN9="TBC","TBC",IF(AN9="Undefined","Undefined",IF(AN9="Missed","Missed",IF(AN9="OD","OD",IF(AN$4="OD","OD",IF((AN9-AN8)&gt;=0,"G",IF((AN9-(AN8*0.95))&gt;=0,"A","R"))))))))))</f>
        <v>R</v>
      </c>
      <c r="AO10" s="40" t="str">
        <f t="shared" si="5"/>
        <v>R</v>
      </c>
      <c r="AP10" s="40" t="str">
        <f t="shared" si="5"/>
        <v>G</v>
      </c>
      <c r="AQ10" s="40" t="str">
        <f t="shared" si="5"/>
        <v>R</v>
      </c>
      <c r="AR10" s="40" t="str">
        <f t="shared" si="5"/>
        <v>G</v>
      </c>
      <c r="AS10" s="40" t="str">
        <f t="shared" si="5"/>
        <v>G</v>
      </c>
      <c r="AT10" s="40" t="str">
        <f t="shared" si="5"/>
        <v>A</v>
      </c>
      <c r="AU10" s="40" t="str">
        <f t="shared" si="5"/>
        <v>R</v>
      </c>
      <c r="AV10" s="40" t="str">
        <f t="shared" si="5"/>
        <v>G</v>
      </c>
      <c r="AW10" s="40" t="str">
        <f t="shared" si="5"/>
        <v>G</v>
      </c>
      <c r="AX10" s="40" t="str">
        <f t="shared" si="5"/>
        <v>R</v>
      </c>
      <c r="AY10" s="40" t="str">
        <f t="shared" si="5"/>
        <v>R</v>
      </c>
      <c r="AZ10" s="40" t="str">
        <f t="shared" si="5"/>
        <v>G</v>
      </c>
      <c r="BA10" s="40" t="str">
        <f t="shared" si="5"/>
        <v>G</v>
      </c>
      <c r="BB10" s="40" t="str">
        <f t="shared" si="5"/>
        <v>OD</v>
      </c>
      <c r="BC10" s="40" t="str">
        <f t="shared" si="5"/>
        <v/>
      </c>
      <c r="BD10" s="40" t="str">
        <f t="shared" si="5"/>
        <v/>
      </c>
      <c r="BE10" s="40" t="str">
        <f t="shared" si="5"/>
        <v/>
      </c>
      <c r="BF10" s="40" t="str">
        <f t="shared" si="5"/>
        <v/>
      </c>
      <c r="BG10" s="40" t="str">
        <f t="shared" si="5"/>
        <v/>
      </c>
      <c r="BH10" s="40" t="str">
        <f t="shared" si="5"/>
        <v/>
      </c>
      <c r="BI10" s="40" t="str">
        <f t="shared" si="5"/>
        <v/>
      </c>
      <c r="BJ10" s="40" t="str">
        <f t="shared" si="5"/>
        <v/>
      </c>
      <c r="BK10" s="40" t="str">
        <f t="shared" si="5"/>
        <v/>
      </c>
      <c r="BL10" s="40" t="str">
        <f t="shared" si="5"/>
        <v/>
      </c>
      <c r="BM10" s="40" t="str">
        <f t="shared" si="5"/>
        <v/>
      </c>
      <c r="BN10" s="42"/>
    </row>
    <row r="11" spans="2:66" ht="24" customHeight="1" x14ac:dyDescent="0.3">
      <c r="B11" s="948" t="s">
        <v>112</v>
      </c>
      <c r="C11" s="921" t="s">
        <v>109</v>
      </c>
      <c r="D11" s="945" t="s">
        <v>592</v>
      </c>
      <c r="E11" s="950" t="s">
        <v>146</v>
      </c>
      <c r="F11" s="950" t="s">
        <v>171</v>
      </c>
      <c r="G11" s="947" t="s">
        <v>588</v>
      </c>
      <c r="H11" s="27" t="s">
        <v>44</v>
      </c>
      <c r="I11" s="28"/>
      <c r="J11" s="30"/>
      <c r="K11" s="30"/>
      <c r="L11" s="51"/>
      <c r="M11" s="30"/>
      <c r="N11" s="67">
        <f>'[3]BE Prod. Eng'!L8</f>
        <v>5</v>
      </c>
      <c r="O11" s="67">
        <f>'[3]BE Prod. Eng'!M8</f>
        <v>5</v>
      </c>
      <c r="P11" s="67">
        <f>'[3]BE Prod. Eng'!N8</f>
        <v>5</v>
      </c>
      <c r="Q11" s="67">
        <f>'[3]BE Prod. Eng'!O8</f>
        <v>5</v>
      </c>
      <c r="R11" s="67">
        <f>'[3]BE Prod. Eng'!P8</f>
        <v>5</v>
      </c>
      <c r="S11" s="67">
        <f>'[3]BE Prod. Eng'!Q8</f>
        <v>5</v>
      </c>
      <c r="T11" s="67">
        <f>'[3]BE Prod. Eng'!R8</f>
        <v>5</v>
      </c>
      <c r="U11" s="67">
        <f>'[3]BE Prod. Eng'!S8</f>
        <v>5</v>
      </c>
      <c r="V11" s="67">
        <f>'[3]BE Prod. Eng'!T8</f>
        <v>5</v>
      </c>
      <c r="W11" s="67">
        <f>'[3]BE Prod. Eng'!U8</f>
        <v>5</v>
      </c>
      <c r="X11" s="29">
        <v>5</v>
      </c>
      <c r="Y11" s="29">
        <v>5</v>
      </c>
      <c r="Z11" s="29">
        <v>5</v>
      </c>
      <c r="AA11" s="29">
        <v>5</v>
      </c>
      <c r="AB11" s="29">
        <v>5</v>
      </c>
      <c r="AC11" s="29">
        <v>5</v>
      </c>
      <c r="AD11" s="29">
        <v>5</v>
      </c>
      <c r="AE11" s="29">
        <v>5</v>
      </c>
      <c r="AF11" s="29">
        <v>5</v>
      </c>
      <c r="AG11" s="29">
        <v>5</v>
      </c>
      <c r="AH11" s="29">
        <v>5</v>
      </c>
      <c r="AI11" s="29">
        <v>5</v>
      </c>
      <c r="AJ11" s="67">
        <f>IF(AJ$6&gt;$E$3,"",5)</f>
        <v>5</v>
      </c>
      <c r="AK11" s="67">
        <f t="shared" ref="AK11:BM11" si="6">IF(AK$6&gt;$E$3,"",5)</f>
        <v>5</v>
      </c>
      <c r="AL11" s="67">
        <f t="shared" si="6"/>
        <v>5</v>
      </c>
      <c r="AM11" s="67">
        <f t="shared" si="6"/>
        <v>5</v>
      </c>
      <c r="AN11" s="67">
        <f t="shared" si="6"/>
        <v>5</v>
      </c>
      <c r="AO11" s="67">
        <f t="shared" si="6"/>
        <v>5</v>
      </c>
      <c r="AP11" s="67">
        <f t="shared" si="6"/>
        <v>5</v>
      </c>
      <c r="AQ11" s="67">
        <f t="shared" si="6"/>
        <v>5</v>
      </c>
      <c r="AR11" s="67">
        <f t="shared" si="6"/>
        <v>5</v>
      </c>
      <c r="AS11" s="67">
        <f t="shared" si="6"/>
        <v>5</v>
      </c>
      <c r="AT11" s="67">
        <f t="shared" si="6"/>
        <v>5</v>
      </c>
      <c r="AU11" s="67">
        <f t="shared" si="6"/>
        <v>5</v>
      </c>
      <c r="AV11" s="67">
        <f t="shared" si="6"/>
        <v>5</v>
      </c>
      <c r="AW11" s="67">
        <f t="shared" si="6"/>
        <v>5</v>
      </c>
      <c r="AX11" s="67">
        <f t="shared" si="6"/>
        <v>5</v>
      </c>
      <c r="AY11" s="67">
        <f t="shared" si="6"/>
        <v>5</v>
      </c>
      <c r="AZ11" s="67">
        <f t="shared" si="6"/>
        <v>5</v>
      </c>
      <c r="BA11" s="67">
        <f t="shared" si="6"/>
        <v>5</v>
      </c>
      <c r="BB11" s="67">
        <f t="shared" si="6"/>
        <v>5</v>
      </c>
      <c r="BC11" s="67" t="str">
        <f t="shared" si="6"/>
        <v/>
      </c>
      <c r="BD11" s="67" t="str">
        <f t="shared" si="6"/>
        <v/>
      </c>
      <c r="BE11" s="67" t="str">
        <f t="shared" si="6"/>
        <v/>
      </c>
      <c r="BF11" s="67" t="str">
        <f t="shared" si="6"/>
        <v/>
      </c>
      <c r="BG11" s="67" t="str">
        <f t="shared" si="6"/>
        <v/>
      </c>
      <c r="BH11" s="67" t="str">
        <f t="shared" si="6"/>
        <v/>
      </c>
      <c r="BI11" s="67" t="str">
        <f t="shared" si="6"/>
        <v/>
      </c>
      <c r="BJ11" s="67" t="str">
        <f t="shared" si="6"/>
        <v/>
      </c>
      <c r="BK11" s="67" t="str">
        <f t="shared" si="6"/>
        <v/>
      </c>
      <c r="BL11" s="67" t="str">
        <f t="shared" si="6"/>
        <v/>
      </c>
      <c r="BM11" s="67" t="str">
        <f t="shared" si="6"/>
        <v/>
      </c>
      <c r="BN11" s="31"/>
    </row>
    <row r="12" spans="2:66" ht="24" customHeight="1" x14ac:dyDescent="0.3">
      <c r="B12" s="948"/>
      <c r="C12" s="921"/>
      <c r="D12" s="945"/>
      <c r="E12" s="950"/>
      <c r="F12" s="950"/>
      <c r="G12" s="946"/>
      <c r="H12" s="33" t="s">
        <v>45</v>
      </c>
      <c r="I12" s="34"/>
      <c r="J12" s="36"/>
      <c r="K12" s="36"/>
      <c r="L12" s="52"/>
      <c r="M12" s="36" t="s">
        <v>122</v>
      </c>
      <c r="N12" s="387">
        <f>'[3]BE Prod. Eng'!L9</f>
        <v>6.4</v>
      </c>
      <c r="O12" s="387">
        <f>'[3]BE Prod. Eng'!M9</f>
        <v>3</v>
      </c>
      <c r="P12" s="387">
        <f>'[3]BE Prod. Eng'!N9</f>
        <v>9</v>
      </c>
      <c r="Q12" s="387">
        <f>'[3]BE Prod. Eng'!O9</f>
        <v>6.6</v>
      </c>
      <c r="R12" s="387">
        <f>'[3]BE Prod. Eng'!P9</f>
        <v>6.4</v>
      </c>
      <c r="S12" s="387">
        <f>'[3]BE Prod. Eng'!Q9</f>
        <v>2.8</v>
      </c>
      <c r="T12" s="387">
        <f>'[3]BE Prod. Eng'!R9</f>
        <v>5</v>
      </c>
      <c r="U12" s="387">
        <f>'[3]BE Prod. Eng'!S9</f>
        <v>5</v>
      </c>
      <c r="V12" s="387">
        <f>'[3]BE Prod. Eng'!T9</f>
        <v>3.8</v>
      </c>
      <c r="W12" s="387">
        <f>'[3]BE Prod. Eng'!U9</f>
        <v>2.6</v>
      </c>
      <c r="X12" s="387">
        <v>1.6</v>
      </c>
      <c r="Y12" s="387">
        <v>6.4</v>
      </c>
      <c r="Z12" s="387">
        <v>2.25</v>
      </c>
      <c r="AA12" s="387">
        <v>6</v>
      </c>
      <c r="AB12" s="387">
        <v>8.8000000000000007</v>
      </c>
      <c r="AC12" s="387">
        <v>4.3</v>
      </c>
      <c r="AD12" s="387">
        <v>3.5</v>
      </c>
      <c r="AE12" s="387">
        <v>2.5</v>
      </c>
      <c r="AF12" s="387">
        <v>1.8</v>
      </c>
      <c r="AG12" s="387">
        <v>4</v>
      </c>
      <c r="AH12" s="387">
        <v>3</v>
      </c>
      <c r="AI12" s="387">
        <v>2</v>
      </c>
      <c r="AJ12" s="387">
        <v>3</v>
      </c>
      <c r="AK12" s="387">
        <v>3</v>
      </c>
      <c r="AL12" s="387">
        <v>4</v>
      </c>
      <c r="AM12" s="387">
        <v>4</v>
      </c>
      <c r="AN12" s="387">
        <v>4</v>
      </c>
      <c r="AO12" s="387">
        <v>3.5</v>
      </c>
      <c r="AP12" s="387">
        <v>2</v>
      </c>
      <c r="AQ12" s="387">
        <v>3.3</v>
      </c>
      <c r="AR12" s="387">
        <v>1.75</v>
      </c>
      <c r="AS12" s="35">
        <v>4</v>
      </c>
      <c r="AT12" s="35">
        <v>3</v>
      </c>
      <c r="AU12" s="387">
        <v>2</v>
      </c>
      <c r="AV12" s="387">
        <v>8</v>
      </c>
      <c r="AW12" s="387">
        <v>10</v>
      </c>
      <c r="AX12" s="387">
        <v>6</v>
      </c>
      <c r="AY12" s="387">
        <v>4</v>
      </c>
      <c r="AZ12" s="387">
        <v>6</v>
      </c>
      <c r="BA12" s="387">
        <v>3</v>
      </c>
      <c r="BB12" s="387"/>
      <c r="BC12" s="387"/>
      <c r="BD12" s="387"/>
      <c r="BE12" s="387"/>
      <c r="BF12" s="387"/>
      <c r="BG12" s="387"/>
      <c r="BH12" s="387"/>
      <c r="BI12" s="387"/>
      <c r="BJ12" s="387"/>
      <c r="BK12" s="387"/>
      <c r="BL12" s="387"/>
      <c r="BM12" s="387"/>
      <c r="BN12" s="37"/>
    </row>
    <row r="13" spans="2:66" ht="24" customHeight="1" x14ac:dyDescent="0.3">
      <c r="B13" s="948"/>
      <c r="C13" s="921"/>
      <c r="D13" s="945"/>
      <c r="E13" s="950"/>
      <c r="F13" s="950"/>
      <c r="G13" s="946"/>
      <c r="H13" s="38" t="s">
        <v>46</v>
      </c>
      <c r="I13" s="39" t="str">
        <f>IF(I12="","",IF((I12-I11)&gt;=0,"G",IF((I12/I11&lt;=0.9),"R","A")))</f>
        <v/>
      </c>
      <c r="J13" s="41" t="str">
        <f t="shared" ref="J13:L13" si="7">IF(J12="","",IF((J12-J11)&gt;=0,"G",IF((J12/J11&lt;=0.9),"R","A")))</f>
        <v/>
      </c>
      <c r="K13" s="41" t="str">
        <f t="shared" si="7"/>
        <v/>
      </c>
      <c r="L13" s="53" t="str">
        <f t="shared" si="7"/>
        <v/>
      </c>
      <c r="M13" s="40" t="str">
        <f>IF(M$6&gt;$E$3,"",IF(M12="","OD",IF(M12="Blank","Blank",IF(M12="TBC","TBC",IF(M12="Undefined","Undefined",IF(M12="Missed","Missed",IF(M12="OD","OD",IF(M$4="OD","OD",IF((M12-M11)&lt;=0,"G",IF((M12-(M11/0.95))&lt;=0,"A","R"))))))))))</f>
        <v>Blank</v>
      </c>
      <c r="N13" s="40" t="str">
        <f t="shared" ref="N13:BM13" si="8">IF(N$6&gt;$E$3,"",IF(N12="","OD",IF(N12="Blank","Blank",IF(N12="TBC","TBC",IF(N12="Undefined","Undefined",IF(N12="Missed","Missed",IF(N12="OD","OD",IF(N$4="OD","OD",IF((N12-N11)&lt;=0,"G",IF((N12-(N11/0.95))&lt;=0,"A","R"))))))))))</f>
        <v>R</v>
      </c>
      <c r="O13" s="40" t="str">
        <f t="shared" si="8"/>
        <v>G</v>
      </c>
      <c r="P13" s="40" t="str">
        <f t="shared" si="8"/>
        <v>R</v>
      </c>
      <c r="Q13" s="40" t="str">
        <f t="shared" si="8"/>
        <v>R</v>
      </c>
      <c r="R13" s="40" t="str">
        <f t="shared" si="8"/>
        <v>R</v>
      </c>
      <c r="S13" s="40" t="str">
        <f t="shared" si="8"/>
        <v>G</v>
      </c>
      <c r="T13" s="40" t="str">
        <f t="shared" si="8"/>
        <v>G</v>
      </c>
      <c r="U13" s="40" t="str">
        <f t="shared" si="8"/>
        <v>G</v>
      </c>
      <c r="V13" s="40" t="str">
        <f t="shared" si="8"/>
        <v>G</v>
      </c>
      <c r="W13" s="40" t="str">
        <f t="shared" si="8"/>
        <v>G</v>
      </c>
      <c r="X13" s="40" t="str">
        <f t="shared" si="8"/>
        <v>G</v>
      </c>
      <c r="Y13" s="40" t="str">
        <f t="shared" si="8"/>
        <v>R</v>
      </c>
      <c r="Z13" s="40" t="str">
        <f t="shared" si="8"/>
        <v>G</v>
      </c>
      <c r="AA13" s="40" t="str">
        <f t="shared" si="8"/>
        <v>R</v>
      </c>
      <c r="AB13" s="40" t="str">
        <f t="shared" si="8"/>
        <v>R</v>
      </c>
      <c r="AC13" s="40" t="str">
        <f t="shared" si="8"/>
        <v>G</v>
      </c>
      <c r="AD13" s="40" t="str">
        <f t="shared" si="8"/>
        <v>G</v>
      </c>
      <c r="AE13" s="40" t="str">
        <f t="shared" si="8"/>
        <v>G</v>
      </c>
      <c r="AF13" s="40" t="str">
        <f t="shared" si="8"/>
        <v>G</v>
      </c>
      <c r="AG13" s="40" t="str">
        <f t="shared" si="8"/>
        <v>G</v>
      </c>
      <c r="AH13" s="40" t="str">
        <f t="shared" si="8"/>
        <v>G</v>
      </c>
      <c r="AI13" s="40" t="str">
        <f t="shared" si="8"/>
        <v>G</v>
      </c>
      <c r="AJ13" s="40" t="str">
        <f t="shared" si="8"/>
        <v>G</v>
      </c>
      <c r="AK13" s="40" t="str">
        <f t="shared" si="8"/>
        <v>G</v>
      </c>
      <c r="AL13" s="40" t="str">
        <f t="shared" si="8"/>
        <v>G</v>
      </c>
      <c r="AM13" s="40" t="str">
        <f t="shared" si="8"/>
        <v>G</v>
      </c>
      <c r="AN13" s="40" t="str">
        <f>IF(AN$6&gt;$E$3,"",IF(AN12="","OD",IF(AN12="Blank","Blank",IF(AN12="TBC","TBC",IF(AN12="Undefined","Undefined",IF(AN12="Missed","Missed",IF(AN12="OD","OD",IF(AN$4="OD","OD",IF((AN12-AN11)&lt;=0,"G",IF((AN12-(AN11/0.95))&lt;=0,"A","R"))))))))))</f>
        <v>G</v>
      </c>
      <c r="AO13" s="40" t="str">
        <f t="shared" si="8"/>
        <v>G</v>
      </c>
      <c r="AP13" s="40" t="str">
        <f t="shared" si="8"/>
        <v>G</v>
      </c>
      <c r="AQ13" s="40" t="str">
        <f t="shared" si="8"/>
        <v>G</v>
      </c>
      <c r="AR13" s="40" t="str">
        <f t="shared" si="8"/>
        <v>G</v>
      </c>
      <c r="AS13" s="40" t="str">
        <f t="shared" si="8"/>
        <v>G</v>
      </c>
      <c r="AT13" s="40" t="str">
        <f t="shared" si="8"/>
        <v>G</v>
      </c>
      <c r="AU13" s="40" t="str">
        <f t="shared" si="8"/>
        <v>G</v>
      </c>
      <c r="AV13" s="40" t="str">
        <f t="shared" si="8"/>
        <v>R</v>
      </c>
      <c r="AW13" s="40" t="str">
        <f t="shared" si="8"/>
        <v>R</v>
      </c>
      <c r="AX13" s="40" t="str">
        <f t="shared" si="8"/>
        <v>R</v>
      </c>
      <c r="AY13" s="40" t="str">
        <f t="shared" si="8"/>
        <v>G</v>
      </c>
      <c r="AZ13" s="40" t="str">
        <f t="shared" si="8"/>
        <v>R</v>
      </c>
      <c r="BA13" s="40" t="str">
        <f t="shared" si="8"/>
        <v>G</v>
      </c>
      <c r="BB13" s="40" t="str">
        <f t="shared" si="8"/>
        <v>OD</v>
      </c>
      <c r="BC13" s="40" t="str">
        <f t="shared" si="8"/>
        <v/>
      </c>
      <c r="BD13" s="40" t="str">
        <f t="shared" si="8"/>
        <v/>
      </c>
      <c r="BE13" s="40" t="str">
        <f t="shared" si="8"/>
        <v/>
      </c>
      <c r="BF13" s="40" t="str">
        <f t="shared" si="8"/>
        <v/>
      </c>
      <c r="BG13" s="40" t="str">
        <f t="shared" si="8"/>
        <v/>
      </c>
      <c r="BH13" s="40" t="str">
        <f t="shared" si="8"/>
        <v/>
      </c>
      <c r="BI13" s="40" t="str">
        <f t="shared" si="8"/>
        <v/>
      </c>
      <c r="BJ13" s="40" t="str">
        <f t="shared" si="8"/>
        <v/>
      </c>
      <c r="BK13" s="40" t="str">
        <f t="shared" si="8"/>
        <v/>
      </c>
      <c r="BL13" s="40" t="str">
        <f t="shared" si="8"/>
        <v/>
      </c>
      <c r="BM13" s="40" t="str">
        <f t="shared" si="8"/>
        <v/>
      </c>
      <c r="BN13" s="40" t="str">
        <f t="shared" ref="BN13" si="9">IF(BN12="Blank","Blank",IF(BN12="TBC","TBC",IF(BN$4="OD","OD",IF(BN12="OD","OD",IF(BN$6&gt;$E$2,"",IF((BN12-BN11)&lt;=0,"G",IF((BN12-(BN11/0.95))&lt;=0,"A","R")))))))</f>
        <v/>
      </c>
    </row>
    <row r="14" spans="2:66" ht="24" customHeight="1" x14ac:dyDescent="0.3">
      <c r="B14" s="948" t="s">
        <v>113</v>
      </c>
      <c r="C14" s="921" t="s">
        <v>110</v>
      </c>
      <c r="D14" s="945" t="s">
        <v>593</v>
      </c>
      <c r="E14" s="950" t="s">
        <v>146</v>
      </c>
      <c r="F14" s="950" t="s">
        <v>171</v>
      </c>
      <c r="G14" s="939" t="s">
        <v>590</v>
      </c>
      <c r="H14" s="27" t="s">
        <v>44</v>
      </c>
      <c r="I14" s="28"/>
      <c r="J14" s="30"/>
      <c r="K14" s="30"/>
      <c r="L14" s="51"/>
      <c r="M14" s="30"/>
      <c r="N14" s="67">
        <f>'[3]BE Prod. Eng'!L11</f>
        <v>10</v>
      </c>
      <c r="O14" s="67">
        <f>'[3]BE Prod. Eng'!M11</f>
        <v>10</v>
      </c>
      <c r="P14" s="67">
        <f>'[3]BE Prod. Eng'!N11</f>
        <v>10</v>
      </c>
      <c r="Q14" s="67">
        <f>'[3]BE Prod. Eng'!O11</f>
        <v>10</v>
      </c>
      <c r="R14" s="67">
        <f>'[3]BE Prod. Eng'!P11</f>
        <v>10</v>
      </c>
      <c r="S14" s="67">
        <f>'[3]BE Prod. Eng'!Q11</f>
        <v>10</v>
      </c>
      <c r="T14" s="67">
        <f>'[3]BE Prod. Eng'!R11</f>
        <v>10</v>
      </c>
      <c r="U14" s="67">
        <f>'[3]BE Prod. Eng'!S11</f>
        <v>10</v>
      </c>
      <c r="V14" s="67">
        <f>'[3]BE Prod. Eng'!T11</f>
        <v>10</v>
      </c>
      <c r="W14" s="67">
        <f>'[3]BE Prod. Eng'!U11</f>
        <v>10</v>
      </c>
      <c r="X14" s="29">
        <v>10</v>
      </c>
      <c r="Y14" s="29">
        <v>10</v>
      </c>
      <c r="Z14" s="29">
        <v>10</v>
      </c>
      <c r="AA14" s="29">
        <v>10</v>
      </c>
      <c r="AB14" s="29">
        <v>10</v>
      </c>
      <c r="AC14" s="29">
        <v>10</v>
      </c>
      <c r="AD14" s="29">
        <v>10</v>
      </c>
      <c r="AE14" s="29">
        <v>10</v>
      </c>
      <c r="AF14" s="29">
        <v>10</v>
      </c>
      <c r="AG14" s="29">
        <v>10</v>
      </c>
      <c r="AH14" s="29">
        <v>10</v>
      </c>
      <c r="AI14" s="29">
        <v>10</v>
      </c>
      <c r="AJ14" s="67">
        <f>IF(AJ$6&gt;$E$3,"",10)</f>
        <v>10</v>
      </c>
      <c r="AK14" s="67">
        <f t="shared" ref="AK14:BM14" si="10">IF(AK$6&gt;$E$3,"",10)</f>
        <v>10</v>
      </c>
      <c r="AL14" s="67">
        <f t="shared" si="10"/>
        <v>10</v>
      </c>
      <c r="AM14" s="67">
        <f t="shared" si="10"/>
        <v>10</v>
      </c>
      <c r="AN14" s="67">
        <f t="shared" si="10"/>
        <v>10</v>
      </c>
      <c r="AO14" s="67">
        <f t="shared" si="10"/>
        <v>10</v>
      </c>
      <c r="AP14" s="67">
        <f t="shared" si="10"/>
        <v>10</v>
      </c>
      <c r="AQ14" s="67">
        <f t="shared" si="10"/>
        <v>10</v>
      </c>
      <c r="AR14" s="67">
        <f t="shared" si="10"/>
        <v>10</v>
      </c>
      <c r="AS14" s="67">
        <f t="shared" si="10"/>
        <v>10</v>
      </c>
      <c r="AT14" s="67">
        <f t="shared" si="10"/>
        <v>10</v>
      </c>
      <c r="AU14" s="67">
        <f t="shared" si="10"/>
        <v>10</v>
      </c>
      <c r="AV14" s="67">
        <f t="shared" si="10"/>
        <v>10</v>
      </c>
      <c r="AW14" s="67">
        <f t="shared" si="10"/>
        <v>10</v>
      </c>
      <c r="AX14" s="67">
        <f t="shared" si="10"/>
        <v>10</v>
      </c>
      <c r="AY14" s="67">
        <f t="shared" si="10"/>
        <v>10</v>
      </c>
      <c r="AZ14" s="67">
        <f t="shared" si="10"/>
        <v>10</v>
      </c>
      <c r="BA14" s="67">
        <f t="shared" si="10"/>
        <v>10</v>
      </c>
      <c r="BB14" s="67">
        <f t="shared" si="10"/>
        <v>10</v>
      </c>
      <c r="BC14" s="67" t="str">
        <f t="shared" si="10"/>
        <v/>
      </c>
      <c r="BD14" s="67" t="str">
        <f t="shared" si="10"/>
        <v/>
      </c>
      <c r="BE14" s="67" t="str">
        <f t="shared" si="10"/>
        <v/>
      </c>
      <c r="BF14" s="67" t="str">
        <f t="shared" si="10"/>
        <v/>
      </c>
      <c r="BG14" s="67" t="str">
        <f t="shared" si="10"/>
        <v/>
      </c>
      <c r="BH14" s="67" t="str">
        <f t="shared" si="10"/>
        <v/>
      </c>
      <c r="BI14" s="67" t="str">
        <f t="shared" si="10"/>
        <v/>
      </c>
      <c r="BJ14" s="67" t="str">
        <f t="shared" si="10"/>
        <v/>
      </c>
      <c r="BK14" s="67" t="str">
        <f t="shared" si="10"/>
        <v/>
      </c>
      <c r="BL14" s="67" t="str">
        <f t="shared" si="10"/>
        <v/>
      </c>
      <c r="BM14" s="67" t="str">
        <f t="shared" si="10"/>
        <v/>
      </c>
      <c r="BN14" s="31"/>
    </row>
    <row r="15" spans="2:66" ht="24" customHeight="1" x14ac:dyDescent="0.3">
      <c r="B15" s="948"/>
      <c r="C15" s="921"/>
      <c r="D15" s="945"/>
      <c r="E15" s="950"/>
      <c r="F15" s="950"/>
      <c r="G15" s="939"/>
      <c r="H15" s="33" t="s">
        <v>45</v>
      </c>
      <c r="I15" s="34"/>
      <c r="J15" s="36"/>
      <c r="K15" s="36"/>
      <c r="L15" s="52"/>
      <c r="M15" s="36" t="s">
        <v>122</v>
      </c>
      <c r="N15" s="35">
        <v>33</v>
      </c>
      <c r="O15" s="35">
        <v>5.25</v>
      </c>
      <c r="P15" s="35">
        <v>33</v>
      </c>
      <c r="Q15" s="35">
        <v>33</v>
      </c>
      <c r="R15" s="35">
        <v>29</v>
      </c>
      <c r="S15" s="35">
        <v>30</v>
      </c>
      <c r="T15" s="35">
        <v>21</v>
      </c>
      <c r="U15" s="35">
        <v>21</v>
      </c>
      <c r="V15" s="35">
        <v>27</v>
      </c>
      <c r="W15" s="35">
        <v>29</v>
      </c>
      <c r="X15" s="35">
        <v>39</v>
      </c>
      <c r="Y15" s="35">
        <v>28</v>
      </c>
      <c r="Z15" s="35">
        <v>29</v>
      </c>
      <c r="AA15" s="35">
        <v>25</v>
      </c>
      <c r="AB15" s="35">
        <v>36</v>
      </c>
      <c r="AC15" s="35">
        <v>37</v>
      </c>
      <c r="AD15" s="35">
        <v>34</v>
      </c>
      <c r="AE15" s="35">
        <v>28</v>
      </c>
      <c r="AF15" s="35">
        <v>37</v>
      </c>
      <c r="AG15" s="35">
        <v>44</v>
      </c>
      <c r="AH15" s="35">
        <v>43</v>
      </c>
      <c r="AI15" s="35">
        <v>41</v>
      </c>
      <c r="AJ15" s="35">
        <v>25</v>
      </c>
      <c r="AK15" s="35">
        <v>22</v>
      </c>
      <c r="AL15" s="35">
        <v>21</v>
      </c>
      <c r="AM15" s="35">
        <v>24</v>
      </c>
      <c r="AN15" s="35">
        <v>29</v>
      </c>
      <c r="AO15" s="35">
        <v>36</v>
      </c>
      <c r="AP15" s="35">
        <v>37</v>
      </c>
      <c r="AQ15" s="35">
        <v>36</v>
      </c>
      <c r="AR15" s="35">
        <v>35</v>
      </c>
      <c r="AS15" s="35">
        <v>26</v>
      </c>
      <c r="AT15" s="35">
        <v>24</v>
      </c>
      <c r="AU15" s="35">
        <v>34</v>
      </c>
      <c r="AV15" s="35">
        <v>23</v>
      </c>
      <c r="AW15" s="35">
        <v>20</v>
      </c>
      <c r="AX15" s="35">
        <v>21</v>
      </c>
      <c r="AY15" s="35">
        <v>23</v>
      </c>
      <c r="AZ15" s="35">
        <v>25</v>
      </c>
      <c r="BA15" s="35">
        <v>19</v>
      </c>
      <c r="BB15" s="35"/>
      <c r="BC15" s="35"/>
      <c r="BD15" s="35"/>
      <c r="BE15" s="35"/>
      <c r="BF15" s="35"/>
      <c r="BG15" s="35"/>
      <c r="BH15" s="35"/>
      <c r="BI15" s="35"/>
      <c r="BJ15" s="35"/>
      <c r="BK15" s="35"/>
      <c r="BL15" s="35"/>
      <c r="BM15" s="37"/>
      <c r="BN15" s="37"/>
    </row>
    <row r="16" spans="2:66" ht="24" customHeight="1" x14ac:dyDescent="0.3">
      <c r="B16" s="948"/>
      <c r="C16" s="921"/>
      <c r="D16" s="945"/>
      <c r="E16" s="950"/>
      <c r="F16" s="950"/>
      <c r="G16" s="939"/>
      <c r="H16" s="38" t="s">
        <v>46</v>
      </c>
      <c r="I16" s="39" t="str">
        <f>IF(I15="","",IF((I15-I14)&gt;=0,"G",IF((I15/I14&lt;=0.9),"R","A")))</f>
        <v/>
      </c>
      <c r="J16" s="41" t="str">
        <f t="shared" ref="J16:L16" si="11">IF(J15="","",IF((J15-J14)&gt;=0,"G",IF((J15/J14&lt;=0.9),"R","A")))</f>
        <v/>
      </c>
      <c r="K16" s="41" t="str">
        <f t="shared" si="11"/>
        <v/>
      </c>
      <c r="L16" s="53" t="str">
        <f t="shared" si="11"/>
        <v/>
      </c>
      <c r="M16" s="40" t="str">
        <f>IF(M$6&gt;$E$3,"",IF(M15="","OD",IF(M15="Blank","Blank",IF(M15="TBC","TBC",IF(M15="Undefined","Undefined",IF(M15="Missed","Missed",IF(M15="OD","OD",IF(M$4="OD","OD",IF((M15-M14)&lt;=0,"G",IF((M15-(M14/0.95))&lt;=0,"A","R"))))))))))</f>
        <v>Blank</v>
      </c>
      <c r="N16" s="40" t="str">
        <f t="shared" ref="N16:BM16" si="12">IF(N$6&gt;$E$3,"",IF(N15="","OD",IF(N15="Blank","Blank",IF(N15="TBC","TBC",IF(N15="Undefined","Undefined",IF(N15="Missed","Missed",IF(N15="OD","OD",IF(N$4="OD","OD",IF((N15-N14)&lt;=0,"G",IF((N15-(N14/0.95))&lt;=0,"A","R"))))))))))</f>
        <v>R</v>
      </c>
      <c r="O16" s="40" t="str">
        <f t="shared" si="12"/>
        <v>G</v>
      </c>
      <c r="P16" s="40" t="str">
        <f t="shared" si="12"/>
        <v>R</v>
      </c>
      <c r="Q16" s="40" t="str">
        <f t="shared" si="12"/>
        <v>R</v>
      </c>
      <c r="R16" s="40" t="str">
        <f t="shared" si="12"/>
        <v>R</v>
      </c>
      <c r="S16" s="40" t="str">
        <f t="shared" si="12"/>
        <v>R</v>
      </c>
      <c r="T16" s="40" t="str">
        <f t="shared" si="12"/>
        <v>R</v>
      </c>
      <c r="U16" s="40" t="str">
        <f t="shared" si="12"/>
        <v>R</v>
      </c>
      <c r="V16" s="40" t="str">
        <f t="shared" si="12"/>
        <v>R</v>
      </c>
      <c r="W16" s="40" t="str">
        <f t="shared" si="12"/>
        <v>R</v>
      </c>
      <c r="X16" s="40" t="str">
        <f t="shared" si="12"/>
        <v>R</v>
      </c>
      <c r="Y16" s="40" t="str">
        <f t="shared" si="12"/>
        <v>R</v>
      </c>
      <c r="Z16" s="40" t="str">
        <f t="shared" si="12"/>
        <v>R</v>
      </c>
      <c r="AA16" s="40" t="str">
        <f t="shared" si="12"/>
        <v>R</v>
      </c>
      <c r="AB16" s="40" t="str">
        <f t="shared" si="12"/>
        <v>R</v>
      </c>
      <c r="AC16" s="40" t="str">
        <f t="shared" si="12"/>
        <v>R</v>
      </c>
      <c r="AD16" s="40" t="str">
        <f t="shared" si="12"/>
        <v>R</v>
      </c>
      <c r="AE16" s="40" t="str">
        <f t="shared" si="12"/>
        <v>R</v>
      </c>
      <c r="AF16" s="40" t="str">
        <f t="shared" si="12"/>
        <v>R</v>
      </c>
      <c r="AG16" s="40" t="str">
        <f t="shared" si="12"/>
        <v>R</v>
      </c>
      <c r="AH16" s="40" t="str">
        <f t="shared" si="12"/>
        <v>R</v>
      </c>
      <c r="AI16" s="40" t="str">
        <f t="shared" si="12"/>
        <v>R</v>
      </c>
      <c r="AJ16" s="40" t="str">
        <f t="shared" si="12"/>
        <v>R</v>
      </c>
      <c r="AK16" s="40" t="str">
        <f t="shared" si="12"/>
        <v>R</v>
      </c>
      <c r="AL16" s="40" t="str">
        <f t="shared" si="12"/>
        <v>R</v>
      </c>
      <c r="AM16" s="40" t="str">
        <f t="shared" si="12"/>
        <v>R</v>
      </c>
      <c r="AN16" s="40" t="str">
        <f>IF(AN$6&gt;$E$3,"",IF(AN15="","OD",IF(AN15="Blank","Blank",IF(AN15="TBC","TBC",IF(AN15="Undefined","Undefined",IF(AN15="Missed","Missed",IF(AN15="OD","OD",IF(AN$4="OD","OD",IF((AN15-AN14)&lt;=0,"G",IF((AN15-(AN14/0.95))&lt;=0,"A","R"))))))))))</f>
        <v>R</v>
      </c>
      <c r="AO16" s="40" t="str">
        <f t="shared" si="12"/>
        <v>R</v>
      </c>
      <c r="AP16" s="40" t="str">
        <f t="shared" si="12"/>
        <v>R</v>
      </c>
      <c r="AQ16" s="40" t="str">
        <f t="shared" si="12"/>
        <v>R</v>
      </c>
      <c r="AR16" s="40" t="str">
        <f t="shared" si="12"/>
        <v>R</v>
      </c>
      <c r="AS16" s="40" t="str">
        <f t="shared" si="12"/>
        <v>R</v>
      </c>
      <c r="AT16" s="40" t="str">
        <f t="shared" si="12"/>
        <v>R</v>
      </c>
      <c r="AU16" s="40" t="str">
        <f t="shared" si="12"/>
        <v>R</v>
      </c>
      <c r="AV16" s="40" t="str">
        <f t="shared" si="12"/>
        <v>R</v>
      </c>
      <c r="AW16" s="40" t="str">
        <f t="shared" si="12"/>
        <v>R</v>
      </c>
      <c r="AX16" s="40" t="str">
        <f t="shared" si="12"/>
        <v>R</v>
      </c>
      <c r="AY16" s="40" t="str">
        <f t="shared" si="12"/>
        <v>R</v>
      </c>
      <c r="AZ16" s="40" t="str">
        <f t="shared" si="12"/>
        <v>R</v>
      </c>
      <c r="BA16" s="40" t="str">
        <f t="shared" si="12"/>
        <v>R</v>
      </c>
      <c r="BB16" s="40" t="str">
        <f t="shared" si="12"/>
        <v>OD</v>
      </c>
      <c r="BC16" s="40" t="str">
        <f t="shared" si="12"/>
        <v/>
      </c>
      <c r="BD16" s="40" t="str">
        <f t="shared" si="12"/>
        <v/>
      </c>
      <c r="BE16" s="40" t="str">
        <f t="shared" si="12"/>
        <v/>
      </c>
      <c r="BF16" s="40" t="str">
        <f t="shared" si="12"/>
        <v/>
      </c>
      <c r="BG16" s="40" t="str">
        <f t="shared" si="12"/>
        <v/>
      </c>
      <c r="BH16" s="40" t="str">
        <f t="shared" si="12"/>
        <v/>
      </c>
      <c r="BI16" s="40" t="str">
        <f t="shared" si="12"/>
        <v/>
      </c>
      <c r="BJ16" s="40" t="str">
        <f t="shared" si="12"/>
        <v/>
      </c>
      <c r="BK16" s="40" t="str">
        <f t="shared" si="12"/>
        <v/>
      </c>
      <c r="BL16" s="40" t="str">
        <f t="shared" si="12"/>
        <v/>
      </c>
      <c r="BM16" s="40" t="str">
        <f t="shared" si="12"/>
        <v/>
      </c>
      <c r="BN16" s="42"/>
    </row>
    <row r="17" spans="2:66" ht="24" customHeight="1" x14ac:dyDescent="0.3">
      <c r="B17" s="948" t="s">
        <v>32</v>
      </c>
      <c r="C17" s="945"/>
      <c r="D17" s="945" t="s">
        <v>549</v>
      </c>
      <c r="E17" s="945" t="s">
        <v>144</v>
      </c>
      <c r="F17" s="945" t="s">
        <v>171</v>
      </c>
      <c r="G17" s="939" t="s">
        <v>591</v>
      </c>
      <c r="H17" s="27" t="s">
        <v>44</v>
      </c>
      <c r="I17" s="28"/>
      <c r="J17" s="30"/>
      <c r="K17" s="30"/>
      <c r="L17" s="51"/>
      <c r="M17" s="30"/>
      <c r="N17" s="29">
        <v>2.5</v>
      </c>
      <c r="O17" s="29">
        <v>2.5</v>
      </c>
      <c r="P17" s="29">
        <v>2.5</v>
      </c>
      <c r="Q17" s="29">
        <v>2.5</v>
      </c>
      <c r="R17" s="29">
        <v>2.5</v>
      </c>
      <c r="S17" s="29">
        <v>2.5</v>
      </c>
      <c r="T17" s="29">
        <v>2.5</v>
      </c>
      <c r="U17" s="29">
        <v>2.5</v>
      </c>
      <c r="V17" s="29">
        <v>2.5</v>
      </c>
      <c r="W17" s="29">
        <v>2.5</v>
      </c>
      <c r="X17" s="29">
        <v>2.5</v>
      </c>
      <c r="Y17" s="29">
        <v>2.5</v>
      </c>
      <c r="Z17" s="29">
        <v>2.5</v>
      </c>
      <c r="AA17" s="29">
        <v>2.5</v>
      </c>
      <c r="AB17" s="29">
        <v>2.5</v>
      </c>
      <c r="AC17" s="29">
        <v>2.5</v>
      </c>
      <c r="AD17" s="29">
        <v>2.5</v>
      </c>
      <c r="AE17" s="29">
        <v>2.5</v>
      </c>
      <c r="AF17" s="29">
        <v>2.5</v>
      </c>
      <c r="AG17" s="29">
        <v>2.5</v>
      </c>
      <c r="AH17" s="29">
        <v>2.5</v>
      </c>
      <c r="AI17" s="29">
        <v>2.5</v>
      </c>
      <c r="AJ17" s="67">
        <f>IF(AJ$6&gt;$E$3,"",2.5)</f>
        <v>2.5</v>
      </c>
      <c r="AK17" s="67">
        <f t="shared" ref="AK17:BM17" si="13">IF(AK$6&gt;$E$3,"",2.5)</f>
        <v>2.5</v>
      </c>
      <c r="AL17" s="67">
        <f t="shared" si="13"/>
        <v>2.5</v>
      </c>
      <c r="AM17" s="67">
        <f t="shared" si="13"/>
        <v>2.5</v>
      </c>
      <c r="AN17" s="67">
        <f t="shared" si="13"/>
        <v>2.5</v>
      </c>
      <c r="AO17" s="67">
        <f t="shared" si="13"/>
        <v>2.5</v>
      </c>
      <c r="AP17" s="67">
        <f t="shared" si="13"/>
        <v>2.5</v>
      </c>
      <c r="AQ17" s="67">
        <f t="shared" si="13"/>
        <v>2.5</v>
      </c>
      <c r="AR17" s="67">
        <f t="shared" si="13"/>
        <v>2.5</v>
      </c>
      <c r="AS17" s="67">
        <f t="shared" si="13"/>
        <v>2.5</v>
      </c>
      <c r="AT17" s="67">
        <f t="shared" si="13"/>
        <v>2.5</v>
      </c>
      <c r="AU17" s="67">
        <f t="shared" si="13"/>
        <v>2.5</v>
      </c>
      <c r="AV17" s="67">
        <f t="shared" si="13"/>
        <v>2.5</v>
      </c>
      <c r="AW17" s="67">
        <f t="shared" si="13"/>
        <v>2.5</v>
      </c>
      <c r="AX17" s="67">
        <f t="shared" si="13"/>
        <v>2.5</v>
      </c>
      <c r="AY17" s="67">
        <f t="shared" si="13"/>
        <v>2.5</v>
      </c>
      <c r="AZ17" s="67">
        <f t="shared" si="13"/>
        <v>2.5</v>
      </c>
      <c r="BA17" s="67">
        <f t="shared" si="13"/>
        <v>2.5</v>
      </c>
      <c r="BB17" s="67">
        <f t="shared" si="13"/>
        <v>2.5</v>
      </c>
      <c r="BC17" s="67" t="str">
        <f t="shared" si="13"/>
        <v/>
      </c>
      <c r="BD17" s="67" t="str">
        <f t="shared" si="13"/>
        <v/>
      </c>
      <c r="BE17" s="67" t="str">
        <f t="shared" si="13"/>
        <v/>
      </c>
      <c r="BF17" s="67" t="str">
        <f t="shared" si="13"/>
        <v/>
      </c>
      <c r="BG17" s="67" t="str">
        <f t="shared" si="13"/>
        <v/>
      </c>
      <c r="BH17" s="67" t="str">
        <f t="shared" si="13"/>
        <v/>
      </c>
      <c r="BI17" s="67" t="str">
        <f t="shared" si="13"/>
        <v/>
      </c>
      <c r="BJ17" s="67" t="str">
        <f t="shared" si="13"/>
        <v/>
      </c>
      <c r="BK17" s="67" t="str">
        <f t="shared" si="13"/>
        <v/>
      </c>
      <c r="BL17" s="67" t="str">
        <f t="shared" si="13"/>
        <v/>
      </c>
      <c r="BM17" s="67" t="str">
        <f t="shared" si="13"/>
        <v/>
      </c>
      <c r="BN17" s="31"/>
    </row>
    <row r="18" spans="2:66" ht="24" customHeight="1" x14ac:dyDescent="0.3">
      <c r="B18" s="948"/>
      <c r="C18" s="945"/>
      <c r="D18" s="945"/>
      <c r="E18" s="945"/>
      <c r="F18" s="945"/>
      <c r="G18" s="939"/>
      <c r="H18" s="33" t="s">
        <v>45</v>
      </c>
      <c r="I18" s="34"/>
      <c r="J18" s="36"/>
      <c r="K18" s="36"/>
      <c r="L18" s="52"/>
      <c r="M18" s="36" t="s">
        <v>122</v>
      </c>
      <c r="N18" s="35" t="s">
        <v>496</v>
      </c>
      <c r="O18" s="35" t="s">
        <v>496</v>
      </c>
      <c r="P18" s="35" t="s">
        <v>496</v>
      </c>
      <c r="Q18" s="35" t="s">
        <v>496</v>
      </c>
      <c r="R18" s="35" t="s">
        <v>496</v>
      </c>
      <c r="S18" s="35" t="s">
        <v>496</v>
      </c>
      <c r="T18" s="35" t="s">
        <v>496</v>
      </c>
      <c r="U18" s="35" t="s">
        <v>496</v>
      </c>
      <c r="V18" s="35" t="s">
        <v>496</v>
      </c>
      <c r="W18" s="35" t="s">
        <v>496</v>
      </c>
      <c r="X18" s="35" t="s">
        <v>496</v>
      </c>
      <c r="Y18" s="35" t="s">
        <v>496</v>
      </c>
      <c r="Z18" s="35" t="s">
        <v>496</v>
      </c>
      <c r="AA18" s="35">
        <v>1.1000000000000001</v>
      </c>
      <c r="AB18" s="35">
        <v>10.9</v>
      </c>
      <c r="AC18" s="35">
        <v>4</v>
      </c>
      <c r="AD18" s="35">
        <v>4.0999999999999996</v>
      </c>
      <c r="AE18" s="35">
        <v>10.1</v>
      </c>
      <c r="AF18" s="35">
        <v>4.5</v>
      </c>
      <c r="AG18" s="35">
        <v>12</v>
      </c>
      <c r="AH18" s="35">
        <v>2.2999999999999998</v>
      </c>
      <c r="AI18" s="35">
        <v>5</v>
      </c>
      <c r="AJ18" s="35">
        <v>4.5</v>
      </c>
      <c r="AK18" s="35">
        <v>1.9</v>
      </c>
      <c r="AL18" s="35">
        <v>11</v>
      </c>
      <c r="AM18" s="35">
        <v>14</v>
      </c>
      <c r="AN18" s="35">
        <v>30</v>
      </c>
      <c r="AO18" s="35">
        <v>9.6</v>
      </c>
      <c r="AP18" s="35">
        <v>6.9</v>
      </c>
      <c r="AQ18" s="35">
        <v>8.6</v>
      </c>
      <c r="AR18" s="35">
        <v>8.3000000000000007</v>
      </c>
      <c r="AS18" s="35">
        <v>5</v>
      </c>
      <c r="AT18" s="35">
        <v>3.7</v>
      </c>
      <c r="AU18" s="35">
        <v>12</v>
      </c>
      <c r="AV18" s="35">
        <v>7.9</v>
      </c>
      <c r="AW18" s="35">
        <v>3.6</v>
      </c>
      <c r="AX18" s="35">
        <v>15</v>
      </c>
      <c r="AY18" s="35">
        <v>8.6999999999999993</v>
      </c>
      <c r="AZ18" s="35">
        <v>10</v>
      </c>
      <c r="BA18" s="35">
        <v>7.2</v>
      </c>
      <c r="BB18" s="35"/>
      <c r="BC18" s="35"/>
      <c r="BD18" s="35"/>
      <c r="BE18" s="35"/>
      <c r="BF18" s="35"/>
      <c r="BG18" s="35"/>
      <c r="BH18" s="35"/>
      <c r="BI18" s="35"/>
      <c r="BJ18" s="35"/>
      <c r="BK18" s="35"/>
      <c r="BL18" s="35"/>
      <c r="BM18" s="37"/>
      <c r="BN18" s="37"/>
    </row>
    <row r="19" spans="2:66" ht="24" customHeight="1" x14ac:dyDescent="0.3">
      <c r="B19" s="948"/>
      <c r="C19" s="945"/>
      <c r="D19" s="945"/>
      <c r="E19" s="945"/>
      <c r="F19" s="945"/>
      <c r="G19" s="939"/>
      <c r="H19" s="38" t="s">
        <v>46</v>
      </c>
      <c r="I19" s="39" t="str">
        <f>IF(I18="","",IF((I18-I17)&gt;=0,"G",IF((I18/I17&lt;=0.9),"R","A")))</f>
        <v/>
      </c>
      <c r="J19" s="41" t="str">
        <f t="shared" ref="J19:L19" si="14">IF(J18="","",IF((J18-J17)&gt;=0,"G",IF((J18/J17&lt;=0.9),"R","A")))</f>
        <v/>
      </c>
      <c r="K19" s="41" t="str">
        <f t="shared" si="14"/>
        <v/>
      </c>
      <c r="L19" s="53" t="str">
        <f t="shared" si="14"/>
        <v/>
      </c>
      <c r="M19" s="40" t="str">
        <f>IF(M$6&gt;$E$3,"",IF(M18="","OD",IF(M18="Blank","Blank",IF(M18="TBC","TBC",IF(M18="Undefined","Undefined",IF(M18="Missed","Missed",IF(M18="OD","OD",IF(M$4="OD","OD",IF((M18-M17)&lt;=0,"G",IF((M18-(M17/0.95))&lt;=0,"A","R"))))))))))</f>
        <v>Blank</v>
      </c>
      <c r="N19" s="40" t="str">
        <f t="shared" ref="N19:BM19" si="15">IF(N$6&gt;$E$3,"",IF(N18="","OD",IF(N18="Blank","Blank",IF(N18="TBC","TBC",IF(N18="Undefined","Undefined",IF(N18="Missed","Missed",IF(N18="OD","OD",IF(N$4="OD","OD",IF((N18-N17)&lt;=0,"G",IF((N18-(N17/0.95))&lt;=0,"A","R"))))))))))</f>
        <v>Missed</v>
      </c>
      <c r="O19" s="40" t="str">
        <f t="shared" si="15"/>
        <v>Missed</v>
      </c>
      <c r="P19" s="40" t="str">
        <f t="shared" si="15"/>
        <v>Missed</v>
      </c>
      <c r="Q19" s="40" t="str">
        <f t="shared" si="15"/>
        <v>Missed</v>
      </c>
      <c r="R19" s="40" t="str">
        <f t="shared" si="15"/>
        <v>Missed</v>
      </c>
      <c r="S19" s="40" t="str">
        <f t="shared" si="15"/>
        <v>Missed</v>
      </c>
      <c r="T19" s="40" t="str">
        <f t="shared" si="15"/>
        <v>Missed</v>
      </c>
      <c r="U19" s="40" t="str">
        <f t="shared" si="15"/>
        <v>Missed</v>
      </c>
      <c r="V19" s="40" t="str">
        <f t="shared" si="15"/>
        <v>Missed</v>
      </c>
      <c r="W19" s="40" t="str">
        <f t="shared" si="15"/>
        <v>Missed</v>
      </c>
      <c r="X19" s="40" t="str">
        <f t="shared" si="15"/>
        <v>Missed</v>
      </c>
      <c r="Y19" s="40" t="str">
        <f t="shared" si="15"/>
        <v>Missed</v>
      </c>
      <c r="Z19" s="40" t="str">
        <f t="shared" si="15"/>
        <v>Missed</v>
      </c>
      <c r="AA19" s="40" t="str">
        <f t="shared" si="15"/>
        <v>G</v>
      </c>
      <c r="AB19" s="40" t="str">
        <f t="shared" si="15"/>
        <v>R</v>
      </c>
      <c r="AC19" s="40" t="str">
        <f t="shared" si="15"/>
        <v>R</v>
      </c>
      <c r="AD19" s="40" t="str">
        <f t="shared" si="15"/>
        <v>R</v>
      </c>
      <c r="AE19" s="40" t="str">
        <f t="shared" si="15"/>
        <v>R</v>
      </c>
      <c r="AF19" s="40" t="str">
        <f t="shared" si="15"/>
        <v>R</v>
      </c>
      <c r="AG19" s="40" t="str">
        <f t="shared" si="15"/>
        <v>R</v>
      </c>
      <c r="AH19" s="40" t="str">
        <f t="shared" si="15"/>
        <v>G</v>
      </c>
      <c r="AI19" s="40" t="str">
        <f t="shared" si="15"/>
        <v>R</v>
      </c>
      <c r="AJ19" s="40" t="str">
        <f t="shared" si="15"/>
        <v>R</v>
      </c>
      <c r="AK19" s="40" t="str">
        <f t="shared" si="15"/>
        <v>G</v>
      </c>
      <c r="AL19" s="40" t="str">
        <f t="shared" si="15"/>
        <v>R</v>
      </c>
      <c r="AM19" s="40" t="str">
        <f t="shared" si="15"/>
        <v>R</v>
      </c>
      <c r="AN19" s="40" t="str">
        <f>IF(AN$6&gt;$E$3,"",IF(AN18="","OD",IF(AN18="Blank","Blank",IF(AN18="TBC","TBC",IF(AN18="Undefined","Undefined",IF(AN18="Missed","Missed",IF(AN18="OD","OD",IF(AN$4="OD","OD",IF((AN18-AN17)&lt;=0,"G",IF((AN18-(AN17/0.95))&lt;=0,"A","R"))))))))))</f>
        <v>R</v>
      </c>
      <c r="AO19" s="40" t="str">
        <f t="shared" si="15"/>
        <v>R</v>
      </c>
      <c r="AP19" s="40" t="str">
        <f t="shared" si="15"/>
        <v>R</v>
      </c>
      <c r="AQ19" s="40" t="str">
        <f t="shared" si="15"/>
        <v>R</v>
      </c>
      <c r="AR19" s="40" t="str">
        <f t="shared" si="15"/>
        <v>R</v>
      </c>
      <c r="AS19" s="40" t="str">
        <f t="shared" si="15"/>
        <v>R</v>
      </c>
      <c r="AT19" s="40" t="str">
        <f t="shared" si="15"/>
        <v>R</v>
      </c>
      <c r="AU19" s="40" t="str">
        <f t="shared" si="15"/>
        <v>R</v>
      </c>
      <c r="AV19" s="40" t="str">
        <f t="shared" si="15"/>
        <v>R</v>
      </c>
      <c r="AW19" s="40" t="str">
        <f t="shared" si="15"/>
        <v>R</v>
      </c>
      <c r="AX19" s="40" t="str">
        <f t="shared" si="15"/>
        <v>R</v>
      </c>
      <c r="AY19" s="40" t="str">
        <f t="shared" si="15"/>
        <v>R</v>
      </c>
      <c r="AZ19" s="40" t="str">
        <f t="shared" si="15"/>
        <v>R</v>
      </c>
      <c r="BA19" s="40" t="str">
        <f t="shared" si="15"/>
        <v>R</v>
      </c>
      <c r="BB19" s="40" t="str">
        <f t="shared" si="15"/>
        <v>OD</v>
      </c>
      <c r="BC19" s="40" t="str">
        <f t="shared" si="15"/>
        <v/>
      </c>
      <c r="BD19" s="40" t="str">
        <f t="shared" si="15"/>
        <v/>
      </c>
      <c r="BE19" s="40" t="str">
        <f t="shared" si="15"/>
        <v/>
      </c>
      <c r="BF19" s="40" t="str">
        <f t="shared" si="15"/>
        <v/>
      </c>
      <c r="BG19" s="40" t="str">
        <f t="shared" si="15"/>
        <v/>
      </c>
      <c r="BH19" s="40" t="str">
        <f t="shared" si="15"/>
        <v/>
      </c>
      <c r="BI19" s="40" t="str">
        <f t="shared" si="15"/>
        <v/>
      </c>
      <c r="BJ19" s="40" t="str">
        <f t="shared" si="15"/>
        <v/>
      </c>
      <c r="BK19" s="40" t="str">
        <f t="shared" si="15"/>
        <v/>
      </c>
      <c r="BL19" s="40" t="str">
        <f t="shared" si="15"/>
        <v/>
      </c>
      <c r="BM19" s="40" t="str">
        <f t="shared" si="15"/>
        <v/>
      </c>
      <c r="BN19" s="42"/>
    </row>
    <row r="20" spans="2:66" ht="24" customHeight="1" x14ac:dyDescent="0.3">
      <c r="B20" s="948" t="s">
        <v>31</v>
      </c>
      <c r="C20" s="945" t="s">
        <v>518</v>
      </c>
      <c r="D20" s="945" t="s">
        <v>594</v>
      </c>
      <c r="E20" s="945" t="s">
        <v>169</v>
      </c>
      <c r="F20" s="945" t="s">
        <v>171</v>
      </c>
      <c r="G20" s="939" t="s">
        <v>590</v>
      </c>
      <c r="H20" s="27" t="s">
        <v>44</v>
      </c>
      <c r="I20" s="28"/>
      <c r="J20" s="30"/>
      <c r="K20" s="30"/>
      <c r="L20" s="51"/>
      <c r="M20" s="30"/>
      <c r="N20" s="29">
        <v>110</v>
      </c>
      <c r="O20" s="29">
        <v>110</v>
      </c>
      <c r="P20" s="29">
        <v>110</v>
      </c>
      <c r="Q20" s="29">
        <v>110</v>
      </c>
      <c r="R20" s="29">
        <v>110</v>
      </c>
      <c r="S20" s="29">
        <v>110</v>
      </c>
      <c r="T20" s="29">
        <v>110</v>
      </c>
      <c r="U20" s="29">
        <v>110</v>
      </c>
      <c r="V20" s="29">
        <v>110</v>
      </c>
      <c r="W20" s="29">
        <v>110</v>
      </c>
      <c r="X20" s="29">
        <v>110</v>
      </c>
      <c r="Y20" s="29">
        <v>110</v>
      </c>
      <c r="Z20" s="29">
        <v>110</v>
      </c>
      <c r="AA20" s="29">
        <v>110</v>
      </c>
      <c r="AB20" s="29">
        <v>110</v>
      </c>
      <c r="AC20" s="29">
        <v>110</v>
      </c>
      <c r="AD20" s="29">
        <v>110</v>
      </c>
      <c r="AE20" s="29">
        <v>110</v>
      </c>
      <c r="AF20" s="29">
        <v>110</v>
      </c>
      <c r="AG20" s="29">
        <v>110</v>
      </c>
      <c r="AH20" s="29">
        <v>110</v>
      </c>
      <c r="AI20" s="29">
        <v>110</v>
      </c>
      <c r="AJ20" s="67">
        <f>IF(AJ$6&gt;$E$3,"",110)</f>
        <v>110</v>
      </c>
      <c r="AK20" s="67">
        <f t="shared" ref="AK20:BM20" si="16">IF(AK$6&gt;$E$3,"",110)</f>
        <v>110</v>
      </c>
      <c r="AL20" s="67">
        <f t="shared" si="16"/>
        <v>110</v>
      </c>
      <c r="AM20" s="67">
        <f t="shared" si="16"/>
        <v>110</v>
      </c>
      <c r="AN20" s="67">
        <f t="shared" si="16"/>
        <v>110</v>
      </c>
      <c r="AO20" s="67">
        <f t="shared" si="16"/>
        <v>110</v>
      </c>
      <c r="AP20" s="67">
        <f t="shared" si="16"/>
        <v>110</v>
      </c>
      <c r="AQ20" s="67">
        <f t="shared" si="16"/>
        <v>110</v>
      </c>
      <c r="AR20" s="67">
        <f t="shared" si="16"/>
        <v>110</v>
      </c>
      <c r="AS20" s="67">
        <f t="shared" si="16"/>
        <v>110</v>
      </c>
      <c r="AT20" s="67">
        <f t="shared" si="16"/>
        <v>110</v>
      </c>
      <c r="AU20" s="67">
        <f t="shared" si="16"/>
        <v>110</v>
      </c>
      <c r="AV20" s="67">
        <f t="shared" si="16"/>
        <v>110</v>
      </c>
      <c r="AW20" s="67">
        <f t="shared" si="16"/>
        <v>110</v>
      </c>
      <c r="AX20" s="67">
        <f t="shared" si="16"/>
        <v>110</v>
      </c>
      <c r="AY20" s="67">
        <f t="shared" si="16"/>
        <v>110</v>
      </c>
      <c r="AZ20" s="67">
        <f t="shared" si="16"/>
        <v>110</v>
      </c>
      <c r="BA20" s="67">
        <f t="shared" si="16"/>
        <v>110</v>
      </c>
      <c r="BB20" s="67">
        <f t="shared" si="16"/>
        <v>110</v>
      </c>
      <c r="BC20" s="67" t="str">
        <f t="shared" si="16"/>
        <v/>
      </c>
      <c r="BD20" s="67" t="str">
        <f t="shared" si="16"/>
        <v/>
      </c>
      <c r="BE20" s="67" t="str">
        <f t="shared" si="16"/>
        <v/>
      </c>
      <c r="BF20" s="67" t="str">
        <f t="shared" si="16"/>
        <v/>
      </c>
      <c r="BG20" s="67" t="str">
        <f t="shared" si="16"/>
        <v/>
      </c>
      <c r="BH20" s="67" t="str">
        <f t="shared" si="16"/>
        <v/>
      </c>
      <c r="BI20" s="67" t="str">
        <f t="shared" si="16"/>
        <v/>
      </c>
      <c r="BJ20" s="67" t="str">
        <f t="shared" si="16"/>
        <v/>
      </c>
      <c r="BK20" s="67" t="str">
        <f t="shared" si="16"/>
        <v/>
      </c>
      <c r="BL20" s="67" t="str">
        <f t="shared" si="16"/>
        <v/>
      </c>
      <c r="BM20" s="67" t="str">
        <f t="shared" si="16"/>
        <v/>
      </c>
      <c r="BN20" s="31"/>
    </row>
    <row r="21" spans="2:66" ht="24" customHeight="1" x14ac:dyDescent="0.3">
      <c r="B21" s="948"/>
      <c r="C21" s="945"/>
      <c r="D21" s="945"/>
      <c r="E21" s="945"/>
      <c r="F21" s="945"/>
      <c r="G21" s="939"/>
      <c r="H21" s="33" t="s">
        <v>45</v>
      </c>
      <c r="I21" s="34"/>
      <c r="J21" s="36"/>
      <c r="K21" s="36"/>
      <c r="L21" s="52"/>
      <c r="M21" s="36" t="s">
        <v>122</v>
      </c>
      <c r="N21" s="35">
        <v>134</v>
      </c>
      <c r="O21" s="35">
        <v>55</v>
      </c>
      <c r="P21" s="35">
        <v>76</v>
      </c>
      <c r="Q21" s="35">
        <v>72</v>
      </c>
      <c r="R21" s="35">
        <v>92</v>
      </c>
      <c r="S21" s="35">
        <v>90</v>
      </c>
      <c r="T21" s="35">
        <v>133</v>
      </c>
      <c r="U21" s="35">
        <v>194</v>
      </c>
      <c r="V21" s="35">
        <v>206</v>
      </c>
      <c r="W21" s="35">
        <v>173</v>
      </c>
      <c r="X21" s="35">
        <v>158</v>
      </c>
      <c r="Y21" s="35">
        <v>160</v>
      </c>
      <c r="Z21" s="35">
        <v>151</v>
      </c>
      <c r="AA21" s="35">
        <v>150</v>
      </c>
      <c r="AB21" s="35">
        <v>107</v>
      </c>
      <c r="AC21" s="35">
        <v>341</v>
      </c>
      <c r="AD21" s="35">
        <v>276</v>
      </c>
      <c r="AE21" s="35">
        <v>108</v>
      </c>
      <c r="AF21" s="35">
        <v>225</v>
      </c>
      <c r="AG21" s="35">
        <v>266</v>
      </c>
      <c r="AH21" s="35">
        <v>189</v>
      </c>
      <c r="AI21" s="35">
        <v>94</v>
      </c>
      <c r="AJ21" s="35">
        <v>59</v>
      </c>
      <c r="AK21" s="35">
        <v>22</v>
      </c>
      <c r="AL21" s="35">
        <v>148</v>
      </c>
      <c r="AM21" s="35">
        <v>246</v>
      </c>
      <c r="AN21" s="35">
        <v>35</v>
      </c>
      <c r="AO21" s="35">
        <v>126</v>
      </c>
      <c r="AP21" s="35">
        <v>184</v>
      </c>
      <c r="AQ21" s="35">
        <v>204</v>
      </c>
      <c r="AR21" s="35">
        <v>227</v>
      </c>
      <c r="AS21" s="35">
        <v>53</v>
      </c>
      <c r="AT21" s="35">
        <v>77</v>
      </c>
      <c r="AU21" s="35">
        <v>70</v>
      </c>
      <c r="AV21" s="35">
        <v>90</v>
      </c>
      <c r="AW21" s="35">
        <v>78</v>
      </c>
      <c r="AX21" s="35">
        <v>62</v>
      </c>
      <c r="AY21" s="35">
        <v>61</v>
      </c>
      <c r="AZ21" s="35">
        <v>74</v>
      </c>
      <c r="BA21" s="35">
        <v>66</v>
      </c>
      <c r="BB21" s="35"/>
      <c r="BC21" s="35"/>
      <c r="BD21" s="35"/>
      <c r="BE21" s="35"/>
      <c r="BF21" s="35"/>
      <c r="BG21" s="35"/>
      <c r="BH21" s="35"/>
      <c r="BI21" s="35"/>
      <c r="BJ21" s="35"/>
      <c r="BK21" s="35"/>
      <c r="BL21" s="35"/>
      <c r="BM21" s="37"/>
      <c r="BN21" s="37"/>
    </row>
    <row r="22" spans="2:66" ht="24" customHeight="1" thickBot="1" x14ac:dyDescent="0.35">
      <c r="B22" s="948"/>
      <c r="C22" s="945"/>
      <c r="D22" s="945"/>
      <c r="E22" s="945"/>
      <c r="F22" s="945"/>
      <c r="G22" s="939"/>
      <c r="H22" s="38" t="s">
        <v>46</v>
      </c>
      <c r="I22" s="43" t="str">
        <f>IF(I21="","",IF((I21-I20)&gt;=0,"G",IF((I21/I20&lt;=0.9),"R","A")))</f>
        <v/>
      </c>
      <c r="J22" s="81" t="str">
        <f t="shared" ref="J22:L22" si="17">IF(J21="","",IF((J21-J20)&gt;=0,"G",IF((J21/J20&lt;=0.9),"R","A")))</f>
        <v/>
      </c>
      <c r="K22" s="81" t="str">
        <f t="shared" si="17"/>
        <v/>
      </c>
      <c r="L22" s="54" t="str">
        <f t="shared" si="17"/>
        <v/>
      </c>
      <c r="M22" s="40" t="str">
        <f>IF(M$6&gt;$E$3,"",IF(M21="","OD",IF(M21="Blank","Blank",IF(M21="TBC","TBC",IF(M21="Undefined","Undefined",IF(M21="Missed","Missed",IF(M21="OD","OD",IF(M$4="OD","OD",IF((M21-M20)&lt;=0,"G",IF((M21-(M20/0.95))&lt;=0,"A","R"))))))))))</f>
        <v>Blank</v>
      </c>
      <c r="N22" s="40" t="str">
        <f t="shared" ref="N22:BM22" si="18">IF(N$6&gt;$E$3,"",IF(N21="","OD",IF(N21="Blank","Blank",IF(N21="TBC","TBC",IF(N21="Undefined","Undefined",IF(N21="Missed","Missed",IF(N21="OD","OD",IF(N$4="OD","OD",IF((N21-N20)&lt;=0,"G",IF((N21-(N20/0.95))&lt;=0,"A","R"))))))))))</f>
        <v>R</v>
      </c>
      <c r="O22" s="40" t="str">
        <f t="shared" si="18"/>
        <v>G</v>
      </c>
      <c r="P22" s="40" t="str">
        <f t="shared" si="18"/>
        <v>G</v>
      </c>
      <c r="Q22" s="40" t="str">
        <f t="shared" si="18"/>
        <v>G</v>
      </c>
      <c r="R22" s="40" t="str">
        <f t="shared" si="18"/>
        <v>G</v>
      </c>
      <c r="S22" s="40" t="str">
        <f t="shared" si="18"/>
        <v>G</v>
      </c>
      <c r="T22" s="40" t="str">
        <f t="shared" si="18"/>
        <v>R</v>
      </c>
      <c r="U22" s="40" t="str">
        <f t="shared" si="18"/>
        <v>R</v>
      </c>
      <c r="V22" s="40" t="str">
        <f t="shared" si="18"/>
        <v>R</v>
      </c>
      <c r="W22" s="40" t="str">
        <f t="shared" si="18"/>
        <v>R</v>
      </c>
      <c r="X22" s="40" t="str">
        <f t="shared" si="18"/>
        <v>R</v>
      </c>
      <c r="Y22" s="40" t="str">
        <f t="shared" si="18"/>
        <v>R</v>
      </c>
      <c r="Z22" s="40" t="str">
        <f t="shared" si="18"/>
        <v>R</v>
      </c>
      <c r="AA22" s="40" t="str">
        <f t="shared" si="18"/>
        <v>R</v>
      </c>
      <c r="AB22" s="40" t="str">
        <f t="shared" si="18"/>
        <v>G</v>
      </c>
      <c r="AC22" s="40" t="str">
        <f t="shared" si="18"/>
        <v>R</v>
      </c>
      <c r="AD22" s="40" t="str">
        <f t="shared" si="18"/>
        <v>R</v>
      </c>
      <c r="AE22" s="40" t="str">
        <f t="shared" si="18"/>
        <v>G</v>
      </c>
      <c r="AF22" s="40" t="str">
        <f t="shared" si="18"/>
        <v>R</v>
      </c>
      <c r="AG22" s="40" t="str">
        <f t="shared" si="18"/>
        <v>R</v>
      </c>
      <c r="AH22" s="40" t="str">
        <f t="shared" si="18"/>
        <v>R</v>
      </c>
      <c r="AI22" s="40" t="str">
        <f t="shared" si="18"/>
        <v>G</v>
      </c>
      <c r="AJ22" s="40" t="str">
        <f t="shared" si="18"/>
        <v>G</v>
      </c>
      <c r="AK22" s="40" t="str">
        <f t="shared" si="18"/>
        <v>G</v>
      </c>
      <c r="AL22" s="40" t="str">
        <f t="shared" si="18"/>
        <v>R</v>
      </c>
      <c r="AM22" s="40" t="str">
        <f t="shared" si="18"/>
        <v>R</v>
      </c>
      <c r="AN22" s="40" t="str">
        <f>IF(AN$6&gt;$E$3,"",IF(AN21="","OD",IF(AN21="Blank","Blank",IF(AN21="TBC","TBC",IF(AN21="Undefined","Undefined",IF(AN21="Missed","Missed",IF(AN21="OD","OD",IF(AN$4="OD","OD",IF((AN21-AN20)&lt;=0,"G",IF((AN21-(AN20/0.95))&lt;=0,"A","R"))))))))))</f>
        <v>G</v>
      </c>
      <c r="AO22" s="40" t="str">
        <f t="shared" si="18"/>
        <v>R</v>
      </c>
      <c r="AP22" s="40" t="str">
        <f t="shared" si="18"/>
        <v>R</v>
      </c>
      <c r="AQ22" s="40" t="str">
        <f t="shared" si="18"/>
        <v>R</v>
      </c>
      <c r="AR22" s="40" t="str">
        <f t="shared" si="18"/>
        <v>R</v>
      </c>
      <c r="AS22" s="40" t="str">
        <f t="shared" si="18"/>
        <v>G</v>
      </c>
      <c r="AT22" s="40" t="str">
        <f t="shared" si="18"/>
        <v>G</v>
      </c>
      <c r="AU22" s="40" t="str">
        <f t="shared" si="18"/>
        <v>G</v>
      </c>
      <c r="AV22" s="40" t="str">
        <f t="shared" si="18"/>
        <v>G</v>
      </c>
      <c r="AW22" s="40" t="str">
        <f t="shared" si="18"/>
        <v>G</v>
      </c>
      <c r="AX22" s="40" t="str">
        <f t="shared" si="18"/>
        <v>G</v>
      </c>
      <c r="AY22" s="40" t="str">
        <f t="shared" si="18"/>
        <v>G</v>
      </c>
      <c r="AZ22" s="40" t="str">
        <f t="shared" si="18"/>
        <v>G</v>
      </c>
      <c r="BA22" s="40" t="str">
        <f t="shared" si="18"/>
        <v>G</v>
      </c>
      <c r="BB22" s="40" t="str">
        <f t="shared" si="18"/>
        <v>OD</v>
      </c>
      <c r="BC22" s="40" t="str">
        <f t="shared" si="18"/>
        <v/>
      </c>
      <c r="BD22" s="40" t="str">
        <f t="shared" si="18"/>
        <v/>
      </c>
      <c r="BE22" s="40" t="str">
        <f t="shared" si="18"/>
        <v/>
      </c>
      <c r="BF22" s="40" t="str">
        <f t="shared" si="18"/>
        <v/>
      </c>
      <c r="BG22" s="40" t="str">
        <f t="shared" si="18"/>
        <v/>
      </c>
      <c r="BH22" s="40" t="str">
        <f t="shared" si="18"/>
        <v/>
      </c>
      <c r="BI22" s="40" t="str">
        <f t="shared" si="18"/>
        <v/>
      </c>
      <c r="BJ22" s="40" t="str">
        <f t="shared" si="18"/>
        <v/>
      </c>
      <c r="BK22" s="40" t="str">
        <f t="shared" si="18"/>
        <v/>
      </c>
      <c r="BL22" s="40" t="str">
        <f t="shared" si="18"/>
        <v/>
      </c>
      <c r="BM22" s="40" t="str">
        <f t="shared" si="18"/>
        <v/>
      </c>
      <c r="BN22" s="42"/>
    </row>
    <row r="25" spans="2:66" ht="15.6" x14ac:dyDescent="0.3">
      <c r="B25" s="122" t="s">
        <v>0</v>
      </c>
      <c r="C25" s="45" t="s">
        <v>1</v>
      </c>
    </row>
    <row r="26" spans="2:66" ht="15.6" x14ac:dyDescent="0.3">
      <c r="B26" s="123" t="s">
        <v>2</v>
      </c>
      <c r="C26" s="45" t="s">
        <v>3</v>
      </c>
    </row>
    <row r="27" spans="2:66" ht="15.6" x14ac:dyDescent="0.3">
      <c r="B27" s="124" t="s">
        <v>4</v>
      </c>
      <c r="C27" s="45" t="s">
        <v>5</v>
      </c>
    </row>
    <row r="28" spans="2:66" x14ac:dyDescent="0.3">
      <c r="B28" s="340" t="s">
        <v>35</v>
      </c>
      <c r="C28" s="13" t="s">
        <v>376</v>
      </c>
    </row>
    <row r="29" spans="2:66" x14ac:dyDescent="0.3">
      <c r="B29" s="341" t="s">
        <v>122</v>
      </c>
      <c r="C29" s="13" t="s">
        <v>377</v>
      </c>
    </row>
  </sheetData>
  <mergeCells count="31">
    <mergeCell ref="B20:B22"/>
    <mergeCell ref="C20:C22"/>
    <mergeCell ref="D20:D22"/>
    <mergeCell ref="G20:G22"/>
    <mergeCell ref="C14:C16"/>
    <mergeCell ref="D14:D16"/>
    <mergeCell ref="B14:B16"/>
    <mergeCell ref="G14:G16"/>
    <mergeCell ref="E20:E22"/>
    <mergeCell ref="F20:F22"/>
    <mergeCell ref="B11:B13"/>
    <mergeCell ref="C11:C13"/>
    <mergeCell ref="D11:D13"/>
    <mergeCell ref="G11:G13"/>
    <mergeCell ref="B17:B19"/>
    <mergeCell ref="C17:C19"/>
    <mergeCell ref="D17:D19"/>
    <mergeCell ref="G17:G19"/>
    <mergeCell ref="E11:E13"/>
    <mergeCell ref="F11:F13"/>
    <mergeCell ref="E14:E16"/>
    <mergeCell ref="F14:F16"/>
    <mergeCell ref="E17:E19"/>
    <mergeCell ref="F17:F19"/>
    <mergeCell ref="G6:G7"/>
    <mergeCell ref="B8:B10"/>
    <mergeCell ref="C8:C10"/>
    <mergeCell ref="D8:D10"/>
    <mergeCell ref="G8:G10"/>
    <mergeCell ref="E8:E10"/>
    <mergeCell ref="F8:F10"/>
  </mergeCells>
  <conditionalFormatting sqref="B29">
    <cfRule type="cellIs" dxfId="338" priority="141" operator="equal">
      <formula>"TBC"</formula>
    </cfRule>
    <cfRule type="cellIs" dxfId="337" priority="142" operator="equal">
      <formula>"OD"</formula>
    </cfRule>
    <cfRule type="cellIs" dxfId="336" priority="143" operator="equal">
      <formula>"G"</formula>
    </cfRule>
    <cfRule type="cellIs" dxfId="335" priority="144" operator="equal">
      <formula>"A"</formula>
    </cfRule>
    <cfRule type="cellIs" dxfId="334" priority="145" operator="equal">
      <formula>"R"</formula>
    </cfRule>
  </conditionalFormatting>
  <conditionalFormatting sqref="I10:BM10">
    <cfRule type="cellIs" dxfId="333" priority="21" operator="equal">
      <formula>"OD"</formula>
    </cfRule>
    <cfRule type="cellIs" dxfId="332" priority="22" operator="equal">
      <formula>"TBC"</formula>
    </cfRule>
    <cfRule type="cellIs" dxfId="331" priority="23" operator="equal">
      <formula>"G"</formula>
    </cfRule>
    <cfRule type="cellIs" dxfId="330" priority="24" operator="equal">
      <formula>"A"</formula>
    </cfRule>
    <cfRule type="cellIs" dxfId="329" priority="25" operator="equal">
      <formula>"R"</formula>
    </cfRule>
  </conditionalFormatting>
  <conditionalFormatting sqref="I16:BM16">
    <cfRule type="cellIs" dxfId="328" priority="11" operator="equal">
      <formula>"OD"</formula>
    </cfRule>
    <cfRule type="cellIs" dxfId="327" priority="12" operator="equal">
      <formula>"TBC"</formula>
    </cfRule>
    <cfRule type="cellIs" dxfId="326" priority="13" operator="equal">
      <formula>"G"</formula>
    </cfRule>
    <cfRule type="cellIs" dxfId="325" priority="14" operator="equal">
      <formula>"A"</formula>
    </cfRule>
    <cfRule type="cellIs" dxfId="324" priority="15" operator="equal">
      <formula>"R"</formula>
    </cfRule>
  </conditionalFormatting>
  <conditionalFormatting sqref="I19:BM19">
    <cfRule type="cellIs" dxfId="323" priority="6" operator="equal">
      <formula>"OD"</formula>
    </cfRule>
    <cfRule type="cellIs" dxfId="322" priority="7" operator="equal">
      <formula>"TBC"</formula>
    </cfRule>
    <cfRule type="cellIs" dxfId="321" priority="8" operator="equal">
      <formula>"G"</formula>
    </cfRule>
    <cfRule type="cellIs" dxfId="320" priority="9" operator="equal">
      <formula>"A"</formula>
    </cfRule>
    <cfRule type="cellIs" dxfId="319" priority="10" operator="equal">
      <formula>"R"</formula>
    </cfRule>
  </conditionalFormatting>
  <conditionalFormatting sqref="I22:BM22">
    <cfRule type="cellIs" dxfId="318" priority="1" operator="equal">
      <formula>"OD"</formula>
    </cfRule>
    <cfRule type="cellIs" dxfId="317" priority="2" operator="equal">
      <formula>"TBC"</formula>
    </cfRule>
    <cfRule type="cellIs" dxfId="316" priority="3" operator="equal">
      <formula>"G"</formula>
    </cfRule>
    <cfRule type="cellIs" dxfId="315" priority="4" operator="equal">
      <formula>"A"</formula>
    </cfRule>
    <cfRule type="cellIs" dxfId="314" priority="5" operator="equal">
      <formula>"R"</formula>
    </cfRule>
  </conditionalFormatting>
  <conditionalFormatting sqref="I13:BN13">
    <cfRule type="cellIs" dxfId="313" priority="16" operator="equal">
      <formula>"OD"</formula>
    </cfRule>
    <cfRule type="cellIs" dxfId="312" priority="17" operator="equal">
      <formula>"TBC"</formula>
    </cfRule>
    <cfRule type="cellIs" dxfId="311" priority="18" operator="equal">
      <formula>"G"</formula>
    </cfRule>
    <cfRule type="cellIs" dxfId="310" priority="19" operator="equal">
      <formula>"A"</formula>
    </cfRule>
    <cfRule type="cellIs" dxfId="309" priority="20" operator="equal">
      <formula>"R"</formula>
    </cfRule>
  </conditionalFormatting>
  <hyperlinks>
    <hyperlink ref="G11" r:id="rId1" xr:uid="{C29A3192-8AA1-4242-A530-69392BD8CDF3}"/>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62D4-156D-4F56-BE40-426A973B80F7}">
  <sheetPr>
    <tabColor rgb="FFFFC000"/>
  </sheetPr>
  <dimension ref="A1:BN35"/>
  <sheetViews>
    <sheetView workbookViewId="0">
      <pane xSplit="8" ySplit="7" topLeftCell="AW8" activePane="bottomRight" state="frozen"/>
      <selection pane="topRight" activeCell="I1" sqref="I1"/>
      <selection pane="bottomLeft" activeCell="A8" sqref="A8"/>
      <selection pane="bottomRight" activeCell="E2" sqref="E2"/>
    </sheetView>
  </sheetViews>
  <sheetFormatPr defaultColWidth="9.33203125" defaultRowHeight="14.4" x14ac:dyDescent="0.3"/>
  <cols>
    <col min="1" max="1" width="3" style="2" customWidth="1"/>
    <col min="2" max="2" width="18" style="2" customWidth="1"/>
    <col min="3" max="3" width="16.5546875" style="13" bestFit="1" customWidth="1"/>
    <col min="4" max="4" width="25.33203125" style="2" customWidth="1"/>
    <col min="5" max="5" width="9.6640625" style="2" customWidth="1"/>
    <col min="6" max="6" width="6.33203125" style="2" customWidth="1"/>
    <col min="7" max="7" width="31.33203125" style="2" customWidth="1"/>
    <col min="8" max="8" width="9.44140625" style="2" bestFit="1" customWidth="1"/>
    <col min="9" max="12" width="3" style="2" bestFit="1" customWidth="1"/>
    <col min="13" max="13" width="7.33203125" style="2" bestFit="1" customWidth="1"/>
    <col min="14" max="65" width="12" style="2" bestFit="1" customWidth="1"/>
    <col min="66" max="66" width="7.6640625" style="2" hidden="1"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1:66" ht="18.600000000000001" thickBot="1" x14ac:dyDescent="0.35">
      <c r="B1" s="14" t="s">
        <v>121</v>
      </c>
      <c r="C1" s="10" t="s">
        <v>120</v>
      </c>
    </row>
    <row r="2" spans="1:66" ht="15" thickBot="1" x14ac:dyDescent="0.35">
      <c r="D2" s="119" t="s">
        <v>123</v>
      </c>
      <c r="E2" s="346">
        <v>42</v>
      </c>
      <c r="F2" s="2" t="s">
        <v>248</v>
      </c>
    </row>
    <row r="3" spans="1:66" ht="15" thickBot="1" x14ac:dyDescent="0.35">
      <c r="A3" s="2" t="s">
        <v>124</v>
      </c>
      <c r="B3" s="2" t="s">
        <v>384</v>
      </c>
      <c r="D3" s="120" t="s">
        <v>193</v>
      </c>
      <c r="E3" s="120">
        <f>+'KPI Analysis'!D3</f>
        <v>42</v>
      </c>
    </row>
    <row r="4" spans="1:66" ht="15.6"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1:66" ht="15" thickBot="1" x14ac:dyDescent="0.35"/>
    <row r="6" spans="1:66" ht="24" customHeight="1" x14ac:dyDescent="0.3">
      <c r="B6" s="14" t="s">
        <v>79</v>
      </c>
      <c r="C6" s="109" t="s">
        <v>164</v>
      </c>
      <c r="D6" s="106"/>
      <c r="E6" s="106"/>
      <c r="F6" s="106"/>
      <c r="G6" s="928" t="s">
        <v>37</v>
      </c>
      <c r="H6" s="15" t="s">
        <v>7</v>
      </c>
      <c r="I6" s="57">
        <f>J6-1</f>
        <v>49</v>
      </c>
      <c r="J6" s="58">
        <f>K6-1</f>
        <v>50</v>
      </c>
      <c r="K6" s="58">
        <f>L6-1</f>
        <v>51</v>
      </c>
      <c r="L6" s="59">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1:66" ht="52.95" customHeight="1" x14ac:dyDescent="0.3">
      <c r="B7" s="14" t="s">
        <v>38</v>
      </c>
      <c r="C7" s="21" t="s">
        <v>39</v>
      </c>
      <c r="D7" s="21" t="s">
        <v>40</v>
      </c>
      <c r="E7" s="21" t="s">
        <v>140</v>
      </c>
      <c r="F7" s="21" t="s">
        <v>159</v>
      </c>
      <c r="G7" s="929"/>
      <c r="H7" s="15" t="s">
        <v>41</v>
      </c>
      <c r="I7" s="60">
        <f t="shared" ref="I7:K7" si="2">J7-7</f>
        <v>45632</v>
      </c>
      <c r="J7" s="61">
        <f t="shared" si="2"/>
        <v>45639</v>
      </c>
      <c r="K7" s="61">
        <f t="shared" si="2"/>
        <v>45646</v>
      </c>
      <c r="L7" s="62">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1:66" ht="24" customHeight="1" x14ac:dyDescent="0.3">
      <c r="B8" s="920" t="s">
        <v>30</v>
      </c>
      <c r="C8" s="936" t="s">
        <v>97</v>
      </c>
      <c r="D8" s="936" t="s">
        <v>361</v>
      </c>
      <c r="E8" s="922" t="s">
        <v>170</v>
      </c>
      <c r="F8" s="922" t="s">
        <v>154</v>
      </c>
      <c r="G8" s="937"/>
      <c r="H8" s="63" t="s">
        <v>44</v>
      </c>
      <c r="I8" s="64"/>
      <c r="J8" s="65"/>
      <c r="K8" s="65"/>
      <c r="L8" s="66"/>
      <c r="M8" s="65"/>
      <c r="N8" s="101">
        <v>508750</v>
      </c>
      <c r="O8" s="101">
        <v>508750</v>
      </c>
      <c r="P8" s="101">
        <v>508750</v>
      </c>
      <c r="Q8" s="101">
        <v>508750</v>
      </c>
      <c r="R8" s="101">
        <v>584250</v>
      </c>
      <c r="S8" s="101">
        <v>584250</v>
      </c>
      <c r="T8" s="101">
        <v>584250</v>
      </c>
      <c r="U8" s="101">
        <v>584250</v>
      </c>
      <c r="V8" s="101">
        <v>584250</v>
      </c>
      <c r="W8" s="101">
        <v>584250</v>
      </c>
      <c r="X8" s="101">
        <v>584250</v>
      </c>
      <c r="Y8" s="101">
        <v>584250</v>
      </c>
      <c r="Z8" s="101">
        <v>654750</v>
      </c>
      <c r="AA8" s="101">
        <v>654750</v>
      </c>
      <c r="AB8" s="101">
        <v>523800</v>
      </c>
      <c r="AC8" s="101">
        <v>523800</v>
      </c>
      <c r="AD8" s="101">
        <v>654750</v>
      </c>
      <c r="AE8" s="101">
        <v>603800</v>
      </c>
      <c r="AF8" s="101">
        <v>654750</v>
      </c>
      <c r="AG8" s="101">
        <v>654750</v>
      </c>
      <c r="AH8" s="101">
        <v>603800</v>
      </c>
      <c r="AI8" s="101">
        <v>749762</v>
      </c>
      <c r="AJ8" s="101">
        <v>749763</v>
      </c>
      <c r="AK8" s="101">
        <v>749764</v>
      </c>
      <c r="AL8" s="101">
        <v>749765</v>
      </c>
      <c r="AM8" s="101">
        <v>749766</v>
      </c>
      <c r="AN8" s="101">
        <v>749767</v>
      </c>
      <c r="AO8" s="101">
        <v>749768</v>
      </c>
      <c r="AP8" s="101">
        <v>749769</v>
      </c>
      <c r="AQ8" s="101">
        <v>749770</v>
      </c>
      <c r="AR8" s="101">
        <v>725250</v>
      </c>
      <c r="AS8" s="101">
        <v>749772</v>
      </c>
      <c r="AT8" s="101">
        <v>725250</v>
      </c>
      <c r="AU8" s="101">
        <v>580200</v>
      </c>
      <c r="AV8" s="101">
        <v>682045</v>
      </c>
      <c r="AW8" s="101">
        <v>654750</v>
      </c>
      <c r="AX8" s="101">
        <v>654750</v>
      </c>
      <c r="AY8" s="101">
        <v>654750</v>
      </c>
      <c r="AZ8" s="101"/>
      <c r="BA8" s="101"/>
      <c r="BB8" s="101"/>
      <c r="BC8" s="101"/>
      <c r="BD8" s="101"/>
      <c r="BE8" s="101"/>
      <c r="BF8" s="101"/>
      <c r="BG8" s="101"/>
      <c r="BH8" s="101"/>
      <c r="BI8" s="101"/>
      <c r="BJ8" s="101"/>
      <c r="BK8" s="101"/>
      <c r="BL8" s="101"/>
      <c r="BM8" s="101"/>
      <c r="BN8" s="32"/>
    </row>
    <row r="9" spans="1:66" ht="24" customHeight="1" x14ac:dyDescent="0.3">
      <c r="B9" s="920"/>
      <c r="C9" s="935"/>
      <c r="D9" s="935"/>
      <c r="E9" s="921"/>
      <c r="F9" s="921"/>
      <c r="G9" s="934"/>
      <c r="H9" s="33" t="s">
        <v>45</v>
      </c>
      <c r="I9" s="34"/>
      <c r="J9" s="36"/>
      <c r="K9" s="36"/>
      <c r="L9" s="52"/>
      <c r="M9" s="36" t="s">
        <v>122</v>
      </c>
      <c r="N9" s="100">
        <v>498920</v>
      </c>
      <c r="O9" s="100">
        <v>532323</v>
      </c>
      <c r="P9" s="100">
        <v>672454</v>
      </c>
      <c r="Q9" s="100">
        <v>609959</v>
      </c>
      <c r="R9" s="100">
        <v>639587</v>
      </c>
      <c r="S9" s="100">
        <v>592760</v>
      </c>
      <c r="T9" s="100">
        <v>633153</v>
      </c>
      <c r="U9" s="100">
        <v>737255</v>
      </c>
      <c r="V9" s="100">
        <v>627906</v>
      </c>
      <c r="W9" s="100">
        <v>660778</v>
      </c>
      <c r="X9" s="100">
        <v>717988</v>
      </c>
      <c r="Y9" s="100">
        <v>818186</v>
      </c>
      <c r="Z9" s="100">
        <v>722745</v>
      </c>
      <c r="AA9" s="100">
        <v>716000</v>
      </c>
      <c r="AB9" s="100">
        <v>526336</v>
      </c>
      <c r="AC9" s="100">
        <v>528243</v>
      </c>
      <c r="AD9" s="100">
        <v>619657</v>
      </c>
      <c r="AE9" s="100">
        <v>498186</v>
      </c>
      <c r="AF9" s="100">
        <v>583681</v>
      </c>
      <c r="AG9" s="100">
        <v>681260</v>
      </c>
      <c r="AH9" s="100">
        <v>473193</v>
      </c>
      <c r="AI9" s="100">
        <v>595671</v>
      </c>
      <c r="AJ9" s="100">
        <v>518278</v>
      </c>
      <c r="AK9" s="100">
        <v>599557</v>
      </c>
      <c r="AL9" s="100">
        <v>647304</v>
      </c>
      <c r="AM9" s="100">
        <v>478450</v>
      </c>
      <c r="AN9" s="100">
        <v>451933</v>
      </c>
      <c r="AO9" s="100">
        <v>654166</v>
      </c>
      <c r="AP9" s="100">
        <v>798389</v>
      </c>
      <c r="AQ9" s="100">
        <v>779461</v>
      </c>
      <c r="AR9" s="100">
        <v>716929</v>
      </c>
      <c r="AS9" s="100">
        <v>597567</v>
      </c>
      <c r="AT9" s="100">
        <v>829526</v>
      </c>
      <c r="AU9" s="100">
        <v>551556</v>
      </c>
      <c r="AV9" s="100">
        <v>637336</v>
      </c>
      <c r="AW9" s="100">
        <v>619454</v>
      </c>
      <c r="AX9" s="100">
        <v>524386</v>
      </c>
      <c r="AY9" s="100">
        <v>790867</v>
      </c>
      <c r="AZ9" s="100"/>
      <c r="BA9" s="100"/>
      <c r="BB9" s="100"/>
      <c r="BC9" s="100"/>
      <c r="BD9" s="100"/>
      <c r="BE9" s="100"/>
      <c r="BF9" s="100"/>
      <c r="BG9" s="100"/>
      <c r="BH9" s="100"/>
      <c r="BI9" s="100"/>
      <c r="BJ9" s="100"/>
      <c r="BK9" s="100"/>
      <c r="BL9" s="100"/>
      <c r="BM9" s="100"/>
      <c r="BN9" s="37"/>
    </row>
    <row r="10" spans="1:66" ht="24" customHeight="1" x14ac:dyDescent="0.3">
      <c r="B10" s="920"/>
      <c r="C10" s="935"/>
      <c r="D10" s="935"/>
      <c r="E10" s="921"/>
      <c r="F10" s="921"/>
      <c r="G10" s="934"/>
      <c r="H10" s="38" t="s">
        <v>46</v>
      </c>
      <c r="I10" s="39" t="str">
        <f>IF(I9="","",IF((I9-I8)&gt;=0,"G",IF((I9/I8&lt;=0.9),"R","A")))</f>
        <v/>
      </c>
      <c r="J10" s="41" t="str">
        <f t="shared" ref="J10:L10" si="4">IF(J9="","",IF((J9-J8)&gt;=0,"G",IF((J9/J8&lt;=0.9),"R","A")))</f>
        <v/>
      </c>
      <c r="K10" s="41" t="str">
        <f t="shared" si="4"/>
        <v/>
      </c>
      <c r="L10" s="53" t="str">
        <f t="shared" si="4"/>
        <v/>
      </c>
      <c r="M10" s="40" t="str">
        <f>IF(M$6&gt;$E$3,"",IF(M9="","OD",IF(M9="Blank","Blank",IF(M9="TBC","TBC",IF(M9="Undefined","Undefined",IF(M9="Missed","Missed",IF(M9="OD","OD",IF(M$4="OD","OD",IF((M9-M8)&gt;=0,"G",IF((M9-(M8*0.95))&gt;=0,"A","R"))))))))))</f>
        <v>Blank</v>
      </c>
      <c r="N10" s="40" t="str">
        <f t="shared" ref="N10:BM10" si="5">IF(N$6&gt;$E$3,"",IF(N9="","OD",IF(N9="Blank","Blank",IF(N9="TBC","TBC",IF(N9="Undefined","Undefined",IF(N9="Missed","Missed",IF(N9="OD","OD",IF(N$4="OD","OD",IF((N9-N8)&gt;=0,"G",IF((N9-(N8*0.95))&gt;=0,"A","R"))))))))))</f>
        <v>A</v>
      </c>
      <c r="O10" s="40" t="str">
        <f t="shared" si="5"/>
        <v>G</v>
      </c>
      <c r="P10" s="40" t="str">
        <f t="shared" si="5"/>
        <v>G</v>
      </c>
      <c r="Q10" s="40" t="str">
        <f t="shared" si="5"/>
        <v>G</v>
      </c>
      <c r="R10" s="40" t="str">
        <f t="shared" si="5"/>
        <v>G</v>
      </c>
      <c r="S10" s="40" t="str">
        <f t="shared" si="5"/>
        <v>G</v>
      </c>
      <c r="T10" s="40" t="str">
        <f t="shared" si="5"/>
        <v>G</v>
      </c>
      <c r="U10" s="40" t="str">
        <f t="shared" si="5"/>
        <v>G</v>
      </c>
      <c r="V10" s="40" t="str">
        <f t="shared" si="5"/>
        <v>G</v>
      </c>
      <c r="W10" s="40" t="str">
        <f t="shared" si="5"/>
        <v>G</v>
      </c>
      <c r="X10" s="40" t="str">
        <f t="shared" si="5"/>
        <v>G</v>
      </c>
      <c r="Y10" s="40" t="str">
        <f t="shared" si="5"/>
        <v>G</v>
      </c>
      <c r="Z10" s="40" t="str">
        <f t="shared" si="5"/>
        <v>G</v>
      </c>
      <c r="AA10" s="40" t="str">
        <f t="shared" si="5"/>
        <v>G</v>
      </c>
      <c r="AB10" s="40" t="str">
        <f t="shared" si="5"/>
        <v>G</v>
      </c>
      <c r="AC10" s="40" t="str">
        <f t="shared" si="5"/>
        <v>G</v>
      </c>
      <c r="AD10" s="40" t="str">
        <f t="shared" si="5"/>
        <v>R</v>
      </c>
      <c r="AE10" s="40" t="str">
        <f t="shared" si="5"/>
        <v>R</v>
      </c>
      <c r="AF10" s="40" t="str">
        <f t="shared" si="5"/>
        <v>R</v>
      </c>
      <c r="AG10" s="40" t="str">
        <f t="shared" si="5"/>
        <v>G</v>
      </c>
      <c r="AH10" s="40" t="str">
        <f t="shared" si="5"/>
        <v>R</v>
      </c>
      <c r="AI10" s="40" t="str">
        <f t="shared" si="5"/>
        <v>R</v>
      </c>
      <c r="AJ10" s="40" t="str">
        <f t="shared" si="5"/>
        <v>R</v>
      </c>
      <c r="AK10" s="40" t="str">
        <f t="shared" si="5"/>
        <v>R</v>
      </c>
      <c r="AL10" s="40" t="str">
        <f t="shared" si="5"/>
        <v>R</v>
      </c>
      <c r="AM10" s="40" t="str">
        <f t="shared" si="5"/>
        <v>R</v>
      </c>
      <c r="AN10" s="40" t="str">
        <f t="shared" si="5"/>
        <v>R</v>
      </c>
      <c r="AO10" s="40" t="str">
        <f t="shared" si="5"/>
        <v>R</v>
      </c>
      <c r="AP10" s="40" t="str">
        <f t="shared" si="5"/>
        <v>G</v>
      </c>
      <c r="AQ10" s="40" t="str">
        <f t="shared" si="5"/>
        <v>G</v>
      </c>
      <c r="AR10" s="40" t="str">
        <f t="shared" si="5"/>
        <v>A</v>
      </c>
      <c r="AS10" s="40" t="str">
        <f t="shared" si="5"/>
        <v>R</v>
      </c>
      <c r="AT10" s="40" t="str">
        <f t="shared" si="5"/>
        <v>G</v>
      </c>
      <c r="AU10" s="40" t="str">
        <f t="shared" si="5"/>
        <v>A</v>
      </c>
      <c r="AV10" s="40" t="str">
        <f t="shared" si="5"/>
        <v>R</v>
      </c>
      <c r="AW10" s="40" t="str">
        <f t="shared" si="5"/>
        <v>R</v>
      </c>
      <c r="AX10" s="40" t="str">
        <f t="shared" si="5"/>
        <v>R</v>
      </c>
      <c r="AY10" s="40" t="str">
        <f t="shared" si="5"/>
        <v>G</v>
      </c>
      <c r="AZ10" s="40" t="str">
        <f t="shared" si="5"/>
        <v>OD</v>
      </c>
      <c r="BA10" s="40" t="str">
        <f t="shared" si="5"/>
        <v>OD</v>
      </c>
      <c r="BB10" s="40" t="str">
        <f t="shared" si="5"/>
        <v>OD</v>
      </c>
      <c r="BC10" s="40" t="str">
        <f t="shared" si="5"/>
        <v/>
      </c>
      <c r="BD10" s="40" t="str">
        <f t="shared" si="5"/>
        <v/>
      </c>
      <c r="BE10" s="40" t="str">
        <f t="shared" si="5"/>
        <v/>
      </c>
      <c r="BF10" s="40" t="str">
        <f t="shared" si="5"/>
        <v/>
      </c>
      <c r="BG10" s="40" t="str">
        <f t="shared" si="5"/>
        <v/>
      </c>
      <c r="BH10" s="40" t="str">
        <f t="shared" si="5"/>
        <v/>
      </c>
      <c r="BI10" s="40" t="str">
        <f t="shared" si="5"/>
        <v/>
      </c>
      <c r="BJ10" s="40" t="str">
        <f t="shared" si="5"/>
        <v/>
      </c>
      <c r="BK10" s="40" t="str">
        <f t="shared" si="5"/>
        <v/>
      </c>
      <c r="BL10" s="40" t="str">
        <f t="shared" si="5"/>
        <v/>
      </c>
      <c r="BM10" s="40" t="str">
        <f t="shared" si="5"/>
        <v/>
      </c>
      <c r="BN10" s="42"/>
    </row>
    <row r="11" spans="1:66" ht="24" customHeight="1" x14ac:dyDescent="0.3">
      <c r="B11" s="920" t="s">
        <v>33</v>
      </c>
      <c r="C11" s="935" t="s">
        <v>95</v>
      </c>
      <c r="D11" s="935" t="s">
        <v>360</v>
      </c>
      <c r="E11" s="921" t="s">
        <v>144</v>
      </c>
      <c r="F11" s="921" t="s">
        <v>154</v>
      </c>
      <c r="G11" s="934"/>
      <c r="H11" s="27" t="s">
        <v>44</v>
      </c>
      <c r="I11" s="28"/>
      <c r="J11" s="30"/>
      <c r="K11" s="30"/>
      <c r="L11" s="51"/>
      <c r="M11" s="30"/>
      <c r="N11" s="97">
        <v>0.95</v>
      </c>
      <c r="O11" s="97">
        <v>0.95</v>
      </c>
      <c r="P11" s="97">
        <v>0.95</v>
      </c>
      <c r="Q11" s="97">
        <v>0.95</v>
      </c>
      <c r="R11" s="97">
        <v>0.95</v>
      </c>
      <c r="S11" s="97">
        <v>0.95</v>
      </c>
      <c r="T11" s="97">
        <v>0.95</v>
      </c>
      <c r="U11" s="97">
        <v>0.95</v>
      </c>
      <c r="V11" s="97">
        <v>0.95</v>
      </c>
      <c r="W11" s="97">
        <v>0.95</v>
      </c>
      <c r="X11" s="97">
        <v>0.95</v>
      </c>
      <c r="Y11" s="97">
        <v>0.95</v>
      </c>
      <c r="Z11" s="97">
        <v>0.95</v>
      </c>
      <c r="AA11" s="97">
        <v>0.95</v>
      </c>
      <c r="AB11" s="97">
        <v>0.95</v>
      </c>
      <c r="AC11" s="97">
        <v>0.95</v>
      </c>
      <c r="AD11" s="97">
        <v>0.95</v>
      </c>
      <c r="AE11" s="97">
        <v>0.95</v>
      </c>
      <c r="AF11" s="97">
        <v>0.95</v>
      </c>
      <c r="AG11" s="97">
        <v>0.95</v>
      </c>
      <c r="AH11" s="97">
        <v>0.95</v>
      </c>
      <c r="AI11" s="97">
        <v>0.95</v>
      </c>
      <c r="AJ11" s="97">
        <f>IF(AJ$6&gt;$E$3,"",95%)</f>
        <v>0.95</v>
      </c>
      <c r="AK11" s="97">
        <f t="shared" ref="AK11:BM11" si="6">IF(AK$6&gt;$E$3,"",95%)</f>
        <v>0.95</v>
      </c>
      <c r="AL11" s="97">
        <f t="shared" si="6"/>
        <v>0.95</v>
      </c>
      <c r="AM11" s="97">
        <f t="shared" si="6"/>
        <v>0.95</v>
      </c>
      <c r="AN11" s="97">
        <f t="shared" si="6"/>
        <v>0.95</v>
      </c>
      <c r="AO11" s="97">
        <f t="shared" si="6"/>
        <v>0.95</v>
      </c>
      <c r="AP11" s="97">
        <f t="shared" si="6"/>
        <v>0.95</v>
      </c>
      <c r="AQ11" s="97">
        <f t="shared" si="6"/>
        <v>0.95</v>
      </c>
      <c r="AR11" s="97">
        <f t="shared" si="6"/>
        <v>0.95</v>
      </c>
      <c r="AS11" s="97">
        <f t="shared" si="6"/>
        <v>0.95</v>
      </c>
      <c r="AT11" s="97">
        <f t="shared" si="6"/>
        <v>0.95</v>
      </c>
      <c r="AU11" s="97">
        <f t="shared" si="6"/>
        <v>0.95</v>
      </c>
      <c r="AV11" s="97">
        <f t="shared" si="6"/>
        <v>0.95</v>
      </c>
      <c r="AW11" s="97">
        <f t="shared" si="6"/>
        <v>0.95</v>
      </c>
      <c r="AX11" s="97">
        <f t="shared" si="6"/>
        <v>0.95</v>
      </c>
      <c r="AY11" s="97">
        <f t="shared" si="6"/>
        <v>0.95</v>
      </c>
      <c r="AZ11" s="97">
        <f t="shared" si="6"/>
        <v>0.95</v>
      </c>
      <c r="BA11" s="97">
        <f t="shared" si="6"/>
        <v>0.95</v>
      </c>
      <c r="BB11" s="97">
        <f t="shared" si="6"/>
        <v>0.95</v>
      </c>
      <c r="BC11" s="97" t="str">
        <f t="shared" si="6"/>
        <v/>
      </c>
      <c r="BD11" s="97" t="str">
        <f t="shared" si="6"/>
        <v/>
      </c>
      <c r="BE11" s="97" t="str">
        <f t="shared" si="6"/>
        <v/>
      </c>
      <c r="BF11" s="97" t="str">
        <f t="shared" si="6"/>
        <v/>
      </c>
      <c r="BG11" s="97" t="str">
        <f t="shared" si="6"/>
        <v/>
      </c>
      <c r="BH11" s="97" t="str">
        <f t="shared" si="6"/>
        <v/>
      </c>
      <c r="BI11" s="97" t="str">
        <f t="shared" si="6"/>
        <v/>
      </c>
      <c r="BJ11" s="97" t="str">
        <f t="shared" si="6"/>
        <v/>
      </c>
      <c r="BK11" s="97" t="str">
        <f t="shared" si="6"/>
        <v/>
      </c>
      <c r="BL11" s="97" t="str">
        <f t="shared" si="6"/>
        <v/>
      </c>
      <c r="BM11" s="97" t="str">
        <f t="shared" si="6"/>
        <v/>
      </c>
      <c r="BN11" s="31"/>
    </row>
    <row r="12" spans="1:66" ht="24" customHeight="1" x14ac:dyDescent="0.3">
      <c r="B12" s="920"/>
      <c r="C12" s="935"/>
      <c r="D12" s="935"/>
      <c r="E12" s="921"/>
      <c r="F12" s="921"/>
      <c r="G12" s="934"/>
      <c r="H12" s="33" t="s">
        <v>45</v>
      </c>
      <c r="I12" s="34"/>
      <c r="J12" s="36"/>
      <c r="K12" s="36"/>
      <c r="L12" s="52"/>
      <c r="M12" s="36" t="s">
        <v>122</v>
      </c>
      <c r="N12" s="98">
        <v>0.92</v>
      </c>
      <c r="O12" s="98">
        <v>0.97</v>
      </c>
      <c r="P12" s="98">
        <v>0.9</v>
      </c>
      <c r="Q12" s="98">
        <v>0.93</v>
      </c>
      <c r="R12" s="98">
        <v>0.94</v>
      </c>
      <c r="S12" s="98">
        <v>0.96</v>
      </c>
      <c r="T12" s="98">
        <v>0.92</v>
      </c>
      <c r="U12" s="98">
        <v>0.9</v>
      </c>
      <c r="V12" s="98">
        <v>0.96</v>
      </c>
      <c r="W12" s="98">
        <v>0.95</v>
      </c>
      <c r="X12" s="98">
        <v>0.92</v>
      </c>
      <c r="Y12" s="98">
        <v>0.91</v>
      </c>
      <c r="Z12" s="98">
        <v>0.91</v>
      </c>
      <c r="AA12" s="98">
        <v>0.94</v>
      </c>
      <c r="AB12" s="98">
        <v>0.92</v>
      </c>
      <c r="AC12" s="98">
        <v>0.93</v>
      </c>
      <c r="AD12" s="98">
        <v>0.89</v>
      </c>
      <c r="AE12" s="98">
        <v>0.83</v>
      </c>
      <c r="AF12" s="98">
        <v>0.95</v>
      </c>
      <c r="AG12" s="98">
        <v>0.96</v>
      </c>
      <c r="AH12" s="98">
        <v>0.9</v>
      </c>
      <c r="AI12" s="98">
        <v>0.98</v>
      </c>
      <c r="AJ12" s="98">
        <v>0.91</v>
      </c>
      <c r="AK12" s="98">
        <v>0.97</v>
      </c>
      <c r="AL12" s="98">
        <v>0.95</v>
      </c>
      <c r="AM12" s="98">
        <v>0.91</v>
      </c>
      <c r="AN12" s="98">
        <v>0.97</v>
      </c>
      <c r="AO12" s="98">
        <v>0.97</v>
      </c>
      <c r="AP12" s="98">
        <v>0.99</v>
      </c>
      <c r="AQ12" s="98">
        <v>0.94</v>
      </c>
      <c r="AR12" s="98">
        <v>0.93</v>
      </c>
      <c r="AS12" s="98">
        <v>0.94</v>
      </c>
      <c r="AT12" s="98">
        <v>0.96</v>
      </c>
      <c r="AU12" s="98">
        <v>0.87</v>
      </c>
      <c r="AV12" s="98">
        <v>0.85</v>
      </c>
      <c r="AW12" s="98">
        <v>0.92</v>
      </c>
      <c r="AX12" s="98">
        <v>0.94</v>
      </c>
      <c r="AY12" s="98">
        <v>0.96</v>
      </c>
      <c r="AZ12" s="98"/>
      <c r="BA12" s="98"/>
      <c r="BB12" s="98"/>
      <c r="BC12" s="98"/>
      <c r="BD12" s="98"/>
      <c r="BE12" s="98"/>
      <c r="BF12" s="98"/>
      <c r="BG12" s="98"/>
      <c r="BH12" s="98"/>
      <c r="BI12" s="98"/>
      <c r="BJ12" s="98"/>
      <c r="BK12" s="98"/>
      <c r="BL12" s="98"/>
      <c r="BM12" s="98"/>
      <c r="BN12" s="37"/>
    </row>
    <row r="13" spans="1:66" ht="24" customHeight="1" x14ac:dyDescent="0.3">
      <c r="B13" s="920"/>
      <c r="C13" s="935"/>
      <c r="D13" s="935"/>
      <c r="E13" s="921"/>
      <c r="F13" s="921"/>
      <c r="G13" s="934"/>
      <c r="H13" s="38" t="s">
        <v>46</v>
      </c>
      <c r="I13" s="39" t="str">
        <f>IF(I12="","",IF((I12-I11)&gt;=0,"G",IF((I12/I11&lt;=0.9),"R","A")))</f>
        <v/>
      </c>
      <c r="J13" s="41" t="str">
        <f t="shared" ref="J13:L13" si="7">IF(J12="","",IF((J12-J11)&gt;=0,"G",IF((J12/J11&lt;=0.9),"R","A")))</f>
        <v/>
      </c>
      <c r="K13" s="41" t="str">
        <f t="shared" si="7"/>
        <v/>
      </c>
      <c r="L13" s="53" t="str">
        <f t="shared" si="7"/>
        <v/>
      </c>
      <c r="M13" s="40" t="str">
        <f>IF(M$6&gt;$E$3,"",IF(M12="","OD",IF(M12="Blank","Blank",IF(M12="TBC","TBC",IF(M12="Undefined","Undefined",IF(M12="Missed","Missed",IF(M12="OD","OD",IF(M$4="OD","OD",IF((M12-M11)&gt;=0,"G",IF((M12-(M11*0.95))&gt;=0,"A","R"))))))))))</f>
        <v>Blank</v>
      </c>
      <c r="N13" s="40" t="str">
        <f t="shared" ref="N13:BM13" si="8">IF(N$6&gt;$E$3,"",IF(N12="","OD",IF(N12="Blank","Blank",IF(N12="TBC","TBC",IF(N12="Undefined","Undefined",IF(N12="Missed","Missed",IF(N12="OD","OD",IF(N$4="OD","OD",IF((N12-N11)&gt;=0,"G",IF((N12-(N11*0.95))&gt;=0,"A","R"))))))))))</f>
        <v>A</v>
      </c>
      <c r="O13" s="40" t="str">
        <f t="shared" si="8"/>
        <v>G</v>
      </c>
      <c r="P13" s="40" t="str">
        <f t="shared" si="8"/>
        <v>R</v>
      </c>
      <c r="Q13" s="40" t="str">
        <f t="shared" si="8"/>
        <v>A</v>
      </c>
      <c r="R13" s="40" t="str">
        <f t="shared" si="8"/>
        <v>A</v>
      </c>
      <c r="S13" s="40" t="str">
        <f t="shared" si="8"/>
        <v>G</v>
      </c>
      <c r="T13" s="40" t="str">
        <f t="shared" si="8"/>
        <v>A</v>
      </c>
      <c r="U13" s="40" t="str">
        <f t="shared" si="8"/>
        <v>R</v>
      </c>
      <c r="V13" s="40" t="str">
        <f t="shared" si="8"/>
        <v>G</v>
      </c>
      <c r="W13" s="40" t="str">
        <f t="shared" si="8"/>
        <v>G</v>
      </c>
      <c r="X13" s="40" t="str">
        <f t="shared" si="8"/>
        <v>A</v>
      </c>
      <c r="Y13" s="40" t="str">
        <f t="shared" si="8"/>
        <v>A</v>
      </c>
      <c r="Z13" s="40" t="str">
        <f t="shared" si="8"/>
        <v>A</v>
      </c>
      <c r="AA13" s="40" t="str">
        <f t="shared" si="8"/>
        <v>A</v>
      </c>
      <c r="AB13" s="40" t="str">
        <f t="shared" si="8"/>
        <v>A</v>
      </c>
      <c r="AC13" s="40" t="str">
        <f t="shared" si="8"/>
        <v>A</v>
      </c>
      <c r="AD13" s="40" t="str">
        <f t="shared" si="8"/>
        <v>R</v>
      </c>
      <c r="AE13" s="40" t="str">
        <f t="shared" si="8"/>
        <v>R</v>
      </c>
      <c r="AF13" s="40" t="str">
        <f t="shared" si="8"/>
        <v>G</v>
      </c>
      <c r="AG13" s="40" t="str">
        <f t="shared" si="8"/>
        <v>G</v>
      </c>
      <c r="AH13" s="40" t="str">
        <f t="shared" si="8"/>
        <v>R</v>
      </c>
      <c r="AI13" s="40" t="str">
        <f t="shared" si="8"/>
        <v>G</v>
      </c>
      <c r="AJ13" s="40" t="str">
        <f t="shared" si="8"/>
        <v>A</v>
      </c>
      <c r="AK13" s="40" t="str">
        <f t="shared" si="8"/>
        <v>G</v>
      </c>
      <c r="AL13" s="40" t="str">
        <f t="shared" si="8"/>
        <v>G</v>
      </c>
      <c r="AM13" s="40" t="str">
        <f t="shared" si="8"/>
        <v>A</v>
      </c>
      <c r="AN13" s="40" t="str">
        <f t="shared" si="8"/>
        <v>G</v>
      </c>
      <c r="AO13" s="40" t="str">
        <f t="shared" si="8"/>
        <v>G</v>
      </c>
      <c r="AP13" s="40" t="str">
        <f t="shared" si="8"/>
        <v>G</v>
      </c>
      <c r="AQ13" s="40" t="str">
        <f t="shared" si="8"/>
        <v>A</v>
      </c>
      <c r="AR13" s="40" t="str">
        <f t="shared" si="8"/>
        <v>A</v>
      </c>
      <c r="AS13" s="40" t="str">
        <f t="shared" si="8"/>
        <v>A</v>
      </c>
      <c r="AT13" s="40" t="str">
        <f t="shared" si="8"/>
        <v>G</v>
      </c>
      <c r="AU13" s="40" t="str">
        <f t="shared" si="8"/>
        <v>R</v>
      </c>
      <c r="AV13" s="40" t="str">
        <f t="shared" si="8"/>
        <v>R</v>
      </c>
      <c r="AW13" s="40" t="str">
        <f t="shared" si="8"/>
        <v>A</v>
      </c>
      <c r="AX13" s="40" t="str">
        <f t="shared" si="8"/>
        <v>A</v>
      </c>
      <c r="AY13" s="40" t="str">
        <f t="shared" si="8"/>
        <v>G</v>
      </c>
      <c r="AZ13" s="40" t="str">
        <f t="shared" si="8"/>
        <v>OD</v>
      </c>
      <c r="BA13" s="40" t="str">
        <f t="shared" si="8"/>
        <v>OD</v>
      </c>
      <c r="BB13" s="40" t="str">
        <f t="shared" si="8"/>
        <v>OD</v>
      </c>
      <c r="BC13" s="40" t="str">
        <f t="shared" si="8"/>
        <v/>
      </c>
      <c r="BD13" s="40" t="str">
        <f t="shared" si="8"/>
        <v/>
      </c>
      <c r="BE13" s="40" t="str">
        <f t="shared" si="8"/>
        <v/>
      </c>
      <c r="BF13" s="40" t="str">
        <f t="shared" si="8"/>
        <v/>
      </c>
      <c r="BG13" s="40" t="str">
        <f t="shared" si="8"/>
        <v/>
      </c>
      <c r="BH13" s="40" t="str">
        <f t="shared" si="8"/>
        <v/>
      </c>
      <c r="BI13" s="40" t="str">
        <f t="shared" si="8"/>
        <v/>
      </c>
      <c r="BJ13" s="40" t="str">
        <f t="shared" si="8"/>
        <v/>
      </c>
      <c r="BK13" s="40" t="str">
        <f t="shared" si="8"/>
        <v/>
      </c>
      <c r="BL13" s="40" t="str">
        <f t="shared" si="8"/>
        <v/>
      </c>
      <c r="BM13" s="40" t="str">
        <f t="shared" si="8"/>
        <v/>
      </c>
      <c r="BN13" s="42"/>
    </row>
    <row r="14" spans="1:66" ht="24" customHeight="1" x14ac:dyDescent="0.3">
      <c r="B14" s="920" t="s">
        <v>32</v>
      </c>
      <c r="C14" s="935" t="s">
        <v>32</v>
      </c>
      <c r="D14" s="935" t="s">
        <v>467</v>
      </c>
      <c r="E14" s="921" t="s">
        <v>142</v>
      </c>
      <c r="F14" s="921" t="s">
        <v>171</v>
      </c>
      <c r="G14" s="934"/>
      <c r="H14" s="27" t="s">
        <v>44</v>
      </c>
      <c r="I14" s="28"/>
      <c r="J14" s="30"/>
      <c r="K14" s="30"/>
      <c r="L14" s="51"/>
      <c r="M14" s="30"/>
      <c r="N14" s="391">
        <v>3</v>
      </c>
      <c r="O14" s="391">
        <v>3</v>
      </c>
      <c r="P14" s="391">
        <v>3</v>
      </c>
      <c r="Q14" s="391">
        <v>3</v>
      </c>
      <c r="R14" s="391">
        <v>3</v>
      </c>
      <c r="S14" s="391">
        <v>3</v>
      </c>
      <c r="T14" s="391">
        <v>3</v>
      </c>
      <c r="U14" s="391">
        <v>3</v>
      </c>
      <c r="V14" s="391">
        <v>3</v>
      </c>
      <c r="W14" s="391">
        <v>3</v>
      </c>
      <c r="X14" s="391">
        <v>3</v>
      </c>
      <c r="Y14" s="391">
        <v>3</v>
      </c>
      <c r="Z14" s="391">
        <v>3</v>
      </c>
      <c r="AA14" s="391">
        <v>3</v>
      </c>
      <c r="AB14" s="391">
        <v>3</v>
      </c>
      <c r="AC14" s="391">
        <v>3</v>
      </c>
      <c r="AD14" s="391">
        <v>3</v>
      </c>
      <c r="AE14" s="391">
        <v>3</v>
      </c>
      <c r="AF14" s="391">
        <v>3</v>
      </c>
      <c r="AG14" s="391">
        <v>3</v>
      </c>
      <c r="AH14" s="391">
        <v>3</v>
      </c>
      <c r="AI14" s="391">
        <v>3</v>
      </c>
      <c r="AJ14" s="391">
        <f>IF(AJ$6&gt;$E$3,"",3)</f>
        <v>3</v>
      </c>
      <c r="AK14" s="391">
        <f t="shared" ref="AK14:BM14" si="9">IF(AK$6&gt;$E$3,"",3)</f>
        <v>3</v>
      </c>
      <c r="AL14" s="391">
        <f t="shared" si="9"/>
        <v>3</v>
      </c>
      <c r="AM14" s="391">
        <f t="shared" si="9"/>
        <v>3</v>
      </c>
      <c r="AN14" s="391">
        <f t="shared" si="9"/>
        <v>3</v>
      </c>
      <c r="AO14" s="391">
        <f t="shared" si="9"/>
        <v>3</v>
      </c>
      <c r="AP14" s="391">
        <f t="shared" si="9"/>
        <v>3</v>
      </c>
      <c r="AQ14" s="391">
        <f t="shared" si="9"/>
        <v>3</v>
      </c>
      <c r="AR14" s="391">
        <f t="shared" si="9"/>
        <v>3</v>
      </c>
      <c r="AS14" s="391">
        <f t="shared" si="9"/>
        <v>3</v>
      </c>
      <c r="AT14" s="391">
        <f t="shared" si="9"/>
        <v>3</v>
      </c>
      <c r="AU14" s="391">
        <f t="shared" si="9"/>
        <v>3</v>
      </c>
      <c r="AV14" s="391">
        <f t="shared" si="9"/>
        <v>3</v>
      </c>
      <c r="AW14" s="391">
        <f t="shared" si="9"/>
        <v>3</v>
      </c>
      <c r="AX14" s="391">
        <f t="shared" si="9"/>
        <v>3</v>
      </c>
      <c r="AY14" s="391">
        <f t="shared" si="9"/>
        <v>3</v>
      </c>
      <c r="AZ14" s="391">
        <f t="shared" si="9"/>
        <v>3</v>
      </c>
      <c r="BA14" s="391">
        <f t="shared" si="9"/>
        <v>3</v>
      </c>
      <c r="BB14" s="391">
        <f t="shared" si="9"/>
        <v>3</v>
      </c>
      <c r="BC14" s="391" t="str">
        <f t="shared" si="9"/>
        <v/>
      </c>
      <c r="BD14" s="391" t="str">
        <f t="shared" si="9"/>
        <v/>
      </c>
      <c r="BE14" s="391" t="str">
        <f t="shared" si="9"/>
        <v/>
      </c>
      <c r="BF14" s="391" t="str">
        <f t="shared" si="9"/>
        <v/>
      </c>
      <c r="BG14" s="391" t="str">
        <f t="shared" si="9"/>
        <v/>
      </c>
      <c r="BH14" s="391" t="str">
        <f t="shared" si="9"/>
        <v/>
      </c>
      <c r="BI14" s="391" t="str">
        <f t="shared" si="9"/>
        <v/>
      </c>
      <c r="BJ14" s="391" t="str">
        <f t="shared" si="9"/>
        <v/>
      </c>
      <c r="BK14" s="391" t="str">
        <f t="shared" si="9"/>
        <v/>
      </c>
      <c r="BL14" s="391" t="str">
        <f t="shared" si="9"/>
        <v/>
      </c>
      <c r="BM14" s="391" t="str">
        <f t="shared" si="9"/>
        <v/>
      </c>
      <c r="BN14" s="31"/>
    </row>
    <row r="15" spans="1:66" ht="24" customHeight="1" x14ac:dyDescent="0.3">
      <c r="B15" s="920"/>
      <c r="C15" s="935"/>
      <c r="D15" s="935"/>
      <c r="E15" s="921"/>
      <c r="F15" s="921"/>
      <c r="G15" s="934"/>
      <c r="H15" s="33" t="s">
        <v>45</v>
      </c>
      <c r="I15" s="34"/>
      <c r="J15" s="36"/>
      <c r="K15" s="36"/>
      <c r="L15" s="52"/>
      <c r="M15" s="36" t="s">
        <v>122</v>
      </c>
      <c r="N15" s="389">
        <v>1</v>
      </c>
      <c r="O15" s="389">
        <v>6</v>
      </c>
      <c r="P15" s="389">
        <v>2</v>
      </c>
      <c r="Q15" s="389">
        <v>5</v>
      </c>
      <c r="R15" s="389">
        <v>1</v>
      </c>
      <c r="S15" s="389">
        <v>1</v>
      </c>
      <c r="T15" s="389">
        <v>2</v>
      </c>
      <c r="U15" s="389">
        <v>4</v>
      </c>
      <c r="V15" s="389">
        <v>4</v>
      </c>
      <c r="W15" s="389">
        <v>2</v>
      </c>
      <c r="X15" s="389">
        <v>0</v>
      </c>
      <c r="Y15" s="389">
        <v>0</v>
      </c>
      <c r="Z15" s="389">
        <v>0</v>
      </c>
      <c r="AA15" s="389">
        <v>2</v>
      </c>
      <c r="AB15" s="389">
        <v>3</v>
      </c>
      <c r="AC15" s="389">
        <v>0</v>
      </c>
      <c r="AD15" s="389">
        <v>5</v>
      </c>
      <c r="AE15" s="389">
        <v>3</v>
      </c>
      <c r="AF15" s="389">
        <v>3</v>
      </c>
      <c r="AG15" s="389">
        <v>2</v>
      </c>
      <c r="AH15" s="389">
        <v>4</v>
      </c>
      <c r="AI15" s="389">
        <v>3</v>
      </c>
      <c r="AJ15" s="389">
        <v>2</v>
      </c>
      <c r="AK15" s="389">
        <v>3</v>
      </c>
      <c r="AL15" s="389">
        <v>5</v>
      </c>
      <c r="AM15" s="389">
        <v>8</v>
      </c>
      <c r="AN15" s="389">
        <v>0</v>
      </c>
      <c r="AO15" s="389">
        <v>2</v>
      </c>
      <c r="AP15" s="389">
        <v>3</v>
      </c>
      <c r="AQ15" s="389">
        <v>3</v>
      </c>
      <c r="AR15" s="389">
        <v>3</v>
      </c>
      <c r="AS15" s="389">
        <v>1</v>
      </c>
      <c r="AT15" s="389">
        <v>1</v>
      </c>
      <c r="AU15" s="389">
        <v>2</v>
      </c>
      <c r="AV15" s="389">
        <v>3</v>
      </c>
      <c r="AW15" s="389">
        <v>0</v>
      </c>
      <c r="AX15" s="389">
        <v>2</v>
      </c>
      <c r="AY15" s="389">
        <v>3</v>
      </c>
      <c r="AZ15" s="389"/>
      <c r="BA15" s="389"/>
      <c r="BB15" s="389"/>
      <c r="BC15" s="389"/>
      <c r="BD15" s="389"/>
      <c r="BE15" s="389"/>
      <c r="BF15" s="389"/>
      <c r="BG15" s="389"/>
      <c r="BH15" s="389"/>
      <c r="BI15" s="389"/>
      <c r="BJ15" s="389"/>
      <c r="BK15" s="389"/>
      <c r="BL15" s="389"/>
      <c r="BM15" s="389"/>
      <c r="BN15" s="37"/>
    </row>
    <row r="16" spans="1:66" ht="24" customHeight="1" x14ac:dyDescent="0.3">
      <c r="B16" s="920"/>
      <c r="C16" s="935"/>
      <c r="D16" s="935"/>
      <c r="E16" s="921"/>
      <c r="F16" s="921"/>
      <c r="G16" s="934"/>
      <c r="H16" s="38" t="s">
        <v>46</v>
      </c>
      <c r="I16" s="39" t="str">
        <f>IF(I15="","",IF((I15-I14)&gt;=0,"G",IF((I15/I14&lt;=0.9),"R","A")))</f>
        <v/>
      </c>
      <c r="J16" s="41" t="str">
        <f t="shared" ref="J16:L16" si="10">IF(J15="","",IF((J15-J14)&gt;=0,"G",IF((J15/J14&lt;=0.9),"R","A")))</f>
        <v/>
      </c>
      <c r="K16" s="41" t="str">
        <f t="shared" si="10"/>
        <v/>
      </c>
      <c r="L16" s="53" t="str">
        <f t="shared" si="10"/>
        <v/>
      </c>
      <c r="M16" s="40" t="str">
        <f>IF(M$6&gt;$E$3,"",IF(M15="","OD",IF(M15="Blank","Blank",IF(M15="TBC","TBC",IF(M15="Undefined","Undefined",IF(M15="Missed","Missed",IF(M15="OD","OD",IF(M$4="OD","OD",IF((M15-M14)&lt;=0,"G",IF((M15-(M14/0.95))&lt;=0,"A","R"))))))))))</f>
        <v>Blank</v>
      </c>
      <c r="N16" s="40" t="str">
        <f t="shared" ref="N16:BM16" si="11">IF(N$6&gt;$E$3,"",IF(N15="","OD",IF(N15="Blank","Blank",IF(N15="TBC","TBC",IF(N15="Undefined","Undefined",IF(N15="Missed","Missed",IF(N15="OD","OD",IF(N$4="OD","OD",IF((N15-N14)&lt;=0,"G",IF((N15-(N14/0.95))&lt;=0,"A","R"))))))))))</f>
        <v>G</v>
      </c>
      <c r="O16" s="40" t="str">
        <f t="shared" si="11"/>
        <v>R</v>
      </c>
      <c r="P16" s="40" t="str">
        <f t="shared" si="11"/>
        <v>G</v>
      </c>
      <c r="Q16" s="40" t="str">
        <f t="shared" si="11"/>
        <v>R</v>
      </c>
      <c r="R16" s="40" t="str">
        <f t="shared" si="11"/>
        <v>G</v>
      </c>
      <c r="S16" s="40" t="str">
        <f t="shared" si="11"/>
        <v>G</v>
      </c>
      <c r="T16" s="40" t="str">
        <f t="shared" si="11"/>
        <v>G</v>
      </c>
      <c r="U16" s="40" t="str">
        <f t="shared" si="11"/>
        <v>R</v>
      </c>
      <c r="V16" s="40" t="str">
        <f t="shared" si="11"/>
        <v>R</v>
      </c>
      <c r="W16" s="40" t="str">
        <f t="shared" si="11"/>
        <v>G</v>
      </c>
      <c r="X16" s="40" t="str">
        <f t="shared" si="11"/>
        <v>G</v>
      </c>
      <c r="Y16" s="40" t="str">
        <f t="shared" si="11"/>
        <v>G</v>
      </c>
      <c r="Z16" s="40" t="str">
        <f t="shared" si="11"/>
        <v>G</v>
      </c>
      <c r="AA16" s="40" t="str">
        <f t="shared" si="11"/>
        <v>G</v>
      </c>
      <c r="AB16" s="40" t="str">
        <f t="shared" si="11"/>
        <v>G</v>
      </c>
      <c r="AC16" s="40" t="str">
        <f t="shared" si="11"/>
        <v>G</v>
      </c>
      <c r="AD16" s="40" t="str">
        <f t="shared" si="11"/>
        <v>R</v>
      </c>
      <c r="AE16" s="40" t="str">
        <f t="shared" si="11"/>
        <v>G</v>
      </c>
      <c r="AF16" s="40" t="str">
        <f t="shared" si="11"/>
        <v>G</v>
      </c>
      <c r="AG16" s="40" t="str">
        <f t="shared" si="11"/>
        <v>G</v>
      </c>
      <c r="AH16" s="40" t="str">
        <f t="shared" si="11"/>
        <v>R</v>
      </c>
      <c r="AI16" s="40" t="str">
        <f t="shared" si="11"/>
        <v>G</v>
      </c>
      <c r="AJ16" s="40" t="str">
        <f t="shared" si="11"/>
        <v>G</v>
      </c>
      <c r="AK16" s="40" t="str">
        <f t="shared" si="11"/>
        <v>G</v>
      </c>
      <c r="AL16" s="40" t="str">
        <f t="shared" si="11"/>
        <v>R</v>
      </c>
      <c r="AM16" s="40" t="str">
        <f t="shared" si="11"/>
        <v>R</v>
      </c>
      <c r="AN16" s="40" t="str">
        <f t="shared" si="11"/>
        <v>G</v>
      </c>
      <c r="AO16" s="40" t="str">
        <f t="shared" si="11"/>
        <v>G</v>
      </c>
      <c r="AP16" s="40" t="str">
        <f t="shared" si="11"/>
        <v>G</v>
      </c>
      <c r="AQ16" s="40" t="str">
        <f t="shared" si="11"/>
        <v>G</v>
      </c>
      <c r="AR16" s="40" t="str">
        <f t="shared" si="11"/>
        <v>G</v>
      </c>
      <c r="AS16" s="40" t="str">
        <f t="shared" si="11"/>
        <v>G</v>
      </c>
      <c r="AT16" s="40" t="str">
        <f t="shared" si="11"/>
        <v>G</v>
      </c>
      <c r="AU16" s="40" t="str">
        <f t="shared" si="11"/>
        <v>G</v>
      </c>
      <c r="AV16" s="40" t="str">
        <f t="shared" si="11"/>
        <v>G</v>
      </c>
      <c r="AW16" s="40" t="str">
        <f t="shared" si="11"/>
        <v>G</v>
      </c>
      <c r="AX16" s="40" t="str">
        <f t="shared" si="11"/>
        <v>G</v>
      </c>
      <c r="AY16" s="40" t="str">
        <f t="shared" si="11"/>
        <v>G</v>
      </c>
      <c r="AZ16" s="40" t="str">
        <f t="shared" si="11"/>
        <v>OD</v>
      </c>
      <c r="BA16" s="40" t="str">
        <f t="shared" si="11"/>
        <v>OD</v>
      </c>
      <c r="BB16" s="40" t="str">
        <f t="shared" si="11"/>
        <v>OD</v>
      </c>
      <c r="BC16" s="40" t="str">
        <f t="shared" si="11"/>
        <v/>
      </c>
      <c r="BD16" s="40" t="str">
        <f t="shared" si="11"/>
        <v/>
      </c>
      <c r="BE16" s="40" t="str">
        <f t="shared" si="11"/>
        <v/>
      </c>
      <c r="BF16" s="40" t="str">
        <f t="shared" si="11"/>
        <v/>
      </c>
      <c r="BG16" s="40" t="str">
        <f t="shared" si="11"/>
        <v/>
      </c>
      <c r="BH16" s="40" t="str">
        <f t="shared" si="11"/>
        <v/>
      </c>
      <c r="BI16" s="40" t="str">
        <f t="shared" si="11"/>
        <v/>
      </c>
      <c r="BJ16" s="40" t="str">
        <f t="shared" si="11"/>
        <v/>
      </c>
      <c r="BK16" s="40" t="str">
        <f t="shared" si="11"/>
        <v/>
      </c>
      <c r="BL16" s="40" t="str">
        <f t="shared" si="11"/>
        <v/>
      </c>
      <c r="BM16" s="40" t="str">
        <f t="shared" si="11"/>
        <v/>
      </c>
      <c r="BN16" s="42"/>
    </row>
    <row r="17" spans="2:66" ht="24" customHeight="1" x14ac:dyDescent="0.3">
      <c r="B17" s="920" t="s">
        <v>31</v>
      </c>
      <c r="C17" s="936" t="s">
        <v>94</v>
      </c>
      <c r="D17" s="935" t="s">
        <v>358</v>
      </c>
      <c r="E17" s="921" t="s">
        <v>169</v>
      </c>
      <c r="F17" s="921" t="s">
        <v>154</v>
      </c>
      <c r="G17" s="934"/>
      <c r="H17" s="27" t="s">
        <v>44</v>
      </c>
      <c r="I17" s="28"/>
      <c r="J17" s="30"/>
      <c r="K17" s="30"/>
      <c r="L17" s="51"/>
      <c r="M17" s="30"/>
      <c r="N17" s="101">
        <v>2286</v>
      </c>
      <c r="O17" s="101">
        <v>2286</v>
      </c>
      <c r="P17" s="101">
        <v>2286</v>
      </c>
      <c r="Q17" s="101">
        <v>2286</v>
      </c>
      <c r="R17" s="101">
        <v>2286</v>
      </c>
      <c r="S17" s="101">
        <v>2286</v>
      </c>
      <c r="T17" s="101">
        <v>2286</v>
      </c>
      <c r="U17" s="101">
        <v>2286</v>
      </c>
      <c r="V17" s="101">
        <v>2286</v>
      </c>
      <c r="W17" s="101">
        <v>2286</v>
      </c>
      <c r="X17" s="101">
        <v>2286</v>
      </c>
      <c r="Y17" s="101">
        <v>2286</v>
      </c>
      <c r="Z17" s="101">
        <v>2286</v>
      </c>
      <c r="AA17" s="101">
        <v>2286</v>
      </c>
      <c r="AB17" s="101">
        <v>2286</v>
      </c>
      <c r="AC17" s="101">
        <v>2286</v>
      </c>
      <c r="AD17" s="101">
        <v>2286</v>
      </c>
      <c r="AE17" s="101">
        <v>2286</v>
      </c>
      <c r="AF17" s="101">
        <v>2286</v>
      </c>
      <c r="AG17" s="101">
        <v>2286</v>
      </c>
      <c r="AH17" s="101">
        <v>2286</v>
      </c>
      <c r="AI17" s="101">
        <v>2286</v>
      </c>
      <c r="AJ17" s="101">
        <v>2286</v>
      </c>
      <c r="AK17" s="101">
        <v>2286</v>
      </c>
      <c r="AL17" s="101">
        <v>2286</v>
      </c>
      <c r="AM17" s="101">
        <v>2286</v>
      </c>
      <c r="AN17" s="101">
        <v>2286</v>
      </c>
      <c r="AO17" s="101">
        <v>2286</v>
      </c>
      <c r="AP17" s="101">
        <v>2286</v>
      </c>
      <c r="AQ17" s="101">
        <v>2286</v>
      </c>
      <c r="AR17" s="101">
        <v>2286</v>
      </c>
      <c r="AS17" s="101">
        <v>2286</v>
      </c>
      <c r="AT17" s="101">
        <v>2286</v>
      </c>
      <c r="AU17" s="101">
        <v>1829</v>
      </c>
      <c r="AV17" s="101">
        <v>2286</v>
      </c>
      <c r="AW17" s="101">
        <v>2286</v>
      </c>
      <c r="AX17" s="101">
        <v>2286</v>
      </c>
      <c r="AY17" s="101">
        <v>2286</v>
      </c>
      <c r="AZ17" s="101"/>
      <c r="BA17" s="101"/>
      <c r="BB17" s="101"/>
      <c r="BC17" s="101"/>
      <c r="BD17" s="101"/>
      <c r="BE17" s="101"/>
      <c r="BF17" s="101"/>
      <c r="BG17" s="101"/>
      <c r="BH17" s="101"/>
      <c r="BI17" s="101"/>
      <c r="BJ17" s="101"/>
      <c r="BK17" s="101"/>
      <c r="BL17" s="101"/>
      <c r="BM17" s="101"/>
      <c r="BN17" s="31"/>
    </row>
    <row r="18" spans="2:66" ht="24" customHeight="1" x14ac:dyDescent="0.3">
      <c r="B18" s="920"/>
      <c r="C18" s="935"/>
      <c r="D18" s="935"/>
      <c r="E18" s="921"/>
      <c r="F18" s="921"/>
      <c r="G18" s="934"/>
      <c r="H18" s="33" t="s">
        <v>45</v>
      </c>
      <c r="I18" s="34"/>
      <c r="J18" s="36"/>
      <c r="K18" s="36"/>
      <c r="L18" s="52"/>
      <c r="M18" s="36" t="s">
        <v>122</v>
      </c>
      <c r="N18" s="100">
        <v>2141</v>
      </c>
      <c r="O18" s="100">
        <v>2304</v>
      </c>
      <c r="P18" s="100">
        <v>2886</v>
      </c>
      <c r="Q18" s="100">
        <v>2618</v>
      </c>
      <c r="R18" s="100">
        <v>2722</v>
      </c>
      <c r="S18" s="100">
        <v>2522</v>
      </c>
      <c r="T18" s="100">
        <v>2717</v>
      </c>
      <c r="U18" s="100">
        <v>3137</v>
      </c>
      <c r="V18" s="100">
        <v>2649</v>
      </c>
      <c r="W18" s="100">
        <v>2788</v>
      </c>
      <c r="X18" s="100">
        <v>3017</v>
      </c>
      <c r="Y18" s="100">
        <v>3367</v>
      </c>
      <c r="Z18" s="100">
        <v>2938</v>
      </c>
      <c r="AA18" s="100">
        <v>2887</v>
      </c>
      <c r="AB18" s="100">
        <v>2148</v>
      </c>
      <c r="AC18" s="100">
        <v>2156</v>
      </c>
      <c r="AD18" s="100">
        <v>2479</v>
      </c>
      <c r="AE18" s="100">
        <v>1993</v>
      </c>
      <c r="AF18" s="100">
        <v>2335</v>
      </c>
      <c r="AG18" s="100">
        <v>2630</v>
      </c>
      <c r="AH18" s="100">
        <v>1806</v>
      </c>
      <c r="AI18" s="100">
        <v>2373</v>
      </c>
      <c r="AJ18" s="100">
        <v>2081</v>
      </c>
      <c r="AK18" s="100">
        <v>2427</v>
      </c>
      <c r="AL18" s="100">
        <v>2600</v>
      </c>
      <c r="AM18" s="100">
        <v>1899</v>
      </c>
      <c r="AN18" s="100">
        <v>1815</v>
      </c>
      <c r="AO18" s="100">
        <v>2648</v>
      </c>
      <c r="AP18" s="100">
        <v>3219</v>
      </c>
      <c r="AQ18" s="100">
        <v>3130</v>
      </c>
      <c r="AR18" s="100">
        <v>2856</v>
      </c>
      <c r="AS18" s="100">
        <v>2381</v>
      </c>
      <c r="AT18" s="100">
        <v>3215</v>
      </c>
      <c r="AU18" s="100">
        <v>2138</v>
      </c>
      <c r="AV18" s="100">
        <v>2433</v>
      </c>
      <c r="AW18" s="100">
        <v>2364</v>
      </c>
      <c r="AX18" s="100">
        <v>1994</v>
      </c>
      <c r="AY18" s="100">
        <v>3065</v>
      </c>
      <c r="AZ18" s="100"/>
      <c r="BA18" s="100"/>
      <c r="BB18" s="100"/>
      <c r="BC18" s="100"/>
      <c r="BD18" s="100"/>
      <c r="BE18" s="100"/>
      <c r="BF18" s="100"/>
      <c r="BG18" s="100"/>
      <c r="BH18" s="100"/>
      <c r="BI18" s="100"/>
      <c r="BJ18" s="100"/>
      <c r="BK18" s="100"/>
      <c r="BL18" s="100"/>
      <c r="BM18" s="100"/>
      <c r="BN18" s="37"/>
    </row>
    <row r="19" spans="2:66" ht="24" customHeight="1" thickBot="1" x14ac:dyDescent="0.35">
      <c r="B19" s="920"/>
      <c r="C19" s="935"/>
      <c r="D19" s="935"/>
      <c r="E19" s="921"/>
      <c r="F19" s="921"/>
      <c r="G19" s="934"/>
      <c r="H19" s="38" t="s">
        <v>46</v>
      </c>
      <c r="I19" s="43" t="str">
        <f>IF(I18="","",IF((I18-I17)&gt;=0,"G",IF((I18/I17&lt;=0.9),"R","A")))</f>
        <v/>
      </c>
      <c r="J19" s="81" t="str">
        <f t="shared" ref="J19:L19" si="12">IF(J18="","",IF((J18-J17)&gt;=0,"G",IF((J18/J17&lt;=0.9),"R","A")))</f>
        <v/>
      </c>
      <c r="K19" s="81" t="str">
        <f t="shared" si="12"/>
        <v/>
      </c>
      <c r="L19" s="54" t="str">
        <f t="shared" si="12"/>
        <v/>
      </c>
      <c r="M19" s="40" t="str">
        <f>IF(M$6&gt;$E$3,"",IF(M18="","OD",IF(M18="Blank","Blank",IF(M18="TBC","TBC",IF(M18="Undefined","Undefined",IF(M18="Missed","Missed",IF(M18="OD","OD",IF(M$4="OD","OD",IF((M18-M17)&gt;=0,"G",IF((M18-(M17*0.95))&gt;=0,"A","R"))))))))))</f>
        <v>Blank</v>
      </c>
      <c r="N19" s="40" t="str">
        <f t="shared" ref="N19:BM19" si="13">IF(N$6&gt;$E$3,"",IF(N18="","OD",IF(N18="Blank","Blank",IF(N18="TBC","TBC",IF(N18="Undefined","Undefined",IF(N18="Missed","Missed",IF(N18="OD","OD",IF(N$4="OD","OD",IF((N18-N17)&gt;=0,"G",IF((N18-(N17*0.95))&gt;=0,"A","R"))))))))))</f>
        <v>R</v>
      </c>
      <c r="O19" s="40" t="str">
        <f t="shared" si="13"/>
        <v>G</v>
      </c>
      <c r="P19" s="40" t="str">
        <f t="shared" si="13"/>
        <v>G</v>
      </c>
      <c r="Q19" s="40" t="str">
        <f t="shared" si="13"/>
        <v>G</v>
      </c>
      <c r="R19" s="40" t="str">
        <f t="shared" si="13"/>
        <v>G</v>
      </c>
      <c r="S19" s="40" t="str">
        <f t="shared" si="13"/>
        <v>G</v>
      </c>
      <c r="T19" s="40" t="str">
        <f t="shared" si="13"/>
        <v>G</v>
      </c>
      <c r="U19" s="40" t="str">
        <f t="shared" si="13"/>
        <v>G</v>
      </c>
      <c r="V19" s="40" t="str">
        <f t="shared" si="13"/>
        <v>G</v>
      </c>
      <c r="W19" s="40" t="str">
        <f t="shared" si="13"/>
        <v>G</v>
      </c>
      <c r="X19" s="40" t="str">
        <f t="shared" si="13"/>
        <v>G</v>
      </c>
      <c r="Y19" s="40" t="str">
        <f t="shared" si="13"/>
        <v>G</v>
      </c>
      <c r="Z19" s="40" t="str">
        <f t="shared" si="13"/>
        <v>G</v>
      </c>
      <c r="AA19" s="40" t="str">
        <f t="shared" si="13"/>
        <v>G</v>
      </c>
      <c r="AB19" s="40" t="str">
        <f t="shared" si="13"/>
        <v>R</v>
      </c>
      <c r="AC19" s="40" t="str">
        <f t="shared" si="13"/>
        <v>R</v>
      </c>
      <c r="AD19" s="40" t="str">
        <f t="shared" si="13"/>
        <v>G</v>
      </c>
      <c r="AE19" s="40" t="str">
        <f t="shared" si="13"/>
        <v>R</v>
      </c>
      <c r="AF19" s="40" t="str">
        <f t="shared" si="13"/>
        <v>G</v>
      </c>
      <c r="AG19" s="40" t="str">
        <f t="shared" si="13"/>
        <v>G</v>
      </c>
      <c r="AH19" s="40" t="str">
        <f t="shared" si="13"/>
        <v>R</v>
      </c>
      <c r="AI19" s="40" t="str">
        <f t="shared" si="13"/>
        <v>G</v>
      </c>
      <c r="AJ19" s="40" t="str">
        <f t="shared" si="13"/>
        <v>R</v>
      </c>
      <c r="AK19" s="40" t="str">
        <f t="shared" si="13"/>
        <v>G</v>
      </c>
      <c r="AL19" s="40" t="str">
        <f t="shared" si="13"/>
        <v>G</v>
      </c>
      <c r="AM19" s="40" t="str">
        <f t="shared" si="13"/>
        <v>R</v>
      </c>
      <c r="AN19" s="40" t="str">
        <f t="shared" si="13"/>
        <v>R</v>
      </c>
      <c r="AO19" s="40" t="str">
        <f t="shared" si="13"/>
        <v>G</v>
      </c>
      <c r="AP19" s="40" t="str">
        <f t="shared" si="13"/>
        <v>G</v>
      </c>
      <c r="AQ19" s="40" t="str">
        <f t="shared" si="13"/>
        <v>G</v>
      </c>
      <c r="AR19" s="40" t="str">
        <f t="shared" si="13"/>
        <v>G</v>
      </c>
      <c r="AS19" s="40" t="str">
        <f t="shared" si="13"/>
        <v>G</v>
      </c>
      <c r="AT19" s="40" t="str">
        <f t="shared" si="13"/>
        <v>G</v>
      </c>
      <c r="AU19" s="40" t="str">
        <f t="shared" si="13"/>
        <v>G</v>
      </c>
      <c r="AV19" s="40" t="str">
        <f t="shared" si="13"/>
        <v>G</v>
      </c>
      <c r="AW19" s="40" t="str">
        <f t="shared" si="13"/>
        <v>G</v>
      </c>
      <c r="AX19" s="40" t="str">
        <f t="shared" si="13"/>
        <v>R</v>
      </c>
      <c r="AY19" s="40" t="str">
        <f t="shared" si="13"/>
        <v>G</v>
      </c>
      <c r="AZ19" s="40" t="str">
        <f t="shared" si="13"/>
        <v>OD</v>
      </c>
      <c r="BA19" s="40" t="str">
        <f t="shared" si="13"/>
        <v>OD</v>
      </c>
      <c r="BB19" s="40" t="str">
        <f t="shared" si="13"/>
        <v>OD</v>
      </c>
      <c r="BC19" s="40" t="str">
        <f t="shared" si="13"/>
        <v/>
      </c>
      <c r="BD19" s="40" t="str">
        <f t="shared" si="13"/>
        <v/>
      </c>
      <c r="BE19" s="40" t="str">
        <f t="shared" si="13"/>
        <v/>
      </c>
      <c r="BF19" s="40" t="str">
        <f t="shared" si="13"/>
        <v/>
      </c>
      <c r="BG19" s="40" t="str">
        <f t="shared" si="13"/>
        <v/>
      </c>
      <c r="BH19" s="40" t="str">
        <f t="shared" si="13"/>
        <v/>
      </c>
      <c r="BI19" s="40" t="str">
        <f t="shared" si="13"/>
        <v/>
      </c>
      <c r="BJ19" s="40" t="str">
        <f t="shared" si="13"/>
        <v/>
      </c>
      <c r="BK19" s="40" t="str">
        <f t="shared" si="13"/>
        <v/>
      </c>
      <c r="BL19" s="40" t="str">
        <f t="shared" si="13"/>
        <v/>
      </c>
      <c r="BM19" s="40" t="str">
        <f t="shared" si="13"/>
        <v/>
      </c>
      <c r="BN19" s="102" t="str">
        <f>IF(BN$6&gt;$E$2,"",IF(BN18="Blank","Blank",IF(BN18="TBC","TBC",IF(BN18="","OD",IF((BN18-BN17)&gt;=0,"G",IF((BN18-(BN17*0.95))&gt;=0,"A","R"))))))</f>
        <v/>
      </c>
    </row>
    <row r="21" spans="2:66" ht="15.6" x14ac:dyDescent="0.3">
      <c r="B21" s="116"/>
      <c r="C21" s="45"/>
    </row>
    <row r="22" spans="2:66" x14ac:dyDescent="0.3">
      <c r="B22" s="2" t="s">
        <v>362</v>
      </c>
    </row>
    <row r="23" spans="2:66" x14ac:dyDescent="0.3">
      <c r="B23" s="2" t="s">
        <v>363</v>
      </c>
    </row>
    <row r="24" spans="2:66" x14ac:dyDescent="0.3">
      <c r="B24" s="2" t="s">
        <v>364</v>
      </c>
    </row>
    <row r="26" spans="2:66" ht="15.6" x14ac:dyDescent="0.3">
      <c r="B26" s="1" t="s">
        <v>0</v>
      </c>
      <c r="C26" s="45" t="s">
        <v>1</v>
      </c>
    </row>
    <row r="27" spans="2:66" ht="15.6" x14ac:dyDescent="0.3">
      <c r="B27" s="4" t="s">
        <v>2</v>
      </c>
      <c r="C27" s="45" t="s">
        <v>3</v>
      </c>
    </row>
    <row r="28" spans="2:66" ht="15.6" x14ac:dyDescent="0.3">
      <c r="B28" s="5" t="s">
        <v>4</v>
      </c>
      <c r="C28" s="45" t="s">
        <v>5</v>
      </c>
    </row>
    <row r="29" spans="2:66" x14ac:dyDescent="0.3">
      <c r="B29" s="340" t="s">
        <v>35</v>
      </c>
      <c r="C29" s="13" t="s">
        <v>376</v>
      </c>
    </row>
    <row r="30" spans="2:66" x14ac:dyDescent="0.3">
      <c r="B30" s="341" t="s">
        <v>122</v>
      </c>
      <c r="C30" s="13" t="s">
        <v>377</v>
      </c>
    </row>
    <row r="33" spans="2:66" ht="24" customHeight="1" x14ac:dyDescent="0.3">
      <c r="B33" s="920" t="s">
        <v>32</v>
      </c>
      <c r="C33" s="935" t="s">
        <v>96</v>
      </c>
      <c r="D33" s="935" t="s">
        <v>359</v>
      </c>
      <c r="E33" s="921" t="s">
        <v>169</v>
      </c>
      <c r="F33" s="921" t="s">
        <v>171</v>
      </c>
      <c r="G33" s="934"/>
      <c r="H33" s="27" t="s">
        <v>44</v>
      </c>
      <c r="I33" s="28"/>
      <c r="J33" s="30"/>
      <c r="K33" s="30"/>
      <c r="L33" s="51"/>
      <c r="M33" s="30"/>
      <c r="N33" s="99">
        <v>5000</v>
      </c>
      <c r="O33" s="99">
        <v>5000</v>
      </c>
      <c r="P33" s="99">
        <v>5000</v>
      </c>
      <c r="Q33" s="99">
        <v>5000</v>
      </c>
      <c r="R33" s="99">
        <v>5000</v>
      </c>
      <c r="S33" s="99">
        <v>5000</v>
      </c>
      <c r="T33" s="99">
        <v>5000</v>
      </c>
      <c r="U33" s="99">
        <v>5000</v>
      </c>
      <c r="V33" s="99">
        <v>5000</v>
      </c>
      <c r="W33" s="99">
        <v>5000</v>
      </c>
      <c r="X33" s="99">
        <v>5000</v>
      </c>
      <c r="Y33" s="99">
        <v>5000</v>
      </c>
      <c r="Z33" s="99">
        <v>5000</v>
      </c>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31"/>
    </row>
    <row r="34" spans="2:66" ht="24" customHeight="1" x14ac:dyDescent="0.3">
      <c r="B34" s="920"/>
      <c r="C34" s="935"/>
      <c r="D34" s="935"/>
      <c r="E34" s="921"/>
      <c r="F34" s="921"/>
      <c r="G34" s="934"/>
      <c r="H34" s="33" t="s">
        <v>45</v>
      </c>
      <c r="I34" s="34"/>
      <c r="J34" s="36"/>
      <c r="K34" s="36"/>
      <c r="L34" s="52"/>
      <c r="M34" s="36" t="s">
        <v>122</v>
      </c>
      <c r="N34" s="100">
        <v>204</v>
      </c>
      <c r="O34" s="100">
        <v>3484</v>
      </c>
      <c r="P34" s="100">
        <v>1425</v>
      </c>
      <c r="Q34" s="100">
        <v>6080</v>
      </c>
      <c r="R34" s="100">
        <v>0</v>
      </c>
      <c r="S34" s="100">
        <v>0</v>
      </c>
      <c r="T34" s="100">
        <v>0</v>
      </c>
      <c r="U34" s="100">
        <v>0</v>
      </c>
      <c r="V34" s="100">
        <v>0</v>
      </c>
      <c r="W34" s="100">
        <v>0</v>
      </c>
      <c r="X34" s="100">
        <v>0</v>
      </c>
      <c r="Y34" s="100">
        <v>0</v>
      </c>
      <c r="Z34" s="100">
        <v>0</v>
      </c>
      <c r="AA34" s="100"/>
      <c r="AB34" s="100"/>
      <c r="AC34" s="100"/>
      <c r="AD34" s="100"/>
      <c r="AE34" s="100"/>
      <c r="AF34" s="100"/>
      <c r="AG34" s="100"/>
      <c r="AH34" s="100"/>
      <c r="AI34" s="100"/>
      <c r="AJ34" s="100"/>
      <c r="AK34" s="100"/>
      <c r="AL34" s="100"/>
      <c r="AM34" s="100"/>
      <c r="AN34" s="100"/>
      <c r="AO34" s="100"/>
      <c r="AP34" s="100"/>
      <c r="AQ34" s="100"/>
      <c r="AR34" s="100"/>
      <c r="AS34" s="100"/>
      <c r="AT34" s="100"/>
      <c r="AU34" s="100"/>
      <c r="AV34" s="100"/>
      <c r="AW34" s="100"/>
      <c r="AX34" s="100"/>
      <c r="AY34" s="100"/>
      <c r="AZ34" s="100"/>
      <c r="BA34" s="100"/>
      <c r="BB34" s="100"/>
      <c r="BC34" s="100"/>
      <c r="BD34" s="100"/>
      <c r="BE34" s="100"/>
      <c r="BF34" s="100"/>
      <c r="BG34" s="100"/>
      <c r="BH34" s="100"/>
      <c r="BI34" s="100"/>
      <c r="BJ34" s="100"/>
      <c r="BK34" s="100"/>
      <c r="BL34" s="100"/>
      <c r="BM34" s="100"/>
      <c r="BN34" s="37"/>
    </row>
    <row r="35" spans="2:66" ht="24" customHeight="1" x14ac:dyDescent="0.3">
      <c r="B35" s="920"/>
      <c r="C35" s="935"/>
      <c r="D35" s="935"/>
      <c r="E35" s="921"/>
      <c r="F35" s="921"/>
      <c r="G35" s="934"/>
      <c r="H35" s="38" t="s">
        <v>46</v>
      </c>
      <c r="I35" s="39" t="str">
        <f>IF(I34="","",IF((I34-I33)&gt;=0,"G",IF((I34/I33&lt;=0.9),"R","A")))</f>
        <v/>
      </c>
      <c r="J35" s="41" t="str">
        <f t="shared" ref="J35:L35" si="14">IF(J34="","",IF((J34-J33)&gt;=0,"G",IF((J34/J33&lt;=0.9),"R","A")))</f>
        <v/>
      </c>
      <c r="K35" s="41" t="str">
        <f t="shared" si="14"/>
        <v/>
      </c>
      <c r="L35" s="53" t="str">
        <f t="shared" si="14"/>
        <v/>
      </c>
      <c r="M35" s="40" t="str">
        <f>IF(M$6&gt;$E$2,"",IF(M34="Blank","Blank",IF(M34="TBC","TBC",IF((M34-M33)&lt;=0,"G",IF((M34-(M33*0.95))&lt;=0,"A","R")))))</f>
        <v>Blank</v>
      </c>
      <c r="N35" s="40" t="str">
        <f>IF(N23="OD","OD",IF(N$6&gt;$E$2,"",IF(N34="Blank","Blank",IF(N34="TBC","TBC",IF(N34="","OD",IF((N34-N33)&lt;=0,"G",IF((N34-(N33*0.95))&lt;=0,"A","R")))))))</f>
        <v>G</v>
      </c>
      <c r="O35" s="40" t="str">
        <f t="shared" ref="O35:BM35" si="15">IF(O23="OD","OD",IF(O$6&gt;$E$2,"",IF(O34="Blank","Blank",IF(O34="TBC","TBC",IF(O34="","OD",IF((O34-O33)&lt;=0,"G",IF((O34-(O33*0.95))&lt;=0,"A","R")))))))</f>
        <v>G</v>
      </c>
      <c r="P35" s="40" t="str">
        <f t="shared" si="15"/>
        <v>G</v>
      </c>
      <c r="Q35" s="40" t="str">
        <f t="shared" si="15"/>
        <v>R</v>
      </c>
      <c r="R35" s="40" t="str">
        <f t="shared" si="15"/>
        <v>G</v>
      </c>
      <c r="S35" s="40" t="str">
        <f t="shared" si="15"/>
        <v>G</v>
      </c>
      <c r="T35" s="40" t="str">
        <f t="shared" si="15"/>
        <v>G</v>
      </c>
      <c r="U35" s="40" t="str">
        <f t="shared" si="15"/>
        <v>G</v>
      </c>
      <c r="V35" s="40" t="str">
        <f t="shared" si="15"/>
        <v>G</v>
      </c>
      <c r="W35" s="40" t="str">
        <f t="shared" si="15"/>
        <v>G</v>
      </c>
      <c r="X35" s="40" t="str">
        <f t="shared" si="15"/>
        <v>G</v>
      </c>
      <c r="Y35" s="40" t="str">
        <f t="shared" si="15"/>
        <v>G</v>
      </c>
      <c r="Z35" s="40" t="str">
        <f t="shared" si="15"/>
        <v>G</v>
      </c>
      <c r="AA35" s="40" t="str">
        <f t="shared" si="15"/>
        <v>OD</v>
      </c>
      <c r="AB35" s="40" t="str">
        <f t="shared" si="15"/>
        <v>OD</v>
      </c>
      <c r="AC35" s="40" t="str">
        <f t="shared" si="15"/>
        <v>OD</v>
      </c>
      <c r="AD35" s="40" t="str">
        <f t="shared" si="15"/>
        <v>OD</v>
      </c>
      <c r="AE35" s="40" t="str">
        <f t="shared" si="15"/>
        <v>OD</v>
      </c>
      <c r="AF35" s="40" t="str">
        <f t="shared" si="15"/>
        <v>OD</v>
      </c>
      <c r="AG35" s="40" t="str">
        <f t="shared" si="15"/>
        <v>OD</v>
      </c>
      <c r="AH35" s="40" t="str">
        <f t="shared" si="15"/>
        <v>OD</v>
      </c>
      <c r="AI35" s="40" t="str">
        <f t="shared" si="15"/>
        <v>OD</v>
      </c>
      <c r="AJ35" s="40" t="str">
        <f t="shared" si="15"/>
        <v>OD</v>
      </c>
      <c r="AK35" s="40" t="str">
        <f t="shared" si="15"/>
        <v>OD</v>
      </c>
      <c r="AL35" s="40" t="str">
        <f t="shared" si="15"/>
        <v>OD</v>
      </c>
      <c r="AM35" s="40" t="str">
        <f t="shared" si="15"/>
        <v>OD</v>
      </c>
      <c r="AN35" s="40" t="str">
        <f t="shared" si="15"/>
        <v>OD</v>
      </c>
      <c r="AO35" s="40" t="str">
        <f t="shared" si="15"/>
        <v>OD</v>
      </c>
      <c r="AP35" s="40" t="str">
        <f t="shared" si="15"/>
        <v>OD</v>
      </c>
      <c r="AQ35" s="40" t="str">
        <f t="shared" si="15"/>
        <v>OD</v>
      </c>
      <c r="AR35" s="40" t="str">
        <f t="shared" si="15"/>
        <v>OD</v>
      </c>
      <c r="AS35" s="40" t="str">
        <f t="shared" si="15"/>
        <v>OD</v>
      </c>
      <c r="AT35" s="40" t="str">
        <f t="shared" si="15"/>
        <v>OD</v>
      </c>
      <c r="AU35" s="40" t="str">
        <f t="shared" si="15"/>
        <v>OD</v>
      </c>
      <c r="AV35" s="40" t="str">
        <f t="shared" si="15"/>
        <v>OD</v>
      </c>
      <c r="AW35" s="40" t="str">
        <f t="shared" si="15"/>
        <v>OD</v>
      </c>
      <c r="AX35" s="40" t="str">
        <f t="shared" si="15"/>
        <v>OD</v>
      </c>
      <c r="AY35" s="40" t="str">
        <f t="shared" si="15"/>
        <v>OD</v>
      </c>
      <c r="AZ35" s="40" t="str">
        <f t="shared" si="15"/>
        <v>OD</v>
      </c>
      <c r="BA35" s="40" t="str">
        <f t="shared" si="15"/>
        <v>OD</v>
      </c>
      <c r="BB35" s="40" t="str">
        <f t="shared" si="15"/>
        <v>OD</v>
      </c>
      <c r="BC35" s="40" t="str">
        <f t="shared" si="15"/>
        <v/>
      </c>
      <c r="BD35" s="40" t="str">
        <f t="shared" si="15"/>
        <v/>
      </c>
      <c r="BE35" s="40" t="str">
        <f t="shared" si="15"/>
        <v/>
      </c>
      <c r="BF35" s="40" t="str">
        <f t="shared" si="15"/>
        <v/>
      </c>
      <c r="BG35" s="40" t="str">
        <f t="shared" si="15"/>
        <v/>
      </c>
      <c r="BH35" s="40" t="str">
        <f t="shared" si="15"/>
        <v/>
      </c>
      <c r="BI35" s="40" t="str">
        <f t="shared" si="15"/>
        <v/>
      </c>
      <c r="BJ35" s="40" t="str">
        <f t="shared" si="15"/>
        <v/>
      </c>
      <c r="BK35" s="40" t="str">
        <f t="shared" si="15"/>
        <v/>
      </c>
      <c r="BL35" s="40" t="str">
        <f t="shared" si="15"/>
        <v/>
      </c>
      <c r="BM35" s="40" t="str">
        <f t="shared" si="15"/>
        <v/>
      </c>
      <c r="BN35" s="42"/>
    </row>
  </sheetData>
  <mergeCells count="31">
    <mergeCell ref="G33:G35"/>
    <mergeCell ref="B33:B35"/>
    <mergeCell ref="C33:C35"/>
    <mergeCell ref="D33:D35"/>
    <mergeCell ref="E33:E35"/>
    <mergeCell ref="F33:F35"/>
    <mergeCell ref="G11:G13"/>
    <mergeCell ref="B14:B16"/>
    <mergeCell ref="C14:C16"/>
    <mergeCell ref="D14:D16"/>
    <mergeCell ref="G14:G16"/>
    <mergeCell ref="E11:E13"/>
    <mergeCell ref="F11:F13"/>
    <mergeCell ref="E14:E16"/>
    <mergeCell ref="F14:F16"/>
    <mergeCell ref="E17:E19"/>
    <mergeCell ref="F17:F19"/>
    <mergeCell ref="G6:G7"/>
    <mergeCell ref="B8:B10"/>
    <mergeCell ref="C8:C10"/>
    <mergeCell ref="D8:D10"/>
    <mergeCell ref="G8:G10"/>
    <mergeCell ref="E8:E10"/>
    <mergeCell ref="F8:F10"/>
    <mergeCell ref="B17:B19"/>
    <mergeCell ref="C17:C19"/>
    <mergeCell ref="D17:D19"/>
    <mergeCell ref="G17:G19"/>
    <mergeCell ref="B11:B13"/>
    <mergeCell ref="C11:C13"/>
    <mergeCell ref="D11:D13"/>
  </mergeCells>
  <conditionalFormatting sqref="B30">
    <cfRule type="cellIs" dxfId="308" priority="46" operator="equal">
      <formula>"TBC"</formula>
    </cfRule>
    <cfRule type="cellIs" dxfId="307" priority="47" operator="equal">
      <formula>"OD"</formula>
    </cfRule>
    <cfRule type="cellIs" dxfId="306" priority="48" operator="equal">
      <formula>"G"</formula>
    </cfRule>
    <cfRule type="cellIs" dxfId="305" priority="49" operator="equal">
      <formula>"A"</formula>
    </cfRule>
    <cfRule type="cellIs" dxfId="304" priority="50" operator="equal">
      <formula>"R"</formula>
    </cfRule>
  </conditionalFormatting>
  <conditionalFormatting sqref="I10:BM10">
    <cfRule type="cellIs" dxfId="303" priority="16" operator="equal">
      <formula>"OD"</formula>
    </cfRule>
    <cfRule type="cellIs" dxfId="302" priority="17" operator="equal">
      <formula>"TBC"</formula>
    </cfRule>
    <cfRule type="cellIs" dxfId="301" priority="18" operator="equal">
      <formula>"G"</formula>
    </cfRule>
    <cfRule type="cellIs" dxfId="300" priority="19" operator="equal">
      <formula>"A"</formula>
    </cfRule>
    <cfRule type="cellIs" dxfId="299" priority="20" operator="equal">
      <formula>"R"</formula>
    </cfRule>
  </conditionalFormatting>
  <conditionalFormatting sqref="I13:BM13">
    <cfRule type="cellIs" dxfId="298" priority="11" operator="equal">
      <formula>"OD"</formula>
    </cfRule>
    <cfRule type="cellIs" dxfId="297" priority="12" operator="equal">
      <formula>"TBC"</formula>
    </cfRule>
    <cfRule type="cellIs" dxfId="296" priority="13" operator="equal">
      <formula>"G"</formula>
    </cfRule>
    <cfRule type="cellIs" dxfId="295" priority="14" operator="equal">
      <formula>"A"</formula>
    </cfRule>
    <cfRule type="cellIs" dxfId="294" priority="15" operator="equal">
      <formula>"R"</formula>
    </cfRule>
  </conditionalFormatting>
  <conditionalFormatting sqref="I16:BM16">
    <cfRule type="cellIs" dxfId="293" priority="1" operator="equal">
      <formula>"OD"</formula>
    </cfRule>
    <cfRule type="cellIs" dxfId="292" priority="2" operator="equal">
      <formula>"TBC"</formula>
    </cfRule>
    <cfRule type="cellIs" dxfId="291" priority="3" operator="equal">
      <formula>"G"</formula>
    </cfRule>
    <cfRule type="cellIs" dxfId="290" priority="4" operator="equal">
      <formula>"A"</formula>
    </cfRule>
    <cfRule type="cellIs" dxfId="289" priority="5" operator="equal">
      <formula>"R"</formula>
    </cfRule>
  </conditionalFormatting>
  <conditionalFormatting sqref="I35:BM35">
    <cfRule type="cellIs" dxfId="288" priority="41" operator="equal">
      <formula>"TBC"</formula>
    </cfRule>
    <cfRule type="cellIs" dxfId="287" priority="42" operator="equal">
      <formula>"OD"</formula>
    </cfRule>
    <cfRule type="cellIs" dxfId="286" priority="43" operator="equal">
      <formula>"G"</formula>
    </cfRule>
    <cfRule type="cellIs" dxfId="285" priority="44" operator="equal">
      <formula>"A"</formula>
    </cfRule>
    <cfRule type="cellIs" dxfId="284" priority="45" operator="equal">
      <formula>"R"</formula>
    </cfRule>
  </conditionalFormatting>
  <conditionalFormatting sqref="I19:BN19">
    <cfRule type="cellIs" dxfId="283" priority="6" operator="equal">
      <formula>"OD"</formula>
    </cfRule>
    <cfRule type="cellIs" dxfId="282" priority="7" operator="equal">
      <formula>"TBC"</formula>
    </cfRule>
    <cfRule type="cellIs" dxfId="281" priority="8" operator="equal">
      <formula>"G"</formula>
    </cfRule>
    <cfRule type="cellIs" dxfId="280" priority="9" operator="equal">
      <formula>"A"</formula>
    </cfRule>
    <cfRule type="cellIs" dxfId="279" priority="10" operator="equal">
      <formula>"R"</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8B5B-01D6-4CCE-996B-27DDFA6008FA}">
  <sheetPr>
    <tabColor rgb="FFFFC000"/>
  </sheetPr>
  <dimension ref="B1:BN43"/>
  <sheetViews>
    <sheetView workbookViewId="0">
      <pane xSplit="8" ySplit="7" topLeftCell="AT9" activePane="bottomRight" state="frozen"/>
      <selection pane="topRight" activeCell="I1" sqref="I1"/>
      <selection pane="bottomLeft" activeCell="A8" sqref="A8"/>
      <selection pane="bottomRight" activeCell="BB23" sqref="BB23"/>
    </sheetView>
  </sheetViews>
  <sheetFormatPr defaultColWidth="9.33203125" defaultRowHeight="14.4" x14ac:dyDescent="0.3"/>
  <cols>
    <col min="1" max="1" width="3" style="2" customWidth="1"/>
    <col min="2" max="2" width="18" style="2" customWidth="1"/>
    <col min="3" max="3" width="16.5546875" style="13" bestFit="1" customWidth="1"/>
    <col min="4" max="4" width="25.33203125" style="2" customWidth="1"/>
    <col min="5" max="5" width="9.5546875" style="2" customWidth="1"/>
    <col min="6" max="6" width="8.88671875" style="2" customWidth="1"/>
    <col min="7" max="7" width="31.33203125" style="2" customWidth="1"/>
    <col min="8" max="8" width="9.44140625" style="2" bestFit="1" customWidth="1"/>
    <col min="9" max="12" width="3" style="2" bestFit="1" customWidth="1"/>
    <col min="13" max="25" width="8.33203125" style="2" customWidth="1"/>
    <col min="26" max="35" width="12.44140625" style="2" customWidth="1"/>
    <col min="36" max="65" width="8.33203125" style="2" customWidth="1"/>
    <col min="66" max="66" width="7.6640625" style="2" hidden="1"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8.600000000000001" thickBot="1" x14ac:dyDescent="0.35">
      <c r="B1" s="14" t="s">
        <v>121</v>
      </c>
      <c r="C1" s="10" t="s">
        <v>23</v>
      </c>
    </row>
    <row r="2" spans="2:66" ht="15" thickBot="1" x14ac:dyDescent="0.35">
      <c r="D2" s="119" t="s">
        <v>123</v>
      </c>
      <c r="E2" s="346">
        <v>42</v>
      </c>
      <c r="F2" s="2" t="s">
        <v>248</v>
      </c>
    </row>
    <row r="3" spans="2:66" ht="15" thickBot="1" x14ac:dyDescent="0.35">
      <c r="B3" s="2" t="s">
        <v>384</v>
      </c>
      <c r="D3" s="120" t="s">
        <v>193</v>
      </c>
      <c r="E3" s="120">
        <f>+'KPI Analysis'!D3</f>
        <v>42</v>
      </c>
      <c r="G3" s="45"/>
    </row>
    <row r="4" spans="2:66" ht="28.2"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5" thickBot="1" x14ac:dyDescent="0.35"/>
    <row r="6" spans="2:66" ht="24" customHeight="1" x14ac:dyDescent="0.3">
      <c r="B6" s="14" t="s">
        <v>79</v>
      </c>
      <c r="C6" s="109" t="s">
        <v>163</v>
      </c>
      <c r="D6" s="106"/>
      <c r="E6" s="106"/>
      <c r="F6" s="106"/>
      <c r="G6" s="928" t="s">
        <v>37</v>
      </c>
      <c r="H6" s="15" t="s">
        <v>7</v>
      </c>
      <c r="I6" s="57">
        <f>J6-1</f>
        <v>49</v>
      </c>
      <c r="J6" s="58">
        <f>K6-1</f>
        <v>50</v>
      </c>
      <c r="K6" s="58">
        <f>L6-1</f>
        <v>51</v>
      </c>
      <c r="L6" s="59">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42" customHeight="1" x14ac:dyDescent="0.3">
      <c r="B7" s="14" t="s">
        <v>38</v>
      </c>
      <c r="C7" s="21" t="s">
        <v>39</v>
      </c>
      <c r="D7" s="21" t="s">
        <v>40</v>
      </c>
      <c r="E7" s="21" t="s">
        <v>140</v>
      </c>
      <c r="F7" s="21" t="s">
        <v>159</v>
      </c>
      <c r="G7" s="929"/>
      <c r="H7" s="15" t="s">
        <v>41</v>
      </c>
      <c r="I7" s="60">
        <f t="shared" ref="I7:K7" si="2">J7-7</f>
        <v>45632</v>
      </c>
      <c r="J7" s="61">
        <f t="shared" si="2"/>
        <v>45639</v>
      </c>
      <c r="K7" s="61">
        <f t="shared" si="2"/>
        <v>45646</v>
      </c>
      <c r="L7" s="62">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24" customHeight="1" x14ac:dyDescent="0.3">
      <c r="B8" s="920" t="s">
        <v>30</v>
      </c>
      <c r="C8" s="922" t="s">
        <v>97</v>
      </c>
      <c r="D8" s="922" t="s">
        <v>361</v>
      </c>
      <c r="E8" s="922" t="s">
        <v>170</v>
      </c>
      <c r="F8" s="922" t="s">
        <v>154</v>
      </c>
      <c r="G8" s="951"/>
      <c r="H8" s="63" t="s">
        <v>44</v>
      </c>
      <c r="I8" s="64"/>
      <c r="J8" s="65"/>
      <c r="K8" s="65"/>
      <c r="L8" s="66"/>
      <c r="M8" s="388" t="s">
        <v>122</v>
      </c>
      <c r="N8" s="29" t="s">
        <v>35</v>
      </c>
      <c r="O8" s="29" t="s">
        <v>35</v>
      </c>
      <c r="P8" s="29" t="s">
        <v>35</v>
      </c>
      <c r="Q8" s="29" t="s">
        <v>35</v>
      </c>
      <c r="R8" s="29" t="s">
        <v>35</v>
      </c>
      <c r="S8" s="29" t="s">
        <v>35</v>
      </c>
      <c r="T8" s="29" t="s">
        <v>35</v>
      </c>
      <c r="U8" s="29" t="s">
        <v>35</v>
      </c>
      <c r="V8" s="29" t="s">
        <v>35</v>
      </c>
      <c r="W8" s="29" t="s">
        <v>35</v>
      </c>
      <c r="X8" s="29" t="s">
        <v>35</v>
      </c>
      <c r="Y8" s="29" t="s">
        <v>35</v>
      </c>
      <c r="Z8" s="388">
        <v>174500</v>
      </c>
      <c r="AA8" s="388">
        <v>174500</v>
      </c>
      <c r="AB8" s="388">
        <v>139660</v>
      </c>
      <c r="AC8" s="388">
        <v>139660</v>
      </c>
      <c r="AD8" s="388">
        <v>183815</v>
      </c>
      <c r="AE8" s="388">
        <v>158535</v>
      </c>
      <c r="AF8" s="388">
        <v>197675</v>
      </c>
      <c r="AG8" s="388">
        <v>197675</v>
      </c>
      <c r="AH8" s="388">
        <v>158140</v>
      </c>
      <c r="AI8" s="388">
        <v>195238</v>
      </c>
      <c r="AJ8" s="388">
        <v>195238</v>
      </c>
      <c r="AK8" s="388">
        <v>195238</v>
      </c>
      <c r="AL8" s="388">
        <v>195238</v>
      </c>
      <c r="AM8" s="388">
        <v>193483</v>
      </c>
      <c r="AN8" s="388">
        <v>193083</v>
      </c>
      <c r="AO8" s="388">
        <v>193083</v>
      </c>
      <c r="AP8" s="388">
        <v>193083</v>
      </c>
      <c r="AQ8" s="388">
        <v>193083</v>
      </c>
      <c r="AR8" s="388">
        <v>162780</v>
      </c>
      <c r="AS8" s="388">
        <v>203000</v>
      </c>
      <c r="AT8" s="388">
        <v>203000</v>
      </c>
      <c r="AU8" s="388">
        <v>162780</v>
      </c>
      <c r="AV8" s="388">
        <v>188975</v>
      </c>
      <c r="AW8" s="388">
        <v>188975</v>
      </c>
      <c r="AX8" s="388">
        <v>188975</v>
      </c>
      <c r="AY8" s="388">
        <v>188975</v>
      </c>
      <c r="AZ8" s="388">
        <v>185077</v>
      </c>
      <c r="BA8" s="388">
        <v>182478</v>
      </c>
      <c r="BB8" s="388">
        <v>182478</v>
      </c>
      <c r="BC8" s="388"/>
      <c r="BD8" s="388"/>
      <c r="BE8" s="388"/>
      <c r="BF8" s="388"/>
      <c r="BG8" s="388"/>
      <c r="BH8" s="388"/>
      <c r="BI8" s="388"/>
      <c r="BJ8" s="388"/>
      <c r="BK8" s="388"/>
      <c r="BL8" s="388"/>
      <c r="BM8" s="388"/>
      <c r="BN8" s="32"/>
    </row>
    <row r="9" spans="2:66" ht="24" customHeight="1" x14ac:dyDescent="0.3">
      <c r="B9" s="920"/>
      <c r="C9" s="921"/>
      <c r="D9" s="921"/>
      <c r="E9" s="921"/>
      <c r="F9" s="921"/>
      <c r="G9" s="940"/>
      <c r="H9" s="33" t="s">
        <v>45</v>
      </c>
      <c r="I9" s="34"/>
      <c r="J9" s="36"/>
      <c r="K9" s="36"/>
      <c r="L9" s="52"/>
      <c r="M9" s="389" t="s">
        <v>122</v>
      </c>
      <c r="N9" s="35" t="s">
        <v>35</v>
      </c>
      <c r="O9" s="35" t="s">
        <v>35</v>
      </c>
      <c r="P9" s="35" t="s">
        <v>35</v>
      </c>
      <c r="Q9" s="35" t="s">
        <v>35</v>
      </c>
      <c r="R9" s="35" t="s">
        <v>35</v>
      </c>
      <c r="S9" s="35" t="s">
        <v>35</v>
      </c>
      <c r="T9" s="35" t="s">
        <v>35</v>
      </c>
      <c r="U9" s="35" t="s">
        <v>35</v>
      </c>
      <c r="V9" s="35" t="s">
        <v>35</v>
      </c>
      <c r="W9" s="35" t="s">
        <v>35</v>
      </c>
      <c r="X9" s="35" t="s">
        <v>35</v>
      </c>
      <c r="Y9" s="35" t="s">
        <v>35</v>
      </c>
      <c r="Z9" s="389">
        <v>130000</v>
      </c>
      <c r="AA9" s="389">
        <v>153000</v>
      </c>
      <c r="AB9" s="389">
        <v>157984</v>
      </c>
      <c r="AC9" s="389">
        <v>137461</v>
      </c>
      <c r="AD9" s="389">
        <v>213336</v>
      </c>
      <c r="AE9" s="389">
        <v>150712</v>
      </c>
      <c r="AF9" s="389">
        <v>132432</v>
      </c>
      <c r="AG9" s="389">
        <v>195793</v>
      </c>
      <c r="AH9" s="389">
        <v>160187</v>
      </c>
      <c r="AI9" s="389">
        <v>131825</v>
      </c>
      <c r="AJ9" s="389">
        <v>172422</v>
      </c>
      <c r="AK9" s="389">
        <v>150416</v>
      </c>
      <c r="AL9" s="389">
        <v>208132</v>
      </c>
      <c r="AM9" s="389">
        <v>150438</v>
      </c>
      <c r="AN9" s="389">
        <v>203360</v>
      </c>
      <c r="AO9" s="389">
        <v>137580</v>
      </c>
      <c r="AP9" s="389">
        <v>200669</v>
      </c>
      <c r="AQ9" s="389">
        <v>140000</v>
      </c>
      <c r="AR9" s="389">
        <v>118918</v>
      </c>
      <c r="AS9" s="389">
        <v>148000</v>
      </c>
      <c r="AT9" s="389">
        <v>320688</v>
      </c>
      <c r="AU9" s="389">
        <v>156284</v>
      </c>
      <c r="AV9" s="389">
        <v>173457</v>
      </c>
      <c r="AW9" s="389">
        <v>176645</v>
      </c>
      <c r="AX9" s="389">
        <v>150000</v>
      </c>
      <c r="AY9" s="389">
        <v>149000</v>
      </c>
      <c r="AZ9" s="389">
        <v>188037</v>
      </c>
      <c r="BA9" s="389">
        <v>123000</v>
      </c>
      <c r="BB9" s="389">
        <v>147000</v>
      </c>
      <c r="BC9" s="389"/>
      <c r="BD9" s="389"/>
      <c r="BE9" s="389"/>
      <c r="BF9" s="389"/>
      <c r="BG9" s="389"/>
      <c r="BH9" s="389"/>
      <c r="BI9" s="389"/>
      <c r="BJ9" s="389"/>
      <c r="BK9" s="389"/>
      <c r="BL9" s="389"/>
      <c r="BM9" s="389"/>
      <c r="BN9" s="37"/>
    </row>
    <row r="10" spans="2:66" ht="24" customHeight="1" x14ac:dyDescent="0.3">
      <c r="B10" s="920"/>
      <c r="C10" s="921"/>
      <c r="D10" s="921"/>
      <c r="E10" s="921"/>
      <c r="F10" s="921"/>
      <c r="G10" s="940"/>
      <c r="H10" s="38" t="s">
        <v>46</v>
      </c>
      <c r="I10" s="39" t="str">
        <f>IF(I9="","",IF((I9-I8)&gt;=0,"G",IF((I9/I8&lt;=0.9),"R","A")))</f>
        <v/>
      </c>
      <c r="J10" s="41" t="str">
        <f t="shared" ref="J10:L10" si="4">IF(J9="","",IF((J9-J8)&gt;=0,"G",IF((J9/J8&lt;=0.9),"R","A")))</f>
        <v/>
      </c>
      <c r="K10" s="41" t="str">
        <f t="shared" si="4"/>
        <v/>
      </c>
      <c r="L10" s="53" t="str">
        <f t="shared" si="4"/>
        <v/>
      </c>
      <c r="M10" s="41" t="str">
        <f t="shared" ref="M10" si="5">IF(M4="OD","OD",IF(M$6&gt;$E$2,"",IF(M9="Blank","Blank",IF(M9="OD","OD",IF(M9="Missed","Missed",IF(M9="TBC","TBC",IF(M9="","OD",IF((M9-M8)&gt;=0,"G",IF((M9-(M8*0.95))&gt;=0,"A","R")))))))))</f>
        <v>Blank</v>
      </c>
      <c r="N10" s="40" t="str">
        <f t="shared" ref="N10:Y10" si="6">IF(N9="Undefined","Undefined",IF(N9="Missed","Missed",IF(N9="OD","OD",IF(N9="Blank","Blank",IF(N9="TBC","TBC",IF(N$4="OD","OD",IF(N$6&gt;$E$2,"",IF((N9-N8)&gt;=0,"G",IF((N9-(N8*0.95))&gt;=0,"A","R")))))))))</f>
        <v>TBC</v>
      </c>
      <c r="O10" s="40" t="str">
        <f t="shared" si="6"/>
        <v>TBC</v>
      </c>
      <c r="P10" s="40" t="str">
        <f t="shared" si="6"/>
        <v>TBC</v>
      </c>
      <c r="Q10" s="40" t="str">
        <f t="shared" si="6"/>
        <v>TBC</v>
      </c>
      <c r="R10" s="40" t="str">
        <f t="shared" si="6"/>
        <v>TBC</v>
      </c>
      <c r="S10" s="40" t="str">
        <f t="shared" si="6"/>
        <v>TBC</v>
      </c>
      <c r="T10" s="40" t="str">
        <f t="shared" si="6"/>
        <v>TBC</v>
      </c>
      <c r="U10" s="40" t="str">
        <f t="shared" si="6"/>
        <v>TBC</v>
      </c>
      <c r="V10" s="40" t="str">
        <f t="shared" si="6"/>
        <v>TBC</v>
      </c>
      <c r="W10" s="40" t="str">
        <f t="shared" si="6"/>
        <v>TBC</v>
      </c>
      <c r="X10" s="40" t="str">
        <f t="shared" si="6"/>
        <v>TBC</v>
      </c>
      <c r="Y10" s="40" t="str">
        <f t="shared" si="6"/>
        <v>TBC</v>
      </c>
      <c r="Z10" s="41" t="str">
        <f t="shared" ref="Z10:BM10" si="7">IF(Z4="OD","OD",IF(Z$6&gt;$E$2,"",IF(Z9="Blank","Blank",IF(Z9="OD","OD",IF(Z9="Missed","Missed",IF(Z9="TBC","TBC",IF(Z9="","OD",IF((Z9-Z8)&gt;=0,"G",IF((Z9-(Z8*0.95))&gt;=0,"A","R")))))))))</f>
        <v>R</v>
      </c>
      <c r="AA10" s="41" t="str">
        <f t="shared" si="7"/>
        <v>R</v>
      </c>
      <c r="AB10" s="41" t="str">
        <f t="shared" si="7"/>
        <v>G</v>
      </c>
      <c r="AC10" s="41" t="str">
        <f t="shared" si="7"/>
        <v>A</v>
      </c>
      <c r="AD10" s="41" t="str">
        <f t="shared" si="7"/>
        <v>G</v>
      </c>
      <c r="AE10" s="41" t="str">
        <f t="shared" si="7"/>
        <v>A</v>
      </c>
      <c r="AF10" s="41" t="str">
        <f t="shared" si="7"/>
        <v>R</v>
      </c>
      <c r="AG10" s="41" t="str">
        <f t="shared" si="7"/>
        <v>A</v>
      </c>
      <c r="AH10" s="41" t="str">
        <f t="shared" si="7"/>
        <v>G</v>
      </c>
      <c r="AI10" s="41" t="str">
        <f t="shared" si="7"/>
        <v>R</v>
      </c>
      <c r="AJ10" s="41" t="str">
        <f t="shared" si="7"/>
        <v>R</v>
      </c>
      <c r="AK10" s="41" t="str">
        <f t="shared" si="7"/>
        <v>R</v>
      </c>
      <c r="AL10" s="41" t="str">
        <f t="shared" si="7"/>
        <v>G</v>
      </c>
      <c r="AM10" s="41" t="str">
        <f t="shared" si="7"/>
        <v>R</v>
      </c>
      <c r="AN10" s="41" t="str">
        <f t="shared" si="7"/>
        <v>G</v>
      </c>
      <c r="AO10" s="41" t="str">
        <f t="shared" si="7"/>
        <v>R</v>
      </c>
      <c r="AP10" s="41" t="str">
        <f t="shared" si="7"/>
        <v>G</v>
      </c>
      <c r="AQ10" s="41" t="str">
        <f t="shared" si="7"/>
        <v>R</v>
      </c>
      <c r="AR10" s="41" t="str">
        <f t="shared" si="7"/>
        <v>R</v>
      </c>
      <c r="AS10" s="41" t="str">
        <f t="shared" si="7"/>
        <v>R</v>
      </c>
      <c r="AT10" s="41" t="str">
        <f t="shared" si="7"/>
        <v>G</v>
      </c>
      <c r="AU10" s="41" t="str">
        <f t="shared" si="7"/>
        <v>A</v>
      </c>
      <c r="AV10" s="41" t="str">
        <f t="shared" si="7"/>
        <v>R</v>
      </c>
      <c r="AW10" s="41" t="str">
        <f t="shared" si="7"/>
        <v>R</v>
      </c>
      <c r="AX10" s="41" t="str">
        <f t="shared" si="7"/>
        <v>R</v>
      </c>
      <c r="AY10" s="41" t="str">
        <f t="shared" si="7"/>
        <v>R</v>
      </c>
      <c r="AZ10" s="41" t="str">
        <f t="shared" si="7"/>
        <v>G</v>
      </c>
      <c r="BA10" s="41" t="str">
        <f t="shared" si="7"/>
        <v>R</v>
      </c>
      <c r="BB10" s="41" t="str">
        <f t="shared" si="7"/>
        <v>R</v>
      </c>
      <c r="BC10" s="41" t="str">
        <f t="shared" si="7"/>
        <v/>
      </c>
      <c r="BD10" s="41" t="str">
        <f t="shared" si="7"/>
        <v/>
      </c>
      <c r="BE10" s="41" t="str">
        <f t="shared" si="7"/>
        <v/>
      </c>
      <c r="BF10" s="41" t="str">
        <f t="shared" si="7"/>
        <v/>
      </c>
      <c r="BG10" s="41" t="str">
        <f t="shared" si="7"/>
        <v/>
      </c>
      <c r="BH10" s="41" t="str">
        <f t="shared" si="7"/>
        <v/>
      </c>
      <c r="BI10" s="41" t="str">
        <f t="shared" si="7"/>
        <v/>
      </c>
      <c r="BJ10" s="41" t="str">
        <f t="shared" si="7"/>
        <v/>
      </c>
      <c r="BK10" s="41" t="str">
        <f t="shared" si="7"/>
        <v/>
      </c>
      <c r="BL10" s="41" t="str">
        <f t="shared" si="7"/>
        <v/>
      </c>
      <c r="BM10" s="41" t="str">
        <f t="shared" si="7"/>
        <v/>
      </c>
      <c r="BN10" s="42"/>
    </row>
    <row r="11" spans="2:66" ht="24" customHeight="1" x14ac:dyDescent="0.3">
      <c r="B11" s="920" t="s">
        <v>33</v>
      </c>
      <c r="C11" s="935" t="s">
        <v>95</v>
      </c>
      <c r="D11" s="935" t="s">
        <v>360</v>
      </c>
      <c r="E11" s="921" t="s">
        <v>144</v>
      </c>
      <c r="F11" s="921" t="s">
        <v>154</v>
      </c>
      <c r="G11" s="940"/>
      <c r="H11" s="27" t="s">
        <v>44</v>
      </c>
      <c r="I11" s="28"/>
      <c r="J11" s="30"/>
      <c r="K11" s="30"/>
      <c r="L11" s="51"/>
      <c r="M11" s="393" t="s">
        <v>122</v>
      </c>
      <c r="N11" s="29" t="s">
        <v>35</v>
      </c>
      <c r="O11" s="29" t="s">
        <v>35</v>
      </c>
      <c r="P11" s="29" t="s">
        <v>35</v>
      </c>
      <c r="Q11" s="29" t="s">
        <v>35</v>
      </c>
      <c r="R11" s="29" t="s">
        <v>35</v>
      </c>
      <c r="S11" s="29" t="s">
        <v>35</v>
      </c>
      <c r="T11" s="29" t="s">
        <v>35</v>
      </c>
      <c r="U11" s="29" t="s">
        <v>35</v>
      </c>
      <c r="V11" s="29" t="s">
        <v>35</v>
      </c>
      <c r="W11" s="29" t="s">
        <v>35</v>
      </c>
      <c r="X11" s="29" t="s">
        <v>35</v>
      </c>
      <c r="Y11" s="29" t="s">
        <v>35</v>
      </c>
      <c r="Z11" s="97">
        <v>0.95</v>
      </c>
      <c r="AA11" s="97">
        <v>0.95</v>
      </c>
      <c r="AB11" s="97">
        <v>0.95</v>
      </c>
      <c r="AC11" s="97">
        <v>0.95</v>
      </c>
      <c r="AD11" s="97">
        <v>0.95</v>
      </c>
      <c r="AE11" s="97">
        <v>0.95</v>
      </c>
      <c r="AF11" s="97">
        <v>0.95</v>
      </c>
      <c r="AG11" s="97">
        <v>0.95</v>
      </c>
      <c r="AH11" s="97">
        <v>0.95</v>
      </c>
      <c r="AI11" s="97">
        <v>0.95</v>
      </c>
      <c r="AJ11" s="97">
        <f>IF(AJ$6&gt;$E$3,"",95%)</f>
        <v>0.95</v>
      </c>
      <c r="AK11" s="97">
        <f t="shared" ref="AK11:BM11" si="8">IF(AK$6&gt;$E$3,"",95%)</f>
        <v>0.95</v>
      </c>
      <c r="AL11" s="97">
        <f t="shared" si="8"/>
        <v>0.95</v>
      </c>
      <c r="AM11" s="97">
        <f t="shared" si="8"/>
        <v>0.95</v>
      </c>
      <c r="AN11" s="97">
        <f t="shared" si="8"/>
        <v>0.95</v>
      </c>
      <c r="AO11" s="97">
        <f t="shared" si="8"/>
        <v>0.95</v>
      </c>
      <c r="AP11" s="97">
        <f t="shared" si="8"/>
        <v>0.95</v>
      </c>
      <c r="AQ11" s="97">
        <f t="shared" si="8"/>
        <v>0.95</v>
      </c>
      <c r="AR11" s="97">
        <f t="shared" si="8"/>
        <v>0.95</v>
      </c>
      <c r="AS11" s="97">
        <f t="shared" si="8"/>
        <v>0.95</v>
      </c>
      <c r="AT11" s="97">
        <f t="shared" si="8"/>
        <v>0.95</v>
      </c>
      <c r="AU11" s="97">
        <f t="shared" si="8"/>
        <v>0.95</v>
      </c>
      <c r="AV11" s="97">
        <f t="shared" si="8"/>
        <v>0.95</v>
      </c>
      <c r="AW11" s="97">
        <f t="shared" si="8"/>
        <v>0.95</v>
      </c>
      <c r="AX11" s="97">
        <f t="shared" si="8"/>
        <v>0.95</v>
      </c>
      <c r="AY11" s="97">
        <f t="shared" si="8"/>
        <v>0.95</v>
      </c>
      <c r="AZ11" s="97">
        <f t="shared" si="8"/>
        <v>0.95</v>
      </c>
      <c r="BA11" s="97">
        <f t="shared" si="8"/>
        <v>0.95</v>
      </c>
      <c r="BB11" s="97">
        <f t="shared" si="8"/>
        <v>0.95</v>
      </c>
      <c r="BC11" s="97" t="str">
        <f t="shared" si="8"/>
        <v/>
      </c>
      <c r="BD11" s="97" t="str">
        <f t="shared" si="8"/>
        <v/>
      </c>
      <c r="BE11" s="97" t="str">
        <f t="shared" si="8"/>
        <v/>
      </c>
      <c r="BF11" s="97" t="str">
        <f t="shared" si="8"/>
        <v/>
      </c>
      <c r="BG11" s="97" t="str">
        <f t="shared" si="8"/>
        <v/>
      </c>
      <c r="BH11" s="97" t="str">
        <f t="shared" si="8"/>
        <v/>
      </c>
      <c r="BI11" s="97" t="str">
        <f t="shared" si="8"/>
        <v/>
      </c>
      <c r="BJ11" s="97" t="str">
        <f t="shared" si="8"/>
        <v/>
      </c>
      <c r="BK11" s="97" t="str">
        <f t="shared" si="8"/>
        <v/>
      </c>
      <c r="BL11" s="97" t="str">
        <f t="shared" si="8"/>
        <v/>
      </c>
      <c r="BM11" s="97" t="str">
        <f t="shared" si="8"/>
        <v/>
      </c>
      <c r="BN11" s="31"/>
    </row>
    <row r="12" spans="2:66" ht="24" customHeight="1" x14ac:dyDescent="0.3">
      <c r="B12" s="920"/>
      <c r="C12" s="935"/>
      <c r="D12" s="935"/>
      <c r="E12" s="921"/>
      <c r="F12" s="921"/>
      <c r="G12" s="940"/>
      <c r="H12" s="33" t="s">
        <v>45</v>
      </c>
      <c r="I12" s="34"/>
      <c r="J12" s="36"/>
      <c r="K12" s="36"/>
      <c r="L12" s="52"/>
      <c r="M12" s="390" t="s">
        <v>122</v>
      </c>
      <c r="N12" s="35" t="s">
        <v>35</v>
      </c>
      <c r="O12" s="35" t="s">
        <v>35</v>
      </c>
      <c r="P12" s="35" t="s">
        <v>35</v>
      </c>
      <c r="Q12" s="35" t="s">
        <v>35</v>
      </c>
      <c r="R12" s="35" t="s">
        <v>35</v>
      </c>
      <c r="S12" s="35" t="s">
        <v>35</v>
      </c>
      <c r="T12" s="35" t="s">
        <v>35</v>
      </c>
      <c r="U12" s="35" t="s">
        <v>35</v>
      </c>
      <c r="V12" s="35" t="s">
        <v>35</v>
      </c>
      <c r="W12" s="35" t="s">
        <v>35</v>
      </c>
      <c r="X12" s="35" t="s">
        <v>35</v>
      </c>
      <c r="Y12" s="35" t="s">
        <v>35</v>
      </c>
      <c r="Z12" s="98">
        <v>0.65</v>
      </c>
      <c r="AA12" s="98">
        <v>0.94</v>
      </c>
      <c r="AB12" s="98">
        <v>1</v>
      </c>
      <c r="AC12" s="98">
        <v>0.92</v>
      </c>
      <c r="AD12" s="98">
        <v>0.88</v>
      </c>
      <c r="AE12" s="98">
        <v>0.42</v>
      </c>
      <c r="AF12" s="98">
        <v>0.66</v>
      </c>
      <c r="AG12" s="98">
        <v>0.84</v>
      </c>
      <c r="AH12" s="98">
        <v>0.94</v>
      </c>
      <c r="AI12" s="98">
        <v>0.98</v>
      </c>
      <c r="AJ12" s="98">
        <v>1</v>
      </c>
      <c r="AK12" s="98">
        <v>1</v>
      </c>
      <c r="AL12" s="98">
        <v>0.93</v>
      </c>
      <c r="AM12" s="98">
        <v>0.93</v>
      </c>
      <c r="AN12" s="98">
        <v>0.87</v>
      </c>
      <c r="AO12" s="98">
        <v>0.6</v>
      </c>
      <c r="AP12" s="98">
        <v>0.56999999999999995</v>
      </c>
      <c r="AQ12" s="98">
        <v>0.94</v>
      </c>
      <c r="AR12" s="98">
        <v>0.87</v>
      </c>
      <c r="AS12" s="98">
        <v>1</v>
      </c>
      <c r="AT12" s="98">
        <v>0.9</v>
      </c>
      <c r="AU12" s="98">
        <v>0.6</v>
      </c>
      <c r="AV12" s="98">
        <v>0.84</v>
      </c>
      <c r="AW12" s="98">
        <v>0.91</v>
      </c>
      <c r="AX12" s="98">
        <v>0.92</v>
      </c>
      <c r="AY12" s="98">
        <v>0.95</v>
      </c>
      <c r="AZ12" s="98">
        <v>0.89</v>
      </c>
      <c r="BA12" s="98">
        <v>0.95</v>
      </c>
      <c r="BB12" s="98">
        <v>0.94</v>
      </c>
      <c r="BC12" s="98"/>
      <c r="BD12" s="98"/>
      <c r="BE12" s="98"/>
      <c r="BF12" s="98"/>
      <c r="BG12" s="98"/>
      <c r="BH12" s="98"/>
      <c r="BI12" s="98"/>
      <c r="BJ12" s="98"/>
      <c r="BK12" s="98"/>
      <c r="BL12" s="98"/>
      <c r="BM12" s="394"/>
      <c r="BN12" s="37"/>
    </row>
    <row r="13" spans="2:66" ht="24" customHeight="1" x14ac:dyDescent="0.3">
      <c r="B13" s="920"/>
      <c r="C13" s="935"/>
      <c r="D13" s="935"/>
      <c r="E13" s="921"/>
      <c r="F13" s="921"/>
      <c r="G13" s="940"/>
      <c r="H13" s="38" t="s">
        <v>46</v>
      </c>
      <c r="I13" s="39" t="str">
        <f>IF(I12="","",IF((I12-I11)&gt;=0,"G",IF((I12/I11&lt;=0.9),"R","A")))</f>
        <v/>
      </c>
      <c r="J13" s="41" t="str">
        <f t="shared" ref="J13:L13" si="9">IF(J12="","",IF((J12-J11)&gt;=0,"G",IF((J12/J11&lt;=0.9),"R","A")))</f>
        <v/>
      </c>
      <c r="K13" s="41" t="str">
        <f t="shared" si="9"/>
        <v/>
      </c>
      <c r="L13" s="53" t="str">
        <f t="shared" si="9"/>
        <v/>
      </c>
      <c r="M13" s="40" t="str">
        <f>IF(M$6&gt;$E$3,"",IF(M12="","OD",IF(M12="Blank","Blank",IF(M12="TBC","TBC",IF(M12="Undefined","Undefined",IF(M12="Missed","Missed",IF(M12="OD","OD",IF(M$4="OD","OD",IF((M12-M11)&gt;=0,"G",IF((M12-(M11*0.95))&gt;=0,"A","R"))))))))))</f>
        <v>Blank</v>
      </c>
      <c r="N13" s="40" t="str">
        <f t="shared" ref="N13:BM13" si="10">IF(N$6&gt;$E$3,"",IF(N12="","OD",IF(N12="Blank","Blank",IF(N12="TBC","TBC",IF(N12="Undefined","Undefined",IF(N12="Missed","Missed",IF(N12="OD","OD",IF(N$4="OD","OD",IF((N12-N11)&gt;=0,"G",IF((N12-(N11*0.95))&gt;=0,"A","R"))))))))))</f>
        <v>TBC</v>
      </c>
      <c r="O13" s="40" t="str">
        <f t="shared" si="10"/>
        <v>TBC</v>
      </c>
      <c r="P13" s="40" t="str">
        <f t="shared" si="10"/>
        <v>TBC</v>
      </c>
      <c r="Q13" s="40" t="str">
        <f t="shared" si="10"/>
        <v>TBC</v>
      </c>
      <c r="R13" s="40" t="str">
        <f t="shared" si="10"/>
        <v>TBC</v>
      </c>
      <c r="S13" s="40" t="str">
        <f t="shared" si="10"/>
        <v>TBC</v>
      </c>
      <c r="T13" s="40" t="str">
        <f t="shared" si="10"/>
        <v>TBC</v>
      </c>
      <c r="U13" s="40" t="str">
        <f t="shared" si="10"/>
        <v>TBC</v>
      </c>
      <c r="V13" s="40" t="str">
        <f t="shared" si="10"/>
        <v>TBC</v>
      </c>
      <c r="W13" s="40" t="str">
        <f t="shared" si="10"/>
        <v>TBC</v>
      </c>
      <c r="X13" s="40" t="str">
        <f t="shared" si="10"/>
        <v>TBC</v>
      </c>
      <c r="Y13" s="40" t="str">
        <f t="shared" si="10"/>
        <v>TBC</v>
      </c>
      <c r="Z13" s="40" t="str">
        <f t="shared" si="10"/>
        <v>R</v>
      </c>
      <c r="AA13" s="40" t="str">
        <f t="shared" si="10"/>
        <v>A</v>
      </c>
      <c r="AB13" s="40" t="str">
        <f t="shared" si="10"/>
        <v>G</v>
      </c>
      <c r="AC13" s="40" t="str">
        <f t="shared" si="10"/>
        <v>A</v>
      </c>
      <c r="AD13" s="40" t="str">
        <f t="shared" si="10"/>
        <v>R</v>
      </c>
      <c r="AE13" s="40" t="str">
        <f t="shared" si="10"/>
        <v>R</v>
      </c>
      <c r="AF13" s="40" t="str">
        <f t="shared" si="10"/>
        <v>R</v>
      </c>
      <c r="AG13" s="40" t="str">
        <f t="shared" si="10"/>
        <v>R</v>
      </c>
      <c r="AH13" s="40" t="str">
        <f t="shared" si="10"/>
        <v>A</v>
      </c>
      <c r="AI13" s="40" t="str">
        <f t="shared" si="10"/>
        <v>G</v>
      </c>
      <c r="AJ13" s="40" t="str">
        <f t="shared" si="10"/>
        <v>G</v>
      </c>
      <c r="AK13" s="40" t="str">
        <f t="shared" si="10"/>
        <v>G</v>
      </c>
      <c r="AL13" s="40" t="str">
        <f t="shared" si="10"/>
        <v>A</v>
      </c>
      <c r="AM13" s="40" t="str">
        <f t="shared" si="10"/>
        <v>A</v>
      </c>
      <c r="AN13" s="40" t="str">
        <f t="shared" si="10"/>
        <v>R</v>
      </c>
      <c r="AO13" s="40" t="str">
        <f t="shared" si="10"/>
        <v>R</v>
      </c>
      <c r="AP13" s="40" t="str">
        <f t="shared" si="10"/>
        <v>R</v>
      </c>
      <c r="AQ13" s="40" t="str">
        <f t="shared" si="10"/>
        <v>A</v>
      </c>
      <c r="AR13" s="40" t="str">
        <f t="shared" si="10"/>
        <v>R</v>
      </c>
      <c r="AS13" s="40" t="str">
        <f t="shared" si="10"/>
        <v>G</v>
      </c>
      <c r="AT13" s="40" t="str">
        <f t="shared" si="10"/>
        <v>R</v>
      </c>
      <c r="AU13" s="40" t="str">
        <f t="shared" si="10"/>
        <v>R</v>
      </c>
      <c r="AV13" s="40" t="str">
        <f t="shared" si="10"/>
        <v>R</v>
      </c>
      <c r="AW13" s="40" t="str">
        <f t="shared" si="10"/>
        <v>A</v>
      </c>
      <c r="AX13" s="40" t="str">
        <f t="shared" si="10"/>
        <v>A</v>
      </c>
      <c r="AY13" s="40" t="str">
        <f t="shared" si="10"/>
        <v>G</v>
      </c>
      <c r="AZ13" s="40" t="str">
        <f t="shared" si="10"/>
        <v>R</v>
      </c>
      <c r="BA13" s="40" t="str">
        <f t="shared" si="10"/>
        <v>G</v>
      </c>
      <c r="BB13" s="40" t="str">
        <f t="shared" si="10"/>
        <v>A</v>
      </c>
      <c r="BC13" s="40" t="str">
        <f t="shared" si="10"/>
        <v/>
      </c>
      <c r="BD13" s="40" t="str">
        <f t="shared" si="10"/>
        <v/>
      </c>
      <c r="BE13" s="40" t="str">
        <f t="shared" si="10"/>
        <v/>
      </c>
      <c r="BF13" s="40" t="str">
        <f t="shared" si="10"/>
        <v/>
      </c>
      <c r="BG13" s="40" t="str">
        <f t="shared" si="10"/>
        <v/>
      </c>
      <c r="BH13" s="40" t="str">
        <f t="shared" si="10"/>
        <v/>
      </c>
      <c r="BI13" s="40" t="str">
        <f t="shared" si="10"/>
        <v/>
      </c>
      <c r="BJ13" s="40" t="str">
        <f t="shared" si="10"/>
        <v/>
      </c>
      <c r="BK13" s="40" t="str">
        <f t="shared" si="10"/>
        <v/>
      </c>
      <c r="BL13" s="40" t="str">
        <f t="shared" si="10"/>
        <v/>
      </c>
      <c r="BM13" s="40" t="str">
        <f t="shared" si="10"/>
        <v/>
      </c>
      <c r="BN13" s="42"/>
    </row>
    <row r="14" spans="2:66" ht="24" customHeight="1" x14ac:dyDescent="0.3">
      <c r="B14" s="920" t="s">
        <v>32</v>
      </c>
      <c r="C14" s="921" t="s">
        <v>414</v>
      </c>
      <c r="D14" s="921" t="s">
        <v>100</v>
      </c>
      <c r="E14" s="921" t="s">
        <v>142</v>
      </c>
      <c r="F14" s="921" t="s">
        <v>171</v>
      </c>
      <c r="G14" s="940"/>
      <c r="H14" s="27" t="s">
        <v>44</v>
      </c>
      <c r="I14" s="28"/>
      <c r="J14" s="30"/>
      <c r="K14" s="30"/>
      <c r="L14" s="51"/>
      <c r="M14" s="30" t="s">
        <v>122</v>
      </c>
      <c r="N14" s="29" t="s">
        <v>35</v>
      </c>
      <c r="O14" s="29" t="s">
        <v>35</v>
      </c>
      <c r="P14" s="29" t="s">
        <v>35</v>
      </c>
      <c r="Q14" s="29" t="s">
        <v>35</v>
      </c>
      <c r="R14" s="29" t="s">
        <v>35</v>
      </c>
      <c r="S14" s="29" t="s">
        <v>35</v>
      </c>
      <c r="T14" s="29" t="s">
        <v>35</v>
      </c>
      <c r="U14" s="29" t="s">
        <v>35</v>
      </c>
      <c r="V14" s="29" t="s">
        <v>35</v>
      </c>
      <c r="W14" s="29" t="s">
        <v>35</v>
      </c>
      <c r="X14" s="29" t="s">
        <v>35</v>
      </c>
      <c r="Y14" s="29" t="s">
        <v>35</v>
      </c>
      <c r="Z14" s="29">
        <v>0.5</v>
      </c>
      <c r="AA14" s="29">
        <v>0.5</v>
      </c>
      <c r="AB14" s="29">
        <v>0.5</v>
      </c>
      <c r="AC14" s="29">
        <v>0.5</v>
      </c>
      <c r="AD14" s="29">
        <v>0.5</v>
      </c>
      <c r="AE14" s="29">
        <v>0.5</v>
      </c>
      <c r="AF14" s="29">
        <v>0.5</v>
      </c>
      <c r="AG14" s="29">
        <v>0.5</v>
      </c>
      <c r="AH14" s="29">
        <v>0.5</v>
      </c>
      <c r="AI14" s="29">
        <v>0.5</v>
      </c>
      <c r="AJ14" s="652">
        <f>IF(AJ$6&gt;$E$3,"",0.5)</f>
        <v>0.5</v>
      </c>
      <c r="AK14" s="652">
        <f t="shared" ref="AK14:BM14" si="11">IF(AK$6&gt;$E$3,"",0.5)</f>
        <v>0.5</v>
      </c>
      <c r="AL14" s="652">
        <f t="shared" si="11"/>
        <v>0.5</v>
      </c>
      <c r="AM14" s="652">
        <f t="shared" si="11"/>
        <v>0.5</v>
      </c>
      <c r="AN14" s="652">
        <f t="shared" si="11"/>
        <v>0.5</v>
      </c>
      <c r="AO14" s="652">
        <f t="shared" si="11"/>
        <v>0.5</v>
      </c>
      <c r="AP14" s="652">
        <f t="shared" si="11"/>
        <v>0.5</v>
      </c>
      <c r="AQ14" s="652">
        <f t="shared" si="11"/>
        <v>0.5</v>
      </c>
      <c r="AR14" s="652">
        <f t="shared" si="11"/>
        <v>0.5</v>
      </c>
      <c r="AS14" s="652">
        <f t="shared" si="11"/>
        <v>0.5</v>
      </c>
      <c r="AT14" s="652">
        <f t="shared" si="11"/>
        <v>0.5</v>
      </c>
      <c r="AU14" s="652">
        <f t="shared" si="11"/>
        <v>0.5</v>
      </c>
      <c r="AV14" s="652">
        <f t="shared" si="11"/>
        <v>0.5</v>
      </c>
      <c r="AW14" s="652">
        <f t="shared" si="11"/>
        <v>0.5</v>
      </c>
      <c r="AX14" s="652">
        <f t="shared" si="11"/>
        <v>0.5</v>
      </c>
      <c r="AY14" s="652">
        <f t="shared" si="11"/>
        <v>0.5</v>
      </c>
      <c r="AZ14" s="652">
        <f t="shared" si="11"/>
        <v>0.5</v>
      </c>
      <c r="BA14" s="652">
        <f t="shared" si="11"/>
        <v>0.5</v>
      </c>
      <c r="BB14" s="652">
        <f t="shared" si="11"/>
        <v>0.5</v>
      </c>
      <c r="BC14" s="652" t="str">
        <f t="shared" si="11"/>
        <v/>
      </c>
      <c r="BD14" s="652" t="str">
        <f t="shared" si="11"/>
        <v/>
      </c>
      <c r="BE14" s="652" t="str">
        <f t="shared" si="11"/>
        <v/>
      </c>
      <c r="BF14" s="652" t="str">
        <f t="shared" si="11"/>
        <v/>
      </c>
      <c r="BG14" s="652" t="str">
        <f t="shared" si="11"/>
        <v/>
      </c>
      <c r="BH14" s="652" t="str">
        <f t="shared" si="11"/>
        <v/>
      </c>
      <c r="BI14" s="652" t="str">
        <f t="shared" si="11"/>
        <v/>
      </c>
      <c r="BJ14" s="652" t="str">
        <f t="shared" si="11"/>
        <v/>
      </c>
      <c r="BK14" s="652" t="str">
        <f t="shared" si="11"/>
        <v/>
      </c>
      <c r="BL14" s="652" t="str">
        <f t="shared" si="11"/>
        <v/>
      </c>
      <c r="BM14" s="652" t="str">
        <f t="shared" si="11"/>
        <v/>
      </c>
      <c r="BN14" s="29">
        <v>0.5</v>
      </c>
    </row>
    <row r="15" spans="2:66" ht="24" customHeight="1" x14ac:dyDescent="0.3">
      <c r="B15" s="920"/>
      <c r="C15" s="921"/>
      <c r="D15" s="921"/>
      <c r="E15" s="921"/>
      <c r="F15" s="921"/>
      <c r="G15" s="940"/>
      <c r="H15" s="33" t="s">
        <v>45</v>
      </c>
      <c r="I15" s="34"/>
      <c r="J15" s="36"/>
      <c r="K15" s="36"/>
      <c r="L15" s="52"/>
      <c r="M15" s="36" t="s">
        <v>122</v>
      </c>
      <c r="N15" s="35" t="s">
        <v>35</v>
      </c>
      <c r="O15" s="35" t="s">
        <v>35</v>
      </c>
      <c r="P15" s="35" t="s">
        <v>35</v>
      </c>
      <c r="Q15" s="35" t="s">
        <v>35</v>
      </c>
      <c r="R15" s="35" t="s">
        <v>35</v>
      </c>
      <c r="S15" s="35" t="s">
        <v>35</v>
      </c>
      <c r="T15" s="35" t="s">
        <v>35</v>
      </c>
      <c r="U15" s="35" t="s">
        <v>35</v>
      </c>
      <c r="V15" s="35" t="s">
        <v>35</v>
      </c>
      <c r="W15" s="35" t="s">
        <v>35</v>
      </c>
      <c r="X15" s="35" t="s">
        <v>35</v>
      </c>
      <c r="Y15" s="35" t="s">
        <v>35</v>
      </c>
      <c r="Z15" s="35">
        <v>2</v>
      </c>
      <c r="AA15" s="35">
        <v>0</v>
      </c>
      <c r="AB15" s="35">
        <v>1</v>
      </c>
      <c r="AC15" s="35">
        <v>0</v>
      </c>
      <c r="AD15" s="35">
        <v>0</v>
      </c>
      <c r="AE15" s="35">
        <v>0</v>
      </c>
      <c r="AF15" s="35">
        <v>1</v>
      </c>
      <c r="AG15" s="35">
        <v>0</v>
      </c>
      <c r="AH15" s="35">
        <v>0</v>
      </c>
      <c r="AI15" s="35">
        <v>0</v>
      </c>
      <c r="AJ15" s="35">
        <v>0</v>
      </c>
      <c r="AK15" s="35">
        <v>0</v>
      </c>
      <c r="AL15" s="35">
        <v>2</v>
      </c>
      <c r="AM15" s="35">
        <v>1</v>
      </c>
      <c r="AN15" s="35">
        <v>2</v>
      </c>
      <c r="AO15" s="35">
        <v>2</v>
      </c>
      <c r="AP15" s="35">
        <v>2</v>
      </c>
      <c r="AQ15" s="35">
        <v>0</v>
      </c>
      <c r="AR15" s="35">
        <v>0</v>
      </c>
      <c r="AS15" s="35">
        <v>0</v>
      </c>
      <c r="AT15" s="35">
        <v>1</v>
      </c>
      <c r="AU15" s="35">
        <v>0</v>
      </c>
      <c r="AV15" s="35">
        <v>0</v>
      </c>
      <c r="AW15" s="35">
        <v>0</v>
      </c>
      <c r="AX15" s="35">
        <v>1</v>
      </c>
      <c r="AY15" s="35">
        <v>0</v>
      </c>
      <c r="AZ15" s="35">
        <v>0</v>
      </c>
      <c r="BA15" s="35">
        <v>0</v>
      </c>
      <c r="BB15" s="35">
        <v>1</v>
      </c>
      <c r="BC15" s="35"/>
      <c r="BD15" s="35"/>
      <c r="BE15" s="35"/>
      <c r="BF15" s="35"/>
      <c r="BG15" s="35"/>
      <c r="BH15" s="35"/>
      <c r="BI15" s="35"/>
      <c r="BJ15" s="35"/>
      <c r="BK15" s="35"/>
      <c r="BL15" s="35"/>
      <c r="BM15" s="37"/>
      <c r="BN15" s="37"/>
    </row>
    <row r="16" spans="2:66" ht="24" customHeight="1" x14ac:dyDescent="0.3">
      <c r="B16" s="920"/>
      <c r="C16" s="921"/>
      <c r="D16" s="921"/>
      <c r="E16" s="921"/>
      <c r="F16" s="921"/>
      <c r="G16" s="940"/>
      <c r="H16" s="38" t="s">
        <v>46</v>
      </c>
      <c r="I16" s="39" t="str">
        <f>IF(I15="","",IF((I15-I14)&gt;=0,"G",IF((I15/I14&lt;=0.9),"R","A")))</f>
        <v/>
      </c>
      <c r="J16" s="41" t="str">
        <f t="shared" ref="J16:L16" si="12">IF(J15="","",IF((J15-J14)&gt;=0,"G",IF((J15/J14&lt;=0.9),"R","A")))</f>
        <v/>
      </c>
      <c r="K16" s="41" t="str">
        <f t="shared" si="12"/>
        <v/>
      </c>
      <c r="L16" s="53" t="str">
        <f t="shared" si="12"/>
        <v/>
      </c>
      <c r="M16" s="40" t="str">
        <f>IF(M$6&gt;$E$3,"",IF(M15="","OD",IF(M15="Blank","Blank",IF(M15="TBC","TBC",IF(M15="Undefined","Undefined",IF(M15="Missed","Missed",IF(M15="OD","OD",IF(M$4="OD","OD",IF((M15-M14)&lt;=0,"G",IF((M15-(M14/0.95))&lt;=0,"A","R"))))))))))</f>
        <v>Blank</v>
      </c>
      <c r="N16" s="40" t="str">
        <f t="shared" ref="N16:BM16" si="13">IF(N$6&gt;$E$3,"",IF(N15="","OD",IF(N15="Blank","Blank",IF(N15="TBC","TBC",IF(N15="Undefined","Undefined",IF(N15="Missed","Missed",IF(N15="OD","OD",IF(N$4="OD","OD",IF((N15-N14)&lt;=0,"G",IF((N15-(N14/0.95))&lt;=0,"A","R"))))))))))</f>
        <v>TBC</v>
      </c>
      <c r="O16" s="40" t="str">
        <f t="shared" si="13"/>
        <v>TBC</v>
      </c>
      <c r="P16" s="40" t="str">
        <f t="shared" si="13"/>
        <v>TBC</v>
      </c>
      <c r="Q16" s="40" t="str">
        <f t="shared" si="13"/>
        <v>TBC</v>
      </c>
      <c r="R16" s="40" t="str">
        <f t="shared" si="13"/>
        <v>TBC</v>
      </c>
      <c r="S16" s="40" t="str">
        <f t="shared" si="13"/>
        <v>TBC</v>
      </c>
      <c r="T16" s="40" t="str">
        <f t="shared" si="13"/>
        <v>TBC</v>
      </c>
      <c r="U16" s="40" t="str">
        <f t="shared" si="13"/>
        <v>TBC</v>
      </c>
      <c r="V16" s="40" t="str">
        <f t="shared" si="13"/>
        <v>TBC</v>
      </c>
      <c r="W16" s="40" t="str">
        <f t="shared" si="13"/>
        <v>TBC</v>
      </c>
      <c r="X16" s="40" t="str">
        <f t="shared" si="13"/>
        <v>TBC</v>
      </c>
      <c r="Y16" s="40" t="str">
        <f t="shared" si="13"/>
        <v>TBC</v>
      </c>
      <c r="Z16" s="40" t="str">
        <f t="shared" si="13"/>
        <v>R</v>
      </c>
      <c r="AA16" s="40" t="str">
        <f t="shared" si="13"/>
        <v>G</v>
      </c>
      <c r="AB16" s="40" t="str">
        <f t="shared" si="13"/>
        <v>R</v>
      </c>
      <c r="AC16" s="40" t="str">
        <f t="shared" si="13"/>
        <v>G</v>
      </c>
      <c r="AD16" s="40" t="str">
        <f t="shared" si="13"/>
        <v>G</v>
      </c>
      <c r="AE16" s="40" t="str">
        <f t="shared" si="13"/>
        <v>G</v>
      </c>
      <c r="AF16" s="40" t="str">
        <f t="shared" si="13"/>
        <v>R</v>
      </c>
      <c r="AG16" s="40" t="str">
        <f t="shared" si="13"/>
        <v>G</v>
      </c>
      <c r="AH16" s="40" t="str">
        <f t="shared" si="13"/>
        <v>G</v>
      </c>
      <c r="AI16" s="40" t="str">
        <f t="shared" si="13"/>
        <v>G</v>
      </c>
      <c r="AJ16" s="40" t="str">
        <f t="shared" si="13"/>
        <v>G</v>
      </c>
      <c r="AK16" s="40" t="str">
        <f t="shared" si="13"/>
        <v>G</v>
      </c>
      <c r="AL16" s="40" t="str">
        <f t="shared" si="13"/>
        <v>R</v>
      </c>
      <c r="AM16" s="40" t="str">
        <f t="shared" si="13"/>
        <v>R</v>
      </c>
      <c r="AN16" s="40" t="str">
        <f t="shared" si="13"/>
        <v>R</v>
      </c>
      <c r="AO16" s="40" t="str">
        <f t="shared" si="13"/>
        <v>R</v>
      </c>
      <c r="AP16" s="40" t="str">
        <f t="shared" si="13"/>
        <v>R</v>
      </c>
      <c r="AQ16" s="40" t="str">
        <f t="shared" si="13"/>
        <v>G</v>
      </c>
      <c r="AR16" s="40" t="str">
        <f t="shared" si="13"/>
        <v>G</v>
      </c>
      <c r="AS16" s="40" t="str">
        <f t="shared" si="13"/>
        <v>G</v>
      </c>
      <c r="AT16" s="40" t="str">
        <f t="shared" si="13"/>
        <v>R</v>
      </c>
      <c r="AU16" s="40" t="str">
        <f t="shared" si="13"/>
        <v>G</v>
      </c>
      <c r="AV16" s="40" t="str">
        <f t="shared" si="13"/>
        <v>G</v>
      </c>
      <c r="AW16" s="40" t="str">
        <f t="shared" si="13"/>
        <v>G</v>
      </c>
      <c r="AX16" s="40" t="str">
        <f t="shared" si="13"/>
        <v>R</v>
      </c>
      <c r="AY16" s="40" t="str">
        <f t="shared" si="13"/>
        <v>G</v>
      </c>
      <c r="AZ16" s="40" t="str">
        <f t="shared" si="13"/>
        <v>G</v>
      </c>
      <c r="BA16" s="40" t="str">
        <f t="shared" si="13"/>
        <v>G</v>
      </c>
      <c r="BB16" s="40" t="str">
        <f t="shared" si="13"/>
        <v>R</v>
      </c>
      <c r="BC16" s="40" t="str">
        <f t="shared" si="13"/>
        <v/>
      </c>
      <c r="BD16" s="40" t="str">
        <f t="shared" si="13"/>
        <v/>
      </c>
      <c r="BE16" s="40" t="str">
        <f t="shared" si="13"/>
        <v/>
      </c>
      <c r="BF16" s="40" t="str">
        <f t="shared" si="13"/>
        <v/>
      </c>
      <c r="BG16" s="40" t="str">
        <f t="shared" si="13"/>
        <v/>
      </c>
      <c r="BH16" s="40" t="str">
        <f t="shared" si="13"/>
        <v/>
      </c>
      <c r="BI16" s="40" t="str">
        <f t="shared" si="13"/>
        <v/>
      </c>
      <c r="BJ16" s="40" t="str">
        <f t="shared" si="13"/>
        <v/>
      </c>
      <c r="BK16" s="40" t="str">
        <f t="shared" si="13"/>
        <v/>
      </c>
      <c r="BL16" s="40" t="str">
        <f t="shared" si="13"/>
        <v/>
      </c>
      <c r="BM16" s="40" t="str">
        <f t="shared" si="13"/>
        <v/>
      </c>
      <c r="BN16" s="42"/>
    </row>
    <row r="17" spans="2:66" ht="24" customHeight="1" x14ac:dyDescent="0.3">
      <c r="B17" s="920" t="s">
        <v>31</v>
      </c>
      <c r="C17" s="921" t="s">
        <v>435</v>
      </c>
      <c r="D17" s="921" t="s">
        <v>358</v>
      </c>
      <c r="E17" s="921" t="s">
        <v>169</v>
      </c>
      <c r="F17" s="921" t="s">
        <v>154</v>
      </c>
      <c r="G17" s="940"/>
      <c r="H17" s="27" t="s">
        <v>44</v>
      </c>
      <c r="I17" s="28"/>
      <c r="J17" s="30"/>
      <c r="K17" s="30"/>
      <c r="L17" s="51"/>
      <c r="M17" s="30" t="s">
        <v>122</v>
      </c>
      <c r="N17" s="29" t="s">
        <v>35</v>
      </c>
      <c r="O17" s="29" t="s">
        <v>35</v>
      </c>
      <c r="P17" s="29" t="s">
        <v>35</v>
      </c>
      <c r="Q17" s="29" t="s">
        <v>35</v>
      </c>
      <c r="R17" s="29" t="s">
        <v>35</v>
      </c>
      <c r="S17" s="29" t="s">
        <v>35</v>
      </c>
      <c r="T17" s="29" t="s">
        <v>35</v>
      </c>
      <c r="U17" s="29" t="s">
        <v>35</v>
      </c>
      <c r="V17" s="29" t="s">
        <v>35</v>
      </c>
      <c r="W17" s="29" t="s">
        <v>35</v>
      </c>
      <c r="X17" s="29" t="s">
        <v>35</v>
      </c>
      <c r="Y17" s="29" t="s">
        <v>35</v>
      </c>
      <c r="Z17" s="391">
        <v>1757</v>
      </c>
      <c r="AA17" s="391">
        <v>1757</v>
      </c>
      <c r="AB17" s="391">
        <v>1425</v>
      </c>
      <c r="AC17" s="391">
        <v>1425</v>
      </c>
      <c r="AD17" s="391">
        <v>1876</v>
      </c>
      <c r="AE17" s="391">
        <v>1617</v>
      </c>
      <c r="AF17" s="391">
        <v>1997</v>
      </c>
      <c r="AG17" s="391">
        <v>1997</v>
      </c>
      <c r="AH17" s="391">
        <v>1597</v>
      </c>
      <c r="AI17" s="391">
        <v>1952</v>
      </c>
      <c r="AJ17" s="391">
        <v>1952</v>
      </c>
      <c r="AK17" s="391">
        <v>1952</v>
      </c>
      <c r="AL17" s="391">
        <v>1952</v>
      </c>
      <c r="AM17" s="391">
        <v>1934</v>
      </c>
      <c r="AN17" s="391">
        <v>3387</v>
      </c>
      <c r="AO17" s="391">
        <v>3387</v>
      </c>
      <c r="AP17" s="391">
        <v>3387</v>
      </c>
      <c r="AQ17" s="391">
        <v>3387</v>
      </c>
      <c r="AR17" s="29">
        <v>2856</v>
      </c>
      <c r="AS17" s="29">
        <v>3561</v>
      </c>
      <c r="AT17" s="29">
        <v>3561</v>
      </c>
      <c r="AU17" s="29">
        <v>2856</v>
      </c>
      <c r="AV17" s="29">
        <v>3315</v>
      </c>
      <c r="AW17" s="29">
        <v>3315</v>
      </c>
      <c r="AX17" s="29">
        <v>3315</v>
      </c>
      <c r="AY17" s="29">
        <v>3315</v>
      </c>
      <c r="AZ17" s="29">
        <v>3247</v>
      </c>
      <c r="BA17" s="29">
        <v>3200</v>
      </c>
      <c r="BB17" s="29">
        <v>3200</v>
      </c>
      <c r="BC17" s="29"/>
      <c r="BD17" s="29"/>
      <c r="BE17" s="29"/>
      <c r="BF17" s="29"/>
      <c r="BG17" s="29"/>
      <c r="BH17" s="29"/>
      <c r="BI17" s="29"/>
      <c r="BJ17" s="29"/>
      <c r="BK17" s="29"/>
      <c r="BL17" s="29"/>
      <c r="BM17" s="31"/>
      <c r="BN17" s="31"/>
    </row>
    <row r="18" spans="2:66" ht="24" customHeight="1" x14ac:dyDescent="0.3">
      <c r="B18" s="920"/>
      <c r="C18" s="921"/>
      <c r="D18" s="921"/>
      <c r="E18" s="921"/>
      <c r="F18" s="921"/>
      <c r="G18" s="940"/>
      <c r="H18" s="33" t="s">
        <v>45</v>
      </c>
      <c r="I18" s="34"/>
      <c r="J18" s="36"/>
      <c r="K18" s="36"/>
      <c r="L18" s="52"/>
      <c r="M18" s="36" t="s">
        <v>122</v>
      </c>
      <c r="N18" s="35" t="s">
        <v>35</v>
      </c>
      <c r="O18" s="35" t="s">
        <v>35</v>
      </c>
      <c r="P18" s="35" t="s">
        <v>35</v>
      </c>
      <c r="Q18" s="35" t="s">
        <v>35</v>
      </c>
      <c r="R18" s="35" t="s">
        <v>35</v>
      </c>
      <c r="S18" s="35" t="s">
        <v>35</v>
      </c>
      <c r="T18" s="35" t="s">
        <v>35</v>
      </c>
      <c r="U18" s="35" t="s">
        <v>35</v>
      </c>
      <c r="V18" s="35" t="s">
        <v>35</v>
      </c>
      <c r="W18" s="35" t="s">
        <v>35</v>
      </c>
      <c r="X18" s="35" t="s">
        <v>35</v>
      </c>
      <c r="Y18" s="35" t="s">
        <v>35</v>
      </c>
      <c r="Z18" s="389">
        <v>1327</v>
      </c>
      <c r="AA18" s="389">
        <v>1561</v>
      </c>
      <c r="AB18" s="389">
        <v>1602</v>
      </c>
      <c r="AC18" s="389">
        <v>1402</v>
      </c>
      <c r="AD18" s="389">
        <v>2177</v>
      </c>
      <c r="AE18" s="389">
        <v>1538</v>
      </c>
      <c r="AF18" s="389">
        <v>1369</v>
      </c>
      <c r="AG18" s="389">
        <v>1978</v>
      </c>
      <c r="AH18" s="389">
        <v>1615</v>
      </c>
      <c r="AI18" s="389">
        <v>1318</v>
      </c>
      <c r="AJ18" s="389">
        <v>1724</v>
      </c>
      <c r="AK18" s="389">
        <v>1504</v>
      </c>
      <c r="AL18" s="389">
        <v>2081</v>
      </c>
      <c r="AM18" s="389">
        <v>1504</v>
      </c>
      <c r="AN18" s="389">
        <v>3568</v>
      </c>
      <c r="AO18" s="389">
        <v>2414</v>
      </c>
      <c r="AP18" s="389">
        <v>3521</v>
      </c>
      <c r="AQ18" s="389">
        <v>2456</v>
      </c>
      <c r="AR18" s="35">
        <v>2086</v>
      </c>
      <c r="AS18" s="35">
        <v>2596</v>
      </c>
      <c r="AT18" s="35">
        <v>5626</v>
      </c>
      <c r="AU18" s="35">
        <v>2742</v>
      </c>
      <c r="AV18" s="35">
        <v>3043</v>
      </c>
      <c r="AW18" s="35">
        <v>3099</v>
      </c>
      <c r="AX18" s="35">
        <v>2632</v>
      </c>
      <c r="AY18" s="35">
        <v>2614</v>
      </c>
      <c r="AZ18" s="35">
        <v>3299</v>
      </c>
      <c r="BA18" s="35">
        <v>2158</v>
      </c>
      <c r="BB18" s="35">
        <v>2580</v>
      </c>
      <c r="BC18" s="35"/>
      <c r="BD18" s="35"/>
      <c r="BE18" s="35"/>
      <c r="BF18" s="35"/>
      <c r="BG18" s="35"/>
      <c r="BH18" s="35"/>
      <c r="BI18" s="35"/>
      <c r="BJ18" s="35"/>
      <c r="BK18" s="35"/>
      <c r="BL18" s="35"/>
      <c r="BM18" s="37"/>
      <c r="BN18" s="37"/>
    </row>
    <row r="19" spans="2:66" ht="24" customHeight="1" thickBot="1" x14ac:dyDescent="0.35">
      <c r="B19" s="920"/>
      <c r="C19" s="921"/>
      <c r="D19" s="921"/>
      <c r="E19" s="921"/>
      <c r="F19" s="921"/>
      <c r="G19" s="940"/>
      <c r="H19" s="38" t="s">
        <v>46</v>
      </c>
      <c r="I19" s="43" t="str">
        <f>IF(I18="","",IF((I18-I17)&gt;=0,"G",IF((I18/I17&lt;=0.9),"R","A")))</f>
        <v/>
      </c>
      <c r="J19" s="81" t="str">
        <f t="shared" ref="J19:L19" si="14">IF(J18="","",IF((J18-J17)&gt;=0,"G",IF((J18/J17&lt;=0.9),"R","A")))</f>
        <v/>
      </c>
      <c r="K19" s="81" t="str">
        <f t="shared" si="14"/>
        <v/>
      </c>
      <c r="L19" s="54" t="str">
        <f t="shared" si="14"/>
        <v/>
      </c>
      <c r="M19" s="40" t="str">
        <f>IF(M$6&gt;$E$3,"",IF(M18="","OD",IF(M18="Blank","Blank",IF(M18="TBC","TBC",IF(M18="Undefined","Undefined",IF(M18="Missed","Missed",IF(M18="OD","OD",IF(M$4="OD","OD",IF((M18-M17)&gt;=0,"G",IF((M18-(M17*0.95))&gt;=0,"A","R"))))))))))</f>
        <v>Blank</v>
      </c>
      <c r="N19" s="40" t="str">
        <f t="shared" ref="N19:BM19" si="15">IF(N$6&gt;$E$3,"",IF(N18="","OD",IF(N18="Blank","Blank",IF(N18="TBC","TBC",IF(N18="Undefined","Undefined",IF(N18="Missed","Missed",IF(N18="OD","OD",IF(N$4="OD","OD",IF((N18-N17)&gt;=0,"G",IF((N18-(N17*0.95))&gt;=0,"A","R"))))))))))</f>
        <v>TBC</v>
      </c>
      <c r="O19" s="40" t="str">
        <f t="shared" si="15"/>
        <v>TBC</v>
      </c>
      <c r="P19" s="40" t="str">
        <f t="shared" si="15"/>
        <v>TBC</v>
      </c>
      <c r="Q19" s="40" t="str">
        <f t="shared" si="15"/>
        <v>TBC</v>
      </c>
      <c r="R19" s="40" t="str">
        <f t="shared" si="15"/>
        <v>TBC</v>
      </c>
      <c r="S19" s="40" t="str">
        <f t="shared" si="15"/>
        <v>TBC</v>
      </c>
      <c r="T19" s="40" t="str">
        <f t="shared" si="15"/>
        <v>TBC</v>
      </c>
      <c r="U19" s="40" t="str">
        <f t="shared" si="15"/>
        <v>TBC</v>
      </c>
      <c r="V19" s="40" t="str">
        <f t="shared" si="15"/>
        <v>TBC</v>
      </c>
      <c r="W19" s="40" t="str">
        <f t="shared" si="15"/>
        <v>TBC</v>
      </c>
      <c r="X19" s="40" t="str">
        <f t="shared" si="15"/>
        <v>TBC</v>
      </c>
      <c r="Y19" s="40" t="str">
        <f t="shared" si="15"/>
        <v>TBC</v>
      </c>
      <c r="Z19" s="40" t="str">
        <f t="shared" si="15"/>
        <v>R</v>
      </c>
      <c r="AA19" s="40" t="str">
        <f t="shared" si="15"/>
        <v>R</v>
      </c>
      <c r="AB19" s="40" t="str">
        <f t="shared" si="15"/>
        <v>G</v>
      </c>
      <c r="AC19" s="40" t="str">
        <f t="shared" si="15"/>
        <v>A</v>
      </c>
      <c r="AD19" s="40" t="str">
        <f t="shared" si="15"/>
        <v>G</v>
      </c>
      <c r="AE19" s="40" t="str">
        <f t="shared" si="15"/>
        <v>A</v>
      </c>
      <c r="AF19" s="40" t="str">
        <f t="shared" si="15"/>
        <v>R</v>
      </c>
      <c r="AG19" s="40" t="str">
        <f t="shared" si="15"/>
        <v>A</v>
      </c>
      <c r="AH19" s="40" t="str">
        <f t="shared" si="15"/>
        <v>G</v>
      </c>
      <c r="AI19" s="40" t="str">
        <f t="shared" si="15"/>
        <v>R</v>
      </c>
      <c r="AJ19" s="40" t="str">
        <f t="shared" si="15"/>
        <v>R</v>
      </c>
      <c r="AK19" s="40" t="str">
        <f t="shared" si="15"/>
        <v>R</v>
      </c>
      <c r="AL19" s="40" t="str">
        <f t="shared" si="15"/>
        <v>G</v>
      </c>
      <c r="AM19" s="40" t="str">
        <f t="shared" si="15"/>
        <v>R</v>
      </c>
      <c r="AN19" s="40" t="str">
        <f t="shared" si="15"/>
        <v>G</v>
      </c>
      <c r="AO19" s="40" t="str">
        <f t="shared" si="15"/>
        <v>R</v>
      </c>
      <c r="AP19" s="40" t="str">
        <f t="shared" si="15"/>
        <v>G</v>
      </c>
      <c r="AQ19" s="40" t="str">
        <f t="shared" si="15"/>
        <v>R</v>
      </c>
      <c r="AR19" s="40" t="str">
        <f t="shared" si="15"/>
        <v>R</v>
      </c>
      <c r="AS19" s="40" t="str">
        <f t="shared" si="15"/>
        <v>R</v>
      </c>
      <c r="AT19" s="40" t="str">
        <f t="shared" si="15"/>
        <v>G</v>
      </c>
      <c r="AU19" s="40" t="str">
        <f t="shared" si="15"/>
        <v>A</v>
      </c>
      <c r="AV19" s="40" t="str">
        <f t="shared" si="15"/>
        <v>R</v>
      </c>
      <c r="AW19" s="40" t="str">
        <f t="shared" si="15"/>
        <v>R</v>
      </c>
      <c r="AX19" s="40" t="str">
        <f t="shared" si="15"/>
        <v>R</v>
      </c>
      <c r="AY19" s="40" t="str">
        <f t="shared" si="15"/>
        <v>R</v>
      </c>
      <c r="AZ19" s="40" t="str">
        <f t="shared" si="15"/>
        <v>G</v>
      </c>
      <c r="BA19" s="40" t="str">
        <f t="shared" si="15"/>
        <v>R</v>
      </c>
      <c r="BB19" s="40" t="str">
        <f t="shared" si="15"/>
        <v>R</v>
      </c>
      <c r="BC19" s="40" t="str">
        <f t="shared" si="15"/>
        <v/>
      </c>
      <c r="BD19" s="40" t="str">
        <f t="shared" si="15"/>
        <v/>
      </c>
      <c r="BE19" s="40" t="str">
        <f t="shared" si="15"/>
        <v/>
      </c>
      <c r="BF19" s="40" t="str">
        <f t="shared" si="15"/>
        <v/>
      </c>
      <c r="BG19" s="40" t="str">
        <f t="shared" si="15"/>
        <v/>
      </c>
      <c r="BH19" s="40" t="str">
        <f t="shared" si="15"/>
        <v/>
      </c>
      <c r="BI19" s="40" t="str">
        <f t="shared" si="15"/>
        <v/>
      </c>
      <c r="BJ19" s="40" t="str">
        <f t="shared" si="15"/>
        <v/>
      </c>
      <c r="BK19" s="40" t="str">
        <f t="shared" si="15"/>
        <v/>
      </c>
      <c r="BL19" s="40" t="str">
        <f t="shared" si="15"/>
        <v/>
      </c>
      <c r="BM19" s="40" t="str">
        <f t="shared" si="15"/>
        <v/>
      </c>
      <c r="BN19" s="42"/>
    </row>
    <row r="21" spans="2:66" ht="24" customHeight="1" x14ac:dyDescent="0.3">
      <c r="B21" s="920" t="s">
        <v>32</v>
      </c>
      <c r="C21" s="921" t="s">
        <v>443</v>
      </c>
      <c r="D21" s="921" t="s">
        <v>444</v>
      </c>
      <c r="E21" s="921" t="s">
        <v>142</v>
      </c>
      <c r="F21" s="921" t="s">
        <v>171</v>
      </c>
      <c r="G21" s="940"/>
      <c r="H21" s="27" t="s">
        <v>44</v>
      </c>
      <c r="I21" s="28"/>
      <c r="J21" s="30"/>
      <c r="K21" s="30"/>
      <c r="L21" s="51"/>
      <c r="M21" s="30" t="s">
        <v>122</v>
      </c>
      <c r="N21" s="29" t="s">
        <v>35</v>
      </c>
      <c r="O21" s="29" t="s">
        <v>35</v>
      </c>
      <c r="P21" s="29" t="s">
        <v>35</v>
      </c>
      <c r="Q21" s="29" t="s">
        <v>35</v>
      </c>
      <c r="R21" s="29" t="s">
        <v>35</v>
      </c>
      <c r="S21" s="29" t="s">
        <v>35</v>
      </c>
      <c r="T21" s="29" t="s">
        <v>35</v>
      </c>
      <c r="U21" s="29" t="s">
        <v>35</v>
      </c>
      <c r="V21" s="29" t="s">
        <v>35</v>
      </c>
      <c r="W21" s="29" t="s">
        <v>35</v>
      </c>
      <c r="X21" s="29" t="s">
        <v>35</v>
      </c>
      <c r="Y21" s="29" t="s">
        <v>35</v>
      </c>
      <c r="Z21" s="29">
        <v>0</v>
      </c>
      <c r="AA21" s="29">
        <v>0</v>
      </c>
      <c r="AB21" s="29">
        <v>0</v>
      </c>
      <c r="AC21" s="29">
        <v>0</v>
      </c>
      <c r="AD21" s="29">
        <v>0</v>
      </c>
      <c r="AE21" s="29">
        <v>0</v>
      </c>
      <c r="AF21" s="29">
        <v>0</v>
      </c>
      <c r="AG21" s="29">
        <v>0</v>
      </c>
      <c r="AH21" s="29">
        <v>0</v>
      </c>
      <c r="AI21" s="29">
        <v>0</v>
      </c>
      <c r="AJ21" s="29">
        <f>IF(AJ$6&gt;$E$3,"",0)</f>
        <v>0</v>
      </c>
      <c r="AK21" s="29">
        <f t="shared" ref="AK21:BM21" si="16">IF(AK$6&gt;$E$3,"",0)</f>
        <v>0</v>
      </c>
      <c r="AL21" s="29">
        <f t="shared" si="16"/>
        <v>0</v>
      </c>
      <c r="AM21" s="29">
        <f t="shared" si="16"/>
        <v>0</v>
      </c>
      <c r="AN21" s="29">
        <f t="shared" si="16"/>
        <v>0</v>
      </c>
      <c r="AO21" s="29">
        <f t="shared" si="16"/>
        <v>0</v>
      </c>
      <c r="AP21" s="29">
        <f t="shared" si="16"/>
        <v>0</v>
      </c>
      <c r="AQ21" s="29">
        <f t="shared" si="16"/>
        <v>0</v>
      </c>
      <c r="AR21" s="29">
        <f t="shared" si="16"/>
        <v>0</v>
      </c>
      <c r="AS21" s="29">
        <f t="shared" si="16"/>
        <v>0</v>
      </c>
      <c r="AT21" s="29">
        <f t="shared" si="16"/>
        <v>0</v>
      </c>
      <c r="AU21" s="29">
        <f t="shared" si="16"/>
        <v>0</v>
      </c>
      <c r="AV21" s="29">
        <f t="shared" si="16"/>
        <v>0</v>
      </c>
      <c r="AW21" s="29">
        <f t="shared" si="16"/>
        <v>0</v>
      </c>
      <c r="AX21" s="29">
        <f t="shared" si="16"/>
        <v>0</v>
      </c>
      <c r="AY21" s="29">
        <f t="shared" si="16"/>
        <v>0</v>
      </c>
      <c r="AZ21" s="29">
        <f t="shared" si="16"/>
        <v>0</v>
      </c>
      <c r="BA21" s="29">
        <f t="shared" si="16"/>
        <v>0</v>
      </c>
      <c r="BB21" s="29">
        <f t="shared" si="16"/>
        <v>0</v>
      </c>
      <c r="BC21" s="29" t="str">
        <f t="shared" si="16"/>
        <v/>
      </c>
      <c r="BD21" s="29" t="str">
        <f t="shared" si="16"/>
        <v/>
      </c>
      <c r="BE21" s="29" t="str">
        <f t="shared" si="16"/>
        <v/>
      </c>
      <c r="BF21" s="29" t="str">
        <f t="shared" si="16"/>
        <v/>
      </c>
      <c r="BG21" s="29" t="str">
        <f t="shared" si="16"/>
        <v/>
      </c>
      <c r="BH21" s="29" t="str">
        <f t="shared" si="16"/>
        <v/>
      </c>
      <c r="BI21" s="29" t="str">
        <f t="shared" si="16"/>
        <v/>
      </c>
      <c r="BJ21" s="29" t="str">
        <f t="shared" si="16"/>
        <v/>
      </c>
      <c r="BK21" s="29" t="str">
        <f t="shared" si="16"/>
        <v/>
      </c>
      <c r="BL21" s="29" t="str">
        <f t="shared" si="16"/>
        <v/>
      </c>
      <c r="BM21" s="29" t="str">
        <f t="shared" si="16"/>
        <v/>
      </c>
      <c r="BN21" s="31"/>
    </row>
    <row r="22" spans="2:66" ht="24" customHeight="1" x14ac:dyDescent="0.3">
      <c r="B22" s="920"/>
      <c r="C22" s="921"/>
      <c r="D22" s="921"/>
      <c r="E22" s="921"/>
      <c r="F22" s="921"/>
      <c r="G22" s="940"/>
      <c r="H22" s="33" t="s">
        <v>45</v>
      </c>
      <c r="I22" s="34"/>
      <c r="J22" s="36"/>
      <c r="K22" s="36"/>
      <c r="L22" s="52"/>
      <c r="M22" s="36" t="s">
        <v>122</v>
      </c>
      <c r="N22" s="35" t="s">
        <v>35</v>
      </c>
      <c r="O22" s="35" t="s">
        <v>35</v>
      </c>
      <c r="P22" s="35" t="s">
        <v>35</v>
      </c>
      <c r="Q22" s="35" t="s">
        <v>35</v>
      </c>
      <c r="R22" s="35" t="s">
        <v>35</v>
      </c>
      <c r="S22" s="35" t="s">
        <v>35</v>
      </c>
      <c r="T22" s="35" t="s">
        <v>35</v>
      </c>
      <c r="U22" s="35" t="s">
        <v>35</v>
      </c>
      <c r="V22" s="35" t="s">
        <v>35</v>
      </c>
      <c r="W22" s="35" t="s">
        <v>35</v>
      </c>
      <c r="X22" s="35" t="s">
        <v>35</v>
      </c>
      <c r="Y22" s="35" t="s">
        <v>35</v>
      </c>
      <c r="Z22" s="35">
        <v>0</v>
      </c>
      <c r="AA22" s="35">
        <v>0</v>
      </c>
      <c r="AB22" s="35">
        <v>0</v>
      </c>
      <c r="AC22" s="35">
        <v>0</v>
      </c>
      <c r="AD22" s="35">
        <v>0</v>
      </c>
      <c r="AE22" s="35">
        <v>0</v>
      </c>
      <c r="AF22" s="35">
        <v>0</v>
      </c>
      <c r="AG22" s="35">
        <v>0</v>
      </c>
      <c r="AH22" s="35">
        <v>0</v>
      </c>
      <c r="AI22" s="35">
        <v>0</v>
      </c>
      <c r="AJ22" s="35">
        <v>1</v>
      </c>
      <c r="AK22" s="35">
        <v>0</v>
      </c>
      <c r="AL22" s="35">
        <v>0</v>
      </c>
      <c r="AM22" s="35">
        <v>0</v>
      </c>
      <c r="AN22" s="35"/>
      <c r="AO22" s="35"/>
      <c r="AP22" s="35"/>
      <c r="AQ22" s="35"/>
      <c r="AR22" s="35"/>
      <c r="AS22" s="35"/>
      <c r="AT22" s="35">
        <v>1</v>
      </c>
      <c r="AU22" s="35">
        <v>0</v>
      </c>
      <c r="AV22" s="35">
        <v>0</v>
      </c>
      <c r="AW22" s="35">
        <v>0</v>
      </c>
      <c r="AX22" s="35">
        <v>0</v>
      </c>
      <c r="AY22" s="35">
        <v>0</v>
      </c>
      <c r="AZ22" s="35">
        <v>0</v>
      </c>
      <c r="BA22" s="35">
        <v>0</v>
      </c>
      <c r="BB22" s="35">
        <v>0</v>
      </c>
      <c r="BC22" s="35"/>
      <c r="BD22" s="35"/>
      <c r="BE22" s="35"/>
      <c r="BF22" s="35"/>
      <c r="BG22" s="35"/>
      <c r="BH22" s="35"/>
      <c r="BI22" s="35"/>
      <c r="BJ22" s="35"/>
      <c r="BK22" s="35"/>
      <c r="BL22" s="35"/>
      <c r="BM22" s="37"/>
      <c r="BN22" s="37"/>
    </row>
    <row r="23" spans="2:66" ht="24" customHeight="1" x14ac:dyDescent="0.3">
      <c r="B23" s="920"/>
      <c r="C23" s="921"/>
      <c r="D23" s="921"/>
      <c r="E23" s="921"/>
      <c r="F23" s="921"/>
      <c r="G23" s="940"/>
      <c r="H23" s="38" t="s">
        <v>46</v>
      </c>
      <c r="I23" s="39" t="str">
        <f>IF(I22="","",IF((I22-I21)&gt;=0,"G",IF((I22/I21&lt;=0.9),"R","A")))</f>
        <v/>
      </c>
      <c r="J23" s="41" t="str">
        <f t="shared" ref="J23:L23" si="17">IF(J22="","",IF((J22-J21)&gt;=0,"G",IF((J22/J21&lt;=0.9),"R","A")))</f>
        <v/>
      </c>
      <c r="K23" s="41" t="str">
        <f t="shared" si="17"/>
        <v/>
      </c>
      <c r="L23" s="53" t="str">
        <f t="shared" si="17"/>
        <v/>
      </c>
      <c r="M23" s="40" t="str">
        <f>IF(M$6&gt;$E$3,"",IF(M22="","OD",IF(M22="Blank","Blank",IF(M22="TBC","TBC",IF(M22="Undefined","Undefined",IF(M22="Missed","Missed",IF(M22="OD","OD",IF(M$4="OD","OD",IF((M22-M21)&lt;=0,"G",IF((M22-(M21/0.95))&lt;=0,"A","R"))))))))))</f>
        <v>Blank</v>
      </c>
      <c r="N23" s="40" t="str">
        <f t="shared" ref="N23:BM23" si="18">IF(N$6&gt;$E$3,"",IF(N22="","OD",IF(N22="Blank","Blank",IF(N22="TBC","TBC",IF(N22="Undefined","Undefined",IF(N22="Missed","Missed",IF(N22="OD","OD",IF(N$4="OD","OD",IF((N22-N21)&lt;=0,"G",IF((N22-(N21/0.95))&lt;=0,"A","R"))))))))))</f>
        <v>TBC</v>
      </c>
      <c r="O23" s="40" t="str">
        <f t="shared" si="18"/>
        <v>TBC</v>
      </c>
      <c r="P23" s="40" t="str">
        <f t="shared" si="18"/>
        <v>TBC</v>
      </c>
      <c r="Q23" s="40" t="str">
        <f t="shared" si="18"/>
        <v>TBC</v>
      </c>
      <c r="R23" s="40" t="str">
        <f t="shared" si="18"/>
        <v>TBC</v>
      </c>
      <c r="S23" s="40" t="str">
        <f t="shared" si="18"/>
        <v>TBC</v>
      </c>
      <c r="T23" s="40" t="str">
        <f t="shared" si="18"/>
        <v>TBC</v>
      </c>
      <c r="U23" s="40" t="str">
        <f t="shared" si="18"/>
        <v>TBC</v>
      </c>
      <c r="V23" s="40" t="str">
        <f t="shared" si="18"/>
        <v>TBC</v>
      </c>
      <c r="W23" s="40" t="str">
        <f t="shared" si="18"/>
        <v>TBC</v>
      </c>
      <c r="X23" s="40" t="str">
        <f t="shared" si="18"/>
        <v>TBC</v>
      </c>
      <c r="Y23" s="40" t="str">
        <f t="shared" si="18"/>
        <v>TBC</v>
      </c>
      <c r="Z23" s="40" t="str">
        <f t="shared" si="18"/>
        <v>G</v>
      </c>
      <c r="AA23" s="40" t="str">
        <f t="shared" si="18"/>
        <v>G</v>
      </c>
      <c r="AB23" s="40" t="str">
        <f t="shared" si="18"/>
        <v>G</v>
      </c>
      <c r="AC23" s="40" t="str">
        <f t="shared" si="18"/>
        <v>G</v>
      </c>
      <c r="AD23" s="40" t="str">
        <f t="shared" si="18"/>
        <v>G</v>
      </c>
      <c r="AE23" s="40" t="str">
        <f t="shared" si="18"/>
        <v>G</v>
      </c>
      <c r="AF23" s="40" t="str">
        <f t="shared" si="18"/>
        <v>G</v>
      </c>
      <c r="AG23" s="40" t="str">
        <f t="shared" si="18"/>
        <v>G</v>
      </c>
      <c r="AH23" s="40" t="str">
        <f t="shared" si="18"/>
        <v>G</v>
      </c>
      <c r="AI23" s="40" t="str">
        <f t="shared" si="18"/>
        <v>G</v>
      </c>
      <c r="AJ23" s="40" t="str">
        <f t="shared" si="18"/>
        <v>R</v>
      </c>
      <c r="AK23" s="40" t="str">
        <f t="shared" si="18"/>
        <v>G</v>
      </c>
      <c r="AL23" s="40" t="str">
        <f t="shared" si="18"/>
        <v>G</v>
      </c>
      <c r="AM23" s="40" t="str">
        <f t="shared" si="18"/>
        <v>G</v>
      </c>
      <c r="AN23" s="40" t="str">
        <f t="shared" si="18"/>
        <v>OD</v>
      </c>
      <c r="AO23" s="40" t="str">
        <f t="shared" si="18"/>
        <v>OD</v>
      </c>
      <c r="AP23" s="40" t="str">
        <f t="shared" si="18"/>
        <v>OD</v>
      </c>
      <c r="AQ23" s="40" t="str">
        <f t="shared" si="18"/>
        <v>OD</v>
      </c>
      <c r="AR23" s="40" t="str">
        <f t="shared" si="18"/>
        <v>OD</v>
      </c>
      <c r="AS23" s="40" t="str">
        <f t="shared" si="18"/>
        <v>OD</v>
      </c>
      <c r="AT23" s="40" t="str">
        <f t="shared" si="18"/>
        <v>R</v>
      </c>
      <c r="AU23" s="40" t="str">
        <f t="shared" si="18"/>
        <v>G</v>
      </c>
      <c r="AV23" s="40" t="str">
        <f t="shared" si="18"/>
        <v>G</v>
      </c>
      <c r="AW23" s="40" t="str">
        <f t="shared" si="18"/>
        <v>G</v>
      </c>
      <c r="AX23" s="40" t="str">
        <f t="shared" si="18"/>
        <v>G</v>
      </c>
      <c r="AY23" s="40" t="str">
        <f t="shared" si="18"/>
        <v>G</v>
      </c>
      <c r="AZ23" s="40" t="str">
        <f t="shared" si="18"/>
        <v>G</v>
      </c>
      <c r="BA23" s="40">
        <v>0</v>
      </c>
      <c r="BB23" s="40" t="str">
        <f t="shared" si="18"/>
        <v>G</v>
      </c>
      <c r="BC23" s="40" t="str">
        <f t="shared" si="18"/>
        <v/>
      </c>
      <c r="BD23" s="40" t="str">
        <f t="shared" si="18"/>
        <v/>
      </c>
      <c r="BE23" s="40" t="str">
        <f t="shared" si="18"/>
        <v/>
      </c>
      <c r="BF23" s="40" t="str">
        <f t="shared" si="18"/>
        <v/>
      </c>
      <c r="BG23" s="40" t="str">
        <f t="shared" si="18"/>
        <v/>
      </c>
      <c r="BH23" s="40" t="str">
        <f t="shared" si="18"/>
        <v/>
      </c>
      <c r="BI23" s="40" t="str">
        <f t="shared" si="18"/>
        <v/>
      </c>
      <c r="BJ23" s="40" t="str">
        <f t="shared" si="18"/>
        <v/>
      </c>
      <c r="BK23" s="40" t="str">
        <f t="shared" si="18"/>
        <v/>
      </c>
      <c r="BL23" s="40" t="str">
        <f t="shared" si="18"/>
        <v/>
      </c>
      <c r="BM23" s="40" t="str">
        <f t="shared" si="18"/>
        <v/>
      </c>
      <c r="BN23" s="42"/>
    </row>
    <row r="24" spans="2:66" x14ac:dyDescent="0.3">
      <c r="C24" s="45"/>
    </row>
    <row r="25" spans="2:66" ht="15.6" x14ac:dyDescent="0.3">
      <c r="B25" s="1" t="s">
        <v>0</v>
      </c>
      <c r="C25" s="45" t="s">
        <v>1</v>
      </c>
    </row>
    <row r="26" spans="2:66" ht="15.6" x14ac:dyDescent="0.3">
      <c r="B26" s="4" t="s">
        <v>2</v>
      </c>
      <c r="C26" s="45" t="s">
        <v>3</v>
      </c>
    </row>
    <row r="27" spans="2:66" ht="15.6" x14ac:dyDescent="0.3">
      <c r="B27" s="5" t="s">
        <v>4</v>
      </c>
      <c r="C27" s="45" t="s">
        <v>5</v>
      </c>
      <c r="T27" s="388">
        <v>155</v>
      </c>
      <c r="U27" s="388">
        <v>155</v>
      </c>
    </row>
    <row r="28" spans="2:66" x14ac:dyDescent="0.3">
      <c r="B28" s="340" t="s">
        <v>35</v>
      </c>
      <c r="C28" s="13" t="s">
        <v>376</v>
      </c>
      <c r="T28" s="389">
        <v>150</v>
      </c>
      <c r="U28" s="389">
        <v>145</v>
      </c>
    </row>
    <row r="29" spans="2:66" x14ac:dyDescent="0.3">
      <c r="B29" s="341" t="s">
        <v>122</v>
      </c>
      <c r="C29" s="13" t="s">
        <v>377</v>
      </c>
      <c r="T29" s="40" t="str">
        <f>IF(T$6&gt;$E$2,"",IF(T28="Blank","Blank",IF(T28="TBC","TBC",IF(T28="","OD",IF((T28-T27)&gt;=0,"G",IF((T28-(T27*0.95))&gt;=0,"A","R"))))))</f>
        <v>A</v>
      </c>
      <c r="U29" s="40" t="str">
        <f>IF(U$6&gt;$E$2,"",IF(U28="Blank","Blank",IF(U28="TBC","TBC",IF(U28="","OD",IF((U28-U27)&gt;=0,"G",IF((U28-(U27*0.95))&gt;=0,"A","R"))))))</f>
        <v>R</v>
      </c>
    </row>
    <row r="30" spans="2:66" x14ac:dyDescent="0.3">
      <c r="T30" s="29">
        <v>95</v>
      </c>
      <c r="U30" s="29">
        <v>95</v>
      </c>
    </row>
    <row r="31" spans="2:66" x14ac:dyDescent="0.3">
      <c r="T31" s="35">
        <v>65</v>
      </c>
      <c r="U31" s="35">
        <v>67</v>
      </c>
    </row>
    <row r="32" spans="2:66" x14ac:dyDescent="0.3">
      <c r="C32" s="2"/>
      <c r="T32" s="40" t="str">
        <f>IF(T$6&gt;$E$2,"",IF(T31="Blank","Blank",IF(T31="TBC","TBC",IF(T31="","OD",IF((T31-T30)&gt;=0,"G",IF((T31-(T30*0.95))&gt;=0,"A","R"))))))</f>
        <v>R</v>
      </c>
      <c r="U32" s="40" t="str">
        <f>IF(U$6&gt;$E$2,"",IF(U31="Blank","Blank",IF(U31="TBC","TBC",IF(U31="","OD",IF((U31-U30)&gt;=0,"G",IF((U31-(U30*0.95))&gt;=0,"A","R"))))))</f>
        <v>R</v>
      </c>
    </row>
    <row r="33" spans="3:21" x14ac:dyDescent="0.3">
      <c r="C33" s="2"/>
      <c r="T33" s="29">
        <v>1</v>
      </c>
      <c r="U33" s="29">
        <v>1</v>
      </c>
    </row>
    <row r="34" spans="3:21" x14ac:dyDescent="0.3">
      <c r="C34" s="2"/>
      <c r="T34" s="35">
        <v>0</v>
      </c>
      <c r="U34" s="35">
        <v>1</v>
      </c>
    </row>
    <row r="35" spans="3:21" x14ac:dyDescent="0.3">
      <c r="C35" s="2"/>
      <c r="T35" s="40" t="str">
        <f>IF(T$6&gt;$E$2,"",IF(T34="Blank","Blank",IF(T34="TBC","TBC",IF(T34="","OD",IF((T34-T33)&lt;=0,"G",IF((T34-(T33*0.95))&lt;=0,"A","R"))))))</f>
        <v>G</v>
      </c>
      <c r="U35" s="40" t="str">
        <f>IF(U$6&gt;$E$2,"",IF(U34="Blank","Blank",IF(U34="TBC","TBC",IF(U34="","OD",IF((U34-U33)&lt;=0,"G",IF((U34-(U33*0.95))&lt;=0,"A","R"))))))</f>
        <v>G</v>
      </c>
    </row>
    <row r="36" spans="3:21" x14ac:dyDescent="0.3">
      <c r="C36" s="2"/>
      <c r="T36" s="29">
        <v>800</v>
      </c>
      <c r="U36" s="29">
        <v>800</v>
      </c>
    </row>
    <row r="37" spans="3:21" x14ac:dyDescent="0.3">
      <c r="C37" s="2"/>
      <c r="T37" s="35">
        <v>277</v>
      </c>
      <c r="U37" s="35">
        <v>632</v>
      </c>
    </row>
    <row r="38" spans="3:21" x14ac:dyDescent="0.3">
      <c r="C38" s="2"/>
      <c r="T38" s="40" t="str">
        <f>IF(T$6&gt;$E$2,"",IF(T37="Blank","Blank",IF(T37="TBC","TBC",IF(T37="","OD",IF((T37-T36)&gt;=0,"G",IF((T37-(T36*0.95))&gt;=0,"A","R"))))))</f>
        <v>R</v>
      </c>
      <c r="U38" s="40" t="str">
        <f>IF(U$6&gt;$E$2,"",IF(U37="Blank","Blank",IF(U37="TBC","TBC",IF(U37="","OD",IF((U37-U36)&gt;=0,"G",IF((U37-(U36*0.95))&gt;=0,"A","R"))))))</f>
        <v>R</v>
      </c>
    </row>
    <row r="39" spans="3:21" x14ac:dyDescent="0.3">
      <c r="C39" s="2"/>
    </row>
    <row r="40" spans="3:21" x14ac:dyDescent="0.3">
      <c r="C40" s="2"/>
    </row>
    <row r="41" spans="3:21" x14ac:dyDescent="0.3">
      <c r="C41" s="2"/>
    </row>
    <row r="42" spans="3:21" x14ac:dyDescent="0.3">
      <c r="C42" s="2"/>
    </row>
    <row r="43" spans="3:21" x14ac:dyDescent="0.3">
      <c r="C43" s="2"/>
    </row>
  </sheetData>
  <mergeCells count="31">
    <mergeCell ref="B11:B13"/>
    <mergeCell ref="C11:C13"/>
    <mergeCell ref="D11:D13"/>
    <mergeCell ref="G11:G13"/>
    <mergeCell ref="G6:G7"/>
    <mergeCell ref="B8:B10"/>
    <mergeCell ref="C8:C10"/>
    <mergeCell ref="D8:D10"/>
    <mergeCell ref="G8:G10"/>
    <mergeCell ref="E8:E10"/>
    <mergeCell ref="F8:F10"/>
    <mergeCell ref="E11:E13"/>
    <mergeCell ref="F11:F13"/>
    <mergeCell ref="G14:G16"/>
    <mergeCell ref="B17:B19"/>
    <mergeCell ref="C17:C19"/>
    <mergeCell ref="D17:D19"/>
    <mergeCell ref="G17:G19"/>
    <mergeCell ref="E14:E16"/>
    <mergeCell ref="F14:F16"/>
    <mergeCell ref="F17:F19"/>
    <mergeCell ref="E17:E19"/>
    <mergeCell ref="B14:B16"/>
    <mergeCell ref="C14:C16"/>
    <mergeCell ref="D14:D16"/>
    <mergeCell ref="G21:G23"/>
    <mergeCell ref="B21:B23"/>
    <mergeCell ref="C21:C23"/>
    <mergeCell ref="D21:D23"/>
    <mergeCell ref="E21:E23"/>
    <mergeCell ref="F21:F23"/>
  </mergeCells>
  <conditionalFormatting sqref="B29">
    <cfRule type="cellIs" dxfId="278" priority="70" operator="equal">
      <formula>"R"</formula>
    </cfRule>
    <cfRule type="cellIs" dxfId="277" priority="69" operator="equal">
      <formula>"A"</formula>
    </cfRule>
    <cfRule type="cellIs" dxfId="276" priority="68" operator="equal">
      <formula>"G"</formula>
    </cfRule>
    <cfRule type="cellIs" dxfId="275" priority="67" operator="equal">
      <formula>"OD"</formula>
    </cfRule>
    <cfRule type="cellIs" dxfId="274" priority="66" operator="equal">
      <formula>"TBC"</formula>
    </cfRule>
  </conditionalFormatting>
  <conditionalFormatting sqref="I23:L23">
    <cfRule type="cellIs" dxfId="273" priority="57" operator="equal">
      <formula>"OD"</formula>
    </cfRule>
    <cfRule type="cellIs" dxfId="272" priority="56" operator="equal">
      <formula>"TBC"</formula>
    </cfRule>
  </conditionalFormatting>
  <conditionalFormatting sqref="I10:M10 Z10:BM10 I13:L13 I16:L16 I19:L19">
    <cfRule type="cellIs" dxfId="271" priority="72" operator="equal">
      <formula>"OD"</formula>
    </cfRule>
    <cfRule type="cellIs" dxfId="270" priority="71" operator="equal">
      <formula>"TBC"</formula>
    </cfRule>
  </conditionalFormatting>
  <conditionalFormatting sqref="I10:BM10">
    <cfRule type="cellIs" dxfId="269" priority="55" operator="equal">
      <formula>"R"</formula>
    </cfRule>
    <cfRule type="cellIs" dxfId="268" priority="54" operator="equal">
      <formula>"A"</formula>
    </cfRule>
    <cfRule type="cellIs" dxfId="267" priority="53" operator="equal">
      <formula>"G"</formula>
    </cfRule>
  </conditionalFormatting>
  <conditionalFormatting sqref="I13:BM13">
    <cfRule type="cellIs" dxfId="266" priority="19" operator="equal">
      <formula>"A"</formula>
    </cfRule>
    <cfRule type="cellIs" dxfId="265" priority="20" operator="equal">
      <formula>"R"</formula>
    </cfRule>
    <cfRule type="cellIs" dxfId="264" priority="18" operator="equal">
      <formula>"G"</formula>
    </cfRule>
  </conditionalFormatting>
  <conditionalFormatting sqref="I16:BM16">
    <cfRule type="cellIs" dxfId="263" priority="10" operator="equal">
      <formula>"R"</formula>
    </cfRule>
    <cfRule type="cellIs" dxfId="262" priority="9" operator="equal">
      <formula>"A"</formula>
    </cfRule>
    <cfRule type="cellIs" dxfId="261" priority="8" operator="equal">
      <formula>"G"</formula>
    </cfRule>
  </conditionalFormatting>
  <conditionalFormatting sqref="I19:BM19">
    <cfRule type="cellIs" dxfId="260" priority="15" operator="equal">
      <formula>"R"</formula>
    </cfRule>
    <cfRule type="cellIs" dxfId="259" priority="14" operator="equal">
      <formula>"A"</formula>
    </cfRule>
    <cfRule type="cellIs" dxfId="258" priority="13" operator="equal">
      <formula>"G"</formula>
    </cfRule>
  </conditionalFormatting>
  <conditionalFormatting sqref="I23:BM23">
    <cfRule type="cellIs" dxfId="257" priority="3" operator="equal">
      <formula>"G"</formula>
    </cfRule>
    <cfRule type="cellIs" dxfId="256" priority="4" operator="equal">
      <formula>"A"</formula>
    </cfRule>
    <cfRule type="cellIs" dxfId="255" priority="5" operator="equal">
      <formula>"R"</formula>
    </cfRule>
  </conditionalFormatting>
  <conditionalFormatting sqref="M13:BM13">
    <cfRule type="cellIs" dxfId="254" priority="17" operator="equal">
      <formula>"TBC"</formula>
    </cfRule>
    <cfRule type="cellIs" dxfId="253" priority="16" operator="equal">
      <formula>"OD"</formula>
    </cfRule>
  </conditionalFormatting>
  <conditionalFormatting sqref="M16:BM16">
    <cfRule type="cellIs" dxfId="252" priority="6" operator="equal">
      <formula>"OD"</formula>
    </cfRule>
    <cfRule type="cellIs" dxfId="251" priority="7" operator="equal">
      <formula>"TBC"</formula>
    </cfRule>
  </conditionalFormatting>
  <conditionalFormatting sqref="M19:BM19">
    <cfRule type="cellIs" dxfId="250" priority="12" operator="equal">
      <formula>"TBC"</formula>
    </cfRule>
    <cfRule type="cellIs" dxfId="249" priority="11" operator="equal">
      <formula>"OD"</formula>
    </cfRule>
  </conditionalFormatting>
  <conditionalFormatting sqref="M23:BM23">
    <cfRule type="cellIs" dxfId="248" priority="2" operator="equal">
      <formula>"TBC"</formula>
    </cfRule>
    <cfRule type="cellIs" dxfId="247" priority="1" operator="equal">
      <formula>"OD"</formula>
    </cfRule>
  </conditionalFormatting>
  <conditionalFormatting sqref="N10:Y10">
    <cfRule type="cellIs" dxfId="246" priority="51" operator="equal">
      <formula>"OD"</formula>
    </cfRule>
    <cfRule type="cellIs" dxfId="245" priority="52" operator="equal">
      <formula>"TBC"</formula>
    </cfRule>
  </conditionalFormatting>
  <conditionalFormatting sqref="T29:U29 T32:U32 T35:U35 T38:U38">
    <cfRule type="cellIs" dxfId="244" priority="61" operator="equal">
      <formula>"TBC"</formula>
    </cfRule>
    <cfRule type="cellIs" dxfId="243" priority="62" operator="equal">
      <formula>"OD"</formula>
    </cfRule>
    <cfRule type="cellIs" dxfId="242" priority="63" operator="equal">
      <formula>"G"</formula>
    </cfRule>
    <cfRule type="cellIs" dxfId="241" priority="64" operator="equal">
      <formula>"A"</formula>
    </cfRule>
    <cfRule type="cellIs" dxfId="240" priority="65" operator="equal">
      <formula>"R"</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BC186-2697-4497-A925-6297A10FF656}">
  <sheetPr>
    <tabColor rgb="FFFFC000"/>
  </sheetPr>
  <dimension ref="B1:BN30"/>
  <sheetViews>
    <sheetView workbookViewId="0">
      <pane xSplit="8" ySplit="7" topLeftCell="AR8" activePane="bottomRight" state="frozen"/>
      <selection pane="topRight" activeCell="I1" sqref="I1"/>
      <selection pane="bottomLeft" activeCell="A8" sqref="A8"/>
      <selection pane="bottomRight" activeCell="E2" sqref="E2"/>
    </sheetView>
  </sheetViews>
  <sheetFormatPr defaultColWidth="9.33203125" defaultRowHeight="14.4" x14ac:dyDescent="0.3"/>
  <cols>
    <col min="1" max="1" width="3" style="2" customWidth="1"/>
    <col min="2" max="2" width="16.44140625" style="2" customWidth="1"/>
    <col min="3" max="3" width="16.5546875" style="13" bestFit="1" customWidth="1"/>
    <col min="4" max="4" width="25.33203125" style="2" customWidth="1"/>
    <col min="5" max="5" width="6.5546875" style="2" customWidth="1"/>
    <col min="6" max="6" width="7.88671875" style="2" customWidth="1"/>
    <col min="7" max="7" width="31.33203125" style="2" customWidth="1"/>
    <col min="8" max="8" width="9.44140625" style="2" bestFit="1" customWidth="1"/>
    <col min="9" max="12" width="3" style="2" bestFit="1" customWidth="1"/>
    <col min="13" max="25" width="8.88671875" style="2" customWidth="1"/>
    <col min="26" max="26" width="11.21875" style="2" customWidth="1"/>
    <col min="27" max="65" width="8.88671875" style="2" customWidth="1"/>
    <col min="66" max="66" width="4" style="2"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8.600000000000001" thickBot="1" x14ac:dyDescent="0.35">
      <c r="B1" s="14" t="s">
        <v>121</v>
      </c>
      <c r="C1" s="10" t="s">
        <v>643</v>
      </c>
    </row>
    <row r="2" spans="2:66" ht="15" thickBot="1" x14ac:dyDescent="0.35">
      <c r="D2" s="119" t="s">
        <v>123</v>
      </c>
      <c r="E2" s="346">
        <v>42</v>
      </c>
      <c r="F2" s="2" t="s">
        <v>248</v>
      </c>
    </row>
    <row r="3" spans="2:66" ht="15" customHeight="1" thickBot="1" x14ac:dyDescent="0.35">
      <c r="B3" s="2" t="s">
        <v>384</v>
      </c>
      <c r="D3" s="120" t="s">
        <v>193</v>
      </c>
      <c r="E3" s="120">
        <f>+'KPI Analysis'!D3</f>
        <v>42</v>
      </c>
    </row>
    <row r="4" spans="2:66" ht="26.4"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5" thickBot="1" x14ac:dyDescent="0.35"/>
    <row r="6" spans="2:66" ht="24" customHeight="1" x14ac:dyDescent="0.3">
      <c r="B6" s="14" t="s">
        <v>79</v>
      </c>
      <c r="C6" s="926" t="s">
        <v>11</v>
      </c>
      <c r="D6" s="927"/>
      <c r="E6" s="106"/>
      <c r="F6" s="106"/>
      <c r="G6" s="928" t="s">
        <v>37</v>
      </c>
      <c r="H6" s="15" t="s">
        <v>7</v>
      </c>
      <c r="I6" s="16">
        <f>J6-1</f>
        <v>49</v>
      </c>
      <c r="J6" s="17">
        <f>K6-1</f>
        <v>50</v>
      </c>
      <c r="K6" s="17">
        <f>L6-1</f>
        <v>51</v>
      </c>
      <c r="L6" s="55">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37.950000000000003" customHeight="1" x14ac:dyDescent="0.3">
      <c r="B7" s="14" t="s">
        <v>38</v>
      </c>
      <c r="C7" s="21" t="s">
        <v>39</v>
      </c>
      <c r="D7" s="21" t="s">
        <v>40</v>
      </c>
      <c r="E7" s="21" t="s">
        <v>140</v>
      </c>
      <c r="F7" s="21" t="s">
        <v>159</v>
      </c>
      <c r="G7" s="929"/>
      <c r="H7" s="15" t="s">
        <v>41</v>
      </c>
      <c r="I7" s="22">
        <f t="shared" ref="I7:K7" si="2">J7-7</f>
        <v>45632</v>
      </c>
      <c r="J7" s="23">
        <f t="shared" si="2"/>
        <v>45639</v>
      </c>
      <c r="K7" s="23">
        <f t="shared" si="2"/>
        <v>45646</v>
      </c>
      <c r="L7" s="56">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24" customHeight="1" x14ac:dyDescent="0.3">
      <c r="B8" s="920" t="s">
        <v>30</v>
      </c>
      <c r="C8" s="922" t="s">
        <v>418</v>
      </c>
      <c r="D8" s="922" t="s">
        <v>457</v>
      </c>
      <c r="E8" s="922" t="s">
        <v>169</v>
      </c>
      <c r="F8" s="922" t="s">
        <v>154</v>
      </c>
      <c r="G8" s="952" t="s">
        <v>456</v>
      </c>
      <c r="H8" s="27" t="s">
        <v>44</v>
      </c>
      <c r="I8" s="28"/>
      <c r="J8" s="29"/>
      <c r="K8" s="29"/>
      <c r="L8" s="51"/>
      <c r="M8" s="391" t="s">
        <v>122</v>
      </c>
      <c r="N8" s="29" t="s">
        <v>35</v>
      </c>
      <c r="O8" s="29" t="s">
        <v>35</v>
      </c>
      <c r="P8" s="29" t="s">
        <v>35</v>
      </c>
      <c r="Q8" s="29" t="s">
        <v>35</v>
      </c>
      <c r="R8" s="29" t="s">
        <v>35</v>
      </c>
      <c r="S8" s="29" t="s">
        <v>35</v>
      </c>
      <c r="T8" s="29" t="s">
        <v>35</v>
      </c>
      <c r="U8" s="29" t="s">
        <v>35</v>
      </c>
      <c r="V8" s="29" t="s">
        <v>35</v>
      </c>
      <c r="W8" s="29" t="s">
        <v>35</v>
      </c>
      <c r="X8" s="29" t="s">
        <v>35</v>
      </c>
      <c r="Y8" s="29" t="s">
        <v>35</v>
      </c>
      <c r="Z8" s="391">
        <v>880800</v>
      </c>
      <c r="AA8" s="391">
        <v>829400</v>
      </c>
      <c r="AB8" s="391">
        <v>663460</v>
      </c>
      <c r="AC8" s="391">
        <v>663460</v>
      </c>
      <c r="AD8" s="391">
        <v>878565</v>
      </c>
      <c r="AE8" s="391">
        <v>761940</v>
      </c>
      <c r="AF8" s="391">
        <v>952425</v>
      </c>
      <c r="AG8" s="391" t="s">
        <v>194</v>
      </c>
      <c r="AH8" s="391" t="s">
        <v>194</v>
      </c>
      <c r="AI8" s="391" t="s">
        <v>194</v>
      </c>
      <c r="AJ8" s="391" t="s">
        <v>194</v>
      </c>
      <c r="AK8" s="391" t="s">
        <v>194</v>
      </c>
      <c r="AL8" s="391" t="s">
        <v>194</v>
      </c>
      <c r="AM8" s="391" t="s">
        <v>194</v>
      </c>
      <c r="AN8" s="391">
        <v>0</v>
      </c>
      <c r="AO8" s="391">
        <v>0</v>
      </c>
      <c r="AP8" s="391">
        <v>0</v>
      </c>
      <c r="AQ8" s="391">
        <v>0</v>
      </c>
      <c r="AR8" s="391">
        <v>0</v>
      </c>
      <c r="AS8" s="391">
        <v>0</v>
      </c>
      <c r="AT8" s="391">
        <v>0</v>
      </c>
      <c r="AU8" s="391">
        <v>0</v>
      </c>
      <c r="AV8" s="391">
        <v>0</v>
      </c>
      <c r="AW8" s="391">
        <v>0</v>
      </c>
      <c r="AX8" s="391">
        <v>0</v>
      </c>
      <c r="AY8" s="391">
        <v>0</v>
      </c>
      <c r="AZ8" s="391">
        <v>0</v>
      </c>
      <c r="BA8" s="391">
        <v>0</v>
      </c>
      <c r="BB8" s="391">
        <v>0</v>
      </c>
      <c r="BC8" s="391">
        <v>0</v>
      </c>
      <c r="BD8" s="391">
        <v>0</v>
      </c>
      <c r="BE8" s="391">
        <v>0</v>
      </c>
      <c r="BF8" s="391">
        <v>0</v>
      </c>
      <c r="BG8" s="391">
        <v>0</v>
      </c>
      <c r="BH8" s="391">
        <v>0</v>
      </c>
      <c r="BI8" s="391">
        <v>0</v>
      </c>
      <c r="BJ8" s="391">
        <v>0</v>
      </c>
      <c r="BK8" s="391">
        <v>0</v>
      </c>
      <c r="BL8" s="391">
        <v>0</v>
      </c>
      <c r="BM8" s="391">
        <v>0</v>
      </c>
      <c r="BN8" s="391"/>
    </row>
    <row r="9" spans="2:66" ht="24" customHeight="1" x14ac:dyDescent="0.3">
      <c r="B9" s="920"/>
      <c r="C9" s="921"/>
      <c r="D9" s="921"/>
      <c r="E9" s="921"/>
      <c r="F9" s="921"/>
      <c r="G9" s="953"/>
      <c r="H9" s="33" t="s">
        <v>45</v>
      </c>
      <c r="I9" s="34"/>
      <c r="J9" s="35"/>
      <c r="K9" s="35"/>
      <c r="L9" s="52"/>
      <c r="M9" s="392" t="s">
        <v>122</v>
      </c>
      <c r="N9" s="35" t="s">
        <v>35</v>
      </c>
      <c r="O9" s="35" t="s">
        <v>35</v>
      </c>
      <c r="P9" s="35" t="s">
        <v>35</v>
      </c>
      <c r="Q9" s="35" t="s">
        <v>35</v>
      </c>
      <c r="R9" s="35" t="s">
        <v>35</v>
      </c>
      <c r="S9" s="35" t="s">
        <v>35</v>
      </c>
      <c r="T9" s="35" t="s">
        <v>35</v>
      </c>
      <c r="U9" s="35" t="s">
        <v>35</v>
      </c>
      <c r="V9" s="35" t="s">
        <v>35</v>
      </c>
      <c r="W9" s="35" t="s">
        <v>35</v>
      </c>
      <c r="X9" s="35" t="s">
        <v>35</v>
      </c>
      <c r="Y9" s="35" t="s">
        <v>35</v>
      </c>
      <c r="Z9" s="392">
        <v>1050000</v>
      </c>
      <c r="AA9" s="392">
        <v>755000</v>
      </c>
      <c r="AB9" s="392">
        <v>692352</v>
      </c>
      <c r="AC9" s="392">
        <v>513144</v>
      </c>
      <c r="AD9" s="392">
        <v>913785</v>
      </c>
      <c r="AE9" s="392">
        <v>613595</v>
      </c>
      <c r="AF9" s="392">
        <v>845396</v>
      </c>
      <c r="AG9" s="392" t="s">
        <v>194</v>
      </c>
      <c r="AH9" s="392" t="s">
        <v>194</v>
      </c>
      <c r="AI9" s="392" t="s">
        <v>194</v>
      </c>
      <c r="AJ9" s="392" t="s">
        <v>194</v>
      </c>
      <c r="AK9" s="392" t="s">
        <v>194</v>
      </c>
      <c r="AL9" s="392" t="s">
        <v>194</v>
      </c>
      <c r="AM9" s="392" t="s">
        <v>194</v>
      </c>
      <c r="AN9" s="392" t="s">
        <v>194</v>
      </c>
      <c r="AO9" s="392" t="s">
        <v>194</v>
      </c>
      <c r="AP9" s="392" t="s">
        <v>194</v>
      </c>
      <c r="AQ9" s="392" t="s">
        <v>194</v>
      </c>
      <c r="AR9" s="392" t="s">
        <v>194</v>
      </c>
      <c r="AS9" s="392" t="s">
        <v>194</v>
      </c>
      <c r="AT9" s="392"/>
      <c r="AU9" s="392"/>
      <c r="AV9" s="392"/>
      <c r="AW9" s="392"/>
      <c r="AX9" s="392"/>
      <c r="AY9" s="392"/>
      <c r="AZ9" s="392"/>
      <c r="BA9" s="392"/>
      <c r="BB9" s="392"/>
      <c r="BC9" s="392"/>
      <c r="BD9" s="392"/>
      <c r="BE9" s="392"/>
      <c r="BF9" s="392"/>
      <c r="BG9" s="392"/>
      <c r="BH9" s="392"/>
      <c r="BI9" s="392"/>
      <c r="BJ9" s="392"/>
      <c r="BK9" s="392"/>
      <c r="BL9" s="392"/>
      <c r="BM9" s="392"/>
      <c r="BN9" s="392"/>
    </row>
    <row r="10" spans="2:66" ht="24" customHeight="1" x14ac:dyDescent="0.3">
      <c r="B10" s="920"/>
      <c r="C10" s="921"/>
      <c r="D10" s="921"/>
      <c r="E10" s="921"/>
      <c r="F10" s="921"/>
      <c r="G10" s="953"/>
      <c r="H10" s="38" t="s">
        <v>46</v>
      </c>
      <c r="I10" s="39"/>
      <c r="J10" s="40"/>
      <c r="K10" s="40"/>
      <c r="L10" s="53"/>
      <c r="M10" s="40" t="str">
        <f>IF(M$6&gt;$E$3,"",IF(M9="","OD",IF(M9="Blank","Blank",IF(M9="TBC","TBC",IF(M9="Undefined","Undefined",IF(M9="Missed","Missed",IF(M9="OD","OD",IF(M$4="OD","OD",IF((M9-M8)&gt;=0,"G",IF((M9-(M8*0.95))&gt;=0,"A","R"))))))))))</f>
        <v>Blank</v>
      </c>
      <c r="N10" s="40" t="str">
        <f t="shared" ref="N10:BM10" si="4">IF(N$6&gt;$E$3,"",IF(N9="","OD",IF(N9="Blank","Blank",IF(N9="TBC","TBC",IF(N9="Undefined","Undefined",IF(N9="Missed","Missed",IF(N9="OD","OD",IF(N$4="OD","OD",IF((N9-N8)&gt;=0,"G",IF((N9-(N8*0.95))&gt;=0,"A","R"))))))))))</f>
        <v>TBC</v>
      </c>
      <c r="O10" s="40" t="str">
        <f t="shared" si="4"/>
        <v>TBC</v>
      </c>
      <c r="P10" s="40" t="str">
        <f t="shared" si="4"/>
        <v>TBC</v>
      </c>
      <c r="Q10" s="40" t="str">
        <f t="shared" si="4"/>
        <v>TBC</v>
      </c>
      <c r="R10" s="40" t="str">
        <f t="shared" si="4"/>
        <v>TBC</v>
      </c>
      <c r="S10" s="40" t="str">
        <f t="shared" si="4"/>
        <v>TBC</v>
      </c>
      <c r="T10" s="40" t="str">
        <f t="shared" si="4"/>
        <v>TBC</v>
      </c>
      <c r="U10" s="40" t="str">
        <f t="shared" si="4"/>
        <v>TBC</v>
      </c>
      <c r="V10" s="40" t="str">
        <f t="shared" si="4"/>
        <v>TBC</v>
      </c>
      <c r="W10" s="40" t="str">
        <f t="shared" si="4"/>
        <v>TBC</v>
      </c>
      <c r="X10" s="40" t="str">
        <f t="shared" si="4"/>
        <v>TBC</v>
      </c>
      <c r="Y10" s="40" t="str">
        <f t="shared" si="4"/>
        <v>TBC</v>
      </c>
      <c r="Z10" s="40" t="str">
        <f t="shared" si="4"/>
        <v>G</v>
      </c>
      <c r="AA10" s="40" t="str">
        <f t="shared" si="4"/>
        <v>R</v>
      </c>
      <c r="AB10" s="40" t="str">
        <f t="shared" si="4"/>
        <v>G</v>
      </c>
      <c r="AC10" s="40" t="str">
        <f t="shared" si="4"/>
        <v>R</v>
      </c>
      <c r="AD10" s="40" t="str">
        <f t="shared" si="4"/>
        <v>G</v>
      </c>
      <c r="AE10" s="40" t="str">
        <f t="shared" si="4"/>
        <v>R</v>
      </c>
      <c r="AF10" s="40" t="str">
        <f t="shared" si="4"/>
        <v>R</v>
      </c>
      <c r="AG10" s="40" t="str">
        <f t="shared" si="4"/>
        <v>OD</v>
      </c>
      <c r="AH10" s="40" t="str">
        <f t="shared" si="4"/>
        <v>OD</v>
      </c>
      <c r="AI10" s="40" t="str">
        <f t="shared" si="4"/>
        <v>OD</v>
      </c>
      <c r="AJ10" s="40" t="str">
        <f t="shared" si="4"/>
        <v>OD</v>
      </c>
      <c r="AK10" s="40" t="str">
        <f t="shared" si="4"/>
        <v>OD</v>
      </c>
      <c r="AL10" s="40" t="str">
        <f t="shared" si="4"/>
        <v>OD</v>
      </c>
      <c r="AM10" s="40" t="str">
        <f t="shared" si="4"/>
        <v>OD</v>
      </c>
      <c r="AN10" s="40" t="str">
        <f t="shared" si="4"/>
        <v>OD</v>
      </c>
      <c r="AO10" s="40" t="str">
        <f t="shared" si="4"/>
        <v>OD</v>
      </c>
      <c r="AP10" s="40" t="str">
        <f t="shared" si="4"/>
        <v>OD</v>
      </c>
      <c r="AQ10" s="40" t="str">
        <f t="shared" si="4"/>
        <v>OD</v>
      </c>
      <c r="AR10" s="40" t="str">
        <f t="shared" si="4"/>
        <v>OD</v>
      </c>
      <c r="AS10" s="40" t="str">
        <f t="shared" si="4"/>
        <v>OD</v>
      </c>
      <c r="AT10" s="40" t="str">
        <f t="shared" si="4"/>
        <v>OD</v>
      </c>
      <c r="AU10" s="40" t="str">
        <f t="shared" si="4"/>
        <v>OD</v>
      </c>
      <c r="AV10" s="40" t="str">
        <f t="shared" si="4"/>
        <v>OD</v>
      </c>
      <c r="AW10" s="40" t="str">
        <f t="shared" si="4"/>
        <v>OD</v>
      </c>
      <c r="AX10" s="40" t="str">
        <f t="shared" si="4"/>
        <v>OD</v>
      </c>
      <c r="AY10" s="40" t="str">
        <f t="shared" si="4"/>
        <v>OD</v>
      </c>
      <c r="AZ10" s="40" t="str">
        <f t="shared" si="4"/>
        <v>OD</v>
      </c>
      <c r="BA10" s="40" t="str">
        <f t="shared" si="4"/>
        <v>OD</v>
      </c>
      <c r="BB10" s="40" t="str">
        <f t="shared" si="4"/>
        <v>OD</v>
      </c>
      <c r="BC10" s="40" t="str">
        <f t="shared" si="4"/>
        <v/>
      </c>
      <c r="BD10" s="40" t="str">
        <f t="shared" si="4"/>
        <v/>
      </c>
      <c r="BE10" s="40" t="str">
        <f t="shared" si="4"/>
        <v/>
      </c>
      <c r="BF10" s="40" t="str">
        <f t="shared" si="4"/>
        <v/>
      </c>
      <c r="BG10" s="40" t="str">
        <f t="shared" si="4"/>
        <v/>
      </c>
      <c r="BH10" s="40" t="str">
        <f t="shared" si="4"/>
        <v/>
      </c>
      <c r="BI10" s="40" t="str">
        <f t="shared" si="4"/>
        <v/>
      </c>
      <c r="BJ10" s="40" t="str">
        <f t="shared" si="4"/>
        <v/>
      </c>
      <c r="BK10" s="40" t="str">
        <f t="shared" si="4"/>
        <v/>
      </c>
      <c r="BL10" s="40" t="str">
        <f t="shared" si="4"/>
        <v/>
      </c>
      <c r="BM10" s="40" t="str">
        <f t="shared" si="4"/>
        <v/>
      </c>
      <c r="BN10" s="40" t="str">
        <f>IF(BN$6&gt;$E$2,"",IF(BN9="Undefined","Undefined",IF(BN9="TBC","TBC",IF(BN9="","OD",IF((BN9-BN8)&gt;=0,"G",IF((BN9-(BN8*0.95))&gt;=0,"A","R"))))))</f>
        <v/>
      </c>
    </row>
    <row r="11" spans="2:66" ht="24" customHeight="1" x14ac:dyDescent="0.3">
      <c r="B11" s="920" t="s">
        <v>33</v>
      </c>
      <c r="C11" s="922" t="s">
        <v>416</v>
      </c>
      <c r="D11" s="922" t="s">
        <v>458</v>
      </c>
      <c r="E11" s="921" t="s">
        <v>144</v>
      </c>
      <c r="F11" s="922" t="s">
        <v>154</v>
      </c>
      <c r="G11" s="919" t="s">
        <v>441</v>
      </c>
      <c r="H11" s="27" t="s">
        <v>44</v>
      </c>
      <c r="I11" s="28"/>
      <c r="J11" s="29"/>
      <c r="K11" s="29"/>
      <c r="L11" s="51"/>
      <c r="M11" s="97" t="s">
        <v>122</v>
      </c>
      <c r="N11" s="29" t="s">
        <v>35</v>
      </c>
      <c r="O11" s="29" t="s">
        <v>35</v>
      </c>
      <c r="P11" s="29" t="s">
        <v>35</v>
      </c>
      <c r="Q11" s="29" t="s">
        <v>35</v>
      </c>
      <c r="R11" s="29" t="s">
        <v>35</v>
      </c>
      <c r="S11" s="29" t="s">
        <v>35</v>
      </c>
      <c r="T11" s="29" t="s">
        <v>35</v>
      </c>
      <c r="U11" s="29" t="s">
        <v>35</v>
      </c>
      <c r="V11" s="29" t="s">
        <v>35</v>
      </c>
      <c r="W11" s="29" t="s">
        <v>35</v>
      </c>
      <c r="X11" s="29" t="s">
        <v>35</v>
      </c>
      <c r="Y11" s="29" t="s">
        <v>35</v>
      </c>
      <c r="Z11" s="97">
        <v>0.95</v>
      </c>
      <c r="AA11" s="97">
        <v>0.95</v>
      </c>
      <c r="AB11" s="97">
        <v>0.95</v>
      </c>
      <c r="AC11" s="97">
        <v>0.95</v>
      </c>
      <c r="AD11" s="97">
        <v>0.95</v>
      </c>
      <c r="AE11" s="97">
        <v>0.95</v>
      </c>
      <c r="AF11" s="97">
        <v>0.95</v>
      </c>
      <c r="AG11" s="391" t="s">
        <v>194</v>
      </c>
      <c r="AH11" s="391" t="s">
        <v>194</v>
      </c>
      <c r="AI11" s="391" t="s">
        <v>194</v>
      </c>
      <c r="AJ11" s="391" t="s">
        <v>194</v>
      </c>
      <c r="AK11" s="391" t="s">
        <v>194</v>
      </c>
      <c r="AL11" s="391" t="s">
        <v>194</v>
      </c>
      <c r="AM11" s="391" t="s">
        <v>194</v>
      </c>
      <c r="AN11" s="97">
        <v>0</v>
      </c>
      <c r="AO11" s="97">
        <v>0</v>
      </c>
      <c r="AP11" s="97">
        <v>0</v>
      </c>
      <c r="AQ11" s="97">
        <v>0</v>
      </c>
      <c r="AR11" s="97">
        <v>0</v>
      </c>
      <c r="AS11" s="97">
        <v>0</v>
      </c>
      <c r="AT11" s="97">
        <v>0</v>
      </c>
      <c r="AU11" s="97">
        <v>0</v>
      </c>
      <c r="AV11" s="97">
        <v>0</v>
      </c>
      <c r="AW11" s="97">
        <v>0</v>
      </c>
      <c r="AX11" s="97">
        <v>0</v>
      </c>
      <c r="AY11" s="97">
        <v>0</v>
      </c>
      <c r="AZ11" s="97">
        <v>0</v>
      </c>
      <c r="BA11" s="97">
        <v>0</v>
      </c>
      <c r="BB11" s="97">
        <v>0</v>
      </c>
      <c r="BC11" s="97">
        <v>0</v>
      </c>
      <c r="BD11" s="97">
        <v>0</v>
      </c>
      <c r="BE11" s="97">
        <v>0</v>
      </c>
      <c r="BF11" s="97">
        <v>0</v>
      </c>
      <c r="BG11" s="97">
        <v>0</v>
      </c>
      <c r="BH11" s="97">
        <v>0</v>
      </c>
      <c r="BI11" s="97">
        <v>0</v>
      </c>
      <c r="BJ11" s="97">
        <v>0</v>
      </c>
      <c r="BK11" s="97">
        <v>0</v>
      </c>
      <c r="BL11" s="97">
        <v>0</v>
      </c>
      <c r="BM11" s="97">
        <v>0</v>
      </c>
      <c r="BN11" s="97"/>
    </row>
    <row r="12" spans="2:66" ht="24" customHeight="1" x14ac:dyDescent="0.3">
      <c r="B12" s="920"/>
      <c r="C12" s="921"/>
      <c r="D12" s="921"/>
      <c r="E12" s="921"/>
      <c r="F12" s="921"/>
      <c r="G12" s="919"/>
      <c r="H12" s="33" t="s">
        <v>45</v>
      </c>
      <c r="I12" s="34"/>
      <c r="J12" s="35"/>
      <c r="K12" s="35"/>
      <c r="L12" s="52"/>
      <c r="M12" s="390" t="s">
        <v>122</v>
      </c>
      <c r="N12" s="35" t="s">
        <v>35</v>
      </c>
      <c r="O12" s="35" t="s">
        <v>35</v>
      </c>
      <c r="P12" s="35" t="s">
        <v>35</v>
      </c>
      <c r="Q12" s="35" t="s">
        <v>35</v>
      </c>
      <c r="R12" s="35" t="s">
        <v>35</v>
      </c>
      <c r="S12" s="35" t="s">
        <v>35</v>
      </c>
      <c r="T12" s="35" t="s">
        <v>35</v>
      </c>
      <c r="U12" s="35" t="s">
        <v>35</v>
      </c>
      <c r="V12" s="35" t="s">
        <v>35</v>
      </c>
      <c r="W12" s="35" t="s">
        <v>35</v>
      </c>
      <c r="X12" s="35" t="s">
        <v>35</v>
      </c>
      <c r="Y12" s="35" t="s">
        <v>35</v>
      </c>
      <c r="Z12" s="390">
        <v>0.88</v>
      </c>
      <c r="AA12" s="390">
        <v>0.90400000000000003</v>
      </c>
      <c r="AB12" s="390">
        <v>0.93</v>
      </c>
      <c r="AC12" s="390">
        <v>0.93</v>
      </c>
      <c r="AD12" s="390">
        <v>0.84</v>
      </c>
      <c r="AE12" s="390">
        <v>0.71</v>
      </c>
      <c r="AF12" s="390">
        <v>0.84</v>
      </c>
      <c r="AG12" s="392" t="s">
        <v>194</v>
      </c>
      <c r="AH12" s="392" t="s">
        <v>194</v>
      </c>
      <c r="AI12" s="392" t="s">
        <v>194</v>
      </c>
      <c r="AJ12" s="392" t="s">
        <v>194</v>
      </c>
      <c r="AK12" s="392" t="s">
        <v>194</v>
      </c>
      <c r="AL12" s="392" t="s">
        <v>194</v>
      </c>
      <c r="AM12" s="392" t="s">
        <v>194</v>
      </c>
      <c r="AN12" s="392" t="s">
        <v>194</v>
      </c>
      <c r="AO12" s="392" t="s">
        <v>194</v>
      </c>
      <c r="AP12" s="392" t="s">
        <v>194</v>
      </c>
      <c r="AQ12" s="392" t="s">
        <v>194</v>
      </c>
      <c r="AR12" s="392" t="s">
        <v>194</v>
      </c>
      <c r="AS12" s="392" t="s">
        <v>194</v>
      </c>
      <c r="AT12" s="390"/>
      <c r="AU12" s="390"/>
      <c r="AV12" s="390"/>
      <c r="AW12" s="390"/>
      <c r="AX12" s="390"/>
      <c r="AY12" s="390"/>
      <c r="AZ12" s="390"/>
      <c r="BA12" s="390"/>
      <c r="BB12" s="390"/>
      <c r="BC12" s="390"/>
      <c r="BD12" s="390"/>
      <c r="BE12" s="390"/>
      <c r="BF12" s="390"/>
      <c r="BG12" s="390"/>
      <c r="BH12" s="390"/>
      <c r="BI12" s="390"/>
      <c r="BJ12" s="390"/>
      <c r="BK12" s="390"/>
      <c r="BL12" s="390"/>
      <c r="BM12" s="390"/>
      <c r="BN12" s="390"/>
    </row>
    <row r="13" spans="2:66" ht="24" customHeight="1" x14ac:dyDescent="0.3">
      <c r="B13" s="920"/>
      <c r="C13" s="921"/>
      <c r="D13" s="921"/>
      <c r="E13" s="921"/>
      <c r="F13" s="921"/>
      <c r="G13" s="919"/>
      <c r="H13" s="38" t="s">
        <v>46</v>
      </c>
      <c r="I13" s="39"/>
      <c r="J13" s="40"/>
      <c r="K13" s="40"/>
      <c r="L13" s="53"/>
      <c r="M13" s="40" t="str">
        <f>IF(M$6&gt;$E$3,"",IF(M12="","OD",IF(M12="Blank","Blank",IF(M12="TBC","TBC",IF(M12="Undefined","Undefined",IF(M12="Missed","Missed",IF(M12="OD","OD",IF(M$4="OD","OD",IF((M12-M11)&gt;=0,"G",IF((M12-(M11*0.95))&gt;=0,"A","R"))))))))))</f>
        <v>Blank</v>
      </c>
      <c r="N13" s="40" t="str">
        <f t="shared" ref="N13:BM13" si="5">IF(N$6&gt;$E$3,"",IF(N12="","OD",IF(N12="Blank","Blank",IF(N12="TBC","TBC",IF(N12="Undefined","Undefined",IF(N12="Missed","Missed",IF(N12="OD","OD",IF(N$4="OD","OD",IF((N12-N11)&gt;=0,"G",IF((N12-(N11*0.95))&gt;=0,"A","R"))))))))))</f>
        <v>TBC</v>
      </c>
      <c r="O13" s="40" t="str">
        <f t="shared" si="5"/>
        <v>TBC</v>
      </c>
      <c r="P13" s="40" t="str">
        <f t="shared" si="5"/>
        <v>TBC</v>
      </c>
      <c r="Q13" s="40" t="str">
        <f t="shared" si="5"/>
        <v>TBC</v>
      </c>
      <c r="R13" s="40" t="str">
        <f t="shared" si="5"/>
        <v>TBC</v>
      </c>
      <c r="S13" s="40" t="str">
        <f t="shared" si="5"/>
        <v>TBC</v>
      </c>
      <c r="T13" s="40" t="str">
        <f t="shared" si="5"/>
        <v>TBC</v>
      </c>
      <c r="U13" s="40" t="str">
        <f t="shared" si="5"/>
        <v>TBC</v>
      </c>
      <c r="V13" s="40" t="str">
        <f t="shared" si="5"/>
        <v>TBC</v>
      </c>
      <c r="W13" s="40" t="str">
        <f t="shared" si="5"/>
        <v>TBC</v>
      </c>
      <c r="X13" s="40" t="str">
        <f t="shared" si="5"/>
        <v>TBC</v>
      </c>
      <c r="Y13" s="40" t="str">
        <f t="shared" si="5"/>
        <v>TBC</v>
      </c>
      <c r="Z13" s="40" t="str">
        <f t="shared" si="5"/>
        <v>R</v>
      </c>
      <c r="AA13" s="40" t="str">
        <f t="shared" si="5"/>
        <v>A</v>
      </c>
      <c r="AB13" s="40" t="str">
        <f t="shared" si="5"/>
        <v>A</v>
      </c>
      <c r="AC13" s="40" t="str">
        <f t="shared" si="5"/>
        <v>A</v>
      </c>
      <c r="AD13" s="40" t="str">
        <f t="shared" si="5"/>
        <v>R</v>
      </c>
      <c r="AE13" s="40" t="str">
        <f t="shared" si="5"/>
        <v>R</v>
      </c>
      <c r="AF13" s="40" t="str">
        <f t="shared" si="5"/>
        <v>R</v>
      </c>
      <c r="AG13" s="40" t="str">
        <f t="shared" si="5"/>
        <v>OD</v>
      </c>
      <c r="AH13" s="40" t="str">
        <f t="shared" si="5"/>
        <v>OD</v>
      </c>
      <c r="AI13" s="40" t="str">
        <f t="shared" si="5"/>
        <v>OD</v>
      </c>
      <c r="AJ13" s="40" t="str">
        <f t="shared" si="5"/>
        <v>OD</v>
      </c>
      <c r="AK13" s="40" t="str">
        <f t="shared" si="5"/>
        <v>OD</v>
      </c>
      <c r="AL13" s="40" t="str">
        <f t="shared" si="5"/>
        <v>OD</v>
      </c>
      <c r="AM13" s="40" t="str">
        <f t="shared" si="5"/>
        <v>OD</v>
      </c>
      <c r="AN13" s="40" t="str">
        <f t="shared" si="5"/>
        <v>OD</v>
      </c>
      <c r="AO13" s="40" t="str">
        <f t="shared" si="5"/>
        <v>OD</v>
      </c>
      <c r="AP13" s="40" t="str">
        <f t="shared" si="5"/>
        <v>OD</v>
      </c>
      <c r="AQ13" s="40" t="str">
        <f t="shared" si="5"/>
        <v>OD</v>
      </c>
      <c r="AR13" s="40" t="str">
        <f t="shared" si="5"/>
        <v>OD</v>
      </c>
      <c r="AS13" s="40" t="str">
        <f t="shared" si="5"/>
        <v>OD</v>
      </c>
      <c r="AT13" s="40" t="str">
        <f t="shared" si="5"/>
        <v>OD</v>
      </c>
      <c r="AU13" s="40" t="str">
        <f t="shared" si="5"/>
        <v>OD</v>
      </c>
      <c r="AV13" s="40" t="str">
        <f t="shared" si="5"/>
        <v>OD</v>
      </c>
      <c r="AW13" s="40" t="str">
        <f t="shared" si="5"/>
        <v>OD</v>
      </c>
      <c r="AX13" s="40" t="str">
        <f t="shared" si="5"/>
        <v>OD</v>
      </c>
      <c r="AY13" s="40" t="str">
        <f t="shared" si="5"/>
        <v>OD</v>
      </c>
      <c r="AZ13" s="40" t="str">
        <f t="shared" si="5"/>
        <v>OD</v>
      </c>
      <c r="BA13" s="40" t="str">
        <f t="shared" si="5"/>
        <v>OD</v>
      </c>
      <c r="BB13" s="40" t="str">
        <f t="shared" si="5"/>
        <v>OD</v>
      </c>
      <c r="BC13" s="40" t="str">
        <f t="shared" si="5"/>
        <v/>
      </c>
      <c r="BD13" s="40" t="str">
        <f t="shared" si="5"/>
        <v/>
      </c>
      <c r="BE13" s="40" t="str">
        <f t="shared" si="5"/>
        <v/>
      </c>
      <c r="BF13" s="40" t="str">
        <f t="shared" si="5"/>
        <v/>
      </c>
      <c r="BG13" s="40" t="str">
        <f t="shared" si="5"/>
        <v/>
      </c>
      <c r="BH13" s="40" t="str">
        <f t="shared" si="5"/>
        <v/>
      </c>
      <c r="BI13" s="40" t="str">
        <f t="shared" si="5"/>
        <v/>
      </c>
      <c r="BJ13" s="40" t="str">
        <f t="shared" si="5"/>
        <v/>
      </c>
      <c r="BK13" s="40" t="str">
        <f t="shared" si="5"/>
        <v/>
      </c>
      <c r="BL13" s="40" t="str">
        <f t="shared" si="5"/>
        <v/>
      </c>
      <c r="BM13" s="40" t="str">
        <f t="shared" si="5"/>
        <v/>
      </c>
      <c r="BN13" s="40" t="str">
        <f>IF(BN$6&gt;$E$2,"",IF(BN12="Undefined","Undefined",IF(BN12="TBC","TBC",IF(BN12="","OD",IF((BN12-BN11)&gt;=0,"G",IF((BN12-(BN11*0.95))&gt;=0,"A","R"))))))</f>
        <v/>
      </c>
    </row>
    <row r="14" spans="2:66" ht="24" customHeight="1" x14ac:dyDescent="0.3">
      <c r="B14" s="920" t="s">
        <v>32</v>
      </c>
      <c r="C14" s="922" t="s">
        <v>704</v>
      </c>
      <c r="D14" s="922" t="s">
        <v>703</v>
      </c>
      <c r="E14" s="921" t="s">
        <v>144</v>
      </c>
      <c r="F14" s="922" t="s">
        <v>171</v>
      </c>
      <c r="G14" s="919" t="s">
        <v>455</v>
      </c>
      <c r="H14" s="27" t="s">
        <v>44</v>
      </c>
      <c r="I14" s="28"/>
      <c r="J14" s="29"/>
      <c r="K14" s="29"/>
      <c r="L14" s="51"/>
      <c r="M14" s="97" t="s">
        <v>122</v>
      </c>
      <c r="N14" s="29" t="s">
        <v>35</v>
      </c>
      <c r="O14" s="29" t="s">
        <v>35</v>
      </c>
      <c r="P14" s="29" t="s">
        <v>35</v>
      </c>
      <c r="Q14" s="29" t="s">
        <v>35</v>
      </c>
      <c r="R14" s="29" t="s">
        <v>35</v>
      </c>
      <c r="S14" s="29" t="s">
        <v>35</v>
      </c>
      <c r="T14" s="29" t="s">
        <v>35</v>
      </c>
      <c r="U14" s="29" t="s">
        <v>35</v>
      </c>
      <c r="V14" s="29" t="s">
        <v>35</v>
      </c>
      <c r="W14" s="29" t="s">
        <v>35</v>
      </c>
      <c r="X14" s="29" t="s">
        <v>35</v>
      </c>
      <c r="Y14" s="29" t="s">
        <v>35</v>
      </c>
      <c r="Z14" s="97">
        <v>0.95</v>
      </c>
      <c r="AA14" s="97">
        <v>0.95</v>
      </c>
      <c r="AB14" s="97">
        <v>0.95</v>
      </c>
      <c r="AC14" s="97">
        <v>0.95</v>
      </c>
      <c r="AD14" s="97">
        <v>0.95</v>
      </c>
      <c r="AE14" s="97">
        <v>0.95</v>
      </c>
      <c r="AF14" s="586">
        <v>0.95</v>
      </c>
      <c r="AG14" s="391" t="s">
        <v>194</v>
      </c>
      <c r="AH14" s="391" t="s">
        <v>194</v>
      </c>
      <c r="AI14" s="391" t="s">
        <v>194</v>
      </c>
      <c r="AJ14" s="391" t="s">
        <v>194</v>
      </c>
      <c r="AK14" s="391" t="s">
        <v>194</v>
      </c>
      <c r="AL14" s="391" t="s">
        <v>194</v>
      </c>
      <c r="AM14" s="391" t="s">
        <v>194</v>
      </c>
      <c r="AN14" s="29">
        <v>0</v>
      </c>
      <c r="AO14" s="29">
        <v>0</v>
      </c>
      <c r="AP14" s="29">
        <v>0</v>
      </c>
      <c r="AQ14" s="29">
        <v>0</v>
      </c>
      <c r="AR14" s="29">
        <v>0</v>
      </c>
      <c r="AS14" s="29">
        <v>0</v>
      </c>
      <c r="AT14" s="29">
        <v>0</v>
      </c>
      <c r="AU14" s="29">
        <v>0</v>
      </c>
      <c r="AV14" s="29">
        <v>1</v>
      </c>
      <c r="AW14" s="29">
        <v>1</v>
      </c>
      <c r="AX14" s="29">
        <v>1</v>
      </c>
      <c r="AY14" s="29">
        <v>0</v>
      </c>
      <c r="AZ14" s="29">
        <v>0</v>
      </c>
      <c r="BA14" s="29">
        <v>0</v>
      </c>
      <c r="BB14" s="29">
        <v>0</v>
      </c>
      <c r="BC14" s="29">
        <v>0</v>
      </c>
      <c r="BD14" s="29">
        <v>0</v>
      </c>
      <c r="BE14" s="29">
        <v>0</v>
      </c>
      <c r="BF14" s="29">
        <v>0</v>
      </c>
      <c r="BG14" s="29">
        <v>0</v>
      </c>
      <c r="BH14" s="29">
        <v>0</v>
      </c>
      <c r="BI14" s="29">
        <v>0</v>
      </c>
      <c r="BJ14" s="29">
        <v>0</v>
      </c>
      <c r="BK14" s="29">
        <v>0</v>
      </c>
      <c r="BL14" s="29">
        <v>0</v>
      </c>
      <c r="BM14" s="29">
        <v>0</v>
      </c>
      <c r="BN14" s="29"/>
    </row>
    <row r="15" spans="2:66" ht="24" customHeight="1" x14ac:dyDescent="0.3">
      <c r="B15" s="920"/>
      <c r="C15" s="921"/>
      <c r="D15" s="921"/>
      <c r="E15" s="921"/>
      <c r="F15" s="921"/>
      <c r="G15" s="919"/>
      <c r="H15" s="33" t="s">
        <v>45</v>
      </c>
      <c r="I15" s="34"/>
      <c r="J15" s="35"/>
      <c r="K15" s="35"/>
      <c r="L15" s="52"/>
      <c r="M15" s="390" t="s">
        <v>122</v>
      </c>
      <c r="N15" s="36" t="s">
        <v>496</v>
      </c>
      <c r="O15" s="36" t="s">
        <v>496</v>
      </c>
      <c r="P15" s="36" t="s">
        <v>496</v>
      </c>
      <c r="Q15" s="36" t="s">
        <v>496</v>
      </c>
      <c r="R15" s="36" t="s">
        <v>496</v>
      </c>
      <c r="S15" s="36" t="s">
        <v>496</v>
      </c>
      <c r="T15" s="36" t="s">
        <v>496</v>
      </c>
      <c r="U15" s="36" t="s">
        <v>496</v>
      </c>
      <c r="V15" s="36" t="s">
        <v>496</v>
      </c>
      <c r="W15" s="36" t="s">
        <v>496</v>
      </c>
      <c r="X15" s="36" t="s">
        <v>496</v>
      </c>
      <c r="Y15" s="36" t="s">
        <v>496</v>
      </c>
      <c r="Z15" s="36" t="s">
        <v>496</v>
      </c>
      <c r="AA15" s="36" t="s">
        <v>496</v>
      </c>
      <c r="AB15" s="36" t="s">
        <v>496</v>
      </c>
      <c r="AC15" s="36" t="s">
        <v>496</v>
      </c>
      <c r="AD15" s="36" t="s">
        <v>496</v>
      </c>
      <c r="AE15" s="36" t="s">
        <v>496</v>
      </c>
      <c r="AF15" s="36" t="s">
        <v>496</v>
      </c>
      <c r="AG15" s="36" t="s">
        <v>496</v>
      </c>
      <c r="AH15" s="36" t="s">
        <v>496</v>
      </c>
      <c r="AI15" s="36" t="s">
        <v>496</v>
      </c>
      <c r="AJ15" s="36" t="s">
        <v>496</v>
      </c>
      <c r="AK15" s="36" t="s">
        <v>496</v>
      </c>
      <c r="AL15" s="36" t="s">
        <v>496</v>
      </c>
      <c r="AM15" s="36" t="s">
        <v>496</v>
      </c>
      <c r="AN15" s="36" t="s">
        <v>496</v>
      </c>
      <c r="AO15" s="36" t="s">
        <v>496</v>
      </c>
      <c r="AP15" s="36" t="s">
        <v>496</v>
      </c>
      <c r="AQ15" s="36" t="s">
        <v>496</v>
      </c>
      <c r="AR15" s="36" t="s">
        <v>496</v>
      </c>
      <c r="AS15" s="36" t="s">
        <v>496</v>
      </c>
      <c r="AT15" s="36" t="s">
        <v>496</v>
      </c>
      <c r="AU15" s="36" t="s">
        <v>496</v>
      </c>
      <c r="AV15" s="36">
        <v>0</v>
      </c>
      <c r="AW15" s="36">
        <v>0</v>
      </c>
      <c r="AX15" s="36">
        <v>0</v>
      </c>
      <c r="AY15" s="36"/>
      <c r="AZ15" s="36"/>
      <c r="BA15" s="36"/>
      <c r="BB15" s="36"/>
      <c r="BC15" s="36"/>
      <c r="BD15" s="36"/>
      <c r="BE15" s="36"/>
      <c r="BF15" s="36"/>
      <c r="BG15" s="36"/>
      <c r="BH15" s="36"/>
      <c r="BI15" s="36"/>
      <c r="BJ15" s="36"/>
      <c r="BK15" s="36"/>
      <c r="BL15" s="36"/>
      <c r="BM15" s="36"/>
      <c r="BN15" s="36"/>
    </row>
    <row r="16" spans="2:66" ht="24" customHeight="1" x14ac:dyDescent="0.3">
      <c r="B16" s="920"/>
      <c r="C16" s="921"/>
      <c r="D16" s="921"/>
      <c r="E16" s="921"/>
      <c r="F16" s="921"/>
      <c r="G16" s="919"/>
      <c r="H16" s="38" t="s">
        <v>46</v>
      </c>
      <c r="I16" s="39"/>
      <c r="J16" s="40"/>
      <c r="K16" s="40"/>
      <c r="L16" s="53"/>
      <c r="M16" s="40" t="str">
        <f>IF(M$6&gt;$E$3,"",IF(M15="","OD",IF(M15="Blank","Blank",IF(M15="TBC","TBC",IF(M15="Undefined","Undefined",IF(M15="Missed","Missed",IF(M15="OD","OD",IF(M$4="OD","OD",IF((M15-M14)&gt;=0,"G",IF((M15-(M14*0.95))&gt;=0,"A","R"))))))))))</f>
        <v>Blank</v>
      </c>
      <c r="N16" s="40" t="str">
        <f t="shared" ref="N16:AV16" si="6">IF(N$6&gt;$E$3,"",IF(N15="","OD",IF(N15="Blank","Blank",IF(N15="TBC","TBC",IF(N15="Undefined","Undefined",IF(N15="Missed","Missed",IF(N15="OD","OD",IF(N$4="OD","OD",IF((N15-N14)&lt;=0,"G",IF((N15-(N14*0.95))&lt;=0,"A","R"))))))))))</f>
        <v>Missed</v>
      </c>
      <c r="O16" s="40" t="str">
        <f t="shared" si="6"/>
        <v>Missed</v>
      </c>
      <c r="P16" s="40" t="str">
        <f t="shared" si="6"/>
        <v>Missed</v>
      </c>
      <c r="Q16" s="40" t="str">
        <f t="shared" si="6"/>
        <v>Missed</v>
      </c>
      <c r="R16" s="40" t="str">
        <f t="shared" si="6"/>
        <v>Missed</v>
      </c>
      <c r="S16" s="40" t="str">
        <f t="shared" si="6"/>
        <v>Missed</v>
      </c>
      <c r="T16" s="40" t="str">
        <f t="shared" si="6"/>
        <v>Missed</v>
      </c>
      <c r="U16" s="40" t="str">
        <f t="shared" si="6"/>
        <v>Missed</v>
      </c>
      <c r="V16" s="40" t="str">
        <f t="shared" si="6"/>
        <v>Missed</v>
      </c>
      <c r="W16" s="40" t="str">
        <f t="shared" si="6"/>
        <v>Missed</v>
      </c>
      <c r="X16" s="40" t="str">
        <f t="shared" si="6"/>
        <v>Missed</v>
      </c>
      <c r="Y16" s="40" t="str">
        <f t="shared" si="6"/>
        <v>Missed</v>
      </c>
      <c r="Z16" s="40" t="str">
        <f t="shared" si="6"/>
        <v>Missed</v>
      </c>
      <c r="AA16" s="40" t="str">
        <f t="shared" si="6"/>
        <v>Missed</v>
      </c>
      <c r="AB16" s="40" t="str">
        <f t="shared" si="6"/>
        <v>Missed</v>
      </c>
      <c r="AC16" s="40" t="str">
        <f t="shared" si="6"/>
        <v>Missed</v>
      </c>
      <c r="AD16" s="40" t="str">
        <f t="shared" si="6"/>
        <v>Missed</v>
      </c>
      <c r="AE16" s="40" t="str">
        <f t="shared" si="6"/>
        <v>Missed</v>
      </c>
      <c r="AF16" s="40" t="str">
        <f t="shared" si="6"/>
        <v>Missed</v>
      </c>
      <c r="AG16" s="40" t="str">
        <f t="shared" si="6"/>
        <v>Missed</v>
      </c>
      <c r="AH16" s="40" t="str">
        <f t="shared" si="6"/>
        <v>Missed</v>
      </c>
      <c r="AI16" s="40" t="str">
        <f t="shared" si="6"/>
        <v>Missed</v>
      </c>
      <c r="AJ16" s="40" t="str">
        <f t="shared" si="6"/>
        <v>Missed</v>
      </c>
      <c r="AK16" s="40" t="str">
        <f t="shared" si="6"/>
        <v>Missed</v>
      </c>
      <c r="AL16" s="40" t="str">
        <f t="shared" si="6"/>
        <v>Missed</v>
      </c>
      <c r="AM16" s="40" t="str">
        <f t="shared" si="6"/>
        <v>Missed</v>
      </c>
      <c r="AN16" s="40" t="str">
        <f t="shared" si="6"/>
        <v>Missed</v>
      </c>
      <c r="AO16" s="40" t="str">
        <f t="shared" si="6"/>
        <v>Missed</v>
      </c>
      <c r="AP16" s="40" t="str">
        <f t="shared" si="6"/>
        <v>Missed</v>
      </c>
      <c r="AQ16" s="40" t="str">
        <f t="shared" si="6"/>
        <v>Missed</v>
      </c>
      <c r="AR16" s="40" t="str">
        <f t="shared" si="6"/>
        <v>Missed</v>
      </c>
      <c r="AS16" s="40" t="str">
        <f t="shared" si="6"/>
        <v>Missed</v>
      </c>
      <c r="AT16" s="40" t="str">
        <f t="shared" si="6"/>
        <v>Missed</v>
      </c>
      <c r="AU16" s="40" t="str">
        <f t="shared" si="6"/>
        <v>Missed</v>
      </c>
      <c r="AV16" s="40" t="str">
        <f t="shared" si="6"/>
        <v>G</v>
      </c>
      <c r="AW16" s="40" t="str">
        <f>IF(AW$6&gt;$E$3,"",IF(AW15="","OD",IF(AW15="Blank","Blank",IF(AW15="TBC","TBC",IF(AW15="Undefined","Undefined",IF(AW15="Missed","Missed",IF(AW15="OD","OD",IF(AW$4="OD","OD",IF((AW15-AW14)&lt;=0,"G",IF((AW15-(AW14*0.95))&lt;=0,"A","R"))))))))))</f>
        <v>G</v>
      </c>
      <c r="AX16" s="40" t="str">
        <f t="shared" ref="AX16:BM16" si="7">IF(AX$6&gt;$E$3,"",IF(AX15="","OD",IF(AX15="Blank","Blank",IF(AX15="TBC","TBC",IF(AX15="Undefined","Undefined",IF(AX15="Missed","Missed",IF(AX15="OD","OD",IF(AX$4="OD","OD",IF((AX15-AX14)&lt;=0,"G",IF((AX15-(AX14*0.95))&lt;=0,"A","R"))))))))))</f>
        <v>G</v>
      </c>
      <c r="AY16" s="40" t="str">
        <f t="shared" si="7"/>
        <v>OD</v>
      </c>
      <c r="AZ16" s="40" t="str">
        <f t="shared" si="7"/>
        <v>OD</v>
      </c>
      <c r="BA16" s="40" t="str">
        <f t="shared" si="7"/>
        <v>OD</v>
      </c>
      <c r="BB16" s="40" t="str">
        <f t="shared" si="7"/>
        <v>OD</v>
      </c>
      <c r="BC16" s="40" t="str">
        <f t="shared" si="7"/>
        <v/>
      </c>
      <c r="BD16" s="40" t="str">
        <f t="shared" si="7"/>
        <v/>
      </c>
      <c r="BE16" s="40" t="str">
        <f t="shared" si="7"/>
        <v/>
      </c>
      <c r="BF16" s="40" t="str">
        <f t="shared" si="7"/>
        <v/>
      </c>
      <c r="BG16" s="40" t="str">
        <f t="shared" si="7"/>
        <v/>
      </c>
      <c r="BH16" s="40" t="str">
        <f t="shared" si="7"/>
        <v/>
      </c>
      <c r="BI16" s="40" t="str">
        <f t="shared" si="7"/>
        <v/>
      </c>
      <c r="BJ16" s="40" t="str">
        <f t="shared" si="7"/>
        <v/>
      </c>
      <c r="BK16" s="40" t="str">
        <f t="shared" si="7"/>
        <v/>
      </c>
      <c r="BL16" s="40" t="str">
        <f t="shared" si="7"/>
        <v/>
      </c>
      <c r="BM16" s="40" t="str">
        <f t="shared" si="7"/>
        <v/>
      </c>
      <c r="BN16" s="40" t="str">
        <f>IF(BN$6&gt;$E$2,"",IF(BN15="Undefined","Undefined",IF(BN15="TBC","TBC",IF(BN15="","OD",IF((BN15-BN14)&gt;=0,"G",IF((BN15-(BN14*0.95))&gt;=0,"A","R"))))))</f>
        <v/>
      </c>
    </row>
    <row r="17" spans="2:66" ht="24" customHeight="1" x14ac:dyDescent="0.3">
      <c r="B17" s="920" t="s">
        <v>31</v>
      </c>
      <c r="C17" s="922" t="s">
        <v>417</v>
      </c>
      <c r="D17" s="922" t="s">
        <v>417</v>
      </c>
      <c r="E17" s="921" t="s">
        <v>169</v>
      </c>
      <c r="F17" s="922" t="s">
        <v>171</v>
      </c>
      <c r="G17" s="919" t="s">
        <v>460</v>
      </c>
      <c r="H17" s="27" t="s">
        <v>44</v>
      </c>
      <c r="I17" s="28"/>
      <c r="J17" s="29"/>
      <c r="K17" s="29"/>
      <c r="L17" s="51"/>
      <c r="M17" s="391" t="s">
        <v>122</v>
      </c>
      <c r="N17" s="391" t="s">
        <v>182</v>
      </c>
      <c r="O17" s="391" t="s">
        <v>182</v>
      </c>
      <c r="P17" s="391" t="s">
        <v>182</v>
      </c>
      <c r="Q17" s="391" t="s">
        <v>182</v>
      </c>
      <c r="R17" s="391" t="s">
        <v>182</v>
      </c>
      <c r="S17" s="391" t="s">
        <v>182</v>
      </c>
      <c r="T17" s="391" t="s">
        <v>182</v>
      </c>
      <c r="U17" s="391" t="s">
        <v>182</v>
      </c>
      <c r="V17" s="391" t="s">
        <v>182</v>
      </c>
      <c r="W17" s="391" t="s">
        <v>182</v>
      </c>
      <c r="X17" s="391" t="s">
        <v>182</v>
      </c>
      <c r="Y17" s="391" t="s">
        <v>182</v>
      </c>
      <c r="Z17" s="391" t="s">
        <v>182</v>
      </c>
      <c r="AA17" s="391" t="s">
        <v>182</v>
      </c>
      <c r="AB17" s="391" t="s">
        <v>182</v>
      </c>
      <c r="AC17" s="391" t="s">
        <v>182</v>
      </c>
      <c r="AD17" s="391" t="s">
        <v>182</v>
      </c>
      <c r="AE17" s="391" t="s">
        <v>182</v>
      </c>
      <c r="AF17" s="391" t="s">
        <v>182</v>
      </c>
      <c r="AG17" s="391" t="s">
        <v>182</v>
      </c>
      <c r="AH17" s="391" t="s">
        <v>182</v>
      </c>
      <c r="AI17" s="391" t="s">
        <v>182</v>
      </c>
      <c r="AJ17" s="67" t="str">
        <f>IF(AJ$6&gt;$E$3,"","Undefined")</f>
        <v>Undefined</v>
      </c>
      <c r="AK17" s="67" t="str">
        <f t="shared" ref="AK17:BM17" si="8">IF(AK$6&gt;$E$3,"","Undefined")</f>
        <v>Undefined</v>
      </c>
      <c r="AL17" s="67" t="str">
        <f t="shared" si="8"/>
        <v>Undefined</v>
      </c>
      <c r="AM17" s="67" t="str">
        <f t="shared" si="8"/>
        <v>Undefined</v>
      </c>
      <c r="AN17" s="67" t="str">
        <f t="shared" si="8"/>
        <v>Undefined</v>
      </c>
      <c r="AO17" s="67" t="str">
        <f t="shared" si="8"/>
        <v>Undefined</v>
      </c>
      <c r="AP17" s="67" t="str">
        <f t="shared" si="8"/>
        <v>Undefined</v>
      </c>
      <c r="AQ17" s="67" t="str">
        <f t="shared" si="8"/>
        <v>Undefined</v>
      </c>
      <c r="AR17" s="67" t="str">
        <f t="shared" si="8"/>
        <v>Undefined</v>
      </c>
      <c r="AS17" s="67" t="str">
        <f t="shared" si="8"/>
        <v>Undefined</v>
      </c>
      <c r="AT17" s="67" t="str">
        <f t="shared" si="8"/>
        <v>Undefined</v>
      </c>
      <c r="AU17" s="67" t="str">
        <f t="shared" si="8"/>
        <v>Undefined</v>
      </c>
      <c r="AV17" s="67" t="str">
        <f t="shared" si="8"/>
        <v>Undefined</v>
      </c>
      <c r="AW17" s="67" t="str">
        <f t="shared" si="8"/>
        <v>Undefined</v>
      </c>
      <c r="AX17" s="67" t="str">
        <f t="shared" si="8"/>
        <v>Undefined</v>
      </c>
      <c r="AY17" s="67" t="str">
        <f t="shared" si="8"/>
        <v>Undefined</v>
      </c>
      <c r="AZ17" s="67" t="str">
        <f t="shared" si="8"/>
        <v>Undefined</v>
      </c>
      <c r="BA17" s="67" t="str">
        <f t="shared" si="8"/>
        <v>Undefined</v>
      </c>
      <c r="BB17" s="67" t="str">
        <f t="shared" si="8"/>
        <v>Undefined</v>
      </c>
      <c r="BC17" s="67" t="str">
        <f t="shared" si="8"/>
        <v/>
      </c>
      <c r="BD17" s="67" t="str">
        <f t="shared" si="8"/>
        <v/>
      </c>
      <c r="BE17" s="67" t="str">
        <f t="shared" si="8"/>
        <v/>
      </c>
      <c r="BF17" s="67" t="str">
        <f t="shared" si="8"/>
        <v/>
      </c>
      <c r="BG17" s="67" t="str">
        <f t="shared" si="8"/>
        <v/>
      </c>
      <c r="BH17" s="67" t="str">
        <f t="shared" si="8"/>
        <v/>
      </c>
      <c r="BI17" s="67" t="str">
        <f t="shared" si="8"/>
        <v/>
      </c>
      <c r="BJ17" s="67" t="str">
        <f t="shared" si="8"/>
        <v/>
      </c>
      <c r="BK17" s="67" t="str">
        <f t="shared" si="8"/>
        <v/>
      </c>
      <c r="BL17" s="67" t="str">
        <f t="shared" si="8"/>
        <v/>
      </c>
      <c r="BM17" s="67" t="str">
        <f t="shared" si="8"/>
        <v/>
      </c>
      <c r="BN17" s="391"/>
    </row>
    <row r="18" spans="2:66" ht="24" customHeight="1" x14ac:dyDescent="0.3">
      <c r="B18" s="920"/>
      <c r="C18" s="921"/>
      <c r="D18" s="921"/>
      <c r="E18" s="921"/>
      <c r="F18" s="921"/>
      <c r="G18" s="919"/>
      <c r="H18" s="33" t="s">
        <v>45</v>
      </c>
      <c r="I18" s="34"/>
      <c r="J18" s="35"/>
      <c r="K18" s="35"/>
      <c r="L18" s="52"/>
      <c r="M18" s="392" t="s">
        <v>122</v>
      </c>
      <c r="N18" s="392" t="s">
        <v>182</v>
      </c>
      <c r="O18" s="392" t="s">
        <v>182</v>
      </c>
      <c r="P18" s="392" t="s">
        <v>182</v>
      </c>
      <c r="Q18" s="392" t="s">
        <v>182</v>
      </c>
      <c r="R18" s="392" t="s">
        <v>182</v>
      </c>
      <c r="S18" s="392" t="s">
        <v>182</v>
      </c>
      <c r="T18" s="392" t="s">
        <v>182</v>
      </c>
      <c r="U18" s="392" t="s">
        <v>182</v>
      </c>
      <c r="V18" s="392" t="s">
        <v>182</v>
      </c>
      <c r="W18" s="392" t="s">
        <v>182</v>
      </c>
      <c r="X18" s="392" t="s">
        <v>182</v>
      </c>
      <c r="Y18" s="392" t="s">
        <v>182</v>
      </c>
      <c r="Z18" s="392" t="s">
        <v>182</v>
      </c>
      <c r="AA18" s="392" t="s">
        <v>182</v>
      </c>
      <c r="AB18" s="392" t="s">
        <v>182</v>
      </c>
      <c r="AC18" s="392" t="s">
        <v>182</v>
      </c>
      <c r="AD18" s="392" t="s">
        <v>182</v>
      </c>
      <c r="AE18" s="392" t="s">
        <v>182</v>
      </c>
      <c r="AF18" s="392" t="s">
        <v>182</v>
      </c>
      <c r="AG18" s="392" t="s">
        <v>182</v>
      </c>
      <c r="AH18" s="392" t="s">
        <v>182</v>
      </c>
      <c r="AI18" s="392" t="s">
        <v>182</v>
      </c>
      <c r="AJ18" s="35" t="str">
        <f>IF(AJ$6&gt;$E$3,"","undefined")</f>
        <v>undefined</v>
      </c>
      <c r="AK18" s="35" t="str">
        <f>IF(AK$6&gt;$E$3,"","undefined")</f>
        <v>undefined</v>
      </c>
      <c r="AL18" s="35" t="str">
        <f t="shared" ref="AL18:AQ18" si="9">IF(AL$6&gt;$E$3,"","undefined")</f>
        <v>undefined</v>
      </c>
      <c r="AM18" s="35" t="str">
        <f t="shared" si="9"/>
        <v>undefined</v>
      </c>
      <c r="AN18" s="35" t="str">
        <f t="shared" si="9"/>
        <v>undefined</v>
      </c>
      <c r="AO18" s="35" t="str">
        <f t="shared" si="9"/>
        <v>undefined</v>
      </c>
      <c r="AP18" s="35" t="str">
        <f t="shared" si="9"/>
        <v>undefined</v>
      </c>
      <c r="AQ18" s="35" t="str">
        <f t="shared" si="9"/>
        <v>undefined</v>
      </c>
      <c r="AR18" s="392"/>
      <c r="AS18" s="392"/>
      <c r="AT18" s="392"/>
      <c r="AU18" s="392"/>
      <c r="AV18" s="392"/>
      <c r="AW18" s="392"/>
      <c r="AX18" s="392"/>
      <c r="AY18" s="392"/>
      <c r="AZ18" s="392"/>
      <c r="BA18" s="392"/>
      <c r="BB18" s="392"/>
      <c r="BC18" s="392"/>
      <c r="BD18" s="392"/>
      <c r="BE18" s="392"/>
      <c r="BF18" s="392"/>
      <c r="BG18" s="392"/>
      <c r="BH18" s="392"/>
      <c r="BI18" s="392"/>
      <c r="BJ18" s="392"/>
      <c r="BK18" s="392"/>
      <c r="BL18" s="392"/>
      <c r="BM18" s="392"/>
      <c r="BN18" s="392"/>
    </row>
    <row r="19" spans="2:66" ht="24" customHeight="1" thickBot="1" x14ac:dyDescent="0.35">
      <c r="B19" s="920"/>
      <c r="C19" s="921"/>
      <c r="D19" s="921"/>
      <c r="E19" s="921"/>
      <c r="F19" s="921"/>
      <c r="G19" s="919"/>
      <c r="H19" s="38" t="s">
        <v>46</v>
      </c>
      <c r="I19" s="43"/>
      <c r="J19" s="44"/>
      <c r="K19" s="44"/>
      <c r="L19" s="54"/>
      <c r="M19" s="40" t="str">
        <f>IF(M$6&gt;$E$3,"",IF(M18="","OD",IF(M18="Blank","Blank",IF(M18="TBC","TBC",IF(M18="Undefined","Undefined",IF(M18="Missed","Missed",IF(M18="OD","OD",IF(M$4="OD","OD",IF((M18-M17)&lt;=0,"G",IF((M18-(M17/0.95))&lt;=0,"A","R"))))))))))</f>
        <v>Blank</v>
      </c>
      <c r="N19" s="40" t="str">
        <f t="shared" ref="N19:BM19" si="10">IF(N$6&gt;$E$3,"",IF(N18="","OD",IF(N18="Blank","Blank",IF(N18="TBC","TBC",IF(N18="Undefined","Undefined",IF(N18="Missed","Missed",IF(N18="OD","OD",IF(N$4="OD","OD",IF((N18-N17)&lt;=0,"G",IF((N18-(N17/0.95))&lt;=0,"A","R"))))))))))</f>
        <v>Undefined</v>
      </c>
      <c r="O19" s="40" t="str">
        <f t="shared" si="10"/>
        <v>Undefined</v>
      </c>
      <c r="P19" s="40" t="str">
        <f t="shared" si="10"/>
        <v>Undefined</v>
      </c>
      <c r="Q19" s="40" t="str">
        <f t="shared" si="10"/>
        <v>Undefined</v>
      </c>
      <c r="R19" s="40" t="str">
        <f t="shared" si="10"/>
        <v>Undefined</v>
      </c>
      <c r="S19" s="40" t="str">
        <f t="shared" si="10"/>
        <v>Undefined</v>
      </c>
      <c r="T19" s="40" t="str">
        <f t="shared" si="10"/>
        <v>Undefined</v>
      </c>
      <c r="U19" s="40" t="str">
        <f t="shared" si="10"/>
        <v>Undefined</v>
      </c>
      <c r="V19" s="40" t="str">
        <f t="shared" si="10"/>
        <v>Undefined</v>
      </c>
      <c r="W19" s="40" t="str">
        <f t="shared" si="10"/>
        <v>Undefined</v>
      </c>
      <c r="X19" s="40" t="str">
        <f t="shared" si="10"/>
        <v>Undefined</v>
      </c>
      <c r="Y19" s="40" t="str">
        <f t="shared" si="10"/>
        <v>Undefined</v>
      </c>
      <c r="Z19" s="40" t="str">
        <f t="shared" si="10"/>
        <v>Undefined</v>
      </c>
      <c r="AA19" s="40" t="str">
        <f t="shared" si="10"/>
        <v>Undefined</v>
      </c>
      <c r="AB19" s="40" t="str">
        <f t="shared" si="10"/>
        <v>Undefined</v>
      </c>
      <c r="AC19" s="40" t="str">
        <f t="shared" si="10"/>
        <v>Undefined</v>
      </c>
      <c r="AD19" s="40" t="str">
        <f t="shared" si="10"/>
        <v>Undefined</v>
      </c>
      <c r="AE19" s="40" t="str">
        <f t="shared" si="10"/>
        <v>Undefined</v>
      </c>
      <c r="AF19" s="40" t="str">
        <f t="shared" si="10"/>
        <v>Undefined</v>
      </c>
      <c r="AG19" s="40" t="str">
        <f t="shared" si="10"/>
        <v>Undefined</v>
      </c>
      <c r="AH19" s="40" t="str">
        <f t="shared" si="10"/>
        <v>Undefined</v>
      </c>
      <c r="AI19" s="40" t="str">
        <f t="shared" si="10"/>
        <v>Undefined</v>
      </c>
      <c r="AJ19" s="40" t="str">
        <f t="shared" si="10"/>
        <v>Undefined</v>
      </c>
      <c r="AK19" s="40" t="str">
        <f t="shared" si="10"/>
        <v>Undefined</v>
      </c>
      <c r="AL19" s="40" t="str">
        <f t="shared" si="10"/>
        <v>Undefined</v>
      </c>
      <c r="AM19" s="40" t="str">
        <f t="shared" si="10"/>
        <v>Undefined</v>
      </c>
      <c r="AN19" s="40" t="str">
        <f t="shared" si="10"/>
        <v>Undefined</v>
      </c>
      <c r="AO19" s="40" t="str">
        <f t="shared" si="10"/>
        <v>Undefined</v>
      </c>
      <c r="AP19" s="40" t="str">
        <f t="shared" si="10"/>
        <v>Undefined</v>
      </c>
      <c r="AQ19" s="40" t="str">
        <f t="shared" si="10"/>
        <v>Undefined</v>
      </c>
      <c r="AR19" s="40" t="str">
        <f t="shared" si="10"/>
        <v>OD</v>
      </c>
      <c r="AS19" s="40" t="str">
        <f t="shared" si="10"/>
        <v>OD</v>
      </c>
      <c r="AT19" s="40" t="str">
        <f t="shared" si="10"/>
        <v>OD</v>
      </c>
      <c r="AU19" s="40" t="str">
        <f t="shared" si="10"/>
        <v>OD</v>
      </c>
      <c r="AV19" s="40" t="str">
        <f t="shared" si="10"/>
        <v>OD</v>
      </c>
      <c r="AW19" s="40" t="str">
        <f t="shared" si="10"/>
        <v>OD</v>
      </c>
      <c r="AX19" s="40" t="str">
        <f t="shared" si="10"/>
        <v>OD</v>
      </c>
      <c r="AY19" s="40" t="str">
        <f t="shared" si="10"/>
        <v>OD</v>
      </c>
      <c r="AZ19" s="40" t="str">
        <f t="shared" si="10"/>
        <v>OD</v>
      </c>
      <c r="BA19" s="40" t="str">
        <f t="shared" si="10"/>
        <v>OD</v>
      </c>
      <c r="BB19" s="40" t="str">
        <f t="shared" si="10"/>
        <v>OD</v>
      </c>
      <c r="BC19" s="40" t="str">
        <f t="shared" si="10"/>
        <v/>
      </c>
      <c r="BD19" s="40" t="str">
        <f t="shared" si="10"/>
        <v/>
      </c>
      <c r="BE19" s="40" t="str">
        <f t="shared" si="10"/>
        <v/>
      </c>
      <c r="BF19" s="40" t="str">
        <f t="shared" si="10"/>
        <v/>
      </c>
      <c r="BG19" s="40" t="str">
        <f t="shared" si="10"/>
        <v/>
      </c>
      <c r="BH19" s="40" t="str">
        <f t="shared" si="10"/>
        <v/>
      </c>
      <c r="BI19" s="40" t="str">
        <f t="shared" si="10"/>
        <v/>
      </c>
      <c r="BJ19" s="40" t="str">
        <f t="shared" si="10"/>
        <v/>
      </c>
      <c r="BK19" s="40" t="str">
        <f t="shared" si="10"/>
        <v/>
      </c>
      <c r="BL19" s="40" t="str">
        <f t="shared" si="10"/>
        <v/>
      </c>
      <c r="BM19" s="40" t="str">
        <f t="shared" si="10"/>
        <v/>
      </c>
      <c r="BN19" s="40" t="str">
        <f>IF(BN$6&gt;$E$2,"",IF(BN18="Undefined","Undefined",IF(BN18="TBC","TBC",IF(BN18="","OD",IF((BN18-BN17)&gt;=0,"G",IF((BN18-(BN17*0.95))&gt;=0,"A","R"))))))</f>
        <v/>
      </c>
    </row>
    <row r="21" spans="2:66" ht="15.6" x14ac:dyDescent="0.3">
      <c r="B21" s="1" t="s">
        <v>0</v>
      </c>
      <c r="C21" s="45" t="s">
        <v>1</v>
      </c>
    </row>
    <row r="22" spans="2:66" ht="15.6" x14ac:dyDescent="0.3">
      <c r="B22" s="4" t="s">
        <v>2</v>
      </c>
      <c r="C22" s="45" t="s">
        <v>3</v>
      </c>
    </row>
    <row r="23" spans="2:66" ht="15.6" x14ac:dyDescent="0.3">
      <c r="B23" s="5" t="s">
        <v>4</v>
      </c>
      <c r="C23" s="45" t="s">
        <v>5</v>
      </c>
    </row>
    <row r="24" spans="2:66" x14ac:dyDescent="0.3">
      <c r="B24" s="340" t="s">
        <v>35</v>
      </c>
      <c r="C24" s="13" t="s">
        <v>376</v>
      </c>
    </row>
    <row r="25" spans="2:66" x14ac:dyDescent="0.3">
      <c r="B25" s="341" t="s">
        <v>122</v>
      </c>
      <c r="C25" s="13" t="s">
        <v>377</v>
      </c>
    </row>
    <row r="28" spans="2:66" ht="24" customHeight="1" x14ac:dyDescent="0.3">
      <c r="B28" s="920" t="s">
        <v>32</v>
      </c>
      <c r="C28" s="922" t="s">
        <v>415</v>
      </c>
      <c r="D28" s="922" t="s">
        <v>459</v>
      </c>
      <c r="E28" s="921" t="s">
        <v>144</v>
      </c>
      <c r="F28" s="922" t="s">
        <v>154</v>
      </c>
      <c r="G28" s="919" t="s">
        <v>455</v>
      </c>
      <c r="H28" s="27" t="s">
        <v>44</v>
      </c>
      <c r="I28" s="28"/>
      <c r="J28" s="29"/>
      <c r="K28" s="29"/>
      <c r="L28" s="51"/>
      <c r="M28" s="97" t="s">
        <v>122</v>
      </c>
      <c r="N28" s="29" t="s">
        <v>35</v>
      </c>
      <c r="O28" s="29" t="s">
        <v>35</v>
      </c>
      <c r="P28" s="29" t="s">
        <v>35</v>
      </c>
      <c r="Q28" s="29" t="s">
        <v>35</v>
      </c>
      <c r="R28" s="29" t="s">
        <v>35</v>
      </c>
      <c r="S28" s="29" t="s">
        <v>35</v>
      </c>
      <c r="T28" s="29" t="s">
        <v>35</v>
      </c>
      <c r="U28" s="29" t="s">
        <v>35</v>
      </c>
      <c r="V28" s="29" t="s">
        <v>35</v>
      </c>
      <c r="W28" s="29" t="s">
        <v>35</v>
      </c>
      <c r="X28" s="29" t="s">
        <v>35</v>
      </c>
      <c r="Y28" s="29" t="s">
        <v>35</v>
      </c>
      <c r="Z28" s="97">
        <v>0.95</v>
      </c>
      <c r="AA28" s="97">
        <v>0.95</v>
      </c>
      <c r="AB28" s="97">
        <v>0.95</v>
      </c>
      <c r="AC28" s="97">
        <v>0.95</v>
      </c>
      <c r="AD28" s="97">
        <v>0.95</v>
      </c>
      <c r="AE28" s="97">
        <v>0.95</v>
      </c>
      <c r="AF28" s="586">
        <v>0.95</v>
      </c>
      <c r="AG28" s="391" t="s">
        <v>194</v>
      </c>
      <c r="AH28" s="391" t="s">
        <v>194</v>
      </c>
      <c r="AI28" s="391" t="s">
        <v>194</v>
      </c>
      <c r="AJ28" s="391" t="s">
        <v>194</v>
      </c>
      <c r="AK28" s="391" t="s">
        <v>194</v>
      </c>
      <c r="AL28" s="391" t="s">
        <v>194</v>
      </c>
      <c r="AM28" s="391" t="s">
        <v>194</v>
      </c>
      <c r="AN28" s="29">
        <v>0</v>
      </c>
      <c r="AO28" s="29">
        <v>0</v>
      </c>
      <c r="AP28" s="29">
        <v>0</v>
      </c>
      <c r="AQ28" s="29">
        <v>0</v>
      </c>
      <c r="AR28" s="29">
        <v>0</v>
      </c>
      <c r="AS28" s="29">
        <v>0</v>
      </c>
      <c r="AT28" s="29">
        <v>0</v>
      </c>
      <c r="AU28" s="29">
        <v>0</v>
      </c>
      <c r="AV28" s="29">
        <v>0</v>
      </c>
      <c r="AW28" s="29">
        <v>0</v>
      </c>
      <c r="AX28" s="29">
        <v>0</v>
      </c>
      <c r="AY28" s="29">
        <v>0</v>
      </c>
      <c r="AZ28" s="29">
        <v>0</v>
      </c>
      <c r="BA28" s="29">
        <v>0</v>
      </c>
      <c r="BB28" s="29">
        <v>0</v>
      </c>
      <c r="BC28" s="29">
        <v>0</v>
      </c>
      <c r="BD28" s="29">
        <v>0</v>
      </c>
      <c r="BE28" s="29">
        <v>0</v>
      </c>
      <c r="BF28" s="29">
        <v>0</v>
      </c>
      <c r="BG28" s="29">
        <v>0</v>
      </c>
      <c r="BH28" s="29">
        <v>0</v>
      </c>
      <c r="BI28" s="29">
        <v>0</v>
      </c>
      <c r="BJ28" s="29">
        <v>0</v>
      </c>
      <c r="BK28" s="29">
        <v>0</v>
      </c>
      <c r="BL28" s="29">
        <v>0</v>
      </c>
      <c r="BM28" s="29">
        <v>0</v>
      </c>
      <c r="BN28" s="29"/>
    </row>
    <row r="29" spans="2:66" ht="24" customHeight="1" x14ac:dyDescent="0.3">
      <c r="B29" s="920"/>
      <c r="C29" s="921"/>
      <c r="D29" s="921"/>
      <c r="E29" s="921"/>
      <c r="F29" s="921"/>
      <c r="G29" s="919"/>
      <c r="H29" s="33" t="s">
        <v>45</v>
      </c>
      <c r="I29" s="34"/>
      <c r="J29" s="35"/>
      <c r="K29" s="35"/>
      <c r="L29" s="52"/>
      <c r="M29" s="390" t="s">
        <v>122</v>
      </c>
      <c r="N29" s="35" t="s">
        <v>35</v>
      </c>
      <c r="O29" s="35" t="s">
        <v>35</v>
      </c>
      <c r="P29" s="35" t="s">
        <v>35</v>
      </c>
      <c r="Q29" s="35" t="s">
        <v>35</v>
      </c>
      <c r="R29" s="35" t="s">
        <v>35</v>
      </c>
      <c r="S29" s="35" t="s">
        <v>35</v>
      </c>
      <c r="T29" s="35" t="s">
        <v>35</v>
      </c>
      <c r="U29" s="35" t="s">
        <v>35</v>
      </c>
      <c r="V29" s="35" t="s">
        <v>35</v>
      </c>
      <c r="W29" s="35" t="s">
        <v>35</v>
      </c>
      <c r="X29" s="35" t="s">
        <v>35</v>
      </c>
      <c r="Y29" s="35" t="s">
        <v>35</v>
      </c>
      <c r="Z29" s="390">
        <v>0.95</v>
      </c>
      <c r="AA29" s="390">
        <v>0.95</v>
      </c>
      <c r="AB29" s="390">
        <v>0.95</v>
      </c>
      <c r="AC29" s="390">
        <v>0.95</v>
      </c>
      <c r="AD29" s="390">
        <v>0.96</v>
      </c>
      <c r="AE29" s="390">
        <v>0.96</v>
      </c>
      <c r="AF29" s="587">
        <v>1</v>
      </c>
      <c r="AG29" s="392" t="s">
        <v>194</v>
      </c>
      <c r="AH29" s="392" t="s">
        <v>194</v>
      </c>
      <c r="AI29" s="392" t="s">
        <v>194</v>
      </c>
      <c r="AJ29" s="392" t="s">
        <v>194</v>
      </c>
      <c r="AK29" s="392" t="s">
        <v>194</v>
      </c>
      <c r="AL29" s="392" t="s">
        <v>194</v>
      </c>
      <c r="AM29" s="392" t="s">
        <v>194</v>
      </c>
      <c r="AN29" s="392" t="s">
        <v>194</v>
      </c>
      <c r="AO29" s="392" t="s">
        <v>194</v>
      </c>
      <c r="AP29" s="392" t="s">
        <v>194</v>
      </c>
      <c r="AQ29" s="392" t="s">
        <v>194</v>
      </c>
      <c r="AR29" s="392" t="s">
        <v>194</v>
      </c>
      <c r="AS29" s="392" t="s">
        <v>194</v>
      </c>
      <c r="AT29" s="36"/>
      <c r="AU29" s="36"/>
      <c r="AV29" s="36"/>
      <c r="AW29" s="36"/>
      <c r="AX29" s="36"/>
      <c r="AY29" s="36"/>
      <c r="AZ29" s="36"/>
      <c r="BA29" s="36"/>
      <c r="BB29" s="36"/>
      <c r="BC29" s="36"/>
      <c r="BD29" s="36"/>
      <c r="BE29" s="36"/>
      <c r="BF29" s="36"/>
      <c r="BG29" s="36"/>
      <c r="BH29" s="36"/>
      <c r="BI29" s="36"/>
      <c r="BJ29" s="36"/>
      <c r="BK29" s="36"/>
      <c r="BL29" s="36"/>
      <c r="BM29" s="36"/>
      <c r="BN29" s="36"/>
    </row>
    <row r="30" spans="2:66" ht="24" customHeight="1" x14ac:dyDescent="0.3">
      <c r="B30" s="920"/>
      <c r="C30" s="921"/>
      <c r="D30" s="921"/>
      <c r="E30" s="921"/>
      <c r="F30" s="921"/>
      <c r="G30" s="919"/>
      <c r="H30" s="38" t="s">
        <v>46</v>
      </c>
      <c r="I30" s="39"/>
      <c r="J30" s="40"/>
      <c r="K30" s="40"/>
      <c r="L30" s="53"/>
      <c r="M30" s="40" t="str">
        <f>IF(M$6&gt;$E$3,"",IF(M29="","OD",IF(M29="Blank","Blank",IF(M29="TBC","TBC",IF(M29="Undefined","Undefined",IF(M29="Missed","Missed",IF(M29="OD","OD",IF(M$4="OD","OD",IF((M29-M28)&gt;=0,"G",IF((M29-(M28*0.95))&gt;=0,"A","R"))))))))))</f>
        <v>Blank</v>
      </c>
      <c r="N30" s="40" t="str">
        <f t="shared" ref="N30:BM30" si="11">IF(N$6&gt;$E$3,"",IF(N29="","OD",IF(N29="Blank","Blank",IF(N29="TBC","TBC",IF(N29="Undefined","Undefined",IF(N29="Missed","Missed",IF(N29="OD","OD",IF(N$4="OD","OD",IF((N29-N28)&gt;=0,"G",IF((N29-(N28*0.95))&gt;=0,"A","R"))))))))))</f>
        <v>TBC</v>
      </c>
      <c r="O30" s="40" t="str">
        <f t="shared" si="11"/>
        <v>TBC</v>
      </c>
      <c r="P30" s="40" t="str">
        <f t="shared" si="11"/>
        <v>TBC</v>
      </c>
      <c r="Q30" s="40" t="str">
        <f t="shared" si="11"/>
        <v>TBC</v>
      </c>
      <c r="R30" s="40" t="str">
        <f t="shared" si="11"/>
        <v>TBC</v>
      </c>
      <c r="S30" s="40" t="str">
        <f t="shared" si="11"/>
        <v>TBC</v>
      </c>
      <c r="T30" s="40" t="str">
        <f t="shared" si="11"/>
        <v>TBC</v>
      </c>
      <c r="U30" s="40" t="str">
        <f t="shared" si="11"/>
        <v>TBC</v>
      </c>
      <c r="V30" s="40" t="str">
        <f t="shared" si="11"/>
        <v>TBC</v>
      </c>
      <c r="W30" s="40" t="str">
        <f t="shared" si="11"/>
        <v>TBC</v>
      </c>
      <c r="X30" s="40" t="str">
        <f t="shared" si="11"/>
        <v>TBC</v>
      </c>
      <c r="Y30" s="40" t="str">
        <f t="shared" si="11"/>
        <v>TBC</v>
      </c>
      <c r="Z30" s="40" t="str">
        <f t="shared" si="11"/>
        <v>G</v>
      </c>
      <c r="AA30" s="40" t="str">
        <f t="shared" si="11"/>
        <v>G</v>
      </c>
      <c r="AB30" s="40" t="str">
        <f t="shared" si="11"/>
        <v>G</v>
      </c>
      <c r="AC30" s="40" t="str">
        <f t="shared" si="11"/>
        <v>G</v>
      </c>
      <c r="AD30" s="40" t="str">
        <f t="shared" si="11"/>
        <v>G</v>
      </c>
      <c r="AE30" s="40" t="str">
        <f t="shared" si="11"/>
        <v>G</v>
      </c>
      <c r="AF30" s="40" t="str">
        <f t="shared" si="11"/>
        <v>G</v>
      </c>
      <c r="AG30" s="40" t="str">
        <f t="shared" si="11"/>
        <v>OD</v>
      </c>
      <c r="AH30" s="40" t="str">
        <f t="shared" si="11"/>
        <v>OD</v>
      </c>
      <c r="AI30" s="40" t="str">
        <f t="shared" si="11"/>
        <v>OD</v>
      </c>
      <c r="AJ30" s="40" t="str">
        <f t="shared" si="11"/>
        <v>OD</v>
      </c>
      <c r="AK30" s="40" t="str">
        <f t="shared" si="11"/>
        <v>OD</v>
      </c>
      <c r="AL30" s="40" t="str">
        <f t="shared" si="11"/>
        <v>OD</v>
      </c>
      <c r="AM30" s="40" t="str">
        <f t="shared" si="11"/>
        <v>OD</v>
      </c>
      <c r="AN30" s="40" t="str">
        <f t="shared" si="11"/>
        <v>OD</v>
      </c>
      <c r="AO30" s="40" t="str">
        <f t="shared" si="11"/>
        <v>OD</v>
      </c>
      <c r="AP30" s="40" t="str">
        <f t="shared" si="11"/>
        <v>OD</v>
      </c>
      <c r="AQ30" s="40" t="str">
        <f t="shared" si="11"/>
        <v>OD</v>
      </c>
      <c r="AR30" s="40" t="str">
        <f t="shared" si="11"/>
        <v>OD</v>
      </c>
      <c r="AS30" s="40" t="str">
        <f t="shared" si="11"/>
        <v>OD</v>
      </c>
      <c r="AT30" s="40" t="str">
        <f t="shared" si="11"/>
        <v>OD</v>
      </c>
      <c r="AU30" s="40" t="str">
        <f t="shared" si="11"/>
        <v>OD</v>
      </c>
      <c r="AV30" s="40" t="str">
        <f t="shared" si="11"/>
        <v>OD</v>
      </c>
      <c r="AW30" s="40" t="str">
        <f t="shared" si="11"/>
        <v>OD</v>
      </c>
      <c r="AX30" s="40" t="str">
        <f t="shared" si="11"/>
        <v>OD</v>
      </c>
      <c r="AY30" s="40" t="str">
        <f t="shared" si="11"/>
        <v>OD</v>
      </c>
      <c r="AZ30" s="40" t="str">
        <f t="shared" si="11"/>
        <v>OD</v>
      </c>
      <c r="BA30" s="40" t="str">
        <f t="shared" si="11"/>
        <v>OD</v>
      </c>
      <c r="BB30" s="40" t="str">
        <f t="shared" si="11"/>
        <v>OD</v>
      </c>
      <c r="BC30" s="40" t="str">
        <f t="shared" si="11"/>
        <v/>
      </c>
      <c r="BD30" s="40" t="str">
        <f t="shared" si="11"/>
        <v/>
      </c>
      <c r="BE30" s="40" t="str">
        <f t="shared" si="11"/>
        <v/>
      </c>
      <c r="BF30" s="40" t="str">
        <f t="shared" si="11"/>
        <v/>
      </c>
      <c r="BG30" s="40" t="str">
        <f t="shared" si="11"/>
        <v/>
      </c>
      <c r="BH30" s="40" t="str">
        <f t="shared" si="11"/>
        <v/>
      </c>
      <c r="BI30" s="40" t="str">
        <f t="shared" si="11"/>
        <v/>
      </c>
      <c r="BJ30" s="40" t="str">
        <f t="shared" si="11"/>
        <v/>
      </c>
      <c r="BK30" s="40" t="str">
        <f t="shared" si="11"/>
        <v/>
      </c>
      <c r="BL30" s="40" t="str">
        <f t="shared" si="11"/>
        <v/>
      </c>
      <c r="BM30" s="40" t="str">
        <f t="shared" si="11"/>
        <v/>
      </c>
      <c r="BN30" s="40" t="str">
        <f>IF(BN$6&gt;$E$2,"",IF(BN29="Undefined","Undefined",IF(BN29="TBC","TBC",IF(BN29="","OD",IF((BN29-BN28)&gt;=0,"G",IF((BN29-(BN28*0.95))&gt;=0,"A","R"))))))</f>
        <v/>
      </c>
    </row>
  </sheetData>
  <mergeCells count="32">
    <mergeCell ref="G17:G19"/>
    <mergeCell ref="B14:B16"/>
    <mergeCell ref="C14:C16"/>
    <mergeCell ref="D14:D16"/>
    <mergeCell ref="E14:E16"/>
    <mergeCell ref="F14:F16"/>
    <mergeCell ref="G14:G16"/>
    <mergeCell ref="B17:B19"/>
    <mergeCell ref="C17:C19"/>
    <mergeCell ref="D17:D19"/>
    <mergeCell ref="E17:E19"/>
    <mergeCell ref="F17:F19"/>
    <mergeCell ref="G11:G13"/>
    <mergeCell ref="C6:D6"/>
    <mergeCell ref="G6:G7"/>
    <mergeCell ref="B8:B10"/>
    <mergeCell ref="C8:C10"/>
    <mergeCell ref="D8:D10"/>
    <mergeCell ref="E8:E10"/>
    <mergeCell ref="F8:F10"/>
    <mergeCell ref="G8:G10"/>
    <mergeCell ref="B11:B13"/>
    <mergeCell ref="C11:C13"/>
    <mergeCell ref="D11:D13"/>
    <mergeCell ref="E11:E13"/>
    <mergeCell ref="F11:F13"/>
    <mergeCell ref="G28:G30"/>
    <mergeCell ref="B28:B30"/>
    <mergeCell ref="C28:C30"/>
    <mergeCell ref="D28:D30"/>
    <mergeCell ref="E28:E30"/>
    <mergeCell ref="F28:F30"/>
  </mergeCells>
  <conditionalFormatting sqref="B25">
    <cfRule type="cellIs" dxfId="239" priority="46" operator="equal">
      <formula>"TBC"</formula>
    </cfRule>
    <cfRule type="cellIs" dxfId="238" priority="47" operator="equal">
      <formula>"OD"</formula>
    </cfRule>
    <cfRule type="cellIs" dxfId="237" priority="48" operator="equal">
      <formula>"G"</formula>
    </cfRule>
    <cfRule type="cellIs" dxfId="236" priority="49" operator="equal">
      <formula>"A"</formula>
    </cfRule>
    <cfRule type="cellIs" dxfId="235" priority="50" operator="equal">
      <formula>"R"</formula>
    </cfRule>
  </conditionalFormatting>
  <conditionalFormatting sqref="I10:BN10">
    <cfRule type="cellIs" dxfId="234" priority="21" operator="equal">
      <formula>"OD"</formula>
    </cfRule>
    <cfRule type="cellIs" dxfId="233" priority="22" operator="equal">
      <formula>"TBC"</formula>
    </cfRule>
    <cfRule type="cellIs" dxfId="232" priority="23" operator="equal">
      <formula>"G"</formula>
    </cfRule>
    <cfRule type="cellIs" dxfId="231" priority="24" operator="equal">
      <formula>"A"</formula>
    </cfRule>
    <cfRule type="cellIs" dxfId="230" priority="25" operator="equal">
      <formula>"R"</formula>
    </cfRule>
  </conditionalFormatting>
  <conditionalFormatting sqref="I13:BN13">
    <cfRule type="cellIs" dxfId="229" priority="16" operator="equal">
      <formula>"OD"</formula>
    </cfRule>
    <cfRule type="cellIs" dxfId="228" priority="17" operator="equal">
      <formula>"TBC"</formula>
    </cfRule>
    <cfRule type="cellIs" dxfId="227" priority="18" operator="equal">
      <formula>"G"</formula>
    </cfRule>
    <cfRule type="cellIs" dxfId="226" priority="19" operator="equal">
      <formula>"A"</formula>
    </cfRule>
    <cfRule type="cellIs" dxfId="225" priority="20" operator="equal">
      <formula>"R"</formula>
    </cfRule>
  </conditionalFormatting>
  <conditionalFormatting sqref="I16:BN16">
    <cfRule type="cellIs" dxfId="224" priority="11" operator="equal">
      <formula>"OD"</formula>
    </cfRule>
    <cfRule type="cellIs" dxfId="223" priority="12" operator="equal">
      <formula>"TBC"</formula>
    </cfRule>
    <cfRule type="cellIs" dxfId="222" priority="13" operator="equal">
      <formula>"G"</formula>
    </cfRule>
    <cfRule type="cellIs" dxfId="221" priority="14" operator="equal">
      <formula>"A"</formula>
    </cfRule>
    <cfRule type="cellIs" dxfId="220" priority="15" operator="equal">
      <formula>"R"</formula>
    </cfRule>
  </conditionalFormatting>
  <conditionalFormatting sqref="I19:BN19">
    <cfRule type="cellIs" dxfId="219" priority="6" operator="equal">
      <formula>"OD"</formula>
    </cfRule>
    <cfRule type="cellIs" dxfId="218" priority="7" operator="equal">
      <formula>"TBC"</formula>
    </cfRule>
    <cfRule type="cellIs" dxfId="217" priority="8" operator="equal">
      <formula>"G"</formula>
    </cfRule>
    <cfRule type="cellIs" dxfId="216" priority="9" operator="equal">
      <formula>"A"</formula>
    </cfRule>
    <cfRule type="cellIs" dxfId="215" priority="10" operator="equal">
      <formula>"R"</formula>
    </cfRule>
  </conditionalFormatting>
  <conditionalFormatting sqref="I30:BN30">
    <cfRule type="cellIs" dxfId="214" priority="1" operator="equal">
      <formula>"OD"</formula>
    </cfRule>
    <cfRule type="cellIs" dxfId="213" priority="2" operator="equal">
      <formula>"TBC"</formula>
    </cfRule>
    <cfRule type="cellIs" dxfId="212" priority="3" operator="equal">
      <formula>"G"</formula>
    </cfRule>
    <cfRule type="cellIs" dxfId="211" priority="4" operator="equal">
      <formula>"A"</formula>
    </cfRule>
    <cfRule type="cellIs" dxfId="210" priority="5" operator="equal">
      <formula>"R"</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F9145-CDC1-44B4-85AA-5361CEB8478C}">
  <sheetPr>
    <tabColor rgb="FFFFC000"/>
  </sheetPr>
  <dimension ref="A1:BR38"/>
  <sheetViews>
    <sheetView zoomScale="90" zoomScaleNormal="90" workbookViewId="0">
      <pane xSplit="8" ySplit="7" topLeftCell="AQ17" activePane="bottomRight" state="frozen"/>
      <selection pane="topRight" activeCell="I1" sqref="I1"/>
      <selection pane="bottomLeft" activeCell="A8" sqref="A8"/>
      <selection pane="bottomRight" activeCell="BA31" sqref="BA31:BB31"/>
    </sheetView>
  </sheetViews>
  <sheetFormatPr defaultColWidth="9.33203125" defaultRowHeight="14.4" x14ac:dyDescent="0.3"/>
  <cols>
    <col min="1" max="1" width="3" style="2" customWidth="1"/>
    <col min="2" max="2" width="16.44140625" style="2" customWidth="1"/>
    <col min="3" max="3" width="16.5546875" style="13" bestFit="1" customWidth="1"/>
    <col min="4" max="4" width="25.33203125" style="2" customWidth="1"/>
    <col min="5" max="5" width="10.5546875" style="2" customWidth="1"/>
    <col min="6" max="6" width="7.88671875" style="2" customWidth="1"/>
    <col min="7" max="7" width="31.33203125" style="2" customWidth="1"/>
    <col min="8" max="8" width="9.44140625" style="2" bestFit="1" customWidth="1"/>
    <col min="9" max="12" width="3" style="2" bestFit="1" customWidth="1"/>
    <col min="13" max="17" width="12.109375" style="2" customWidth="1"/>
    <col min="18" max="28" width="8.88671875" style="2" customWidth="1"/>
    <col min="29" max="30" width="11" style="2" bestFit="1" customWidth="1"/>
    <col min="31" max="65" width="8.88671875" style="2" customWidth="1"/>
    <col min="66" max="66" width="4" style="2"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1:70" ht="18" x14ac:dyDescent="0.3">
      <c r="A1" s="2" t="s">
        <v>568</v>
      </c>
      <c r="B1" s="14" t="s">
        <v>121</v>
      </c>
      <c r="C1" s="10" t="s">
        <v>643</v>
      </c>
    </row>
    <row r="2" spans="1:70" ht="15" thickBot="1" x14ac:dyDescent="0.35">
      <c r="G2" s="2">
        <v>10</v>
      </c>
      <c r="H2" s="2">
        <v>11</v>
      </c>
    </row>
    <row r="3" spans="1:70" ht="21.6" thickBot="1" x14ac:dyDescent="0.45">
      <c r="B3" s="402" t="s">
        <v>479</v>
      </c>
      <c r="C3"/>
      <c r="D3" s="119" t="s">
        <v>165</v>
      </c>
      <c r="E3" s="310" t="s">
        <v>383</v>
      </c>
      <c r="F3" s="310">
        <v>9</v>
      </c>
      <c r="G3" s="2">
        <v>10</v>
      </c>
      <c r="H3" s="2">
        <v>10</v>
      </c>
      <c r="U3" s="13"/>
      <c r="AX3" s="2">
        <v>2020</v>
      </c>
    </row>
    <row r="4" spans="1:70" ht="15" thickBot="1" x14ac:dyDescent="0.35">
      <c r="D4" s="119" t="s">
        <v>375</v>
      </c>
      <c r="E4" s="179" t="str">
        <f>+'KPI Stats'!D26</f>
        <v>Quality</v>
      </c>
      <c r="F4" s="179">
        <f>+'KPI Linked Table for Report'!C2</f>
        <v>9</v>
      </c>
      <c r="M4" s="117" t="str">
        <f t="shared" ref="M4:Q4" si="0">IF($F$3&gt;=M5,"Calc",IF(M5&gt;$F$3,IF(M5&gt;$F$3,"Future","Not Calc yet")))</f>
        <v>Calc</v>
      </c>
      <c r="N4" s="117" t="str">
        <f t="shared" si="0"/>
        <v>Calc</v>
      </c>
      <c r="O4" s="117" t="str">
        <f t="shared" si="0"/>
        <v>Calc</v>
      </c>
      <c r="P4" s="117" t="str">
        <f t="shared" si="0"/>
        <v>Calc</v>
      </c>
      <c r="Q4" s="117" t="str">
        <f t="shared" si="0"/>
        <v>Calc</v>
      </c>
      <c r="R4" s="117" t="str">
        <f>IF($F$3&gt;=R5,"Calc",IF(R5&gt;$F$3,IF(R5&gt;$F$3,"Future","Not Calc yet")))</f>
        <v>Calc</v>
      </c>
      <c r="S4" s="117" t="str">
        <f t="shared" ref="S4:X4" si="1">IF($F$3&gt;=S5,"Calc",IF(S5&gt;$F$3,IF(S5&gt;$F$3,"Future","Not Calc yet")))</f>
        <v>Calc</v>
      </c>
      <c r="T4" s="117" t="str">
        <f t="shared" si="1"/>
        <v>Calc</v>
      </c>
      <c r="U4" s="117" t="str">
        <f t="shared" si="1"/>
        <v>Calc</v>
      </c>
      <c r="V4" s="117" t="str">
        <f t="shared" si="1"/>
        <v>Future</v>
      </c>
      <c r="W4" s="117" t="str">
        <f t="shared" si="1"/>
        <v>Future</v>
      </c>
      <c r="X4" s="117" t="str">
        <f t="shared" si="1"/>
        <v>Future</v>
      </c>
    </row>
    <row r="5" spans="1:70" ht="15.6" customHeight="1" thickBot="1" x14ac:dyDescent="0.35">
      <c r="B5" s="346" t="str">
        <f>IF(F3&lt;(F4),"Overdue","Current")</f>
        <v>Current</v>
      </c>
      <c r="C5" s="2"/>
      <c r="D5" s="120" t="s">
        <v>378</v>
      </c>
      <c r="E5" s="343" t="s">
        <v>177</v>
      </c>
      <c r="F5"/>
      <c r="G5"/>
      <c r="H5" s="2" t="s">
        <v>382</v>
      </c>
      <c r="M5" s="2">
        <v>1</v>
      </c>
      <c r="N5" s="2">
        <v>2</v>
      </c>
      <c r="O5" s="2">
        <v>3</v>
      </c>
      <c r="P5" s="2">
        <v>4</v>
      </c>
      <c r="Q5" s="2">
        <v>5</v>
      </c>
      <c r="R5" s="2">
        <v>6</v>
      </c>
      <c r="S5" s="2">
        <v>7</v>
      </c>
      <c r="T5" s="2">
        <v>8</v>
      </c>
      <c r="U5" s="2">
        <v>9</v>
      </c>
      <c r="V5" s="2">
        <v>10</v>
      </c>
      <c r="W5" s="2">
        <v>11</v>
      </c>
      <c r="X5" s="2">
        <v>12</v>
      </c>
      <c r="Y5" s="117"/>
      <c r="Z5" s="117"/>
      <c r="AA5" s="117"/>
      <c r="AB5" s="117"/>
      <c r="AC5" s="117"/>
      <c r="AD5" s="117"/>
      <c r="AE5" s="117"/>
      <c r="AF5" s="117"/>
      <c r="AG5" s="117"/>
      <c r="AH5" s="117"/>
      <c r="AI5" s="117"/>
      <c r="AJ5" s="117"/>
      <c r="AK5" s="117"/>
      <c r="AL5" s="117"/>
      <c r="AM5" s="117"/>
      <c r="AN5" s="13"/>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c r="BN5" s="117"/>
      <c r="BO5" s="117"/>
      <c r="BP5" s="117"/>
      <c r="BQ5" s="117"/>
      <c r="BR5" s="202"/>
    </row>
    <row r="6" spans="1:70" ht="24" customHeight="1" x14ac:dyDescent="0.3">
      <c r="B6" s="14" t="s">
        <v>79</v>
      </c>
      <c r="C6" s="926" t="s">
        <v>560</v>
      </c>
      <c r="D6" s="927"/>
      <c r="E6" s="106"/>
      <c r="F6" s="106"/>
      <c r="G6" s="928" t="s">
        <v>37</v>
      </c>
      <c r="H6" s="94"/>
      <c r="I6" s="94"/>
      <c r="J6" s="94"/>
      <c r="K6" s="94"/>
      <c r="L6" s="94"/>
      <c r="M6" s="94"/>
      <c r="N6" s="94"/>
      <c r="O6" s="94"/>
      <c r="P6" s="94"/>
      <c r="Q6" s="94"/>
      <c r="R6" s="94"/>
      <c r="S6" s="94"/>
      <c r="T6" s="94"/>
      <c r="U6" s="94"/>
      <c r="V6" s="94"/>
      <c r="W6" s="94"/>
      <c r="X6" s="94"/>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row>
    <row r="7" spans="1:70" ht="18" x14ac:dyDescent="0.3">
      <c r="B7" s="14" t="s">
        <v>38</v>
      </c>
      <c r="C7" s="21" t="s">
        <v>39</v>
      </c>
      <c r="D7" s="21" t="s">
        <v>40</v>
      </c>
      <c r="E7" s="21" t="s">
        <v>140</v>
      </c>
      <c r="F7" s="21" t="s">
        <v>159</v>
      </c>
      <c r="G7" s="929"/>
      <c r="H7" s="95"/>
      <c r="I7" s="95"/>
      <c r="J7" s="95"/>
      <c r="K7" s="95"/>
      <c r="L7" s="95"/>
      <c r="M7" s="95" t="s">
        <v>81</v>
      </c>
      <c r="N7" s="95" t="s">
        <v>82</v>
      </c>
      <c r="O7" s="95" t="s">
        <v>83</v>
      </c>
      <c r="P7" s="95" t="s">
        <v>84</v>
      </c>
      <c r="Q7" s="95" t="s">
        <v>85</v>
      </c>
      <c r="R7" s="95" t="s">
        <v>86</v>
      </c>
      <c r="S7" s="95" t="s">
        <v>87</v>
      </c>
      <c r="T7" s="95" t="s">
        <v>88</v>
      </c>
      <c r="U7" s="95" t="s">
        <v>89</v>
      </c>
      <c r="V7" s="95" t="s">
        <v>90</v>
      </c>
      <c r="W7" s="95" t="s">
        <v>91</v>
      </c>
      <c r="X7" s="95" t="s">
        <v>92</v>
      </c>
    </row>
    <row r="8" spans="1:70" ht="30.6" customHeight="1" x14ac:dyDescent="0.3">
      <c r="B8" s="920" t="s">
        <v>30</v>
      </c>
      <c r="C8" s="922" t="s">
        <v>513</v>
      </c>
      <c r="D8" s="922" t="s">
        <v>512</v>
      </c>
      <c r="E8" s="921" t="s">
        <v>146</v>
      </c>
      <c r="F8" s="922" t="s">
        <v>421</v>
      </c>
      <c r="G8" s="919" t="s">
        <v>515</v>
      </c>
      <c r="H8" s="27" t="s">
        <v>44</v>
      </c>
      <c r="I8" s="28"/>
      <c r="J8" s="29"/>
      <c r="K8" s="29"/>
      <c r="L8" s="51"/>
      <c r="M8" s="397" t="s">
        <v>35</v>
      </c>
      <c r="N8" s="397" t="s">
        <v>35</v>
      </c>
      <c r="O8" s="397" t="s">
        <v>35</v>
      </c>
      <c r="P8" s="397">
        <v>2</v>
      </c>
      <c r="Q8" s="397">
        <v>2</v>
      </c>
      <c r="R8" s="397">
        <v>2</v>
      </c>
      <c r="S8" s="397">
        <v>2</v>
      </c>
      <c r="T8" s="397">
        <v>2</v>
      </c>
      <c r="U8" s="397">
        <v>2</v>
      </c>
      <c r="V8" s="397">
        <v>2</v>
      </c>
      <c r="W8" s="397">
        <v>2</v>
      </c>
      <c r="X8" s="397">
        <v>2</v>
      </c>
    </row>
    <row r="9" spans="1:70" ht="24" customHeight="1" x14ac:dyDescent="0.3">
      <c r="B9" s="920"/>
      <c r="C9" s="921"/>
      <c r="D9" s="921"/>
      <c r="E9" s="921"/>
      <c r="F9" s="921"/>
      <c r="G9" s="919"/>
      <c r="H9" s="33" t="s">
        <v>45</v>
      </c>
      <c r="I9" s="34"/>
      <c r="J9" s="35"/>
      <c r="K9" s="35"/>
      <c r="L9" s="52"/>
      <c r="M9" s="463" t="s">
        <v>35</v>
      </c>
      <c r="N9" s="463" t="s">
        <v>35</v>
      </c>
      <c r="O9" s="463" t="s">
        <v>35</v>
      </c>
      <c r="P9" s="463">
        <v>1</v>
      </c>
      <c r="Q9" s="463">
        <v>1</v>
      </c>
      <c r="R9" s="463">
        <v>6</v>
      </c>
      <c r="S9" s="463"/>
      <c r="T9" s="463"/>
      <c r="U9" s="463"/>
      <c r="V9" s="463"/>
      <c r="W9" s="463"/>
      <c r="X9" s="463"/>
    </row>
    <row r="10" spans="1:70" ht="24" customHeight="1" x14ac:dyDescent="0.3">
      <c r="B10" s="920"/>
      <c r="C10" s="921"/>
      <c r="D10" s="921"/>
      <c r="E10" s="921"/>
      <c r="F10" s="921"/>
      <c r="G10" s="919"/>
      <c r="H10" s="38" t="s">
        <v>46</v>
      </c>
      <c r="I10" s="39"/>
      <c r="J10" s="40"/>
      <c r="K10" s="40"/>
      <c r="L10" s="53"/>
      <c r="M10" s="40" t="str">
        <f>IF(M$5&gt;$F$3,"",IF(M9="","OD",IF(M9="Blank","Blank",IF(M9="TBC","TBC",IF(M9="Undefined","Undefined",IF(M9="Missed","Missed",IF(M9="OD","OD",IF(M$4="OD","OD",IF((M9-M8)&lt;=0,"G",IF((M9-(M8/0.95))&lt;=0,"A","R"))))))))))</f>
        <v>TBC</v>
      </c>
      <c r="N10" s="40" t="str">
        <f t="shared" ref="N10:X10" si="2">IF(N$5&gt;$F$3,"",IF(N9="","OD",IF(N9="Blank","Blank",IF(N9="TBC","TBC",IF(N9="Undefined","Undefined",IF(N9="Missed","Missed",IF(N9="OD","OD",IF(N$4="OD","OD",IF((N9-N8)&lt;=0,"G",IF((N9-(N8/0.95))&lt;=0,"A","R"))))))))))</f>
        <v>TBC</v>
      </c>
      <c r="O10" s="40" t="str">
        <f t="shared" si="2"/>
        <v>TBC</v>
      </c>
      <c r="P10" s="40" t="str">
        <f t="shared" si="2"/>
        <v>G</v>
      </c>
      <c r="Q10" s="40" t="str">
        <f t="shared" si="2"/>
        <v>G</v>
      </c>
      <c r="R10" s="40" t="str">
        <f t="shared" si="2"/>
        <v>R</v>
      </c>
      <c r="S10" s="40" t="str">
        <f t="shared" si="2"/>
        <v>OD</v>
      </c>
      <c r="T10" s="40" t="str">
        <f t="shared" si="2"/>
        <v>OD</v>
      </c>
      <c r="U10" s="40" t="str">
        <f t="shared" si="2"/>
        <v>OD</v>
      </c>
      <c r="V10" s="40" t="str">
        <f t="shared" si="2"/>
        <v/>
      </c>
      <c r="W10" s="40" t="str">
        <f t="shared" si="2"/>
        <v/>
      </c>
      <c r="X10" s="40" t="str">
        <f t="shared" si="2"/>
        <v/>
      </c>
    </row>
    <row r="11" spans="1:70" s="451" customFormat="1" ht="24" customHeight="1" x14ac:dyDescent="0.3">
      <c r="B11" s="920" t="s">
        <v>33</v>
      </c>
      <c r="C11" s="922" t="s">
        <v>511</v>
      </c>
      <c r="D11" s="922" t="s">
        <v>514</v>
      </c>
      <c r="E11" s="921" t="s">
        <v>556</v>
      </c>
      <c r="F11" s="922" t="s">
        <v>318</v>
      </c>
      <c r="G11" s="919" t="s">
        <v>515</v>
      </c>
      <c r="H11" s="447" t="s">
        <v>44</v>
      </c>
      <c r="I11" s="448"/>
      <c r="J11" s="449"/>
      <c r="K11" s="449"/>
      <c r="L11" s="450"/>
      <c r="M11" s="397" t="s">
        <v>35</v>
      </c>
      <c r="N11" s="397" t="s">
        <v>35</v>
      </c>
      <c r="O11" s="397" t="s">
        <v>35</v>
      </c>
      <c r="P11" s="397">
        <v>1</v>
      </c>
      <c r="Q11" s="397">
        <v>1</v>
      </c>
      <c r="R11" s="397">
        <v>1</v>
      </c>
      <c r="S11" s="397">
        <v>1</v>
      </c>
      <c r="T11" s="397">
        <v>1</v>
      </c>
      <c r="U11" s="397">
        <v>1</v>
      </c>
      <c r="V11" s="397">
        <v>1</v>
      </c>
      <c r="W11" s="397">
        <v>1</v>
      </c>
      <c r="X11" s="397">
        <v>1</v>
      </c>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row>
    <row r="12" spans="1:70" s="451" customFormat="1" ht="24" customHeight="1" x14ac:dyDescent="0.3">
      <c r="B12" s="920"/>
      <c r="C12" s="921"/>
      <c r="D12" s="921"/>
      <c r="E12" s="921"/>
      <c r="F12" s="921"/>
      <c r="G12" s="919"/>
      <c r="H12" s="452" t="s">
        <v>45</v>
      </c>
      <c r="I12" s="453"/>
      <c r="J12" s="454"/>
      <c r="K12" s="454"/>
      <c r="L12" s="455"/>
      <c r="M12" s="463" t="s">
        <v>35</v>
      </c>
      <c r="N12" s="463" t="s">
        <v>35</v>
      </c>
      <c r="O12" s="463" t="s">
        <v>35</v>
      </c>
      <c r="P12" s="463">
        <v>0.4</v>
      </c>
      <c r="Q12" s="463">
        <v>0.93</v>
      </c>
      <c r="R12" s="463">
        <v>3</v>
      </c>
      <c r="S12" s="463"/>
      <c r="T12" s="463"/>
      <c r="U12" s="463"/>
      <c r="V12" s="463"/>
      <c r="W12" s="463"/>
      <c r="X12" s="463"/>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row>
    <row r="13" spans="1:70" ht="24" customHeight="1" thickBot="1" x14ac:dyDescent="0.35">
      <c r="B13" s="920"/>
      <c r="C13" s="921"/>
      <c r="D13" s="921"/>
      <c r="E13" s="921"/>
      <c r="F13" s="921"/>
      <c r="G13" s="919"/>
      <c r="H13" s="38" t="s">
        <v>46</v>
      </c>
      <c r="I13" s="43"/>
      <c r="J13" s="44"/>
      <c r="K13" s="44"/>
      <c r="L13" s="54"/>
      <c r="M13" s="40" t="str">
        <f>IF(M$5&gt;$F$3,"",IF(M12="","OD",IF(M12="Blank","Blank",IF(M12="TBC","TBC",IF(M12="Undefined","Undefined",IF(M12="Missed","Missed",IF(M12="OD","OD",IF(M$5="OD","OD",IF((M12-M11)&gt;=0,"G",IF((M12-(M11*0.95))&gt;=0,"A","R"))))))))))</f>
        <v>TBC</v>
      </c>
      <c r="N13" s="40" t="str">
        <f t="shared" ref="N13:X13" si="3">IF(N$5&gt;$F$3,"",IF(N12="","OD",IF(N12="Blank","Blank",IF(N12="TBC","TBC",IF(N12="Undefined","Undefined",IF(N12="Missed","Missed",IF(N12="OD","OD",IF(N$5="OD","OD",IF((N12-N11)&gt;=0,"G",IF((N12-(N11*0.95))&gt;=0,"A","R"))))))))))</f>
        <v>TBC</v>
      </c>
      <c r="O13" s="40" t="str">
        <f t="shared" si="3"/>
        <v>TBC</v>
      </c>
      <c r="P13" s="40" t="str">
        <f t="shared" si="3"/>
        <v>R</v>
      </c>
      <c r="Q13" s="40" t="str">
        <f t="shared" si="3"/>
        <v>R</v>
      </c>
      <c r="R13" s="40" t="str">
        <f t="shared" si="3"/>
        <v>G</v>
      </c>
      <c r="S13" s="40" t="str">
        <f t="shared" si="3"/>
        <v>OD</v>
      </c>
      <c r="T13" s="40" t="str">
        <f t="shared" si="3"/>
        <v>OD</v>
      </c>
      <c r="U13" s="40" t="str">
        <f t="shared" si="3"/>
        <v>OD</v>
      </c>
      <c r="V13" s="40" t="str">
        <f t="shared" si="3"/>
        <v/>
      </c>
      <c r="W13" s="40" t="str">
        <f t="shared" si="3"/>
        <v/>
      </c>
      <c r="X13" s="40" t="str">
        <f t="shared" si="3"/>
        <v/>
      </c>
    </row>
    <row r="14" spans="1:70" s="451" customFormat="1" ht="24" customHeight="1" x14ac:dyDescent="0.3">
      <c r="B14" s="920" t="s">
        <v>31</v>
      </c>
      <c r="C14" s="922" t="s">
        <v>517</v>
      </c>
      <c r="D14" s="922" t="s">
        <v>517</v>
      </c>
      <c r="E14" s="921" t="s">
        <v>169</v>
      </c>
      <c r="F14" s="922" t="s">
        <v>421</v>
      </c>
      <c r="G14" s="919" t="s">
        <v>516</v>
      </c>
      <c r="H14" s="447" t="s">
        <v>44</v>
      </c>
      <c r="I14" s="448"/>
      <c r="J14" s="449"/>
      <c r="K14" s="449"/>
      <c r="L14" s="450"/>
      <c r="M14" s="608">
        <v>37769</v>
      </c>
      <c r="N14" s="99">
        <v>39753</v>
      </c>
      <c r="O14" s="99">
        <v>42720</v>
      </c>
      <c r="P14" s="99">
        <v>55801</v>
      </c>
      <c r="Q14" s="99">
        <v>59792</v>
      </c>
      <c r="R14" s="99">
        <v>62510</v>
      </c>
      <c r="S14" s="99">
        <v>73033</v>
      </c>
      <c r="T14" s="99">
        <v>65445</v>
      </c>
      <c r="U14" s="99">
        <v>69241</v>
      </c>
      <c r="V14" s="99">
        <v>70397</v>
      </c>
      <c r="W14" s="99">
        <v>64606</v>
      </c>
      <c r="X14" s="99">
        <v>57947</v>
      </c>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row>
    <row r="15" spans="1:70" s="451" customFormat="1" ht="24" customHeight="1" x14ac:dyDescent="0.3">
      <c r="B15" s="920"/>
      <c r="C15" s="921"/>
      <c r="D15" s="921"/>
      <c r="E15" s="921"/>
      <c r="F15" s="921"/>
      <c r="G15" s="919"/>
      <c r="H15" s="452" t="s">
        <v>45</v>
      </c>
      <c r="I15" s="453"/>
      <c r="J15" s="454"/>
      <c r="K15" s="454"/>
      <c r="L15" s="455"/>
      <c r="M15" s="609">
        <v>42007</v>
      </c>
      <c r="N15" s="610">
        <v>61489</v>
      </c>
      <c r="O15" s="610">
        <f>47978-4500</f>
        <v>43478</v>
      </c>
      <c r="P15" s="610">
        <v>64966</v>
      </c>
      <c r="Q15" s="610">
        <v>58575</v>
      </c>
      <c r="R15" s="610">
        <v>2</v>
      </c>
      <c r="S15" s="610" t="s">
        <v>194</v>
      </c>
      <c r="T15" s="610" t="s">
        <v>194</v>
      </c>
      <c r="U15" s="610"/>
      <c r="V15" s="610"/>
      <c r="W15" s="610"/>
      <c r="X15" s="610"/>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row>
    <row r="16" spans="1:70" ht="24" customHeight="1" thickBot="1" x14ac:dyDescent="0.35">
      <c r="B16" s="920"/>
      <c r="C16" s="921"/>
      <c r="D16" s="921"/>
      <c r="E16" s="921"/>
      <c r="F16" s="921"/>
      <c r="G16" s="919"/>
      <c r="H16" s="38" t="s">
        <v>46</v>
      </c>
      <c r="I16" s="43"/>
      <c r="J16" s="44"/>
      <c r="K16" s="44"/>
      <c r="L16" s="54"/>
      <c r="M16" s="40" t="str">
        <f>IF(M$5&gt;$F$3,"",IF(M15="","OD",IF(M15="Blank","Blank",IF(M15="TBC","TBC",IF(M15="Undefined","Undefined",IF(M15="Missed","Missed",IF(M15="OD","OD",IF(M$4="OD","OD",IF((M15-M14)&lt;=0,"G",IF((M15-(M14/0.95))&lt;=0,"A","R"))))))))))</f>
        <v>R</v>
      </c>
      <c r="N16" s="40" t="str">
        <f t="shared" ref="N16:X16" si="4">IF(N$5&gt;$F$3,"",IF(N15="","OD",IF(N15="Blank","Blank",IF(N15="TBC","TBC",IF(N15="Undefined","Undefined",IF(N15="Missed","Missed",IF(N15="OD","OD",IF(N$4="OD","OD",IF((N15-N14)&lt;=0,"G",IF((N15-(N14/0.95))&lt;=0,"A","R"))))))))))</f>
        <v>R</v>
      </c>
      <c r="O16" s="40" t="str">
        <f t="shared" si="4"/>
        <v>A</v>
      </c>
      <c r="P16" s="40" t="str">
        <f t="shared" si="4"/>
        <v>R</v>
      </c>
      <c r="Q16" s="40" t="str">
        <f t="shared" si="4"/>
        <v>G</v>
      </c>
      <c r="R16" s="40" t="str">
        <f t="shared" si="4"/>
        <v>G</v>
      </c>
      <c r="S16" s="40" t="str">
        <f t="shared" si="4"/>
        <v>OD</v>
      </c>
      <c r="T16" s="40" t="str">
        <f t="shared" si="4"/>
        <v>OD</v>
      </c>
      <c r="U16" s="40" t="str">
        <f t="shared" si="4"/>
        <v>OD</v>
      </c>
      <c r="V16" s="40" t="str">
        <f t="shared" si="4"/>
        <v/>
      </c>
      <c r="W16" s="40" t="str">
        <f t="shared" si="4"/>
        <v/>
      </c>
      <c r="X16" s="40" t="str">
        <f t="shared" si="4"/>
        <v/>
      </c>
    </row>
    <row r="17" spans="2:66" ht="15" thickBot="1" x14ac:dyDescent="0.35"/>
    <row r="18" spans="2:66" ht="15" thickBot="1" x14ac:dyDescent="0.35">
      <c r="D18" s="119" t="s">
        <v>123</v>
      </c>
      <c r="E18" s="346">
        <v>42</v>
      </c>
      <c r="F18" s="2" t="s">
        <v>248</v>
      </c>
      <c r="AN18" s="2" t="s">
        <v>683</v>
      </c>
      <c r="AO18" s="2" t="s">
        <v>682</v>
      </c>
    </row>
    <row r="19" spans="2:66" ht="15" customHeight="1" thickBot="1" x14ac:dyDescent="0.35">
      <c r="B19" s="2" t="s">
        <v>384</v>
      </c>
      <c r="D19" s="120" t="s">
        <v>193</v>
      </c>
      <c r="E19" s="120">
        <f>+'KPI Analysis'!D3</f>
        <v>42</v>
      </c>
    </row>
    <row r="20" spans="2:66" ht="15.6" customHeight="1" thickBot="1" x14ac:dyDescent="0.35">
      <c r="B20" s="346" t="str">
        <f>IF(E18&lt;(E19),"Overdue","Current")</f>
        <v>Current</v>
      </c>
      <c r="C20" s="2"/>
      <c r="D20" s="120" t="s">
        <v>378</v>
      </c>
      <c r="E20" s="343" t="s">
        <v>385</v>
      </c>
      <c r="F20"/>
      <c r="G20"/>
      <c r="M20" s="117" t="str">
        <f t="shared" ref="M20:AR20" si="5">IF(M22&gt;$E$19,"Future",IF(M22&gt;$E$18,"OD",IF($E$18&gt;=M22,"Calc")))</f>
        <v>Calc</v>
      </c>
      <c r="N20" s="117" t="str">
        <f t="shared" si="5"/>
        <v>Calc</v>
      </c>
      <c r="O20" s="117" t="str">
        <f t="shared" si="5"/>
        <v>Calc</v>
      </c>
      <c r="P20" s="117" t="str">
        <f t="shared" si="5"/>
        <v>Calc</v>
      </c>
      <c r="Q20" s="117" t="str">
        <f t="shared" si="5"/>
        <v>Calc</v>
      </c>
      <c r="R20" s="117" t="str">
        <f t="shared" si="5"/>
        <v>Calc</v>
      </c>
      <c r="S20" s="117" t="str">
        <f t="shared" si="5"/>
        <v>Calc</v>
      </c>
      <c r="T20" s="117" t="str">
        <f t="shared" si="5"/>
        <v>Calc</v>
      </c>
      <c r="U20" s="117" t="str">
        <f t="shared" si="5"/>
        <v>Calc</v>
      </c>
      <c r="V20" s="117" t="str">
        <f t="shared" si="5"/>
        <v>Calc</v>
      </c>
      <c r="W20" s="117" t="str">
        <f t="shared" si="5"/>
        <v>Calc</v>
      </c>
      <c r="X20" s="117" t="str">
        <f t="shared" si="5"/>
        <v>Calc</v>
      </c>
      <c r="Y20" s="117" t="str">
        <f t="shared" si="5"/>
        <v>Calc</v>
      </c>
      <c r="Z20" s="117" t="str">
        <f t="shared" si="5"/>
        <v>Calc</v>
      </c>
      <c r="AA20" s="117" t="str">
        <f t="shared" si="5"/>
        <v>Calc</v>
      </c>
      <c r="AB20" s="117" t="str">
        <f t="shared" si="5"/>
        <v>Calc</v>
      </c>
      <c r="AC20" s="117" t="str">
        <f t="shared" si="5"/>
        <v>Calc</v>
      </c>
      <c r="AD20" s="117" t="str">
        <f t="shared" si="5"/>
        <v>Calc</v>
      </c>
      <c r="AE20" s="117" t="str">
        <f t="shared" si="5"/>
        <v>Calc</v>
      </c>
      <c r="AF20" s="117" t="str">
        <f t="shared" si="5"/>
        <v>Calc</v>
      </c>
      <c r="AG20" s="117" t="str">
        <f t="shared" si="5"/>
        <v>Calc</v>
      </c>
      <c r="AH20" s="117" t="str">
        <f t="shared" si="5"/>
        <v>Calc</v>
      </c>
      <c r="AI20" s="117" t="str">
        <f t="shared" si="5"/>
        <v>Calc</v>
      </c>
      <c r="AJ20" s="117" t="str">
        <f t="shared" si="5"/>
        <v>Calc</v>
      </c>
      <c r="AK20" s="117" t="str">
        <f t="shared" si="5"/>
        <v>Calc</v>
      </c>
      <c r="AL20" s="117" t="str">
        <f t="shared" si="5"/>
        <v>Calc</v>
      </c>
      <c r="AM20" s="117" t="str">
        <f t="shared" si="5"/>
        <v>Calc</v>
      </c>
      <c r="AN20" s="117" t="str">
        <f t="shared" si="5"/>
        <v>Calc</v>
      </c>
      <c r="AO20" s="117" t="str">
        <f t="shared" si="5"/>
        <v>Calc</v>
      </c>
      <c r="AP20" s="117" t="str">
        <f t="shared" si="5"/>
        <v>Calc</v>
      </c>
      <c r="AQ20" s="117" t="str">
        <f t="shared" si="5"/>
        <v>Calc</v>
      </c>
      <c r="AR20" s="117" t="str">
        <f t="shared" si="5"/>
        <v>Calc</v>
      </c>
      <c r="AS20" s="117" t="str">
        <f t="shared" ref="AS20:BM20" si="6">IF(AS22&gt;$E$19,"Future",IF(AS22&gt;$E$18,"OD",IF($E$18&gt;=AS22,"Calc")))</f>
        <v>Calc</v>
      </c>
      <c r="AT20" s="117" t="str">
        <f t="shared" si="6"/>
        <v>Calc</v>
      </c>
      <c r="AU20" s="117" t="str">
        <f t="shared" si="6"/>
        <v>Calc</v>
      </c>
      <c r="AV20" s="117" t="str">
        <f t="shared" si="6"/>
        <v>Calc</v>
      </c>
      <c r="AW20" s="117" t="str">
        <f t="shared" si="6"/>
        <v>Calc</v>
      </c>
      <c r="AX20" s="117" t="str">
        <f t="shared" si="6"/>
        <v>Calc</v>
      </c>
      <c r="AY20" s="117" t="str">
        <f t="shared" si="6"/>
        <v>Calc</v>
      </c>
      <c r="AZ20" s="117" t="str">
        <f t="shared" si="6"/>
        <v>Calc</v>
      </c>
      <c r="BA20" s="117" t="str">
        <f t="shared" si="6"/>
        <v>Calc</v>
      </c>
      <c r="BB20" s="117" t="str">
        <f t="shared" si="6"/>
        <v>Calc</v>
      </c>
      <c r="BC20" s="117" t="str">
        <f t="shared" si="6"/>
        <v>Future</v>
      </c>
      <c r="BD20" s="117" t="str">
        <f t="shared" si="6"/>
        <v>Future</v>
      </c>
      <c r="BE20" s="117" t="str">
        <f t="shared" si="6"/>
        <v>Future</v>
      </c>
      <c r="BF20" s="117" t="str">
        <f t="shared" si="6"/>
        <v>Future</v>
      </c>
      <c r="BG20" s="117" t="str">
        <f t="shared" si="6"/>
        <v>Future</v>
      </c>
      <c r="BH20" s="117" t="str">
        <f t="shared" si="6"/>
        <v>Future</v>
      </c>
      <c r="BI20" s="117" t="str">
        <f t="shared" si="6"/>
        <v>Future</v>
      </c>
      <c r="BJ20" s="117" t="str">
        <f t="shared" si="6"/>
        <v>Future</v>
      </c>
      <c r="BK20" s="117" t="str">
        <f t="shared" si="6"/>
        <v>Future</v>
      </c>
      <c r="BL20" s="117" t="str">
        <f t="shared" si="6"/>
        <v>Future</v>
      </c>
      <c r="BM20" s="117" t="str">
        <f t="shared" si="6"/>
        <v>Future</v>
      </c>
      <c r="BN20" s="202" t="e">
        <f>IF($E$18&gt;=BN22,"Calc",IF(BN22&gt;$E$18,IF(#REF!&gt;0,"Not Calc yet","Future")))</f>
        <v>#REF!</v>
      </c>
    </row>
    <row r="21" spans="2:66" ht="15" thickBot="1" x14ac:dyDescent="0.35">
      <c r="F21" s="2">
        <v>36</v>
      </c>
    </row>
    <row r="22" spans="2:66" ht="24" customHeight="1" x14ac:dyDescent="0.3">
      <c r="B22" s="14" t="s">
        <v>79</v>
      </c>
      <c r="C22" s="926" t="s">
        <v>12</v>
      </c>
      <c r="D22" s="927"/>
      <c r="E22" s="106"/>
      <c r="F22" s="106"/>
      <c r="G22" s="928" t="s">
        <v>37</v>
      </c>
      <c r="H22" s="15" t="s">
        <v>7</v>
      </c>
      <c r="I22" s="16">
        <f>J22-1</f>
        <v>49</v>
      </c>
      <c r="J22" s="17">
        <f>K22-1</f>
        <v>50</v>
      </c>
      <c r="K22" s="17">
        <f>L22-1</f>
        <v>51</v>
      </c>
      <c r="L22" s="55">
        <v>52</v>
      </c>
      <c r="M22" s="18">
        <v>1</v>
      </c>
      <c r="N22" s="19">
        <f t="shared" ref="N22:BM22" si="7">M22+1</f>
        <v>2</v>
      </c>
      <c r="O22" s="19">
        <f t="shared" si="7"/>
        <v>3</v>
      </c>
      <c r="P22" s="19">
        <f t="shared" si="7"/>
        <v>4</v>
      </c>
      <c r="Q22" s="19">
        <f t="shared" si="7"/>
        <v>5</v>
      </c>
      <c r="R22" s="19">
        <f t="shared" si="7"/>
        <v>6</v>
      </c>
      <c r="S22" s="19">
        <f t="shared" si="7"/>
        <v>7</v>
      </c>
      <c r="T22" s="19">
        <f t="shared" si="7"/>
        <v>8</v>
      </c>
      <c r="U22" s="19">
        <f t="shared" si="7"/>
        <v>9</v>
      </c>
      <c r="V22" s="19">
        <f t="shared" si="7"/>
        <v>10</v>
      </c>
      <c r="W22" s="19">
        <f t="shared" si="7"/>
        <v>11</v>
      </c>
      <c r="X22" s="19">
        <f t="shared" si="7"/>
        <v>12</v>
      </c>
      <c r="Y22" s="19">
        <f t="shared" si="7"/>
        <v>13</v>
      </c>
      <c r="Z22" s="19">
        <f t="shared" si="7"/>
        <v>14</v>
      </c>
      <c r="AA22" s="19">
        <f t="shared" si="7"/>
        <v>15</v>
      </c>
      <c r="AB22" s="19">
        <f t="shared" si="7"/>
        <v>16</v>
      </c>
      <c r="AC22" s="19">
        <f t="shared" si="7"/>
        <v>17</v>
      </c>
      <c r="AD22" s="19">
        <f t="shared" si="7"/>
        <v>18</v>
      </c>
      <c r="AE22" s="19">
        <f t="shared" si="7"/>
        <v>19</v>
      </c>
      <c r="AF22" s="19">
        <f t="shared" si="7"/>
        <v>20</v>
      </c>
      <c r="AG22" s="19">
        <f t="shared" si="7"/>
        <v>21</v>
      </c>
      <c r="AH22" s="19">
        <f t="shared" si="7"/>
        <v>22</v>
      </c>
      <c r="AI22" s="19">
        <f t="shared" si="7"/>
        <v>23</v>
      </c>
      <c r="AJ22" s="19">
        <f t="shared" si="7"/>
        <v>24</v>
      </c>
      <c r="AK22" s="19">
        <f t="shared" si="7"/>
        <v>25</v>
      </c>
      <c r="AL22" s="19">
        <f t="shared" si="7"/>
        <v>26</v>
      </c>
      <c r="AM22" s="19">
        <f t="shared" si="7"/>
        <v>27</v>
      </c>
      <c r="AN22" s="19">
        <f t="shared" si="7"/>
        <v>28</v>
      </c>
      <c r="AO22" s="19">
        <f t="shared" si="7"/>
        <v>29</v>
      </c>
      <c r="AP22" s="19">
        <f t="shared" si="7"/>
        <v>30</v>
      </c>
      <c r="AQ22" s="19">
        <f t="shared" si="7"/>
        <v>31</v>
      </c>
      <c r="AR22" s="19">
        <f t="shared" si="7"/>
        <v>32</v>
      </c>
      <c r="AS22" s="19">
        <f t="shared" si="7"/>
        <v>33</v>
      </c>
      <c r="AT22" s="19">
        <f t="shared" si="7"/>
        <v>34</v>
      </c>
      <c r="AU22" s="19">
        <f t="shared" si="7"/>
        <v>35</v>
      </c>
      <c r="AV22" s="19">
        <f t="shared" si="7"/>
        <v>36</v>
      </c>
      <c r="AW22" s="19">
        <f t="shared" si="7"/>
        <v>37</v>
      </c>
      <c r="AX22" s="19">
        <f t="shared" si="7"/>
        <v>38</v>
      </c>
      <c r="AY22" s="19">
        <f t="shared" si="7"/>
        <v>39</v>
      </c>
      <c r="AZ22" s="19">
        <f t="shared" si="7"/>
        <v>40</v>
      </c>
      <c r="BA22" s="19">
        <f t="shared" si="7"/>
        <v>41</v>
      </c>
      <c r="BB22" s="19">
        <f t="shared" si="7"/>
        <v>42</v>
      </c>
      <c r="BC22" s="19">
        <f t="shared" si="7"/>
        <v>43</v>
      </c>
      <c r="BD22" s="19">
        <f t="shared" si="7"/>
        <v>44</v>
      </c>
      <c r="BE22" s="19">
        <f t="shared" si="7"/>
        <v>45</v>
      </c>
      <c r="BF22" s="19">
        <f t="shared" si="7"/>
        <v>46</v>
      </c>
      <c r="BG22" s="19">
        <f t="shared" si="7"/>
        <v>47</v>
      </c>
      <c r="BH22" s="19">
        <f t="shared" si="7"/>
        <v>48</v>
      </c>
      <c r="BI22" s="19">
        <f t="shared" si="7"/>
        <v>49</v>
      </c>
      <c r="BJ22" s="19">
        <f t="shared" si="7"/>
        <v>50</v>
      </c>
      <c r="BK22" s="19">
        <f t="shared" si="7"/>
        <v>51</v>
      </c>
      <c r="BL22" s="19">
        <f t="shared" si="7"/>
        <v>52</v>
      </c>
      <c r="BM22" s="19">
        <f t="shared" si="7"/>
        <v>53</v>
      </c>
      <c r="BN22" s="20" t="s">
        <v>34</v>
      </c>
    </row>
    <row r="23" spans="2:66" ht="37.950000000000003" customHeight="1" x14ac:dyDescent="0.3">
      <c r="B23" s="14" t="s">
        <v>38</v>
      </c>
      <c r="C23" s="21" t="s">
        <v>39</v>
      </c>
      <c r="D23" s="21" t="s">
        <v>40</v>
      </c>
      <c r="E23" s="21" t="s">
        <v>140</v>
      </c>
      <c r="F23" s="21" t="s">
        <v>159</v>
      </c>
      <c r="G23" s="929"/>
      <c r="H23" s="15" t="s">
        <v>41</v>
      </c>
      <c r="I23" s="22">
        <f t="shared" ref="I23:K23" si="8">J23-7</f>
        <v>45632</v>
      </c>
      <c r="J23" s="23">
        <f t="shared" si="8"/>
        <v>45639</v>
      </c>
      <c r="K23" s="23">
        <f t="shared" si="8"/>
        <v>45646</v>
      </c>
      <c r="L23" s="56">
        <f>M23-7</f>
        <v>45653</v>
      </c>
      <c r="M23" s="24">
        <v>45660</v>
      </c>
      <c r="N23" s="25">
        <f t="shared" ref="N23:BM23" si="9">M23+7</f>
        <v>45667</v>
      </c>
      <c r="O23" s="25">
        <f t="shared" si="9"/>
        <v>45674</v>
      </c>
      <c r="P23" s="25">
        <f t="shared" si="9"/>
        <v>45681</v>
      </c>
      <c r="Q23" s="25">
        <f t="shared" si="9"/>
        <v>45688</v>
      </c>
      <c r="R23" s="25">
        <f t="shared" si="9"/>
        <v>45695</v>
      </c>
      <c r="S23" s="25">
        <f t="shared" si="9"/>
        <v>45702</v>
      </c>
      <c r="T23" s="25">
        <f t="shared" si="9"/>
        <v>45709</v>
      </c>
      <c r="U23" s="25">
        <f t="shared" si="9"/>
        <v>45716</v>
      </c>
      <c r="V23" s="25">
        <f t="shared" si="9"/>
        <v>45723</v>
      </c>
      <c r="W23" s="25">
        <f t="shared" si="9"/>
        <v>45730</v>
      </c>
      <c r="X23" s="25">
        <f t="shared" si="9"/>
        <v>45737</v>
      </c>
      <c r="Y23" s="25">
        <f t="shared" si="9"/>
        <v>45744</v>
      </c>
      <c r="Z23" s="25">
        <f t="shared" si="9"/>
        <v>45751</v>
      </c>
      <c r="AA23" s="25">
        <f t="shared" si="9"/>
        <v>45758</v>
      </c>
      <c r="AB23" s="25">
        <f t="shared" si="9"/>
        <v>45765</v>
      </c>
      <c r="AC23" s="25">
        <f t="shared" si="9"/>
        <v>45772</v>
      </c>
      <c r="AD23" s="25">
        <f t="shared" si="9"/>
        <v>45779</v>
      </c>
      <c r="AE23" s="25">
        <f t="shared" si="9"/>
        <v>45786</v>
      </c>
      <c r="AF23" s="25">
        <f t="shared" si="9"/>
        <v>45793</v>
      </c>
      <c r="AG23" s="25">
        <f t="shared" si="9"/>
        <v>45800</v>
      </c>
      <c r="AH23" s="25">
        <f t="shared" si="9"/>
        <v>45807</v>
      </c>
      <c r="AI23" s="25">
        <f t="shared" si="9"/>
        <v>45814</v>
      </c>
      <c r="AJ23" s="25">
        <f t="shared" si="9"/>
        <v>45821</v>
      </c>
      <c r="AK23" s="25">
        <f t="shared" si="9"/>
        <v>45828</v>
      </c>
      <c r="AL23" s="25">
        <f t="shared" si="9"/>
        <v>45835</v>
      </c>
      <c r="AM23" s="25">
        <f t="shared" si="9"/>
        <v>45842</v>
      </c>
      <c r="AN23" s="25">
        <f t="shared" si="9"/>
        <v>45849</v>
      </c>
      <c r="AO23" s="25">
        <f t="shared" si="9"/>
        <v>45856</v>
      </c>
      <c r="AP23" s="25">
        <f t="shared" si="9"/>
        <v>45863</v>
      </c>
      <c r="AQ23" s="25">
        <f t="shared" si="9"/>
        <v>45870</v>
      </c>
      <c r="AR23" s="25">
        <f t="shared" si="9"/>
        <v>45877</v>
      </c>
      <c r="AS23" s="25">
        <f t="shared" si="9"/>
        <v>45884</v>
      </c>
      <c r="AT23" s="25">
        <f t="shared" si="9"/>
        <v>45891</v>
      </c>
      <c r="AU23" s="25">
        <f t="shared" si="9"/>
        <v>45898</v>
      </c>
      <c r="AV23" s="25">
        <f t="shared" si="9"/>
        <v>45905</v>
      </c>
      <c r="AW23" s="25">
        <f t="shared" si="9"/>
        <v>45912</v>
      </c>
      <c r="AX23" s="25">
        <f t="shared" si="9"/>
        <v>45919</v>
      </c>
      <c r="AY23" s="25">
        <f t="shared" si="9"/>
        <v>45926</v>
      </c>
      <c r="AZ23" s="25">
        <f t="shared" si="9"/>
        <v>45933</v>
      </c>
      <c r="BA23" s="25">
        <f t="shared" si="9"/>
        <v>45940</v>
      </c>
      <c r="BB23" s="25">
        <f t="shared" si="9"/>
        <v>45947</v>
      </c>
      <c r="BC23" s="25">
        <f t="shared" si="9"/>
        <v>45954</v>
      </c>
      <c r="BD23" s="25">
        <f t="shared" si="9"/>
        <v>45961</v>
      </c>
      <c r="BE23" s="25">
        <f t="shared" si="9"/>
        <v>45968</v>
      </c>
      <c r="BF23" s="25">
        <f t="shared" si="9"/>
        <v>45975</v>
      </c>
      <c r="BG23" s="25">
        <f t="shared" si="9"/>
        <v>45982</v>
      </c>
      <c r="BH23" s="25">
        <f t="shared" si="9"/>
        <v>45989</v>
      </c>
      <c r="BI23" s="25">
        <f t="shared" si="9"/>
        <v>45996</v>
      </c>
      <c r="BJ23" s="25">
        <f t="shared" si="9"/>
        <v>46003</v>
      </c>
      <c r="BK23" s="25">
        <f t="shared" si="9"/>
        <v>46010</v>
      </c>
      <c r="BL23" s="25">
        <f t="shared" si="9"/>
        <v>46017</v>
      </c>
      <c r="BM23" s="25">
        <f t="shared" si="9"/>
        <v>46024</v>
      </c>
      <c r="BN23" s="26"/>
    </row>
    <row r="24" spans="2:66" s="462" customFormat="1" ht="24" customHeight="1" x14ac:dyDescent="0.3">
      <c r="B24" s="920" t="s">
        <v>32</v>
      </c>
      <c r="C24" s="922" t="s">
        <v>663</v>
      </c>
      <c r="D24" s="922" t="s">
        <v>664</v>
      </c>
      <c r="E24" s="922" t="s">
        <v>144</v>
      </c>
      <c r="F24" s="922" t="s">
        <v>318</v>
      </c>
      <c r="G24" s="952" t="s">
        <v>515</v>
      </c>
      <c r="H24" s="456" t="s">
        <v>44</v>
      </c>
      <c r="I24" s="457"/>
      <c r="J24" s="458"/>
      <c r="K24" s="458"/>
      <c r="L24" s="459"/>
      <c r="M24" s="460" t="s">
        <v>122</v>
      </c>
      <c r="N24" s="672">
        <v>0.8</v>
      </c>
      <c r="O24" s="672">
        <v>0.8</v>
      </c>
      <c r="P24" s="672">
        <v>0.8</v>
      </c>
      <c r="Q24" s="672">
        <v>0.8</v>
      </c>
      <c r="R24" s="672">
        <v>0.8</v>
      </c>
      <c r="S24" s="672">
        <v>0.8</v>
      </c>
      <c r="T24" s="672">
        <v>0.8</v>
      </c>
      <c r="U24" s="672">
        <v>0.8</v>
      </c>
      <c r="V24" s="672">
        <v>0.8</v>
      </c>
      <c r="W24" s="672">
        <v>0.8</v>
      </c>
      <c r="X24" s="672">
        <v>0.8</v>
      </c>
      <c r="Y24" s="672">
        <v>0.8</v>
      </c>
      <c r="Z24" s="672">
        <v>0.8</v>
      </c>
      <c r="AA24" s="672">
        <v>0.8</v>
      </c>
      <c r="AB24" s="672">
        <v>0.8</v>
      </c>
      <c r="AC24" s="672">
        <v>0.8</v>
      </c>
      <c r="AD24" s="672">
        <v>0.8</v>
      </c>
      <c r="AE24" s="672">
        <v>0.8</v>
      </c>
      <c r="AF24" s="672">
        <v>0.8</v>
      </c>
      <c r="AG24" s="672">
        <v>0.8</v>
      </c>
      <c r="AH24" s="672">
        <v>0.8</v>
      </c>
      <c r="AI24" s="672">
        <v>0.8</v>
      </c>
      <c r="AJ24" s="672">
        <v>0.8</v>
      </c>
      <c r="AK24" s="672">
        <v>0.8</v>
      </c>
      <c r="AL24" s="672">
        <v>0.8</v>
      </c>
      <c r="AM24" s="672">
        <v>0.8</v>
      </c>
      <c r="AN24" s="672">
        <v>0.8</v>
      </c>
      <c r="AO24" s="672">
        <v>0.8</v>
      </c>
      <c r="AP24" s="672">
        <v>0.8</v>
      </c>
      <c r="AQ24" s="672">
        <v>0.8</v>
      </c>
      <c r="AR24" s="672">
        <v>0.8</v>
      </c>
      <c r="AS24" s="672">
        <v>0.8</v>
      </c>
      <c r="AT24" s="672">
        <v>0.8</v>
      </c>
      <c r="AU24" s="672">
        <v>0.8</v>
      </c>
      <c r="AV24" s="672">
        <v>0.8</v>
      </c>
      <c r="AW24" s="672">
        <v>0.8</v>
      </c>
      <c r="AX24" s="672">
        <v>0.8</v>
      </c>
      <c r="AY24" s="672">
        <v>0.8</v>
      </c>
      <c r="AZ24" s="672">
        <v>0.8</v>
      </c>
      <c r="BA24" s="672">
        <v>0.8</v>
      </c>
      <c r="BB24" s="672">
        <v>0.8</v>
      </c>
      <c r="BC24" s="672">
        <v>0.8</v>
      </c>
      <c r="BD24" s="672">
        <v>0.8</v>
      </c>
      <c r="BE24" s="672">
        <v>0.8</v>
      </c>
      <c r="BF24" s="672">
        <v>0.8</v>
      </c>
      <c r="BG24" s="672">
        <v>0.8</v>
      </c>
      <c r="BH24" s="672">
        <v>0.8</v>
      </c>
      <c r="BI24" s="672">
        <v>0.8</v>
      </c>
      <c r="BJ24" s="672">
        <v>0.8</v>
      </c>
      <c r="BK24" s="672">
        <v>0.8</v>
      </c>
      <c r="BL24" s="672">
        <v>0.8</v>
      </c>
      <c r="BM24" s="672">
        <v>0.8</v>
      </c>
      <c r="BN24" s="461"/>
    </row>
    <row r="25" spans="2:66" s="462" customFormat="1" ht="24" customHeight="1" x14ac:dyDescent="0.3">
      <c r="B25" s="920"/>
      <c r="C25" s="921"/>
      <c r="D25" s="921"/>
      <c r="E25" s="921"/>
      <c r="F25" s="921"/>
      <c r="G25" s="953"/>
      <c r="H25" s="306" t="s">
        <v>45</v>
      </c>
      <c r="I25" s="114"/>
      <c r="J25" s="309"/>
      <c r="K25" s="309"/>
      <c r="L25" s="115"/>
      <c r="M25" s="463" t="s">
        <v>122</v>
      </c>
      <c r="N25" s="463" t="s">
        <v>496</v>
      </c>
      <c r="O25" s="463" t="s">
        <v>496</v>
      </c>
      <c r="P25" s="463" t="s">
        <v>496</v>
      </c>
      <c r="Q25" s="463" t="s">
        <v>496</v>
      </c>
      <c r="R25" s="463" t="s">
        <v>496</v>
      </c>
      <c r="S25" s="463" t="s">
        <v>496</v>
      </c>
      <c r="T25" s="463" t="s">
        <v>496</v>
      </c>
      <c r="U25" s="463" t="s">
        <v>496</v>
      </c>
      <c r="V25" s="463" t="s">
        <v>496</v>
      </c>
      <c r="W25" s="463" t="s">
        <v>496</v>
      </c>
      <c r="X25" s="463" t="s">
        <v>496</v>
      </c>
      <c r="Y25" s="463" t="s">
        <v>496</v>
      </c>
      <c r="Z25" s="463" t="s">
        <v>496</v>
      </c>
      <c r="AA25" s="463" t="s">
        <v>496</v>
      </c>
      <c r="AB25" s="463" t="s">
        <v>496</v>
      </c>
      <c r="AC25" s="463">
        <v>1</v>
      </c>
      <c r="AD25" s="309" t="s">
        <v>194</v>
      </c>
      <c r="AE25" s="309" t="s">
        <v>194</v>
      </c>
      <c r="AF25" s="309" t="s">
        <v>194</v>
      </c>
      <c r="AG25" s="309" t="s">
        <v>35</v>
      </c>
      <c r="AH25" s="309" t="s">
        <v>35</v>
      </c>
      <c r="AI25" s="309" t="s">
        <v>35</v>
      </c>
      <c r="AJ25" s="673">
        <v>0.74</v>
      </c>
      <c r="AK25" s="673">
        <v>0.7</v>
      </c>
      <c r="AL25" s="673">
        <v>0.95</v>
      </c>
      <c r="AM25" s="673">
        <v>0.82</v>
      </c>
      <c r="AN25" s="673">
        <v>0.82</v>
      </c>
      <c r="AO25" s="673">
        <v>0.81</v>
      </c>
      <c r="AP25" s="673">
        <v>0.78</v>
      </c>
      <c r="AQ25" s="673">
        <v>0.79</v>
      </c>
      <c r="AR25" s="673">
        <v>0.77400000000000002</v>
      </c>
      <c r="AS25" s="673">
        <v>0.79500000000000004</v>
      </c>
      <c r="AT25" s="673">
        <v>0.82</v>
      </c>
      <c r="AU25" s="673">
        <v>0.75</v>
      </c>
      <c r="AV25" s="673">
        <v>0.83</v>
      </c>
      <c r="AW25" s="673">
        <v>0.78</v>
      </c>
      <c r="AX25" s="673">
        <v>0.77</v>
      </c>
      <c r="AY25" s="673" t="s">
        <v>194</v>
      </c>
      <c r="AZ25" s="673" t="s">
        <v>194</v>
      </c>
      <c r="BA25" s="673" t="s">
        <v>194</v>
      </c>
      <c r="BB25" s="673" t="s">
        <v>194</v>
      </c>
      <c r="BC25" s="673"/>
      <c r="BD25" s="673"/>
      <c r="BE25" s="673"/>
      <c r="BF25" s="673"/>
      <c r="BG25" s="673"/>
      <c r="BH25" s="673"/>
      <c r="BI25" s="673"/>
      <c r="BJ25" s="673"/>
      <c r="BK25" s="673"/>
      <c r="BL25" s="673"/>
      <c r="BM25" s="673"/>
      <c r="BN25" s="464"/>
    </row>
    <row r="26" spans="2:66" ht="24" customHeight="1" x14ac:dyDescent="0.3">
      <c r="B26" s="920"/>
      <c r="C26" s="921"/>
      <c r="D26" s="921"/>
      <c r="E26" s="921"/>
      <c r="F26" s="921"/>
      <c r="G26" s="953"/>
      <c r="H26" s="38" t="s">
        <v>46</v>
      </c>
      <c r="I26" s="39"/>
      <c r="J26" s="40"/>
      <c r="K26" s="40"/>
      <c r="L26" s="53"/>
      <c r="M26" s="40" t="str">
        <f t="shared" ref="M26:AJ26" si="10">IF(M25="Blank","Blank",IF(M25="Missed","Missed",IF(M25="TBC","TBC",IF(M25="OD","OD",IF(M25="Undefined","Undefined",IF(M$20="OD","OD",IF(M$22&gt;$E$18,"",IF((M25-M24)&gt;=0,"G",IF((M25-(M24*0.95))&gt;=0,"A","R")))))))))</f>
        <v>Blank</v>
      </c>
      <c r="N26" s="40" t="str">
        <f t="shared" si="10"/>
        <v>Missed</v>
      </c>
      <c r="O26" s="40" t="str">
        <f t="shared" si="10"/>
        <v>Missed</v>
      </c>
      <c r="P26" s="40" t="str">
        <f t="shared" si="10"/>
        <v>Missed</v>
      </c>
      <c r="Q26" s="40" t="str">
        <f t="shared" si="10"/>
        <v>Missed</v>
      </c>
      <c r="R26" s="40" t="str">
        <f t="shared" si="10"/>
        <v>Missed</v>
      </c>
      <c r="S26" s="40" t="str">
        <f t="shared" si="10"/>
        <v>Missed</v>
      </c>
      <c r="T26" s="40" t="str">
        <f t="shared" si="10"/>
        <v>Missed</v>
      </c>
      <c r="U26" s="40" t="str">
        <f t="shared" si="10"/>
        <v>Missed</v>
      </c>
      <c r="V26" s="40" t="str">
        <f t="shared" si="10"/>
        <v>Missed</v>
      </c>
      <c r="W26" s="40" t="str">
        <f t="shared" si="10"/>
        <v>Missed</v>
      </c>
      <c r="X26" s="40" t="str">
        <f t="shared" si="10"/>
        <v>Missed</v>
      </c>
      <c r="Y26" s="40" t="str">
        <f t="shared" si="10"/>
        <v>Missed</v>
      </c>
      <c r="Z26" s="40" t="str">
        <f t="shared" si="10"/>
        <v>Missed</v>
      </c>
      <c r="AA26" s="40" t="str">
        <f t="shared" si="10"/>
        <v>Missed</v>
      </c>
      <c r="AB26" s="40" t="str">
        <f t="shared" si="10"/>
        <v>Missed</v>
      </c>
      <c r="AC26" s="40" t="str">
        <f t="shared" si="10"/>
        <v>G</v>
      </c>
      <c r="AD26" s="40" t="str">
        <f t="shared" si="10"/>
        <v>OD</v>
      </c>
      <c r="AE26" s="40" t="str">
        <f t="shared" si="10"/>
        <v>OD</v>
      </c>
      <c r="AF26" s="40" t="str">
        <f t="shared" si="10"/>
        <v>OD</v>
      </c>
      <c r="AG26" s="40" t="str">
        <f t="shared" si="10"/>
        <v>TBC</v>
      </c>
      <c r="AH26" s="40" t="str">
        <f t="shared" si="10"/>
        <v>TBC</v>
      </c>
      <c r="AI26" s="40" t="str">
        <f t="shared" si="10"/>
        <v>TBC</v>
      </c>
      <c r="AJ26" s="40" t="str">
        <f t="shared" si="10"/>
        <v>R</v>
      </c>
      <c r="AK26" s="40" t="str">
        <f>IF(AK25="Blank","Blank",IF(AK25="Missed","Missed",IF(AK25="TBC","TBC",IF(AK25="OD","OD",IF(AK25="Undefined","Undefined",IF(AK$20="OD","OD",IF(AK$22&gt;$E$18,"",IF((AK25-AK24)&gt;=0,"G",IF((AK25-(AK24*0.95))&gt;=0,"A","R")))))))))</f>
        <v>R</v>
      </c>
      <c r="AL26" s="40" t="str">
        <f t="shared" ref="AL26:BM26" si="11">IF(AL25="Blank","Blank",IF(AL25="Missed","Missed",IF(AL25="TBC","TBC",IF(AL25="OD","OD",IF(AL25="Undefined","Undefined",IF(AL$20="OD","OD",IF(AL$22&gt;$E$18,"",IF((AL25-AL24)&gt;=0,"G",IF((AL25-(AL24*0.95))&gt;=0,"A","R")))))))))</f>
        <v>G</v>
      </c>
      <c r="AM26" s="40" t="str">
        <f t="shared" si="11"/>
        <v>G</v>
      </c>
      <c r="AN26" s="40" t="str">
        <f t="shared" si="11"/>
        <v>G</v>
      </c>
      <c r="AO26" s="40" t="str">
        <f t="shared" si="11"/>
        <v>G</v>
      </c>
      <c r="AP26" s="40" t="str">
        <f t="shared" si="11"/>
        <v>A</v>
      </c>
      <c r="AQ26" s="40" t="str">
        <f t="shared" si="11"/>
        <v>A</v>
      </c>
      <c r="AR26" s="40" t="str">
        <f t="shared" si="11"/>
        <v>A</v>
      </c>
      <c r="AS26" s="40" t="str">
        <f t="shared" si="11"/>
        <v>A</v>
      </c>
      <c r="AT26" s="40" t="str">
        <f t="shared" si="11"/>
        <v>G</v>
      </c>
      <c r="AU26" s="40" t="str">
        <f t="shared" si="11"/>
        <v>R</v>
      </c>
      <c r="AV26" s="40" t="str">
        <f t="shared" si="11"/>
        <v>G</v>
      </c>
      <c r="AW26" s="40" t="str">
        <f t="shared" si="11"/>
        <v>A</v>
      </c>
      <c r="AX26" s="40" t="str">
        <f t="shared" si="11"/>
        <v>A</v>
      </c>
      <c r="AY26" s="40" t="str">
        <f t="shared" si="11"/>
        <v>OD</v>
      </c>
      <c r="AZ26" s="40" t="str">
        <f t="shared" si="11"/>
        <v>OD</v>
      </c>
      <c r="BA26" s="40" t="str">
        <f t="shared" si="11"/>
        <v>OD</v>
      </c>
      <c r="BB26" s="40" t="str">
        <f t="shared" si="11"/>
        <v>OD</v>
      </c>
      <c r="BC26" s="40" t="str">
        <f t="shared" si="11"/>
        <v/>
      </c>
      <c r="BD26" s="40" t="str">
        <f t="shared" si="11"/>
        <v/>
      </c>
      <c r="BE26" s="40" t="str">
        <f t="shared" si="11"/>
        <v/>
      </c>
      <c r="BF26" s="40" t="str">
        <f t="shared" si="11"/>
        <v/>
      </c>
      <c r="BG26" s="40" t="str">
        <f t="shared" si="11"/>
        <v/>
      </c>
      <c r="BH26" s="40" t="str">
        <f t="shared" si="11"/>
        <v/>
      </c>
      <c r="BI26" s="40" t="str">
        <f t="shared" si="11"/>
        <v/>
      </c>
      <c r="BJ26" s="40" t="str">
        <f t="shared" si="11"/>
        <v/>
      </c>
      <c r="BK26" s="40" t="str">
        <f t="shared" si="11"/>
        <v/>
      </c>
      <c r="BL26" s="40" t="str">
        <f t="shared" si="11"/>
        <v/>
      </c>
      <c r="BM26" s="40" t="str">
        <f t="shared" si="11"/>
        <v/>
      </c>
      <c r="BN26" s="42"/>
    </row>
    <row r="27" spans="2:66" s="462" customFormat="1" ht="24" customHeight="1" x14ac:dyDescent="0.3">
      <c r="B27" s="920" t="s">
        <v>32</v>
      </c>
      <c r="C27" s="922" t="s">
        <v>681</v>
      </c>
      <c r="D27" s="922" t="s">
        <v>684</v>
      </c>
      <c r="E27" s="922" t="s">
        <v>146</v>
      </c>
      <c r="F27" s="922" t="s">
        <v>318</v>
      </c>
      <c r="G27" s="952"/>
      <c r="H27" s="456" t="s">
        <v>44</v>
      </c>
      <c r="I27" s="457"/>
      <c r="J27" s="458"/>
      <c r="K27" s="458"/>
      <c r="L27" s="459"/>
      <c r="M27" s="698" t="s">
        <v>122</v>
      </c>
      <c r="N27" s="699">
        <v>4</v>
      </c>
      <c r="O27" s="699">
        <v>4</v>
      </c>
      <c r="P27" s="699">
        <v>4</v>
      </c>
      <c r="Q27" s="699">
        <v>4</v>
      </c>
      <c r="R27" s="699">
        <v>4</v>
      </c>
      <c r="S27" s="699">
        <v>4</v>
      </c>
      <c r="T27" s="699">
        <v>4</v>
      </c>
      <c r="U27" s="699">
        <v>4</v>
      </c>
      <c r="V27" s="699">
        <v>4</v>
      </c>
      <c r="W27" s="699">
        <v>4</v>
      </c>
      <c r="X27" s="699">
        <v>4</v>
      </c>
      <c r="Y27" s="699">
        <v>4</v>
      </c>
      <c r="Z27" s="699">
        <v>4</v>
      </c>
      <c r="AA27" s="699">
        <v>4</v>
      </c>
      <c r="AB27" s="699">
        <v>4</v>
      </c>
      <c r="AC27" s="699">
        <v>4</v>
      </c>
      <c r="AD27" s="699">
        <v>4</v>
      </c>
      <c r="AE27" s="699">
        <v>4</v>
      </c>
      <c r="AF27" s="699">
        <v>4</v>
      </c>
      <c r="AG27" s="699">
        <v>4</v>
      </c>
      <c r="AH27" s="699">
        <v>4</v>
      </c>
      <c r="AI27" s="699">
        <v>4</v>
      </c>
      <c r="AJ27" s="699">
        <v>4</v>
      </c>
      <c r="AK27" s="699">
        <v>4</v>
      </c>
      <c r="AL27" s="699">
        <v>4</v>
      </c>
      <c r="AM27" s="699">
        <v>4</v>
      </c>
      <c r="AN27" s="699">
        <v>4</v>
      </c>
      <c r="AO27" s="699">
        <v>4</v>
      </c>
      <c r="AP27" s="699">
        <v>4</v>
      </c>
      <c r="AQ27" s="699">
        <v>4</v>
      </c>
      <c r="AR27" s="699">
        <v>4</v>
      </c>
      <c r="AS27" s="699">
        <v>4</v>
      </c>
      <c r="AT27" s="699">
        <v>4</v>
      </c>
      <c r="AU27" s="699">
        <v>4</v>
      </c>
      <c r="AV27" s="699">
        <v>4</v>
      </c>
      <c r="AW27" s="699">
        <v>4</v>
      </c>
      <c r="AX27" s="699">
        <v>4</v>
      </c>
      <c r="AY27" s="699">
        <v>4</v>
      </c>
      <c r="AZ27" s="699"/>
      <c r="BA27" s="699"/>
      <c r="BB27" s="699"/>
      <c r="BC27" s="699"/>
      <c r="BD27" s="699"/>
      <c r="BE27" s="699"/>
      <c r="BF27" s="699"/>
      <c r="BG27" s="699"/>
      <c r="BH27" s="699"/>
      <c r="BI27" s="699"/>
      <c r="BJ27" s="699"/>
      <c r="BK27" s="699"/>
      <c r="BL27" s="699"/>
      <c r="BM27" s="699"/>
      <c r="BN27" s="461"/>
    </row>
    <row r="28" spans="2:66" s="462" customFormat="1" ht="24" customHeight="1" x14ac:dyDescent="0.3">
      <c r="B28" s="920"/>
      <c r="C28" s="921"/>
      <c r="D28" s="921"/>
      <c r="E28" s="921"/>
      <c r="F28" s="921"/>
      <c r="G28" s="953"/>
      <c r="H28" s="306" t="s">
        <v>45</v>
      </c>
      <c r="I28" s="114"/>
      <c r="J28" s="309"/>
      <c r="K28" s="309"/>
      <c r="L28" s="115"/>
      <c r="M28" s="463" t="s">
        <v>122</v>
      </c>
      <c r="N28" s="463" t="s">
        <v>496</v>
      </c>
      <c r="O28" s="463" t="s">
        <v>496</v>
      </c>
      <c r="P28" s="463" t="s">
        <v>496</v>
      </c>
      <c r="Q28" s="463" t="s">
        <v>496</v>
      </c>
      <c r="R28" s="463" t="s">
        <v>496</v>
      </c>
      <c r="S28" s="463" t="s">
        <v>496</v>
      </c>
      <c r="T28" s="463" t="s">
        <v>496</v>
      </c>
      <c r="U28" s="463" t="s">
        <v>496</v>
      </c>
      <c r="V28" s="463" t="s">
        <v>496</v>
      </c>
      <c r="W28" s="463" t="s">
        <v>496</v>
      </c>
      <c r="X28" s="463" t="s">
        <v>496</v>
      </c>
      <c r="Y28" s="463" t="s">
        <v>496</v>
      </c>
      <c r="Z28" s="463" t="s">
        <v>496</v>
      </c>
      <c r="AA28" s="463" t="s">
        <v>496</v>
      </c>
      <c r="AB28" s="463" t="s">
        <v>496</v>
      </c>
      <c r="AC28" s="463" t="s">
        <v>496</v>
      </c>
      <c r="AD28" s="309" t="s">
        <v>194</v>
      </c>
      <c r="AE28" s="309" t="s">
        <v>194</v>
      </c>
      <c r="AF28" s="309" t="s">
        <v>194</v>
      </c>
      <c r="AG28" s="309" t="s">
        <v>194</v>
      </c>
      <c r="AH28" s="309" t="s">
        <v>194</v>
      </c>
      <c r="AI28" s="309" t="s">
        <v>194</v>
      </c>
      <c r="AJ28" s="309" t="s">
        <v>194</v>
      </c>
      <c r="AK28" s="309" t="s">
        <v>194</v>
      </c>
      <c r="AL28" s="309" t="s">
        <v>194</v>
      </c>
      <c r="AM28" s="309" t="s">
        <v>194</v>
      </c>
      <c r="AN28" s="309">
        <v>4.2</v>
      </c>
      <c r="AO28" s="309">
        <v>4.4000000000000004</v>
      </c>
      <c r="AP28" s="309">
        <v>3.64</v>
      </c>
      <c r="AQ28" s="309">
        <v>3.88</v>
      </c>
      <c r="AR28" s="683">
        <v>4.12</v>
      </c>
      <c r="AS28" s="309">
        <v>3.15</v>
      </c>
      <c r="AT28" s="683">
        <v>4.0599999999999996</v>
      </c>
      <c r="AU28" s="683">
        <v>5.15</v>
      </c>
      <c r="AV28" s="683">
        <v>3.5</v>
      </c>
      <c r="AW28" s="683">
        <v>3.5</v>
      </c>
      <c r="AX28" s="683">
        <v>3.4</v>
      </c>
      <c r="AY28" s="683" t="s">
        <v>194</v>
      </c>
      <c r="AZ28" s="683" t="s">
        <v>194</v>
      </c>
      <c r="BA28" s="683" t="s">
        <v>194</v>
      </c>
      <c r="BB28" s="683" t="s">
        <v>194</v>
      </c>
      <c r="BC28" s="683"/>
      <c r="BD28" s="683"/>
      <c r="BE28" s="683"/>
      <c r="BF28" s="683"/>
      <c r="BG28" s="683"/>
      <c r="BH28" s="683"/>
      <c r="BI28" s="683"/>
      <c r="BJ28" s="683"/>
      <c r="BK28" s="683"/>
      <c r="BL28" s="683"/>
      <c r="BM28" s="683"/>
      <c r="BN28" s="464"/>
    </row>
    <row r="29" spans="2:66" ht="24" customHeight="1" x14ac:dyDescent="0.3">
      <c r="B29" s="920"/>
      <c r="C29" s="921"/>
      <c r="D29" s="921"/>
      <c r="E29" s="921"/>
      <c r="F29" s="921"/>
      <c r="G29" s="953"/>
      <c r="H29" s="38" t="s">
        <v>46</v>
      </c>
      <c r="I29" s="39"/>
      <c r="J29" s="40"/>
      <c r="K29" s="40"/>
      <c r="L29" s="53"/>
      <c r="M29" s="40" t="str">
        <f t="shared" ref="M29:AJ29" si="12">IF(M28="Blank","Blank",IF(M28="Missed","Missed",IF(M28="TBC","TBC",IF(M28="OD","OD",IF(M28="Undefined","Undefined",IF(M$20="OD","OD",IF(M$22&gt;$E$18,"",IF((M28-M27)&gt;=0,"G",IF((M28-(M27*0.95))&gt;=0,"A","R")))))))))</f>
        <v>Blank</v>
      </c>
      <c r="N29" s="40" t="str">
        <f t="shared" si="12"/>
        <v>Missed</v>
      </c>
      <c r="O29" s="40" t="str">
        <f t="shared" si="12"/>
        <v>Missed</v>
      </c>
      <c r="P29" s="40" t="str">
        <f t="shared" si="12"/>
        <v>Missed</v>
      </c>
      <c r="Q29" s="40" t="str">
        <f t="shared" si="12"/>
        <v>Missed</v>
      </c>
      <c r="R29" s="40" t="str">
        <f t="shared" si="12"/>
        <v>Missed</v>
      </c>
      <c r="S29" s="40" t="str">
        <f t="shared" si="12"/>
        <v>Missed</v>
      </c>
      <c r="T29" s="40" t="str">
        <f t="shared" si="12"/>
        <v>Missed</v>
      </c>
      <c r="U29" s="40" t="str">
        <f t="shared" si="12"/>
        <v>Missed</v>
      </c>
      <c r="V29" s="40" t="str">
        <f t="shared" si="12"/>
        <v>Missed</v>
      </c>
      <c r="W29" s="40" t="str">
        <f t="shared" si="12"/>
        <v>Missed</v>
      </c>
      <c r="X29" s="40" t="str">
        <f t="shared" si="12"/>
        <v>Missed</v>
      </c>
      <c r="Y29" s="40" t="str">
        <f t="shared" si="12"/>
        <v>Missed</v>
      </c>
      <c r="Z29" s="40" t="str">
        <f t="shared" si="12"/>
        <v>Missed</v>
      </c>
      <c r="AA29" s="40" t="str">
        <f t="shared" si="12"/>
        <v>Missed</v>
      </c>
      <c r="AB29" s="40" t="str">
        <f t="shared" si="12"/>
        <v>Missed</v>
      </c>
      <c r="AC29" s="40" t="str">
        <f t="shared" si="12"/>
        <v>Missed</v>
      </c>
      <c r="AD29" s="40" t="str">
        <f t="shared" si="12"/>
        <v>OD</v>
      </c>
      <c r="AE29" s="40" t="str">
        <f t="shared" si="12"/>
        <v>OD</v>
      </c>
      <c r="AF29" s="40" t="str">
        <f t="shared" si="12"/>
        <v>OD</v>
      </c>
      <c r="AG29" s="40" t="str">
        <f t="shared" si="12"/>
        <v>OD</v>
      </c>
      <c r="AH29" s="40" t="str">
        <f t="shared" si="12"/>
        <v>OD</v>
      </c>
      <c r="AI29" s="40" t="str">
        <f t="shared" si="12"/>
        <v>OD</v>
      </c>
      <c r="AJ29" s="40" t="str">
        <f t="shared" si="12"/>
        <v>OD</v>
      </c>
      <c r="AK29" s="40" t="str">
        <f>IF(AK28="Blank","Blank",IF(AK28="Missed","Missed",IF(AK28="TBC","TBC",IF(AK28="OD","OD",IF(AK28="Undefined","Undefined",IF(AK$20="OD","OD",IF(AK$22&gt;$E$18,"",IF((AK28-AK27)&gt;=0,"G",IF((AK28-(AK27*0.95))&gt;=0,"A","R")))))))))</f>
        <v>OD</v>
      </c>
      <c r="AL29" s="40" t="str">
        <f t="shared" ref="AL29:BM29" si="13">IF(AL28="Blank","Blank",IF(AL28="Missed","Missed",IF(AL28="TBC","TBC",IF(AL28="OD","OD",IF(AL28="Undefined","Undefined",IF(AL$20="OD","OD",IF(AL$22&gt;$E$18,"",IF((AL28-AL27)&gt;=0,"G",IF((AL28-(AL27*0.95))&gt;=0,"A","R")))))))))</f>
        <v>OD</v>
      </c>
      <c r="AM29" s="40" t="str">
        <f t="shared" si="13"/>
        <v>OD</v>
      </c>
      <c r="AN29" s="40" t="str">
        <f t="shared" si="13"/>
        <v>G</v>
      </c>
      <c r="AO29" s="40" t="str">
        <f t="shared" si="13"/>
        <v>G</v>
      </c>
      <c r="AP29" s="40" t="str">
        <f t="shared" si="13"/>
        <v>R</v>
      </c>
      <c r="AQ29" s="40" t="str">
        <f t="shared" si="13"/>
        <v>A</v>
      </c>
      <c r="AR29" s="40" t="str">
        <f t="shared" si="13"/>
        <v>G</v>
      </c>
      <c r="AS29" s="40" t="str">
        <f t="shared" si="13"/>
        <v>R</v>
      </c>
      <c r="AT29" s="40" t="str">
        <f t="shared" si="13"/>
        <v>G</v>
      </c>
      <c r="AU29" s="40" t="str">
        <f t="shared" si="13"/>
        <v>G</v>
      </c>
      <c r="AV29" s="40" t="str">
        <f t="shared" si="13"/>
        <v>R</v>
      </c>
      <c r="AW29" s="40" t="str">
        <f t="shared" si="13"/>
        <v>R</v>
      </c>
      <c r="AX29" s="40" t="str">
        <f t="shared" si="13"/>
        <v>R</v>
      </c>
      <c r="AY29" s="40" t="str">
        <f t="shared" si="13"/>
        <v>OD</v>
      </c>
      <c r="AZ29" s="40" t="str">
        <f t="shared" si="13"/>
        <v>OD</v>
      </c>
      <c r="BA29" s="40" t="str">
        <f t="shared" si="13"/>
        <v>OD</v>
      </c>
      <c r="BB29" s="40" t="str">
        <f t="shared" si="13"/>
        <v>OD</v>
      </c>
      <c r="BC29" s="40" t="str">
        <f t="shared" si="13"/>
        <v/>
      </c>
      <c r="BD29" s="40" t="str">
        <f t="shared" si="13"/>
        <v/>
      </c>
      <c r="BE29" s="40" t="str">
        <f t="shared" si="13"/>
        <v/>
      </c>
      <c r="BF29" s="40" t="str">
        <f t="shared" si="13"/>
        <v/>
      </c>
      <c r="BG29" s="40" t="str">
        <f t="shared" si="13"/>
        <v/>
      </c>
      <c r="BH29" s="40" t="str">
        <f t="shared" si="13"/>
        <v/>
      </c>
      <c r="BI29" s="40" t="str">
        <f t="shared" si="13"/>
        <v/>
      </c>
      <c r="BJ29" s="40" t="str">
        <f t="shared" si="13"/>
        <v/>
      </c>
      <c r="BK29" s="40" t="str">
        <f t="shared" si="13"/>
        <v/>
      </c>
      <c r="BL29" s="40" t="str">
        <f t="shared" si="13"/>
        <v/>
      </c>
      <c r="BM29" s="40" t="str">
        <f t="shared" si="13"/>
        <v/>
      </c>
      <c r="BN29" s="42"/>
    </row>
    <row r="30" spans="2:66" s="462" customFormat="1" ht="24" customHeight="1" x14ac:dyDescent="0.3">
      <c r="B30" s="920" t="s">
        <v>32</v>
      </c>
      <c r="C30" s="922" t="s">
        <v>702</v>
      </c>
      <c r="D30" s="922" t="s">
        <v>701</v>
      </c>
      <c r="E30" s="922" t="s">
        <v>146</v>
      </c>
      <c r="F30" s="922" t="s">
        <v>421</v>
      </c>
      <c r="G30" s="952"/>
      <c r="H30" s="456" t="s">
        <v>44</v>
      </c>
      <c r="I30" s="457"/>
      <c r="J30" s="458"/>
      <c r="K30" s="458"/>
      <c r="L30" s="459"/>
      <c r="M30" s="698" t="s">
        <v>122</v>
      </c>
      <c r="N30" s="699"/>
      <c r="O30" s="699"/>
      <c r="P30" s="699"/>
      <c r="Q30" s="699"/>
      <c r="R30" s="699"/>
      <c r="S30" s="699"/>
      <c r="T30" s="699"/>
      <c r="U30" s="699"/>
      <c r="V30" s="699"/>
      <c r="W30" s="699"/>
      <c r="X30" s="699"/>
      <c r="Y30" s="699"/>
      <c r="Z30" s="699"/>
      <c r="AA30" s="699"/>
      <c r="AB30" s="699"/>
      <c r="AC30" s="699"/>
      <c r="AD30" s="699"/>
      <c r="AE30" s="699"/>
      <c r="AF30" s="699"/>
      <c r="AG30" s="699"/>
      <c r="AH30" s="699"/>
      <c r="AI30" s="699"/>
      <c r="AJ30" s="699"/>
      <c r="AK30" s="699"/>
      <c r="AL30" s="699"/>
      <c r="AM30" s="699"/>
      <c r="AN30" s="699"/>
      <c r="AO30" s="699"/>
      <c r="AP30" s="699"/>
      <c r="AQ30" s="699"/>
      <c r="AR30" s="699"/>
      <c r="AS30" s="699"/>
      <c r="AT30" s="699"/>
      <c r="AU30" s="699"/>
      <c r="AV30" s="699">
        <v>1</v>
      </c>
      <c r="AW30" s="699">
        <v>1</v>
      </c>
      <c r="AX30" s="699">
        <v>1</v>
      </c>
      <c r="AY30" s="699">
        <v>1</v>
      </c>
      <c r="AZ30" s="699"/>
      <c r="BA30" s="699"/>
      <c r="BB30" s="699"/>
      <c r="BC30" s="699"/>
      <c r="BD30" s="699"/>
      <c r="BE30" s="699"/>
      <c r="BF30" s="699"/>
      <c r="BG30" s="699"/>
      <c r="BH30" s="699"/>
      <c r="BI30" s="699"/>
      <c r="BJ30" s="699"/>
      <c r="BK30" s="699"/>
      <c r="BL30" s="699"/>
      <c r="BM30" s="699"/>
      <c r="BN30" s="461"/>
    </row>
    <row r="31" spans="2:66" s="462" customFormat="1" ht="24" customHeight="1" x14ac:dyDescent="0.3">
      <c r="B31" s="920"/>
      <c r="C31" s="921"/>
      <c r="D31" s="921"/>
      <c r="E31" s="921"/>
      <c r="F31" s="921"/>
      <c r="G31" s="953"/>
      <c r="H31" s="306" t="s">
        <v>45</v>
      </c>
      <c r="I31" s="114"/>
      <c r="J31" s="309"/>
      <c r="K31" s="309"/>
      <c r="L31" s="115"/>
      <c r="M31" s="463" t="s">
        <v>122</v>
      </c>
      <c r="N31" s="463" t="s">
        <v>496</v>
      </c>
      <c r="O31" s="463" t="s">
        <v>496</v>
      </c>
      <c r="P31" s="463" t="s">
        <v>496</v>
      </c>
      <c r="Q31" s="463" t="s">
        <v>496</v>
      </c>
      <c r="R31" s="463" t="s">
        <v>496</v>
      </c>
      <c r="S31" s="463" t="s">
        <v>496</v>
      </c>
      <c r="T31" s="463" t="s">
        <v>496</v>
      </c>
      <c r="U31" s="309" t="s">
        <v>496</v>
      </c>
      <c r="V31" s="309" t="s">
        <v>496</v>
      </c>
      <c r="W31" s="309" t="s">
        <v>496</v>
      </c>
      <c r="X31" s="309" t="s">
        <v>496</v>
      </c>
      <c r="Y31" s="309" t="s">
        <v>496</v>
      </c>
      <c r="Z31" s="309" t="s">
        <v>496</v>
      </c>
      <c r="AA31" s="309" t="s">
        <v>496</v>
      </c>
      <c r="AB31" s="309" t="s">
        <v>496</v>
      </c>
      <c r="AC31" s="309" t="s">
        <v>496</v>
      </c>
      <c r="AD31" s="309" t="s">
        <v>496</v>
      </c>
      <c r="AE31" s="309" t="s">
        <v>496</v>
      </c>
      <c r="AF31" s="309" t="s">
        <v>496</v>
      </c>
      <c r="AG31" s="309" t="s">
        <v>496</v>
      </c>
      <c r="AH31" s="309" t="s">
        <v>496</v>
      </c>
      <c r="AI31" s="309" t="s">
        <v>496</v>
      </c>
      <c r="AJ31" s="309" t="s">
        <v>496</v>
      </c>
      <c r="AK31" s="309" t="s">
        <v>496</v>
      </c>
      <c r="AL31" s="309" t="s">
        <v>496</v>
      </c>
      <c r="AM31" s="309" t="s">
        <v>496</v>
      </c>
      <c r="AN31" s="309" t="s">
        <v>496</v>
      </c>
      <c r="AO31" s="309" t="s">
        <v>496</v>
      </c>
      <c r="AP31" s="309" t="s">
        <v>496</v>
      </c>
      <c r="AQ31" s="309" t="s">
        <v>496</v>
      </c>
      <c r="AR31" s="309" t="s">
        <v>496</v>
      </c>
      <c r="AS31" s="309" t="s">
        <v>496</v>
      </c>
      <c r="AT31" s="309" t="s">
        <v>496</v>
      </c>
      <c r="AU31" s="309" t="s">
        <v>496</v>
      </c>
      <c r="AV31" s="309">
        <v>0</v>
      </c>
      <c r="AW31" s="683">
        <v>1</v>
      </c>
      <c r="AX31" s="683">
        <v>1</v>
      </c>
      <c r="AY31" s="683" t="s">
        <v>194</v>
      </c>
      <c r="AZ31" s="683" t="s">
        <v>194</v>
      </c>
      <c r="BA31" s="683" t="s">
        <v>194</v>
      </c>
      <c r="BB31" s="683" t="s">
        <v>194</v>
      </c>
      <c r="BC31" s="683"/>
      <c r="BD31" s="683"/>
      <c r="BE31" s="683"/>
      <c r="BF31" s="683"/>
      <c r="BG31" s="683"/>
      <c r="BH31" s="683"/>
      <c r="BI31" s="683"/>
      <c r="BJ31" s="683"/>
      <c r="BK31" s="683"/>
      <c r="BL31" s="683"/>
      <c r="BM31" s="683"/>
      <c r="BN31" s="464"/>
    </row>
    <row r="32" spans="2:66" ht="24" customHeight="1" x14ac:dyDescent="0.3">
      <c r="B32" s="920"/>
      <c r="C32" s="921"/>
      <c r="D32" s="921"/>
      <c r="E32" s="921"/>
      <c r="F32" s="921"/>
      <c r="G32" s="953"/>
      <c r="H32" s="38" t="s">
        <v>46</v>
      </c>
      <c r="I32" s="39"/>
      <c r="J32" s="40"/>
      <c r="K32" s="40"/>
      <c r="L32" s="53"/>
      <c r="M32" s="40" t="str">
        <f t="shared" ref="M32:AJ32" si="14">IF(M31="Blank","Blank",IF(M31="Missed","Missed",IF(M31="TBC","TBC",IF(M31="OD","OD",IF(M31="Undefined","Undefined",IF(M$20="OD","OD",IF(M$22&gt;$E$18,"",IF((M31-M30)&gt;=0,"G",IF((M31-(M30*0.95))&gt;=0,"A","R")))))))))</f>
        <v>Blank</v>
      </c>
      <c r="N32" s="40" t="str">
        <f t="shared" si="14"/>
        <v>Missed</v>
      </c>
      <c r="O32" s="40" t="str">
        <f t="shared" si="14"/>
        <v>Missed</v>
      </c>
      <c r="P32" s="40" t="str">
        <f t="shared" si="14"/>
        <v>Missed</v>
      </c>
      <c r="Q32" s="40" t="str">
        <f t="shared" si="14"/>
        <v>Missed</v>
      </c>
      <c r="R32" s="40" t="str">
        <f t="shared" si="14"/>
        <v>Missed</v>
      </c>
      <c r="S32" s="40" t="str">
        <f t="shared" si="14"/>
        <v>Missed</v>
      </c>
      <c r="T32" s="40" t="str">
        <f t="shared" si="14"/>
        <v>Missed</v>
      </c>
      <c r="U32" s="40" t="str">
        <f t="shared" si="14"/>
        <v>Missed</v>
      </c>
      <c r="V32" s="40" t="str">
        <f t="shared" si="14"/>
        <v>Missed</v>
      </c>
      <c r="W32" s="40" t="str">
        <f t="shared" si="14"/>
        <v>Missed</v>
      </c>
      <c r="X32" s="40" t="str">
        <f t="shared" si="14"/>
        <v>Missed</v>
      </c>
      <c r="Y32" s="40" t="str">
        <f t="shared" si="14"/>
        <v>Missed</v>
      </c>
      <c r="Z32" s="40" t="str">
        <f t="shared" si="14"/>
        <v>Missed</v>
      </c>
      <c r="AA32" s="40" t="str">
        <f t="shared" si="14"/>
        <v>Missed</v>
      </c>
      <c r="AB32" s="40" t="str">
        <f t="shared" si="14"/>
        <v>Missed</v>
      </c>
      <c r="AC32" s="40" t="str">
        <f t="shared" si="14"/>
        <v>Missed</v>
      </c>
      <c r="AD32" s="40" t="str">
        <f t="shared" si="14"/>
        <v>Missed</v>
      </c>
      <c r="AE32" s="40" t="str">
        <f t="shared" si="14"/>
        <v>Missed</v>
      </c>
      <c r="AF32" s="40" t="str">
        <f t="shared" si="14"/>
        <v>Missed</v>
      </c>
      <c r="AG32" s="40" t="str">
        <f t="shared" si="14"/>
        <v>Missed</v>
      </c>
      <c r="AH32" s="40" t="str">
        <f t="shared" si="14"/>
        <v>Missed</v>
      </c>
      <c r="AI32" s="40" t="str">
        <f t="shared" si="14"/>
        <v>Missed</v>
      </c>
      <c r="AJ32" s="40" t="str">
        <f t="shared" si="14"/>
        <v>Missed</v>
      </c>
      <c r="AK32" s="40" t="str">
        <f>IF(AK31="Blank","Blank",IF(AK31="Missed","Missed",IF(AK31="TBC","TBC",IF(AK31="OD","OD",IF(AK31="Undefined","Undefined",IF(AK$20="OD","OD",IF(AK$22&gt;$E$18,"",IF((AK31-AK30)&gt;=0,"G",IF((AK31-(AK30*0.95))&gt;=0,"A","R")))))))))</f>
        <v>Missed</v>
      </c>
      <c r="AL32" s="40" t="str">
        <f t="shared" ref="AL32:AU32" si="15">IF(AL31="Blank","Blank",IF(AL31="Missed","Missed",IF(AL31="TBC","TBC",IF(AL31="OD","OD",IF(AL31="Undefined","Undefined",IF(AL$20="OD","OD",IF(AL$22&gt;$E$18,"",IF((AL31-AL30)&gt;=0,"G",IF((AL31-(AL30*0.95))&gt;=0,"A","R")))))))))</f>
        <v>Missed</v>
      </c>
      <c r="AM32" s="40" t="str">
        <f t="shared" si="15"/>
        <v>Missed</v>
      </c>
      <c r="AN32" s="40" t="str">
        <f t="shared" si="15"/>
        <v>Missed</v>
      </c>
      <c r="AO32" s="40" t="str">
        <f t="shared" si="15"/>
        <v>Missed</v>
      </c>
      <c r="AP32" s="40" t="str">
        <f t="shared" si="15"/>
        <v>Missed</v>
      </c>
      <c r="AQ32" s="40" t="str">
        <f t="shared" si="15"/>
        <v>Missed</v>
      </c>
      <c r="AR32" s="40" t="str">
        <f t="shared" si="15"/>
        <v>Missed</v>
      </c>
      <c r="AS32" s="40" t="str">
        <f t="shared" si="15"/>
        <v>Missed</v>
      </c>
      <c r="AT32" s="40" t="str">
        <f t="shared" si="15"/>
        <v>Missed</v>
      </c>
      <c r="AU32" s="40" t="str">
        <f t="shared" si="15"/>
        <v>Missed</v>
      </c>
      <c r="AV32" s="40" t="str">
        <f>IF(AV31="Blank","Blank",IF(AV31="Missed","Missed",IF(AV31="TBC","TBC",IF(AV31="OD","OD",IF(AV31="Undefined","Undefined",IF(AV$20="OD","OD",IF(AV$22&gt;$E$18,"",IF((AV31-AV30)&lt;=0,"G",IF((AV31-(AV30*0.95))&lt;=0,"A","R")))))))))</f>
        <v>G</v>
      </c>
      <c r="AW32" s="40" t="str">
        <f t="shared" ref="AW32:AZ32" si="16">IF(AW31="Blank","Blank",IF(AW31="Missed","Missed",IF(AW31="TBC","TBC",IF(AW31="OD","OD",IF(AW31="Undefined","Undefined",IF(AW$20="OD","OD",IF(AW$22&gt;$E$18,"",IF((AW31-AW30)&lt;=0,"G",IF((AW31-(AW30*0.95))&lt;=0,"A","R")))))))))</f>
        <v>G</v>
      </c>
      <c r="AX32" s="40" t="str">
        <f t="shared" si="16"/>
        <v>G</v>
      </c>
      <c r="AY32" s="40" t="str">
        <f t="shared" si="16"/>
        <v>OD</v>
      </c>
      <c r="AZ32" s="40" t="str">
        <f t="shared" si="16"/>
        <v>OD</v>
      </c>
      <c r="BA32" s="40" t="str">
        <f t="shared" ref="BA32" si="17">IF(BA31="Blank","Blank",IF(BA31="Missed","Missed",IF(BA31="TBC","TBC",IF(BA31="OD","OD",IF(BA31="Undefined","Undefined",IF(BA$20="OD","OD",IF(BA$22&gt;$E$18,"",IF((BA31-BA30)&lt;=0,"G",IF((BA31-(BA30*0.95))&lt;=0,"A","R")))))))))</f>
        <v>OD</v>
      </c>
      <c r="BB32" s="40" t="str">
        <f t="shared" ref="BB32" si="18">IF(BB31="Blank","Blank",IF(BB31="Missed","Missed",IF(BB31="TBC","TBC",IF(BB31="OD","OD",IF(BB31="Undefined","Undefined",IF(BB$20="OD","OD",IF(BB$22&gt;$E$18,"",IF((BB31-BB30)&lt;=0,"G",IF((BB31-(BB30*0.95))&lt;=0,"A","R")))))))))</f>
        <v>OD</v>
      </c>
      <c r="BC32" s="40" t="str">
        <f t="shared" ref="BC32:BD32" si="19">IF(BC31="Blank","Blank",IF(BC31="Missed","Missed",IF(BC31="TBC","TBC",IF(BC31="OD","OD",IF(BC31="Undefined","Undefined",IF(BC$20="OD","OD",IF(BC$22&gt;$E$18,"",IF((BC31-BC30)&lt;=0,"G",IF((BC31-(BC30*0.95))&lt;=0,"A","R")))))))))</f>
        <v/>
      </c>
      <c r="BD32" s="40" t="str">
        <f t="shared" si="19"/>
        <v/>
      </c>
      <c r="BE32" s="40" t="str">
        <f t="shared" ref="BE32" si="20">IF(BE31="Blank","Blank",IF(BE31="Missed","Missed",IF(BE31="TBC","TBC",IF(BE31="OD","OD",IF(BE31="Undefined","Undefined",IF(BE$20="OD","OD",IF(BE$22&gt;$E$18,"",IF((BE31-BE30)&lt;=0,"G",IF((BE31-(BE30*0.95))&lt;=0,"A","R")))))))))</f>
        <v/>
      </c>
      <c r="BF32" s="40" t="str">
        <f t="shared" ref="BF32" si="21">IF(BF31="Blank","Blank",IF(BF31="Missed","Missed",IF(BF31="TBC","TBC",IF(BF31="OD","OD",IF(BF31="Undefined","Undefined",IF(BF$20="OD","OD",IF(BF$22&gt;$E$18,"",IF((BF31-BF30)&lt;=0,"G",IF((BF31-(BF30*0.95))&lt;=0,"A","R")))))))))</f>
        <v/>
      </c>
      <c r="BG32" s="40" t="str">
        <f t="shared" ref="BG32:BH32" si="22">IF(BG31="Blank","Blank",IF(BG31="Missed","Missed",IF(BG31="TBC","TBC",IF(BG31="OD","OD",IF(BG31="Undefined","Undefined",IF(BG$20="OD","OD",IF(BG$22&gt;$E$18,"",IF((BG31-BG30)&lt;=0,"G",IF((BG31-(BG30*0.95))&lt;=0,"A","R")))))))))</f>
        <v/>
      </c>
      <c r="BH32" s="40" t="str">
        <f t="shared" si="22"/>
        <v/>
      </c>
      <c r="BI32" s="40" t="str">
        <f t="shared" ref="BI32" si="23">IF(BI31="Blank","Blank",IF(BI31="Missed","Missed",IF(BI31="TBC","TBC",IF(BI31="OD","OD",IF(BI31="Undefined","Undefined",IF(BI$20="OD","OD",IF(BI$22&gt;$E$18,"",IF((BI31-BI30)&lt;=0,"G",IF((BI31-(BI30*0.95))&lt;=0,"A","R")))))))))</f>
        <v/>
      </c>
      <c r="BJ32" s="40" t="str">
        <f t="shared" ref="BJ32" si="24">IF(BJ31="Blank","Blank",IF(BJ31="Missed","Missed",IF(BJ31="TBC","TBC",IF(BJ31="OD","OD",IF(BJ31="Undefined","Undefined",IF(BJ$20="OD","OD",IF(BJ$22&gt;$E$18,"",IF((BJ31-BJ30)&lt;=0,"G",IF((BJ31-(BJ30*0.95))&lt;=0,"A","R")))))))))</f>
        <v/>
      </c>
      <c r="BK32" s="40" t="str">
        <f t="shared" ref="BK32:BL32" si="25">IF(BK31="Blank","Blank",IF(BK31="Missed","Missed",IF(BK31="TBC","TBC",IF(BK31="OD","OD",IF(BK31="Undefined","Undefined",IF(BK$20="OD","OD",IF(BK$22&gt;$E$18,"",IF((BK31-BK30)&lt;=0,"G",IF((BK31-(BK30*0.95))&lt;=0,"A","R")))))))))</f>
        <v/>
      </c>
      <c r="BL32" s="40" t="str">
        <f t="shared" si="25"/>
        <v/>
      </c>
      <c r="BM32" s="40" t="str">
        <f t="shared" ref="BM32" si="26">IF(BM31="Blank","Blank",IF(BM31="Missed","Missed",IF(BM31="TBC","TBC",IF(BM31="OD","OD",IF(BM31="Undefined","Undefined",IF(BM$20="OD","OD",IF(BM$22&gt;$E$18,"",IF((BM31-BM30)&lt;=0,"G",IF((BM31-(BM30*0.95))&lt;=0,"A","R")))))))))</f>
        <v/>
      </c>
      <c r="BN32" s="42"/>
    </row>
    <row r="33" spans="2:3" customFormat="1" ht="24" customHeight="1" x14ac:dyDescent="0.3"/>
    <row r="34" spans="2:3" ht="15.6" x14ac:dyDescent="0.3">
      <c r="B34" s="1" t="s">
        <v>0</v>
      </c>
      <c r="C34" s="45" t="s">
        <v>1</v>
      </c>
    </row>
    <row r="35" spans="2:3" ht="15.6" x14ac:dyDescent="0.3">
      <c r="B35" s="4" t="s">
        <v>2</v>
      </c>
      <c r="C35" s="45" t="s">
        <v>3</v>
      </c>
    </row>
    <row r="36" spans="2:3" ht="15.6" x14ac:dyDescent="0.3">
      <c r="B36" s="5" t="s">
        <v>4</v>
      </c>
      <c r="C36" s="45" t="s">
        <v>5</v>
      </c>
    </row>
    <row r="37" spans="2:3" x14ac:dyDescent="0.3">
      <c r="B37" s="340" t="s">
        <v>35</v>
      </c>
      <c r="C37" s="13" t="s">
        <v>376</v>
      </c>
    </row>
    <row r="38" spans="2:3" x14ac:dyDescent="0.3">
      <c r="B38" s="341" t="s">
        <v>122</v>
      </c>
      <c r="C38" s="13" t="s">
        <v>377</v>
      </c>
    </row>
  </sheetData>
  <mergeCells count="40">
    <mergeCell ref="G30:G32"/>
    <mergeCell ref="B30:B32"/>
    <mergeCell ref="C30:C32"/>
    <mergeCell ref="D30:D32"/>
    <mergeCell ref="E30:E32"/>
    <mergeCell ref="F30:F32"/>
    <mergeCell ref="E11:E13"/>
    <mergeCell ref="F11:F13"/>
    <mergeCell ref="G11:G13"/>
    <mergeCell ref="C22:D22"/>
    <mergeCell ref="G22:G23"/>
    <mergeCell ref="G24:G26"/>
    <mergeCell ref="G14:G16"/>
    <mergeCell ref="B24:B26"/>
    <mergeCell ref="C24:C26"/>
    <mergeCell ref="D24:D26"/>
    <mergeCell ref="E24:E26"/>
    <mergeCell ref="F24:F26"/>
    <mergeCell ref="E14:E16"/>
    <mergeCell ref="F14:F16"/>
    <mergeCell ref="C6:D6"/>
    <mergeCell ref="G6:G7"/>
    <mergeCell ref="B8:B10"/>
    <mergeCell ref="C8:C10"/>
    <mergeCell ref="D8:D10"/>
    <mergeCell ref="E8:E10"/>
    <mergeCell ref="F8:F10"/>
    <mergeCell ref="G8:G10"/>
    <mergeCell ref="B11:B13"/>
    <mergeCell ref="C11:C13"/>
    <mergeCell ref="B14:B16"/>
    <mergeCell ref="C14:C16"/>
    <mergeCell ref="D14:D16"/>
    <mergeCell ref="D11:D13"/>
    <mergeCell ref="G27:G29"/>
    <mergeCell ref="B27:B29"/>
    <mergeCell ref="C27:C29"/>
    <mergeCell ref="D27:D29"/>
    <mergeCell ref="E27:E29"/>
    <mergeCell ref="F27:F29"/>
  </mergeCells>
  <conditionalFormatting sqref="B38">
    <cfRule type="cellIs" dxfId="209" priority="41" operator="equal">
      <formula>"TBC"</formula>
    </cfRule>
    <cfRule type="cellIs" dxfId="208" priority="42" operator="equal">
      <formula>"OD"</formula>
    </cfRule>
    <cfRule type="cellIs" dxfId="207" priority="43" operator="equal">
      <formula>"G"</formula>
    </cfRule>
    <cfRule type="cellIs" dxfId="206" priority="44" operator="equal">
      <formula>"A"</formula>
    </cfRule>
    <cfRule type="cellIs" dxfId="205" priority="45" operator="equal">
      <formula>"R"</formula>
    </cfRule>
  </conditionalFormatting>
  <conditionalFormatting sqref="I10:X10">
    <cfRule type="cellIs" dxfId="204" priority="11" operator="equal">
      <formula>"OD"</formula>
    </cfRule>
    <cfRule type="cellIs" dxfId="203" priority="12" operator="equal">
      <formula>"TBC"</formula>
    </cfRule>
    <cfRule type="cellIs" dxfId="202" priority="13" operator="equal">
      <formula>"G"</formula>
    </cfRule>
    <cfRule type="cellIs" dxfId="201" priority="14" operator="equal">
      <formula>"A"</formula>
    </cfRule>
    <cfRule type="cellIs" dxfId="200" priority="15" operator="equal">
      <formula>"R"</formula>
    </cfRule>
  </conditionalFormatting>
  <conditionalFormatting sqref="I13:X13">
    <cfRule type="cellIs" dxfId="199" priority="16" operator="equal">
      <formula>"OD"</formula>
    </cfRule>
    <cfRule type="cellIs" dxfId="198" priority="17" operator="equal">
      <formula>"TBC"</formula>
    </cfRule>
    <cfRule type="cellIs" dxfId="197" priority="18" operator="equal">
      <formula>"G"</formula>
    </cfRule>
    <cfRule type="cellIs" dxfId="196" priority="19" operator="equal">
      <formula>"A"</formula>
    </cfRule>
    <cfRule type="cellIs" dxfId="195" priority="20" operator="equal">
      <formula>"R"</formula>
    </cfRule>
  </conditionalFormatting>
  <conditionalFormatting sqref="I16:X16">
    <cfRule type="cellIs" dxfId="194" priority="1" operator="equal">
      <formula>"OD"</formula>
    </cfRule>
    <cfRule type="cellIs" dxfId="193" priority="2" operator="equal">
      <formula>"TBC"</formula>
    </cfRule>
    <cfRule type="cellIs" dxfId="192" priority="3" operator="equal">
      <formula>"G"</formula>
    </cfRule>
    <cfRule type="cellIs" dxfId="191" priority="4" operator="equal">
      <formula>"A"</formula>
    </cfRule>
    <cfRule type="cellIs" dxfId="190" priority="5" operator="equal">
      <formula>"R"</formula>
    </cfRule>
  </conditionalFormatting>
  <conditionalFormatting sqref="I26:BM26 I29:BM29 I32:BM32">
    <cfRule type="cellIs" dxfId="189" priority="46" operator="equal">
      <formula>"OD"</formula>
    </cfRule>
    <cfRule type="cellIs" dxfId="188" priority="47" operator="equal">
      <formula>"TBC"</formula>
    </cfRule>
    <cfRule type="cellIs" dxfId="187" priority="48" operator="equal">
      <formula>"G"</formula>
    </cfRule>
    <cfRule type="cellIs" dxfId="186" priority="49" operator="equal">
      <formula>"A"</formula>
    </cfRule>
    <cfRule type="cellIs" dxfId="185" priority="50" operator="equal">
      <formula>"R"</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DFEC0-C26B-4683-BF27-E3811BAF642B}">
  <sheetPr>
    <tabColor rgb="FFFFC000"/>
  </sheetPr>
  <dimension ref="B1:BN25"/>
  <sheetViews>
    <sheetView workbookViewId="0">
      <pane xSplit="8" ySplit="7" topLeftCell="AQ8" activePane="bottomRight" state="frozen"/>
      <selection pane="topRight" activeCell="I1" sqref="I1"/>
      <selection pane="bottomLeft" activeCell="A8" sqref="A8"/>
      <selection pane="bottomRight" activeCell="BB23" sqref="BB23"/>
    </sheetView>
  </sheetViews>
  <sheetFormatPr defaultColWidth="9.33203125" defaultRowHeight="19.8" customHeight="1" x14ac:dyDescent="0.3"/>
  <cols>
    <col min="1" max="1" width="3" style="2" customWidth="1"/>
    <col min="2" max="2" width="16.44140625" style="2" customWidth="1"/>
    <col min="3" max="3" width="16.5546875" style="13" bestFit="1" customWidth="1"/>
    <col min="4" max="4" width="25.33203125" style="2" customWidth="1"/>
    <col min="5" max="5" width="8.77734375" style="2" customWidth="1"/>
    <col min="6" max="6" width="10.77734375" style="2" customWidth="1"/>
    <col min="7" max="7" width="31.33203125" style="2" customWidth="1"/>
    <col min="8" max="8" width="9.44140625" style="2" customWidth="1"/>
    <col min="9" max="12" width="3" style="2" customWidth="1"/>
    <col min="13" max="65" width="8.88671875" style="2" customWidth="1"/>
    <col min="66" max="66" width="4" style="2"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9.8" customHeight="1" thickBot="1" x14ac:dyDescent="0.35">
      <c r="B1" s="14" t="s">
        <v>121</v>
      </c>
      <c r="C1" s="10" t="s">
        <v>23</v>
      </c>
    </row>
    <row r="2" spans="2:66" ht="19.8" customHeight="1" thickBot="1" x14ac:dyDescent="0.35">
      <c r="D2" s="119" t="s">
        <v>123</v>
      </c>
      <c r="E2" s="346">
        <v>42</v>
      </c>
      <c r="F2" s="2" t="s">
        <v>248</v>
      </c>
      <c r="S2" s="2">
        <f>0/1</f>
        <v>0</v>
      </c>
    </row>
    <row r="3" spans="2:66" ht="19.8" customHeight="1" thickBot="1" x14ac:dyDescent="0.35">
      <c r="B3" s="2" t="s">
        <v>384</v>
      </c>
      <c r="D3" s="120" t="s">
        <v>193</v>
      </c>
      <c r="E3" s="120">
        <f>+'KPI Analysis'!D3</f>
        <v>42</v>
      </c>
    </row>
    <row r="4" spans="2:66" ht="19.8"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9.8" customHeight="1" thickBot="1" x14ac:dyDescent="0.35"/>
    <row r="6" spans="2:66" ht="19.8" customHeight="1" x14ac:dyDescent="0.3">
      <c r="B6" s="14" t="s">
        <v>79</v>
      </c>
      <c r="C6" s="926" t="s">
        <v>32</v>
      </c>
      <c r="D6" s="927"/>
      <c r="E6" s="106"/>
      <c r="F6" s="106"/>
      <c r="G6" s="928" t="s">
        <v>37</v>
      </c>
      <c r="H6" s="15" t="s">
        <v>7</v>
      </c>
      <c r="I6" s="16">
        <f>J6-1</f>
        <v>49</v>
      </c>
      <c r="J6" s="17">
        <f>K6-1</f>
        <v>50</v>
      </c>
      <c r="K6" s="17">
        <f>L6-1</f>
        <v>51</v>
      </c>
      <c r="L6" s="55">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37.200000000000003" customHeight="1" x14ac:dyDescent="0.3">
      <c r="B7" s="14" t="s">
        <v>38</v>
      </c>
      <c r="C7" s="21" t="s">
        <v>39</v>
      </c>
      <c r="D7" s="21" t="s">
        <v>40</v>
      </c>
      <c r="E7" s="21" t="s">
        <v>140</v>
      </c>
      <c r="F7" s="21" t="s">
        <v>159</v>
      </c>
      <c r="G7" s="929"/>
      <c r="H7" s="15" t="s">
        <v>41</v>
      </c>
      <c r="I7" s="22">
        <f t="shared" ref="I7:K7" si="2">J7-7</f>
        <v>45632</v>
      </c>
      <c r="J7" s="23">
        <f t="shared" si="2"/>
        <v>45639</v>
      </c>
      <c r="K7" s="23">
        <f t="shared" si="2"/>
        <v>45646</v>
      </c>
      <c r="L7" s="56">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19.8" customHeight="1" x14ac:dyDescent="0.3">
      <c r="B8" s="920" t="s">
        <v>30</v>
      </c>
      <c r="C8" s="922" t="s">
        <v>420</v>
      </c>
      <c r="D8" s="922" t="s">
        <v>445</v>
      </c>
      <c r="E8" s="921" t="s">
        <v>142</v>
      </c>
      <c r="F8" s="922" t="s">
        <v>318</v>
      </c>
      <c r="G8" s="952" t="s">
        <v>453</v>
      </c>
      <c r="H8" s="27" t="s">
        <v>44</v>
      </c>
      <c r="I8" s="28"/>
      <c r="J8" s="29"/>
      <c r="K8" s="29"/>
      <c r="L8" s="51"/>
      <c r="M8" s="30" t="s">
        <v>122</v>
      </c>
      <c r="N8" s="29" t="s">
        <v>35</v>
      </c>
      <c r="O8" s="29" t="s">
        <v>35</v>
      </c>
      <c r="P8" s="29" t="s">
        <v>35</v>
      </c>
      <c r="Q8" s="29" t="s">
        <v>35</v>
      </c>
      <c r="R8" s="29" t="s">
        <v>35</v>
      </c>
      <c r="S8" s="29" t="s">
        <v>35</v>
      </c>
      <c r="T8" s="29" t="s">
        <v>35</v>
      </c>
      <c r="U8" s="29" t="s">
        <v>35</v>
      </c>
      <c r="V8" s="29" t="s">
        <v>35</v>
      </c>
      <c r="W8" s="29" t="s">
        <v>35</v>
      </c>
      <c r="X8" s="29" t="s">
        <v>35</v>
      </c>
      <c r="Y8" s="29" t="s">
        <v>35</v>
      </c>
      <c r="Z8" s="29">
        <v>40</v>
      </c>
      <c r="AA8" s="29">
        <v>40</v>
      </c>
      <c r="AB8" s="29">
        <v>32</v>
      </c>
      <c r="AC8" s="29">
        <v>32</v>
      </c>
      <c r="AD8" s="29">
        <v>40</v>
      </c>
      <c r="AE8" s="29">
        <v>32</v>
      </c>
      <c r="AF8" s="29">
        <v>40</v>
      </c>
      <c r="AG8" s="29">
        <v>24</v>
      </c>
      <c r="AH8" s="29">
        <v>40</v>
      </c>
      <c r="AI8" s="29">
        <v>40</v>
      </c>
      <c r="AJ8" s="67">
        <f>IF(AJ$6&gt;$E$3,"",40)</f>
        <v>40</v>
      </c>
      <c r="AK8" s="67">
        <f t="shared" ref="AK8:BM8" si="4">IF(AK$6&gt;$E$3,"",40)</f>
        <v>40</v>
      </c>
      <c r="AL8" s="67">
        <f t="shared" si="4"/>
        <v>40</v>
      </c>
      <c r="AM8" s="67">
        <v>32</v>
      </c>
      <c r="AN8" s="67">
        <v>32</v>
      </c>
      <c r="AO8" s="67">
        <v>32</v>
      </c>
      <c r="AP8" s="67">
        <f t="shared" si="4"/>
        <v>40</v>
      </c>
      <c r="AQ8" s="67">
        <f t="shared" si="4"/>
        <v>40</v>
      </c>
      <c r="AR8" s="67">
        <f t="shared" si="4"/>
        <v>40</v>
      </c>
      <c r="AS8" s="67">
        <f t="shared" si="4"/>
        <v>40</v>
      </c>
      <c r="AT8" s="67">
        <f t="shared" si="4"/>
        <v>40</v>
      </c>
      <c r="AU8" s="67">
        <f t="shared" si="4"/>
        <v>40</v>
      </c>
      <c r="AV8" s="67">
        <f t="shared" si="4"/>
        <v>40</v>
      </c>
      <c r="AW8" s="67">
        <f t="shared" si="4"/>
        <v>40</v>
      </c>
      <c r="AX8" s="67">
        <v>24</v>
      </c>
      <c r="AY8" s="67">
        <v>32</v>
      </c>
      <c r="AZ8" s="67">
        <v>32</v>
      </c>
      <c r="BA8" s="67">
        <f t="shared" si="4"/>
        <v>40</v>
      </c>
      <c r="BB8" s="67">
        <v>32</v>
      </c>
      <c r="BC8" s="67" t="str">
        <f t="shared" si="4"/>
        <v/>
      </c>
      <c r="BD8" s="67" t="str">
        <f t="shared" si="4"/>
        <v/>
      </c>
      <c r="BE8" s="67" t="str">
        <f t="shared" si="4"/>
        <v/>
      </c>
      <c r="BF8" s="67" t="str">
        <f t="shared" si="4"/>
        <v/>
      </c>
      <c r="BG8" s="67" t="str">
        <f t="shared" si="4"/>
        <v/>
      </c>
      <c r="BH8" s="67" t="str">
        <f t="shared" si="4"/>
        <v/>
      </c>
      <c r="BI8" s="67" t="str">
        <f t="shared" si="4"/>
        <v/>
      </c>
      <c r="BJ8" s="67" t="str">
        <f t="shared" si="4"/>
        <v/>
      </c>
      <c r="BK8" s="67" t="str">
        <f t="shared" si="4"/>
        <v/>
      </c>
      <c r="BL8" s="67" t="str">
        <f t="shared" si="4"/>
        <v/>
      </c>
      <c r="BM8" s="67" t="str">
        <f t="shared" si="4"/>
        <v/>
      </c>
      <c r="BN8" s="32"/>
    </row>
    <row r="9" spans="2:66" ht="19.8" customHeight="1" collapsed="1" x14ac:dyDescent="0.3">
      <c r="B9" s="920"/>
      <c r="C9" s="921"/>
      <c r="D9" s="921"/>
      <c r="E9" s="921"/>
      <c r="F9" s="921"/>
      <c r="G9" s="953"/>
      <c r="H9" s="33" t="s">
        <v>45</v>
      </c>
      <c r="I9" s="34"/>
      <c r="J9" s="35"/>
      <c r="K9" s="35"/>
      <c r="L9" s="52"/>
      <c r="M9" s="36" t="s">
        <v>122</v>
      </c>
      <c r="N9" s="36" t="s">
        <v>35</v>
      </c>
      <c r="O9" s="36" t="s">
        <v>35</v>
      </c>
      <c r="P9" s="36" t="s">
        <v>35</v>
      </c>
      <c r="Q9" s="36" t="s">
        <v>35</v>
      </c>
      <c r="R9" s="36" t="s">
        <v>35</v>
      </c>
      <c r="S9" s="36" t="s">
        <v>35</v>
      </c>
      <c r="T9" s="36" t="s">
        <v>35</v>
      </c>
      <c r="U9" s="36" t="s">
        <v>35</v>
      </c>
      <c r="V9" s="36" t="s">
        <v>35</v>
      </c>
      <c r="W9" s="36" t="s">
        <v>35</v>
      </c>
      <c r="X9" s="36" t="s">
        <v>35</v>
      </c>
      <c r="Y9" s="36" t="s">
        <v>35</v>
      </c>
      <c r="Z9" s="36">
        <v>40</v>
      </c>
      <c r="AA9" s="35">
        <v>40</v>
      </c>
      <c r="AB9" s="35">
        <v>32</v>
      </c>
      <c r="AC9" s="35">
        <v>32</v>
      </c>
      <c r="AD9" s="35">
        <v>40</v>
      </c>
      <c r="AE9" s="35">
        <v>32</v>
      </c>
      <c r="AF9" s="35">
        <v>0</v>
      </c>
      <c r="AG9" s="35">
        <v>24</v>
      </c>
      <c r="AH9" s="35">
        <v>40</v>
      </c>
      <c r="AI9" s="35">
        <v>40</v>
      </c>
      <c r="AJ9" s="35">
        <v>40</v>
      </c>
      <c r="AK9" s="35">
        <v>40</v>
      </c>
      <c r="AL9" s="35">
        <v>40</v>
      </c>
      <c r="AM9" s="35">
        <v>32</v>
      </c>
      <c r="AN9" s="35">
        <v>32</v>
      </c>
      <c r="AO9" s="35">
        <v>32</v>
      </c>
      <c r="AP9" s="35">
        <v>40</v>
      </c>
      <c r="AQ9" s="35">
        <v>40</v>
      </c>
      <c r="AR9" s="35">
        <v>32</v>
      </c>
      <c r="AS9" s="35">
        <v>32</v>
      </c>
      <c r="AT9" s="35">
        <v>24</v>
      </c>
      <c r="AU9" s="35">
        <v>32</v>
      </c>
      <c r="AV9" s="35">
        <v>32</v>
      </c>
      <c r="AW9" s="35">
        <v>40</v>
      </c>
      <c r="AX9" s="35">
        <v>24</v>
      </c>
      <c r="AY9" s="35">
        <v>32</v>
      </c>
      <c r="AZ9" s="35">
        <v>32</v>
      </c>
      <c r="BA9" s="35">
        <v>40</v>
      </c>
      <c r="BB9" s="35">
        <v>32</v>
      </c>
      <c r="BC9" s="35"/>
      <c r="BD9" s="35"/>
      <c r="BE9" s="35"/>
      <c r="BF9" s="35"/>
      <c r="BG9" s="35"/>
      <c r="BH9" s="35"/>
      <c r="BI9" s="35"/>
      <c r="BJ9" s="35"/>
      <c r="BK9" s="35"/>
      <c r="BL9" s="35"/>
      <c r="BM9" s="35"/>
      <c r="BN9" s="37"/>
    </row>
    <row r="10" spans="2:66" ht="19.8" customHeight="1" x14ac:dyDescent="0.3">
      <c r="B10" s="920"/>
      <c r="C10" s="921"/>
      <c r="D10" s="921"/>
      <c r="E10" s="921"/>
      <c r="F10" s="921"/>
      <c r="G10" s="953"/>
      <c r="H10" s="38" t="s">
        <v>46</v>
      </c>
      <c r="I10" s="39"/>
      <c r="J10" s="40"/>
      <c r="K10" s="40"/>
      <c r="L10" s="53"/>
      <c r="M10" s="40" t="str">
        <f>IF(M$6&gt;$E$3,"",IF(M9="","OD",IF(M9="Blank","Blank",IF(M9="TBC","TBC",IF(M9="Undefined","Undefined",IF(M9="Missed","Missed",IF(M9="OD","OD",IF(M$4="OD","OD",IF((M9-M8)&gt;=0,"G",IF((M9-(M8*0.95))&gt;=0,"A","R"))))))))))</f>
        <v>Blank</v>
      </c>
      <c r="N10" s="40" t="str">
        <f t="shared" ref="N10:BM10" si="5">IF(N$6&gt;$E$3,"",IF(N9="","OD",IF(N9="Blank","Blank",IF(N9="TBC","TBC",IF(N9="Undefined","Undefined",IF(N9="Missed","Missed",IF(N9="OD","OD",IF(N$4="OD","OD",IF((N9-N8)&gt;=0,"G",IF((N9-(N8*0.95))&gt;=0,"A","R"))))))))))</f>
        <v>TBC</v>
      </c>
      <c r="O10" s="40" t="str">
        <f t="shared" si="5"/>
        <v>TBC</v>
      </c>
      <c r="P10" s="40" t="str">
        <f t="shared" si="5"/>
        <v>TBC</v>
      </c>
      <c r="Q10" s="40" t="str">
        <f t="shared" si="5"/>
        <v>TBC</v>
      </c>
      <c r="R10" s="40" t="str">
        <f t="shared" si="5"/>
        <v>TBC</v>
      </c>
      <c r="S10" s="40" t="str">
        <f t="shared" si="5"/>
        <v>TBC</v>
      </c>
      <c r="T10" s="40" t="str">
        <f t="shared" si="5"/>
        <v>TBC</v>
      </c>
      <c r="U10" s="40" t="str">
        <f t="shared" si="5"/>
        <v>TBC</v>
      </c>
      <c r="V10" s="40" t="str">
        <f t="shared" si="5"/>
        <v>TBC</v>
      </c>
      <c r="W10" s="40" t="str">
        <f t="shared" si="5"/>
        <v>TBC</v>
      </c>
      <c r="X10" s="40" t="str">
        <f t="shared" si="5"/>
        <v>TBC</v>
      </c>
      <c r="Y10" s="40" t="str">
        <f t="shared" si="5"/>
        <v>TBC</v>
      </c>
      <c r="Z10" s="40" t="str">
        <f t="shared" si="5"/>
        <v>G</v>
      </c>
      <c r="AA10" s="40" t="str">
        <f t="shared" si="5"/>
        <v>G</v>
      </c>
      <c r="AB10" s="40" t="str">
        <f t="shared" si="5"/>
        <v>G</v>
      </c>
      <c r="AC10" s="40" t="str">
        <f t="shared" si="5"/>
        <v>G</v>
      </c>
      <c r="AD10" s="40" t="str">
        <f t="shared" si="5"/>
        <v>G</v>
      </c>
      <c r="AE10" s="40" t="str">
        <f t="shared" si="5"/>
        <v>G</v>
      </c>
      <c r="AF10" s="40" t="str">
        <f t="shared" si="5"/>
        <v>R</v>
      </c>
      <c r="AG10" s="40" t="str">
        <f t="shared" si="5"/>
        <v>G</v>
      </c>
      <c r="AH10" s="40" t="str">
        <f t="shared" si="5"/>
        <v>G</v>
      </c>
      <c r="AI10" s="40" t="str">
        <f t="shared" si="5"/>
        <v>G</v>
      </c>
      <c r="AJ10" s="40" t="str">
        <f t="shared" si="5"/>
        <v>G</v>
      </c>
      <c r="AK10" s="40" t="str">
        <f t="shared" si="5"/>
        <v>G</v>
      </c>
      <c r="AL10" s="40" t="str">
        <f t="shared" si="5"/>
        <v>G</v>
      </c>
      <c r="AM10" s="40" t="str">
        <f t="shared" si="5"/>
        <v>G</v>
      </c>
      <c r="AN10" s="40" t="str">
        <f t="shared" si="5"/>
        <v>G</v>
      </c>
      <c r="AO10" s="40" t="str">
        <f t="shared" si="5"/>
        <v>G</v>
      </c>
      <c r="AP10" s="40" t="str">
        <f t="shared" si="5"/>
        <v>G</v>
      </c>
      <c r="AQ10" s="40" t="str">
        <f t="shared" si="5"/>
        <v>G</v>
      </c>
      <c r="AR10" s="40" t="str">
        <f t="shared" si="5"/>
        <v>R</v>
      </c>
      <c r="AS10" s="40" t="str">
        <f t="shared" si="5"/>
        <v>R</v>
      </c>
      <c r="AT10" s="40" t="str">
        <f t="shared" si="5"/>
        <v>R</v>
      </c>
      <c r="AU10" s="40" t="str">
        <f t="shared" si="5"/>
        <v>R</v>
      </c>
      <c r="AV10" s="40" t="str">
        <f t="shared" si="5"/>
        <v>R</v>
      </c>
      <c r="AW10" s="40" t="str">
        <f t="shared" si="5"/>
        <v>G</v>
      </c>
      <c r="AX10" s="40" t="str">
        <f t="shared" si="5"/>
        <v>G</v>
      </c>
      <c r="AY10" s="40" t="str">
        <f t="shared" si="5"/>
        <v>G</v>
      </c>
      <c r="AZ10" s="40" t="str">
        <f t="shared" si="5"/>
        <v>G</v>
      </c>
      <c r="BA10" s="40" t="str">
        <f t="shared" si="5"/>
        <v>G</v>
      </c>
      <c r="BB10" s="40" t="str">
        <f t="shared" si="5"/>
        <v>G</v>
      </c>
      <c r="BC10" s="40" t="str">
        <f t="shared" si="5"/>
        <v/>
      </c>
      <c r="BD10" s="40" t="str">
        <f t="shared" si="5"/>
        <v/>
      </c>
      <c r="BE10" s="40" t="str">
        <f t="shared" si="5"/>
        <v/>
      </c>
      <c r="BF10" s="40" t="str">
        <f t="shared" si="5"/>
        <v/>
      </c>
      <c r="BG10" s="40" t="str">
        <f t="shared" si="5"/>
        <v/>
      </c>
      <c r="BH10" s="40" t="str">
        <f t="shared" si="5"/>
        <v/>
      </c>
      <c r="BI10" s="40" t="str">
        <f t="shared" si="5"/>
        <v/>
      </c>
      <c r="BJ10" s="40" t="str">
        <f t="shared" si="5"/>
        <v/>
      </c>
      <c r="BK10" s="40" t="str">
        <f t="shared" si="5"/>
        <v/>
      </c>
      <c r="BL10" s="40" t="str">
        <f t="shared" si="5"/>
        <v/>
      </c>
      <c r="BM10" s="40" t="str">
        <f t="shared" si="5"/>
        <v/>
      </c>
      <c r="BN10" s="42"/>
    </row>
    <row r="11" spans="2:66" ht="19.8" customHeight="1" x14ac:dyDescent="0.3">
      <c r="B11" s="920" t="s">
        <v>33</v>
      </c>
      <c r="C11" s="922" t="s">
        <v>446</v>
      </c>
      <c r="D11" s="922" t="s">
        <v>447</v>
      </c>
      <c r="E11" s="921" t="s">
        <v>169</v>
      </c>
      <c r="F11" s="922" t="s">
        <v>421</v>
      </c>
      <c r="G11" s="919" t="s">
        <v>448</v>
      </c>
      <c r="H11" s="27" t="s">
        <v>44</v>
      </c>
      <c r="I11" s="28"/>
      <c r="J11" s="29"/>
      <c r="K11" s="29"/>
      <c r="L11" s="51"/>
      <c r="M11" s="30" t="s">
        <v>122</v>
      </c>
      <c r="N11" s="29" t="s">
        <v>35</v>
      </c>
      <c r="O11" s="29" t="s">
        <v>35</v>
      </c>
      <c r="P11" s="29" t="s">
        <v>35</v>
      </c>
      <c r="Q11" s="29" t="s">
        <v>35</v>
      </c>
      <c r="R11" s="29" t="s">
        <v>35</v>
      </c>
      <c r="S11" s="29" t="s">
        <v>35</v>
      </c>
      <c r="T11" s="29" t="s">
        <v>35</v>
      </c>
      <c r="U11" s="29" t="s">
        <v>35</v>
      </c>
      <c r="V11" s="29" t="s">
        <v>35</v>
      </c>
      <c r="W11" s="29" t="s">
        <v>35</v>
      </c>
      <c r="X11" s="29" t="s">
        <v>35</v>
      </c>
      <c r="Y11" s="29" t="s">
        <v>35</v>
      </c>
      <c r="Z11" s="30">
        <v>950</v>
      </c>
      <c r="AA11" s="30">
        <v>950</v>
      </c>
      <c r="AB11" s="30">
        <v>950</v>
      </c>
      <c r="AC11" s="30">
        <v>950</v>
      </c>
      <c r="AD11" s="30">
        <v>1025</v>
      </c>
      <c r="AE11" s="29">
        <v>1025</v>
      </c>
      <c r="AF11" s="29">
        <v>1025</v>
      </c>
      <c r="AG11" s="29">
        <v>1025</v>
      </c>
      <c r="AH11" s="622">
        <v>1025</v>
      </c>
      <c r="AI11" s="29">
        <v>1025</v>
      </c>
      <c r="AJ11" s="67">
        <f>IF(AJ$6&gt;$E$3,"",1025)</f>
        <v>1025</v>
      </c>
      <c r="AK11" s="67">
        <f t="shared" ref="AK11:BM11" si="6">IF(AK$6&gt;$E$3,"",1025)</f>
        <v>1025</v>
      </c>
      <c r="AL11" s="67">
        <f t="shared" si="6"/>
        <v>1025</v>
      </c>
      <c r="AM11" s="67">
        <f t="shared" si="6"/>
        <v>1025</v>
      </c>
      <c r="AN11" s="67">
        <f t="shared" si="6"/>
        <v>1025</v>
      </c>
      <c r="AO11" s="67">
        <f t="shared" si="6"/>
        <v>1025</v>
      </c>
      <c r="AP11" s="67">
        <f t="shared" si="6"/>
        <v>1025</v>
      </c>
      <c r="AQ11" s="67">
        <f t="shared" si="6"/>
        <v>1025</v>
      </c>
      <c r="AR11" s="67">
        <f t="shared" si="6"/>
        <v>1025</v>
      </c>
      <c r="AS11" s="67">
        <f t="shared" si="6"/>
        <v>1025</v>
      </c>
      <c r="AT11" s="67">
        <f t="shared" si="6"/>
        <v>1025</v>
      </c>
      <c r="AU11" s="67">
        <f t="shared" si="6"/>
        <v>1025</v>
      </c>
      <c r="AV11" s="67">
        <f t="shared" si="6"/>
        <v>1025</v>
      </c>
      <c r="AW11" s="67">
        <f t="shared" si="6"/>
        <v>1025</v>
      </c>
      <c r="AX11" s="67">
        <f t="shared" si="6"/>
        <v>1025</v>
      </c>
      <c r="AY11" s="67">
        <f t="shared" si="6"/>
        <v>1025</v>
      </c>
      <c r="AZ11" s="67">
        <f t="shared" si="6"/>
        <v>1025</v>
      </c>
      <c r="BA11" s="67">
        <f t="shared" si="6"/>
        <v>1025</v>
      </c>
      <c r="BB11" s="67">
        <f t="shared" si="6"/>
        <v>1025</v>
      </c>
      <c r="BC11" s="67" t="str">
        <f t="shared" si="6"/>
        <v/>
      </c>
      <c r="BD11" s="67" t="str">
        <f t="shared" si="6"/>
        <v/>
      </c>
      <c r="BE11" s="67" t="str">
        <f t="shared" si="6"/>
        <v/>
      </c>
      <c r="BF11" s="67" t="str">
        <f t="shared" si="6"/>
        <v/>
      </c>
      <c r="BG11" s="67" t="str">
        <f t="shared" si="6"/>
        <v/>
      </c>
      <c r="BH11" s="67" t="str">
        <f t="shared" si="6"/>
        <v/>
      </c>
      <c r="BI11" s="67" t="str">
        <f t="shared" si="6"/>
        <v/>
      </c>
      <c r="BJ11" s="67" t="str">
        <f t="shared" si="6"/>
        <v/>
      </c>
      <c r="BK11" s="67" t="str">
        <f t="shared" si="6"/>
        <v/>
      </c>
      <c r="BL11" s="67" t="str">
        <f t="shared" si="6"/>
        <v/>
      </c>
      <c r="BM11" s="67" t="str">
        <f t="shared" si="6"/>
        <v/>
      </c>
      <c r="BN11" s="31"/>
    </row>
    <row r="12" spans="2:66" ht="19.8" customHeight="1" collapsed="1" x14ac:dyDescent="0.3">
      <c r="B12" s="920"/>
      <c r="C12" s="921"/>
      <c r="D12" s="921"/>
      <c r="E12" s="921"/>
      <c r="F12" s="921"/>
      <c r="G12" s="919"/>
      <c r="H12" s="33" t="s">
        <v>45</v>
      </c>
      <c r="I12" s="34"/>
      <c r="J12" s="35"/>
      <c r="K12" s="35"/>
      <c r="L12" s="52"/>
      <c r="M12" s="36" t="s">
        <v>122</v>
      </c>
      <c r="N12" s="36" t="s">
        <v>35</v>
      </c>
      <c r="O12" s="36" t="s">
        <v>35</v>
      </c>
      <c r="P12" s="36" t="s">
        <v>35</v>
      </c>
      <c r="Q12" s="36" t="s">
        <v>35</v>
      </c>
      <c r="R12" s="36" t="s">
        <v>35</v>
      </c>
      <c r="S12" s="36" t="s">
        <v>35</v>
      </c>
      <c r="T12" s="36" t="s">
        <v>35</v>
      </c>
      <c r="U12" s="36" t="s">
        <v>35</v>
      </c>
      <c r="V12" s="36" t="s">
        <v>35</v>
      </c>
      <c r="W12" s="36" t="s">
        <v>35</v>
      </c>
      <c r="X12" s="36" t="s">
        <v>35</v>
      </c>
      <c r="Y12" s="36" t="s">
        <v>35</v>
      </c>
      <c r="Z12" s="36">
        <v>500</v>
      </c>
      <c r="AA12" s="36">
        <v>384</v>
      </c>
      <c r="AB12" s="36">
        <v>550</v>
      </c>
      <c r="AC12" s="36">
        <v>450</v>
      </c>
      <c r="AD12" s="36">
        <v>1400</v>
      </c>
      <c r="AE12" s="36">
        <v>1150</v>
      </c>
      <c r="AF12" s="35">
        <v>265</v>
      </c>
      <c r="AG12" s="35">
        <v>345</v>
      </c>
      <c r="AH12" s="35">
        <v>1900</v>
      </c>
      <c r="AI12" s="35">
        <v>850</v>
      </c>
      <c r="AJ12" s="35">
        <v>680</v>
      </c>
      <c r="AK12" s="35">
        <v>440</v>
      </c>
      <c r="AL12" s="35">
        <v>1550</v>
      </c>
      <c r="AM12" s="35">
        <v>860</v>
      </c>
      <c r="AN12" s="35">
        <v>220</v>
      </c>
      <c r="AO12" s="35">
        <v>3450</v>
      </c>
      <c r="AP12" s="35">
        <v>1750</v>
      </c>
      <c r="AQ12" s="35">
        <v>1830</v>
      </c>
      <c r="AR12" s="35">
        <v>595</v>
      </c>
      <c r="AS12" s="35">
        <v>640</v>
      </c>
      <c r="AT12" s="35">
        <v>230</v>
      </c>
      <c r="AU12" s="35">
        <v>460</v>
      </c>
      <c r="AV12" s="35">
        <v>584</v>
      </c>
      <c r="AW12" s="35">
        <v>175</v>
      </c>
      <c r="AX12" s="35">
        <v>245</v>
      </c>
      <c r="AY12" s="35">
        <v>270</v>
      </c>
      <c r="AZ12" s="35">
        <v>132</v>
      </c>
      <c r="BA12" s="35">
        <v>0</v>
      </c>
      <c r="BB12" s="35">
        <v>3200</v>
      </c>
      <c r="BC12" s="35"/>
      <c r="BD12" s="35"/>
      <c r="BE12" s="35"/>
      <c r="BF12" s="35"/>
      <c r="BG12" s="35"/>
      <c r="BH12" s="35"/>
      <c r="BI12" s="35"/>
      <c r="BJ12" s="35"/>
      <c r="BK12" s="35"/>
      <c r="BL12" s="35"/>
      <c r="BM12" s="35"/>
      <c r="BN12" s="37"/>
    </row>
    <row r="13" spans="2:66" ht="19.8" customHeight="1" x14ac:dyDescent="0.3">
      <c r="B13" s="920"/>
      <c r="C13" s="921"/>
      <c r="D13" s="921"/>
      <c r="E13" s="921"/>
      <c r="F13" s="921"/>
      <c r="G13" s="919"/>
      <c r="H13" s="38" t="s">
        <v>46</v>
      </c>
      <c r="I13" s="39"/>
      <c r="J13" s="40"/>
      <c r="K13" s="40"/>
      <c r="L13" s="53"/>
      <c r="M13" s="40" t="str">
        <f>IF(M$6&gt;$E$3,"",IF(M12="","OD",IF(M12="Blank","Blank",IF(M12="TBC","TBC",IF(M12="Undefined","Undefined",IF(M12="Missed","Missed",IF(M12="OD","OD",IF(M$4="OD","OD",IF((M12-M11)&lt;=0,"G",IF((M12-(M11/0.95))&lt;=0,"A","R"))))))))))</f>
        <v>Blank</v>
      </c>
      <c r="N13" s="40" t="str">
        <f t="shared" ref="N13:BM13" si="7">IF(N$6&gt;$E$3,"",IF(N12="","OD",IF(N12="Blank","Blank",IF(N12="TBC","TBC",IF(N12="Undefined","Undefined",IF(N12="Missed","Missed",IF(N12="OD","OD",IF(N$4="OD","OD",IF((N12-N11)&lt;=0,"G",IF((N12-(N11/0.95))&lt;=0,"A","R"))))))))))</f>
        <v>TBC</v>
      </c>
      <c r="O13" s="40" t="str">
        <f t="shared" si="7"/>
        <v>TBC</v>
      </c>
      <c r="P13" s="40" t="str">
        <f t="shared" si="7"/>
        <v>TBC</v>
      </c>
      <c r="Q13" s="40" t="str">
        <f t="shared" si="7"/>
        <v>TBC</v>
      </c>
      <c r="R13" s="40" t="str">
        <f t="shared" si="7"/>
        <v>TBC</v>
      </c>
      <c r="S13" s="40" t="str">
        <f t="shared" si="7"/>
        <v>TBC</v>
      </c>
      <c r="T13" s="40" t="str">
        <f t="shared" si="7"/>
        <v>TBC</v>
      </c>
      <c r="U13" s="40" t="str">
        <f t="shared" si="7"/>
        <v>TBC</v>
      </c>
      <c r="V13" s="40" t="str">
        <f t="shared" si="7"/>
        <v>TBC</v>
      </c>
      <c r="W13" s="40" t="str">
        <f t="shared" si="7"/>
        <v>TBC</v>
      </c>
      <c r="X13" s="40" t="str">
        <f t="shared" si="7"/>
        <v>TBC</v>
      </c>
      <c r="Y13" s="40" t="str">
        <f t="shared" si="7"/>
        <v>TBC</v>
      </c>
      <c r="Z13" s="40" t="str">
        <f t="shared" si="7"/>
        <v>G</v>
      </c>
      <c r="AA13" s="40" t="str">
        <f t="shared" si="7"/>
        <v>G</v>
      </c>
      <c r="AB13" s="40" t="str">
        <f t="shared" si="7"/>
        <v>G</v>
      </c>
      <c r="AC13" s="40" t="str">
        <f t="shared" si="7"/>
        <v>G</v>
      </c>
      <c r="AD13" s="40" t="str">
        <f t="shared" si="7"/>
        <v>R</v>
      </c>
      <c r="AE13" s="40" t="str">
        <f t="shared" si="7"/>
        <v>R</v>
      </c>
      <c r="AF13" s="40" t="str">
        <f t="shared" si="7"/>
        <v>G</v>
      </c>
      <c r="AG13" s="40" t="str">
        <f t="shared" si="7"/>
        <v>G</v>
      </c>
      <c r="AH13" s="40" t="str">
        <f t="shared" si="7"/>
        <v>R</v>
      </c>
      <c r="AI13" s="40" t="str">
        <f t="shared" si="7"/>
        <v>G</v>
      </c>
      <c r="AJ13" s="40" t="str">
        <f t="shared" si="7"/>
        <v>G</v>
      </c>
      <c r="AK13" s="40" t="str">
        <f t="shared" si="7"/>
        <v>G</v>
      </c>
      <c r="AL13" s="40" t="str">
        <f t="shared" si="7"/>
        <v>R</v>
      </c>
      <c r="AM13" s="40" t="str">
        <f t="shared" si="7"/>
        <v>G</v>
      </c>
      <c r="AN13" s="40" t="str">
        <f t="shared" si="7"/>
        <v>G</v>
      </c>
      <c r="AO13" s="40" t="str">
        <f t="shared" si="7"/>
        <v>R</v>
      </c>
      <c r="AP13" s="40" t="str">
        <f t="shared" si="7"/>
        <v>R</v>
      </c>
      <c r="AQ13" s="40" t="str">
        <f t="shared" si="7"/>
        <v>R</v>
      </c>
      <c r="AR13" s="40" t="str">
        <f t="shared" si="7"/>
        <v>G</v>
      </c>
      <c r="AS13" s="40" t="str">
        <f t="shared" si="7"/>
        <v>G</v>
      </c>
      <c r="AT13" s="40" t="str">
        <f t="shared" si="7"/>
        <v>G</v>
      </c>
      <c r="AU13" s="40" t="str">
        <f t="shared" si="7"/>
        <v>G</v>
      </c>
      <c r="AV13" s="40" t="str">
        <f t="shared" si="7"/>
        <v>G</v>
      </c>
      <c r="AW13" s="40" t="str">
        <f t="shared" si="7"/>
        <v>G</v>
      </c>
      <c r="AX13" s="40" t="str">
        <f t="shared" si="7"/>
        <v>G</v>
      </c>
      <c r="AY13" s="40" t="str">
        <f t="shared" si="7"/>
        <v>G</v>
      </c>
      <c r="AZ13" s="40" t="str">
        <f t="shared" si="7"/>
        <v>G</v>
      </c>
      <c r="BA13" s="40" t="str">
        <f t="shared" si="7"/>
        <v>G</v>
      </c>
      <c r="BB13" s="40" t="str">
        <f t="shared" si="7"/>
        <v>R</v>
      </c>
      <c r="BC13" s="40" t="str">
        <f t="shared" si="7"/>
        <v/>
      </c>
      <c r="BD13" s="40" t="str">
        <f t="shared" si="7"/>
        <v/>
      </c>
      <c r="BE13" s="40" t="str">
        <f t="shared" si="7"/>
        <v/>
      </c>
      <c r="BF13" s="40" t="str">
        <f t="shared" si="7"/>
        <v/>
      </c>
      <c r="BG13" s="40" t="str">
        <f t="shared" si="7"/>
        <v/>
      </c>
      <c r="BH13" s="40" t="str">
        <f t="shared" si="7"/>
        <v/>
      </c>
      <c r="BI13" s="40" t="str">
        <f t="shared" si="7"/>
        <v/>
      </c>
      <c r="BJ13" s="40" t="str">
        <f t="shared" si="7"/>
        <v/>
      </c>
      <c r="BK13" s="40" t="str">
        <f t="shared" si="7"/>
        <v/>
      </c>
      <c r="BL13" s="40" t="str">
        <f t="shared" si="7"/>
        <v/>
      </c>
      <c r="BM13" s="40" t="str">
        <f t="shared" si="7"/>
        <v/>
      </c>
      <c r="BN13" s="42"/>
    </row>
    <row r="14" spans="2:66" ht="19.8" customHeight="1" x14ac:dyDescent="0.3">
      <c r="B14" s="920" t="s">
        <v>32</v>
      </c>
      <c r="C14" s="922" t="s">
        <v>419</v>
      </c>
      <c r="D14" s="922" t="s">
        <v>449</v>
      </c>
      <c r="E14" s="921" t="s">
        <v>142</v>
      </c>
      <c r="F14" s="922" t="s">
        <v>421</v>
      </c>
      <c r="G14" s="919" t="s">
        <v>452</v>
      </c>
      <c r="H14" s="27" t="s">
        <v>44</v>
      </c>
      <c r="I14" s="28"/>
      <c r="J14" s="29"/>
      <c r="K14" s="29"/>
      <c r="L14" s="51"/>
      <c r="M14" s="30" t="s">
        <v>122</v>
      </c>
      <c r="N14" s="29" t="s">
        <v>35</v>
      </c>
      <c r="O14" s="29" t="s">
        <v>35</v>
      </c>
      <c r="P14" s="29" t="s">
        <v>35</v>
      </c>
      <c r="Q14" s="29" t="s">
        <v>35</v>
      </c>
      <c r="R14" s="29" t="s">
        <v>35</v>
      </c>
      <c r="S14" s="29" t="s">
        <v>35</v>
      </c>
      <c r="T14" s="29" t="s">
        <v>35</v>
      </c>
      <c r="U14" s="29" t="s">
        <v>35</v>
      </c>
      <c r="V14" s="29" t="s">
        <v>35</v>
      </c>
      <c r="W14" s="29" t="s">
        <v>35</v>
      </c>
      <c r="X14" s="29" t="s">
        <v>35</v>
      </c>
      <c r="Y14" s="29" t="s">
        <v>35</v>
      </c>
      <c r="Z14" s="29">
        <v>1</v>
      </c>
      <c r="AA14" s="29">
        <v>1</v>
      </c>
      <c r="AB14" s="29">
        <v>1</v>
      </c>
      <c r="AC14" s="29">
        <v>1</v>
      </c>
      <c r="AD14" s="29">
        <v>1</v>
      </c>
      <c r="AE14" s="29">
        <v>1</v>
      </c>
      <c r="AF14" s="29">
        <v>1</v>
      </c>
      <c r="AG14" s="29">
        <v>1</v>
      </c>
      <c r="AH14" s="29">
        <v>1</v>
      </c>
      <c r="AI14" s="67">
        <f>IF(AI$6&gt;$E$3,"",1)</f>
        <v>1</v>
      </c>
      <c r="AJ14" s="67">
        <f>IF(AJ$6&gt;$E$3,"",1)</f>
        <v>1</v>
      </c>
      <c r="AK14" s="67">
        <f t="shared" ref="AK14:BM14" si="8">IF(AK$6&gt;$E$3,"",1)</f>
        <v>1</v>
      </c>
      <c r="AL14" s="67">
        <f t="shared" si="8"/>
        <v>1</v>
      </c>
      <c r="AM14" s="67">
        <f t="shared" si="8"/>
        <v>1</v>
      </c>
      <c r="AN14" s="67">
        <f t="shared" si="8"/>
        <v>1</v>
      </c>
      <c r="AO14" s="67">
        <f t="shared" si="8"/>
        <v>1</v>
      </c>
      <c r="AP14" s="67">
        <f t="shared" si="8"/>
        <v>1</v>
      </c>
      <c r="AQ14" s="67">
        <f t="shared" si="8"/>
        <v>1</v>
      </c>
      <c r="AR14" s="67">
        <f t="shared" si="8"/>
        <v>1</v>
      </c>
      <c r="AS14" s="67">
        <f t="shared" si="8"/>
        <v>1</v>
      </c>
      <c r="AT14" s="67">
        <f t="shared" si="8"/>
        <v>1</v>
      </c>
      <c r="AU14" s="67">
        <f t="shared" si="8"/>
        <v>1</v>
      </c>
      <c r="AV14" s="67">
        <f t="shared" si="8"/>
        <v>1</v>
      </c>
      <c r="AW14" s="67">
        <v>1</v>
      </c>
      <c r="AX14" s="67">
        <f t="shared" si="8"/>
        <v>1</v>
      </c>
      <c r="AY14" s="67">
        <f t="shared" si="8"/>
        <v>1</v>
      </c>
      <c r="AZ14" s="67">
        <f t="shared" si="8"/>
        <v>1</v>
      </c>
      <c r="BA14" s="67">
        <f t="shared" si="8"/>
        <v>1</v>
      </c>
      <c r="BB14" s="67">
        <f t="shared" si="8"/>
        <v>1</v>
      </c>
      <c r="BC14" s="67" t="str">
        <f t="shared" si="8"/>
        <v/>
      </c>
      <c r="BD14" s="67" t="str">
        <f t="shared" si="8"/>
        <v/>
      </c>
      <c r="BE14" s="67" t="str">
        <f t="shared" si="8"/>
        <v/>
      </c>
      <c r="BF14" s="67" t="str">
        <f t="shared" si="8"/>
        <v/>
      </c>
      <c r="BG14" s="67" t="str">
        <f t="shared" si="8"/>
        <v/>
      </c>
      <c r="BH14" s="67" t="str">
        <f t="shared" si="8"/>
        <v/>
      </c>
      <c r="BI14" s="67" t="str">
        <f t="shared" si="8"/>
        <v/>
      </c>
      <c r="BJ14" s="67" t="str">
        <f t="shared" si="8"/>
        <v/>
      </c>
      <c r="BK14" s="67" t="str">
        <f t="shared" si="8"/>
        <v/>
      </c>
      <c r="BL14" s="67" t="str">
        <f t="shared" si="8"/>
        <v/>
      </c>
      <c r="BM14" s="67" t="str">
        <f t="shared" si="8"/>
        <v/>
      </c>
      <c r="BN14" s="31"/>
    </row>
    <row r="15" spans="2:66" ht="19.8" customHeight="1" collapsed="1" x14ac:dyDescent="0.3">
      <c r="B15" s="920"/>
      <c r="C15" s="921"/>
      <c r="D15" s="921"/>
      <c r="E15" s="921"/>
      <c r="F15" s="921"/>
      <c r="G15" s="919"/>
      <c r="H15" s="33" t="s">
        <v>45</v>
      </c>
      <c r="I15" s="34"/>
      <c r="J15" s="35"/>
      <c r="K15" s="35"/>
      <c r="L15" s="52"/>
      <c r="M15" s="36" t="s">
        <v>122</v>
      </c>
      <c r="N15" s="36" t="s">
        <v>35</v>
      </c>
      <c r="O15" s="36" t="s">
        <v>35</v>
      </c>
      <c r="P15" s="36" t="s">
        <v>35</v>
      </c>
      <c r="Q15" s="36" t="s">
        <v>35</v>
      </c>
      <c r="R15" s="36" t="s">
        <v>35</v>
      </c>
      <c r="S15" s="36" t="s">
        <v>35</v>
      </c>
      <c r="T15" s="36" t="s">
        <v>35</v>
      </c>
      <c r="U15" s="36" t="s">
        <v>35</v>
      </c>
      <c r="V15" s="36" t="s">
        <v>35</v>
      </c>
      <c r="W15" s="36" t="s">
        <v>35</v>
      </c>
      <c r="X15" s="36" t="s">
        <v>35</v>
      </c>
      <c r="Y15" s="36" t="s">
        <v>35</v>
      </c>
      <c r="Z15" s="36">
        <v>3</v>
      </c>
      <c r="AA15" s="36">
        <v>3</v>
      </c>
      <c r="AB15" s="35">
        <v>1</v>
      </c>
      <c r="AC15" s="35">
        <v>0</v>
      </c>
      <c r="AD15" s="35">
        <v>0</v>
      </c>
      <c r="AE15" s="35">
        <v>0</v>
      </c>
      <c r="AF15" s="35">
        <v>1</v>
      </c>
      <c r="AG15" s="35">
        <v>0</v>
      </c>
      <c r="AH15" s="35">
        <v>0</v>
      </c>
      <c r="AI15" s="35">
        <v>0</v>
      </c>
      <c r="AJ15" s="35">
        <v>1</v>
      </c>
      <c r="AK15" s="35">
        <v>0</v>
      </c>
      <c r="AL15" s="35">
        <v>2</v>
      </c>
      <c r="AM15" s="35">
        <v>1</v>
      </c>
      <c r="AN15" s="35">
        <v>2</v>
      </c>
      <c r="AO15" s="35">
        <v>2</v>
      </c>
      <c r="AP15" s="35">
        <v>2</v>
      </c>
      <c r="AQ15" s="35">
        <v>1</v>
      </c>
      <c r="AR15" s="35">
        <v>0</v>
      </c>
      <c r="AS15" s="35">
        <v>0</v>
      </c>
      <c r="AT15" s="35">
        <v>1</v>
      </c>
      <c r="AU15" s="35">
        <v>0</v>
      </c>
      <c r="AV15" s="35">
        <v>1</v>
      </c>
      <c r="AW15" s="35">
        <v>0</v>
      </c>
      <c r="AX15" s="35">
        <v>1</v>
      </c>
      <c r="AY15" s="35">
        <v>0</v>
      </c>
      <c r="AZ15" s="35">
        <v>0</v>
      </c>
      <c r="BA15" s="35">
        <v>0</v>
      </c>
      <c r="BB15" s="35">
        <v>0</v>
      </c>
      <c r="BC15" s="35"/>
      <c r="BD15" s="35"/>
      <c r="BE15" s="35"/>
      <c r="BF15" s="35"/>
      <c r="BG15" s="35"/>
      <c r="BH15" s="35"/>
      <c r="BI15" s="35"/>
      <c r="BJ15" s="35"/>
      <c r="BK15" s="35"/>
      <c r="BL15" s="35"/>
      <c r="BM15" s="35"/>
      <c r="BN15" s="37"/>
    </row>
    <row r="16" spans="2:66" ht="19.8" customHeight="1" x14ac:dyDescent="0.3">
      <c r="B16" s="920"/>
      <c r="C16" s="921"/>
      <c r="D16" s="921"/>
      <c r="E16" s="921"/>
      <c r="F16" s="921"/>
      <c r="G16" s="919"/>
      <c r="H16" s="38" t="s">
        <v>46</v>
      </c>
      <c r="I16" s="39"/>
      <c r="J16" s="40"/>
      <c r="K16" s="40"/>
      <c r="L16" s="53"/>
      <c r="M16" s="40" t="str">
        <f>IF(M$6&gt;$E$3,"",IF(M15="","OD",IF(M15="Blank","Blank",IF(M15="TBC","TBC",IF(M15="Undefined","Undefined",IF(M15="Missed","Missed",IF(M15="OD","OD",IF(M$4="OD","OD",IF((M15-M14)&lt;=0,"G",IF((M15-(M14/0.95))&lt;=0,"A","R"))))))))))</f>
        <v>Blank</v>
      </c>
      <c r="N16" s="40" t="str">
        <f t="shared" ref="N16:BM16" si="9">IF(N$6&gt;$E$3,"",IF(N15="","OD",IF(N15="Blank","Blank",IF(N15="TBC","TBC",IF(N15="Undefined","Undefined",IF(N15="Missed","Missed",IF(N15="OD","OD",IF(N$4="OD","OD",IF((N15-N14)&lt;=0,"G",IF((N15-(N14/0.95))&lt;=0,"A","R"))))))))))</f>
        <v>TBC</v>
      </c>
      <c r="O16" s="40" t="str">
        <f t="shared" si="9"/>
        <v>TBC</v>
      </c>
      <c r="P16" s="40" t="str">
        <f t="shared" si="9"/>
        <v>TBC</v>
      </c>
      <c r="Q16" s="40" t="str">
        <f t="shared" si="9"/>
        <v>TBC</v>
      </c>
      <c r="R16" s="40" t="str">
        <f t="shared" si="9"/>
        <v>TBC</v>
      </c>
      <c r="S16" s="40" t="str">
        <f t="shared" si="9"/>
        <v>TBC</v>
      </c>
      <c r="T16" s="40" t="str">
        <f t="shared" si="9"/>
        <v>TBC</v>
      </c>
      <c r="U16" s="40" t="str">
        <f t="shared" si="9"/>
        <v>TBC</v>
      </c>
      <c r="V16" s="40" t="str">
        <f t="shared" si="9"/>
        <v>TBC</v>
      </c>
      <c r="W16" s="40" t="str">
        <f t="shared" si="9"/>
        <v>TBC</v>
      </c>
      <c r="X16" s="40" t="str">
        <f t="shared" si="9"/>
        <v>TBC</v>
      </c>
      <c r="Y16" s="40" t="str">
        <f t="shared" si="9"/>
        <v>TBC</v>
      </c>
      <c r="Z16" s="40" t="str">
        <f t="shared" si="9"/>
        <v>R</v>
      </c>
      <c r="AA16" s="40" t="str">
        <f t="shared" si="9"/>
        <v>R</v>
      </c>
      <c r="AB16" s="40" t="str">
        <f t="shared" si="9"/>
        <v>G</v>
      </c>
      <c r="AC16" s="40" t="str">
        <f t="shared" si="9"/>
        <v>G</v>
      </c>
      <c r="AD16" s="40" t="str">
        <f t="shared" si="9"/>
        <v>G</v>
      </c>
      <c r="AE16" s="40" t="str">
        <f t="shared" si="9"/>
        <v>G</v>
      </c>
      <c r="AF16" s="40" t="str">
        <f t="shared" si="9"/>
        <v>G</v>
      </c>
      <c r="AG16" s="40" t="str">
        <f t="shared" si="9"/>
        <v>G</v>
      </c>
      <c r="AH16" s="40" t="str">
        <f t="shared" si="9"/>
        <v>G</v>
      </c>
      <c r="AI16" s="40" t="str">
        <f t="shared" si="9"/>
        <v>G</v>
      </c>
      <c r="AJ16" s="40" t="str">
        <f t="shared" si="9"/>
        <v>G</v>
      </c>
      <c r="AK16" s="40" t="str">
        <f t="shared" si="9"/>
        <v>G</v>
      </c>
      <c r="AL16" s="40" t="str">
        <f t="shared" si="9"/>
        <v>R</v>
      </c>
      <c r="AM16" s="40" t="str">
        <f t="shared" si="9"/>
        <v>G</v>
      </c>
      <c r="AN16" s="40" t="str">
        <f t="shared" si="9"/>
        <v>R</v>
      </c>
      <c r="AO16" s="40" t="str">
        <f t="shared" si="9"/>
        <v>R</v>
      </c>
      <c r="AP16" s="40" t="str">
        <f t="shared" si="9"/>
        <v>R</v>
      </c>
      <c r="AQ16" s="40" t="str">
        <f t="shared" si="9"/>
        <v>G</v>
      </c>
      <c r="AR16" s="40" t="str">
        <f t="shared" si="9"/>
        <v>G</v>
      </c>
      <c r="AS16" s="40" t="str">
        <f t="shared" si="9"/>
        <v>G</v>
      </c>
      <c r="AT16" s="40" t="str">
        <f t="shared" si="9"/>
        <v>G</v>
      </c>
      <c r="AU16" s="40" t="str">
        <f t="shared" si="9"/>
        <v>G</v>
      </c>
      <c r="AV16" s="40" t="str">
        <f t="shared" si="9"/>
        <v>G</v>
      </c>
      <c r="AW16" s="40" t="str">
        <f t="shared" si="9"/>
        <v>G</v>
      </c>
      <c r="AX16" s="40" t="str">
        <f t="shared" si="9"/>
        <v>G</v>
      </c>
      <c r="AY16" s="40" t="str">
        <f t="shared" si="9"/>
        <v>G</v>
      </c>
      <c r="AZ16" s="40" t="str">
        <f t="shared" si="9"/>
        <v>G</v>
      </c>
      <c r="BA16" s="40" t="str">
        <f t="shared" si="9"/>
        <v>G</v>
      </c>
      <c r="BB16" s="40" t="str">
        <f t="shared" si="9"/>
        <v>G</v>
      </c>
      <c r="BC16" s="40" t="str">
        <f t="shared" si="9"/>
        <v/>
      </c>
      <c r="BD16" s="40" t="str">
        <f t="shared" si="9"/>
        <v/>
      </c>
      <c r="BE16" s="40" t="str">
        <f t="shared" si="9"/>
        <v/>
      </c>
      <c r="BF16" s="40" t="str">
        <f t="shared" si="9"/>
        <v/>
      </c>
      <c r="BG16" s="40" t="str">
        <f t="shared" si="9"/>
        <v/>
      </c>
      <c r="BH16" s="40" t="str">
        <f t="shared" si="9"/>
        <v/>
      </c>
      <c r="BI16" s="40" t="str">
        <f t="shared" si="9"/>
        <v/>
      </c>
      <c r="BJ16" s="40" t="str">
        <f t="shared" si="9"/>
        <v/>
      </c>
      <c r="BK16" s="40" t="str">
        <f t="shared" si="9"/>
        <v/>
      </c>
      <c r="BL16" s="40" t="str">
        <f t="shared" si="9"/>
        <v/>
      </c>
      <c r="BM16" s="40" t="str">
        <f t="shared" si="9"/>
        <v/>
      </c>
      <c r="BN16" s="42"/>
    </row>
    <row r="17" spans="2:66" ht="19.8" customHeight="1" x14ac:dyDescent="0.3">
      <c r="B17" s="920" t="s">
        <v>31</v>
      </c>
      <c r="C17" s="922" t="s">
        <v>454</v>
      </c>
      <c r="D17" s="922" t="s">
        <v>450</v>
      </c>
      <c r="E17" s="922" t="s">
        <v>169</v>
      </c>
      <c r="F17" s="922" t="s">
        <v>171</v>
      </c>
      <c r="G17" s="919" t="s">
        <v>451</v>
      </c>
      <c r="H17" s="27" t="s">
        <v>44</v>
      </c>
      <c r="I17" s="28"/>
      <c r="J17" s="29"/>
      <c r="K17" s="29"/>
      <c r="L17" s="51"/>
      <c r="M17" s="30" t="s">
        <v>122</v>
      </c>
      <c r="N17" s="29" t="s">
        <v>35</v>
      </c>
      <c r="O17" s="29" t="s">
        <v>35</v>
      </c>
      <c r="P17" s="29" t="s">
        <v>35</v>
      </c>
      <c r="Q17" s="29" t="s">
        <v>35</v>
      </c>
      <c r="R17" s="29" t="s">
        <v>35</v>
      </c>
      <c r="S17" s="29" t="s">
        <v>35</v>
      </c>
      <c r="T17" s="29" t="s">
        <v>35</v>
      </c>
      <c r="U17" s="29" t="s">
        <v>35</v>
      </c>
      <c r="V17" s="29" t="s">
        <v>35</v>
      </c>
      <c r="W17" s="29" t="s">
        <v>35</v>
      </c>
      <c r="X17" s="29" t="s">
        <v>35</v>
      </c>
      <c r="Y17" s="29" t="s">
        <v>35</v>
      </c>
      <c r="Z17" s="29">
        <v>654</v>
      </c>
      <c r="AA17" s="29">
        <v>654</v>
      </c>
      <c r="AB17" s="29">
        <v>654</v>
      </c>
      <c r="AC17" s="29">
        <v>654</v>
      </c>
      <c r="AD17" s="29">
        <v>654</v>
      </c>
      <c r="AE17" s="29">
        <v>654</v>
      </c>
      <c r="AF17" s="29">
        <v>654</v>
      </c>
      <c r="AG17" s="29">
        <v>654</v>
      </c>
      <c r="AH17" s="29">
        <v>654</v>
      </c>
      <c r="AI17" s="29">
        <v>654</v>
      </c>
      <c r="AJ17" s="67">
        <f>IF(AJ$6&gt;$E$3,"",654)</f>
        <v>654</v>
      </c>
      <c r="AK17" s="67">
        <f t="shared" ref="AK17:BM17" si="10">IF(AK$6&gt;$E$3,"",654)</f>
        <v>654</v>
      </c>
      <c r="AL17" s="67">
        <f t="shared" si="10"/>
        <v>654</v>
      </c>
      <c r="AM17" s="67">
        <f t="shared" si="10"/>
        <v>654</v>
      </c>
      <c r="AN17" s="67">
        <f t="shared" si="10"/>
        <v>654</v>
      </c>
      <c r="AO17" s="67">
        <f t="shared" si="10"/>
        <v>654</v>
      </c>
      <c r="AP17" s="67">
        <f t="shared" si="10"/>
        <v>654</v>
      </c>
      <c r="AQ17" s="67">
        <f t="shared" si="10"/>
        <v>654</v>
      </c>
      <c r="AR17" s="67">
        <f t="shared" si="10"/>
        <v>654</v>
      </c>
      <c r="AS17" s="67">
        <f t="shared" si="10"/>
        <v>654</v>
      </c>
      <c r="AT17" s="67">
        <f t="shared" si="10"/>
        <v>654</v>
      </c>
      <c r="AU17" s="67">
        <f t="shared" si="10"/>
        <v>654</v>
      </c>
      <c r="AV17" s="67">
        <f t="shared" si="10"/>
        <v>654</v>
      </c>
      <c r="AW17" s="67">
        <f t="shared" si="10"/>
        <v>654</v>
      </c>
      <c r="AX17" s="67">
        <f t="shared" si="10"/>
        <v>654</v>
      </c>
      <c r="AY17" s="67">
        <f t="shared" si="10"/>
        <v>654</v>
      </c>
      <c r="AZ17" s="67">
        <f t="shared" si="10"/>
        <v>654</v>
      </c>
      <c r="BA17" s="67">
        <f t="shared" si="10"/>
        <v>654</v>
      </c>
      <c r="BB17" s="67">
        <f t="shared" si="10"/>
        <v>654</v>
      </c>
      <c r="BC17" s="67" t="str">
        <f t="shared" si="10"/>
        <v/>
      </c>
      <c r="BD17" s="67" t="str">
        <f t="shared" si="10"/>
        <v/>
      </c>
      <c r="BE17" s="67" t="str">
        <f t="shared" si="10"/>
        <v/>
      </c>
      <c r="BF17" s="67" t="str">
        <f t="shared" si="10"/>
        <v/>
      </c>
      <c r="BG17" s="67" t="str">
        <f t="shared" si="10"/>
        <v/>
      </c>
      <c r="BH17" s="67" t="str">
        <f t="shared" si="10"/>
        <v/>
      </c>
      <c r="BI17" s="67" t="str">
        <f t="shared" si="10"/>
        <v/>
      </c>
      <c r="BJ17" s="67" t="str">
        <f t="shared" si="10"/>
        <v/>
      </c>
      <c r="BK17" s="67" t="str">
        <f t="shared" si="10"/>
        <v/>
      </c>
      <c r="BL17" s="67" t="str">
        <f t="shared" si="10"/>
        <v/>
      </c>
      <c r="BM17" s="67" t="str">
        <f t="shared" si="10"/>
        <v/>
      </c>
      <c r="BN17" s="31"/>
    </row>
    <row r="18" spans="2:66" ht="19.8" customHeight="1" collapsed="1" x14ac:dyDescent="0.3">
      <c r="B18" s="920"/>
      <c r="C18" s="921"/>
      <c r="D18" s="921"/>
      <c r="E18" s="921"/>
      <c r="F18" s="921"/>
      <c r="G18" s="919"/>
      <c r="H18" s="33" t="s">
        <v>45</v>
      </c>
      <c r="I18" s="34"/>
      <c r="J18" s="35"/>
      <c r="K18" s="35"/>
      <c r="L18" s="52"/>
      <c r="M18" s="36" t="s">
        <v>122</v>
      </c>
      <c r="N18" s="36" t="s">
        <v>35</v>
      </c>
      <c r="O18" s="36" t="s">
        <v>35</v>
      </c>
      <c r="P18" s="36" t="s">
        <v>35</v>
      </c>
      <c r="Q18" s="36" t="s">
        <v>35</v>
      </c>
      <c r="R18" s="36" t="s">
        <v>35</v>
      </c>
      <c r="S18" s="36" t="s">
        <v>35</v>
      </c>
      <c r="T18" s="36" t="s">
        <v>35</v>
      </c>
      <c r="U18" s="36" t="s">
        <v>35</v>
      </c>
      <c r="V18" s="36" t="s">
        <v>35</v>
      </c>
      <c r="W18" s="36" t="s">
        <v>35</v>
      </c>
      <c r="X18" s="36" t="s">
        <v>35</v>
      </c>
      <c r="Y18" s="36" t="s">
        <v>35</v>
      </c>
      <c r="Z18" s="36">
        <v>0</v>
      </c>
      <c r="AA18" s="35">
        <v>0</v>
      </c>
      <c r="AB18" s="35">
        <v>1195</v>
      </c>
      <c r="AC18" s="35">
        <v>257</v>
      </c>
      <c r="AD18" s="35">
        <v>157</v>
      </c>
      <c r="AE18" s="35">
        <v>0</v>
      </c>
      <c r="AF18" s="35">
        <v>12456</v>
      </c>
      <c r="AG18" s="35">
        <v>0</v>
      </c>
      <c r="AH18" s="35">
        <v>0</v>
      </c>
      <c r="AI18" s="35">
        <v>27</v>
      </c>
      <c r="AJ18" s="35">
        <v>26</v>
      </c>
      <c r="AK18" s="35">
        <v>0</v>
      </c>
      <c r="AL18" s="35">
        <v>117</v>
      </c>
      <c r="AM18" s="35">
        <v>0</v>
      </c>
      <c r="AN18" s="35">
        <v>524</v>
      </c>
      <c r="AO18" s="35">
        <v>240</v>
      </c>
      <c r="AP18" s="35">
        <v>0</v>
      </c>
      <c r="AQ18" s="35">
        <v>0</v>
      </c>
      <c r="AR18" s="35">
        <v>0</v>
      </c>
      <c r="AS18" s="35">
        <v>0</v>
      </c>
      <c r="AT18" s="35">
        <v>0</v>
      </c>
      <c r="AU18" s="35">
        <v>0</v>
      </c>
      <c r="AV18" s="35">
        <v>0</v>
      </c>
      <c r="AW18" s="35">
        <v>0</v>
      </c>
      <c r="AX18" s="35">
        <v>0</v>
      </c>
      <c r="AY18" s="35">
        <v>0</v>
      </c>
      <c r="AZ18" s="35">
        <v>5100</v>
      </c>
      <c r="BA18" s="35">
        <v>0</v>
      </c>
      <c r="BB18" s="35">
        <v>0</v>
      </c>
      <c r="BC18" s="35"/>
      <c r="BD18" s="35"/>
      <c r="BE18" s="35"/>
      <c r="BF18" s="35"/>
      <c r="BG18" s="35"/>
      <c r="BH18" s="35"/>
      <c r="BI18" s="35"/>
      <c r="BJ18" s="35"/>
      <c r="BK18" s="35"/>
      <c r="BL18" s="35"/>
      <c r="BM18" s="35"/>
      <c r="BN18" s="37"/>
    </row>
    <row r="19" spans="2:66" ht="19.8" customHeight="1" thickBot="1" x14ac:dyDescent="0.35">
      <c r="B19" s="920"/>
      <c r="C19" s="921"/>
      <c r="D19" s="921"/>
      <c r="E19" s="921"/>
      <c r="F19" s="921"/>
      <c r="G19" s="919"/>
      <c r="H19" s="38" t="s">
        <v>46</v>
      </c>
      <c r="I19" s="43"/>
      <c r="J19" s="44"/>
      <c r="K19" s="44"/>
      <c r="L19" s="54"/>
      <c r="M19" s="40" t="str">
        <f>IF(M$6&gt;$E$3,"",IF(M18="","OD",IF(M18="Blank","Blank",IF(M18="TBC","TBC",IF(M18="Undefined","Undefined",IF(M18="Missed","Missed",IF(M18="OD","OD",IF(M$4="OD","OD",IF((M18-M17)&lt;=0,"G",IF((M18-(M17/0.95))&lt;=0,"A","R"))))))))))</f>
        <v>Blank</v>
      </c>
      <c r="N19" s="40" t="str">
        <f t="shared" ref="N19:BM19" si="11">IF(N$6&gt;$E$3,"",IF(N18="","OD",IF(N18="Blank","Blank",IF(N18="TBC","TBC",IF(N18="Undefined","Undefined",IF(N18="Missed","Missed",IF(N18="OD","OD",IF(N$4="OD","OD",IF((N18-N17)&lt;=0,"G",IF((N18-(N17/0.95))&lt;=0,"A","R"))))))))))</f>
        <v>TBC</v>
      </c>
      <c r="O19" s="40" t="str">
        <f t="shared" si="11"/>
        <v>TBC</v>
      </c>
      <c r="P19" s="40" t="str">
        <f t="shared" si="11"/>
        <v>TBC</v>
      </c>
      <c r="Q19" s="40" t="str">
        <f t="shared" si="11"/>
        <v>TBC</v>
      </c>
      <c r="R19" s="40" t="str">
        <f t="shared" si="11"/>
        <v>TBC</v>
      </c>
      <c r="S19" s="40" t="str">
        <f t="shared" si="11"/>
        <v>TBC</v>
      </c>
      <c r="T19" s="40" t="str">
        <f t="shared" si="11"/>
        <v>TBC</v>
      </c>
      <c r="U19" s="40" t="str">
        <f t="shared" si="11"/>
        <v>TBC</v>
      </c>
      <c r="V19" s="40" t="str">
        <f t="shared" si="11"/>
        <v>TBC</v>
      </c>
      <c r="W19" s="40" t="str">
        <f t="shared" si="11"/>
        <v>TBC</v>
      </c>
      <c r="X19" s="40" t="str">
        <f t="shared" si="11"/>
        <v>TBC</v>
      </c>
      <c r="Y19" s="40" t="str">
        <f t="shared" si="11"/>
        <v>TBC</v>
      </c>
      <c r="Z19" s="40" t="str">
        <f t="shared" si="11"/>
        <v>G</v>
      </c>
      <c r="AA19" s="40" t="str">
        <f t="shared" si="11"/>
        <v>G</v>
      </c>
      <c r="AB19" s="40" t="str">
        <f t="shared" si="11"/>
        <v>R</v>
      </c>
      <c r="AC19" s="40" t="str">
        <f t="shared" si="11"/>
        <v>G</v>
      </c>
      <c r="AD19" s="40" t="str">
        <f t="shared" si="11"/>
        <v>G</v>
      </c>
      <c r="AE19" s="40" t="str">
        <f t="shared" si="11"/>
        <v>G</v>
      </c>
      <c r="AF19" s="40" t="str">
        <f t="shared" si="11"/>
        <v>R</v>
      </c>
      <c r="AG19" s="40" t="str">
        <f t="shared" si="11"/>
        <v>G</v>
      </c>
      <c r="AH19" s="40" t="str">
        <f t="shared" si="11"/>
        <v>G</v>
      </c>
      <c r="AI19" s="40" t="str">
        <f t="shared" si="11"/>
        <v>G</v>
      </c>
      <c r="AJ19" s="40" t="str">
        <f t="shared" si="11"/>
        <v>G</v>
      </c>
      <c r="AK19" s="40" t="str">
        <f t="shared" si="11"/>
        <v>G</v>
      </c>
      <c r="AL19" s="40" t="str">
        <f t="shared" si="11"/>
        <v>G</v>
      </c>
      <c r="AM19" s="40" t="str">
        <f t="shared" si="11"/>
        <v>G</v>
      </c>
      <c r="AN19" s="40" t="str">
        <f t="shared" si="11"/>
        <v>G</v>
      </c>
      <c r="AO19" s="40" t="str">
        <f t="shared" si="11"/>
        <v>G</v>
      </c>
      <c r="AP19" s="40" t="str">
        <f t="shared" si="11"/>
        <v>G</v>
      </c>
      <c r="AQ19" s="40" t="str">
        <f t="shared" si="11"/>
        <v>G</v>
      </c>
      <c r="AR19" s="40" t="str">
        <f t="shared" si="11"/>
        <v>G</v>
      </c>
      <c r="AS19" s="40" t="str">
        <f t="shared" si="11"/>
        <v>G</v>
      </c>
      <c r="AT19" s="40" t="str">
        <f t="shared" si="11"/>
        <v>G</v>
      </c>
      <c r="AU19" s="40" t="str">
        <f t="shared" si="11"/>
        <v>G</v>
      </c>
      <c r="AV19" s="40" t="str">
        <f t="shared" si="11"/>
        <v>G</v>
      </c>
      <c r="AW19" s="40" t="str">
        <f t="shared" si="11"/>
        <v>G</v>
      </c>
      <c r="AX19" s="40" t="str">
        <f t="shared" si="11"/>
        <v>G</v>
      </c>
      <c r="AY19" s="40" t="str">
        <f t="shared" si="11"/>
        <v>G</v>
      </c>
      <c r="AZ19" s="40" t="str">
        <f t="shared" si="11"/>
        <v>R</v>
      </c>
      <c r="BA19" s="40" t="str">
        <f t="shared" si="11"/>
        <v>G</v>
      </c>
      <c r="BB19" s="40" t="str">
        <f t="shared" si="11"/>
        <v>G</v>
      </c>
      <c r="BC19" s="40" t="str">
        <f t="shared" si="11"/>
        <v/>
      </c>
      <c r="BD19" s="40" t="str">
        <f t="shared" si="11"/>
        <v/>
      </c>
      <c r="BE19" s="40" t="str">
        <f t="shared" si="11"/>
        <v/>
      </c>
      <c r="BF19" s="40" t="str">
        <f t="shared" si="11"/>
        <v/>
      </c>
      <c r="BG19" s="40" t="str">
        <f t="shared" si="11"/>
        <v/>
      </c>
      <c r="BH19" s="40" t="str">
        <f t="shared" si="11"/>
        <v/>
      </c>
      <c r="BI19" s="40" t="str">
        <f t="shared" si="11"/>
        <v/>
      </c>
      <c r="BJ19" s="40" t="str">
        <f t="shared" si="11"/>
        <v/>
      </c>
      <c r="BK19" s="40" t="str">
        <f t="shared" si="11"/>
        <v/>
      </c>
      <c r="BL19" s="40" t="str">
        <f t="shared" si="11"/>
        <v/>
      </c>
      <c r="BM19" s="40" t="str">
        <f t="shared" si="11"/>
        <v/>
      </c>
      <c r="BN19" s="42"/>
    </row>
    <row r="20" spans="2:66" ht="19.8" customHeight="1" collapsed="1" x14ac:dyDescent="0.3"/>
    <row r="21" spans="2:66" ht="19.8" customHeight="1" x14ac:dyDescent="0.3">
      <c r="B21" s="1" t="s">
        <v>0</v>
      </c>
      <c r="C21" s="45" t="s">
        <v>1</v>
      </c>
    </row>
    <row r="22" spans="2:66" ht="19.8" customHeight="1" x14ac:dyDescent="0.3">
      <c r="B22" s="4" t="s">
        <v>2</v>
      </c>
      <c r="C22" s="45" t="s">
        <v>3</v>
      </c>
    </row>
    <row r="23" spans="2:66" ht="19.8" customHeight="1" x14ac:dyDescent="0.3">
      <c r="B23" s="5" t="s">
        <v>4</v>
      </c>
      <c r="C23" s="45" t="s">
        <v>5</v>
      </c>
    </row>
    <row r="24" spans="2:66" ht="19.8" customHeight="1" x14ac:dyDescent="0.3">
      <c r="B24" s="340" t="s">
        <v>35</v>
      </c>
      <c r="C24" s="13" t="s">
        <v>376</v>
      </c>
    </row>
    <row r="25" spans="2:66" ht="19.8" customHeight="1" x14ac:dyDescent="0.3">
      <c r="B25" s="341" t="s">
        <v>122</v>
      </c>
      <c r="C25" s="13" t="s">
        <v>377</v>
      </c>
    </row>
  </sheetData>
  <mergeCells count="26">
    <mergeCell ref="G17:G19"/>
    <mergeCell ref="B14:B16"/>
    <mergeCell ref="C14:C16"/>
    <mergeCell ref="D14:D16"/>
    <mergeCell ref="E14:E16"/>
    <mergeCell ref="F14:F16"/>
    <mergeCell ref="G14:G16"/>
    <mergeCell ref="B17:B19"/>
    <mergeCell ref="C17:C19"/>
    <mergeCell ref="D17:D19"/>
    <mergeCell ref="E17:E19"/>
    <mergeCell ref="F17:F19"/>
    <mergeCell ref="G11:G13"/>
    <mergeCell ref="C6:D6"/>
    <mergeCell ref="G6:G7"/>
    <mergeCell ref="B8:B10"/>
    <mergeCell ref="C8:C10"/>
    <mergeCell ref="D8:D10"/>
    <mergeCell ref="E8:E10"/>
    <mergeCell ref="F8:F10"/>
    <mergeCell ref="G8:G10"/>
    <mergeCell ref="B11:B13"/>
    <mergeCell ref="C11:C13"/>
    <mergeCell ref="D11:D13"/>
    <mergeCell ref="E11:E13"/>
    <mergeCell ref="F11:F13"/>
  </mergeCells>
  <conditionalFormatting sqref="B25">
    <cfRule type="cellIs" dxfId="184" priority="41" operator="equal">
      <formula>"TBC"</formula>
    </cfRule>
    <cfRule type="cellIs" dxfId="183" priority="42" operator="equal">
      <formula>"OD"</formula>
    </cfRule>
    <cfRule type="cellIs" dxfId="182" priority="43" operator="equal">
      <formula>"G"</formula>
    </cfRule>
    <cfRule type="cellIs" dxfId="181" priority="44" operator="equal">
      <formula>"A"</formula>
    </cfRule>
    <cfRule type="cellIs" dxfId="180" priority="45" operator="equal">
      <formula>"R"</formula>
    </cfRule>
  </conditionalFormatting>
  <conditionalFormatting sqref="I10:BM10">
    <cfRule type="cellIs" dxfId="179" priority="16" operator="equal">
      <formula>"OD"</formula>
    </cfRule>
    <cfRule type="cellIs" dxfId="178" priority="17" operator="equal">
      <formula>"TBC"</formula>
    </cfRule>
    <cfRule type="cellIs" dxfId="177" priority="18" operator="equal">
      <formula>"G"</formula>
    </cfRule>
    <cfRule type="cellIs" dxfId="176" priority="19" operator="equal">
      <formula>"A"</formula>
    </cfRule>
    <cfRule type="cellIs" dxfId="175" priority="20" operator="equal">
      <formula>"R"</formula>
    </cfRule>
  </conditionalFormatting>
  <conditionalFormatting sqref="I13:BM13">
    <cfRule type="cellIs" dxfId="174" priority="11" operator="equal">
      <formula>"OD"</formula>
    </cfRule>
    <cfRule type="cellIs" dxfId="173" priority="12" operator="equal">
      <formula>"TBC"</formula>
    </cfRule>
    <cfRule type="cellIs" dxfId="172" priority="13" operator="equal">
      <formula>"G"</formula>
    </cfRule>
    <cfRule type="cellIs" dxfId="171" priority="14" operator="equal">
      <formula>"A"</formula>
    </cfRule>
    <cfRule type="cellIs" dxfId="170" priority="15" operator="equal">
      <formula>"R"</formula>
    </cfRule>
  </conditionalFormatting>
  <conditionalFormatting sqref="I16:BM16">
    <cfRule type="cellIs" dxfId="169" priority="6" operator="equal">
      <formula>"OD"</formula>
    </cfRule>
    <cfRule type="cellIs" dxfId="168" priority="7" operator="equal">
      <formula>"TBC"</formula>
    </cfRule>
    <cfRule type="cellIs" dxfId="167" priority="8" operator="equal">
      <formula>"G"</formula>
    </cfRule>
    <cfRule type="cellIs" dxfId="166" priority="9" operator="equal">
      <formula>"A"</formula>
    </cfRule>
    <cfRule type="cellIs" dxfId="165" priority="10" operator="equal">
      <formula>"R"</formula>
    </cfRule>
  </conditionalFormatting>
  <conditionalFormatting sqref="I19:BM19">
    <cfRule type="cellIs" dxfId="164" priority="1" operator="equal">
      <formula>"OD"</formula>
    </cfRule>
    <cfRule type="cellIs" dxfId="163" priority="2" operator="equal">
      <formula>"TBC"</formula>
    </cfRule>
    <cfRule type="cellIs" dxfId="162" priority="3" operator="equal">
      <formula>"G"</formula>
    </cfRule>
    <cfRule type="cellIs" dxfId="161" priority="4" operator="equal">
      <formula>"A"</formula>
    </cfRule>
    <cfRule type="cellIs" dxfId="160" priority="5" operator="equal">
      <formula>"R"</formula>
    </cfRule>
  </conditionalFormatting>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6DCAF-E4F3-4B58-9E56-4539A0ADB181}">
  <sheetPr>
    <tabColor rgb="FF00B050"/>
  </sheetPr>
  <dimension ref="B1:BN26"/>
  <sheetViews>
    <sheetView workbookViewId="0">
      <pane xSplit="8" ySplit="7" topLeftCell="AP8" activePane="bottomRight" state="frozen"/>
      <selection pane="topRight" activeCell="I1" sqref="I1"/>
      <selection pane="bottomLeft" activeCell="A8" sqref="A8"/>
      <selection pane="bottomRight" activeCell="E24" sqref="E24"/>
    </sheetView>
  </sheetViews>
  <sheetFormatPr defaultColWidth="9.33203125" defaultRowHeight="14.4" x14ac:dyDescent="0.3"/>
  <cols>
    <col min="1" max="1" width="3" style="2" customWidth="1"/>
    <col min="2" max="2" width="16.44140625" style="2" customWidth="1"/>
    <col min="3" max="3" width="16.5546875" style="13" bestFit="1" customWidth="1"/>
    <col min="4" max="4" width="25.33203125" style="2" customWidth="1"/>
    <col min="5" max="5" width="6.5546875" style="2" customWidth="1"/>
    <col min="6" max="6" width="7.88671875" style="2" customWidth="1"/>
    <col min="7" max="7" width="31.33203125" style="2" customWidth="1"/>
    <col min="8" max="8" width="9.44140625" style="2" bestFit="1" customWidth="1"/>
    <col min="9" max="12" width="3" style="2" bestFit="1" customWidth="1"/>
    <col min="13" max="26" width="6.6640625" style="2" customWidth="1"/>
    <col min="27" max="27" width="8.44140625" style="2" customWidth="1"/>
    <col min="28" max="34" width="6.6640625" style="2" customWidth="1"/>
    <col min="35" max="35" width="7.6640625" style="2" bestFit="1" customWidth="1"/>
    <col min="36" max="66" width="6.6640625" style="2"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8.600000000000001" thickBot="1" x14ac:dyDescent="0.35">
      <c r="B1" s="14" t="s">
        <v>121</v>
      </c>
      <c r="C1" s="10" t="s">
        <v>27</v>
      </c>
    </row>
    <row r="2" spans="2:66" ht="15" thickBot="1" x14ac:dyDescent="0.35">
      <c r="D2" s="119" t="s">
        <v>123</v>
      </c>
      <c r="E2" s="346">
        <v>42</v>
      </c>
      <c r="F2" s="2" t="s">
        <v>248</v>
      </c>
    </row>
    <row r="3" spans="2:66" ht="15" customHeight="1" thickBot="1" x14ac:dyDescent="0.35">
      <c r="B3" s="2" t="s">
        <v>384</v>
      </c>
      <c r="D3" s="120" t="s">
        <v>193</v>
      </c>
      <c r="E3" s="120">
        <f>+'KPI Analysis'!D3</f>
        <v>42</v>
      </c>
    </row>
    <row r="4" spans="2:66" ht="33.6"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5" thickBot="1" x14ac:dyDescent="0.35"/>
    <row r="6" spans="2:66" ht="24" customHeight="1" x14ac:dyDescent="0.3">
      <c r="B6" s="14" t="s">
        <v>79</v>
      </c>
      <c r="C6" s="926" t="s">
        <v>15</v>
      </c>
      <c r="D6" s="927"/>
      <c r="E6" s="106"/>
      <c r="F6" s="106"/>
      <c r="G6" s="928" t="s">
        <v>37</v>
      </c>
      <c r="H6" s="15" t="s">
        <v>7</v>
      </c>
      <c r="I6" s="16">
        <f>J6-1</f>
        <v>49</v>
      </c>
      <c r="J6" s="17">
        <f>K6-1</f>
        <v>50</v>
      </c>
      <c r="K6" s="17">
        <f>L6-1</f>
        <v>51</v>
      </c>
      <c r="L6" s="55">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37.950000000000003" customHeight="1" x14ac:dyDescent="0.3">
      <c r="B7" s="14" t="s">
        <v>38</v>
      </c>
      <c r="C7" s="21" t="s">
        <v>39</v>
      </c>
      <c r="D7" s="21" t="s">
        <v>40</v>
      </c>
      <c r="E7" s="21" t="s">
        <v>140</v>
      </c>
      <c r="F7" s="21" t="s">
        <v>159</v>
      </c>
      <c r="G7" s="929"/>
      <c r="H7" s="15" t="s">
        <v>41</v>
      </c>
      <c r="I7" s="22">
        <f t="shared" ref="I7:K7" si="2">J7-7</f>
        <v>45632</v>
      </c>
      <c r="J7" s="23">
        <f t="shared" si="2"/>
        <v>45639</v>
      </c>
      <c r="K7" s="23">
        <f t="shared" si="2"/>
        <v>45646</v>
      </c>
      <c r="L7" s="56">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24" customHeight="1" x14ac:dyDescent="0.3">
      <c r="B8" s="920" t="s">
        <v>30</v>
      </c>
      <c r="C8" s="922" t="s">
        <v>366</v>
      </c>
      <c r="D8" s="922" t="s">
        <v>367</v>
      </c>
      <c r="E8" s="922" t="s">
        <v>368</v>
      </c>
      <c r="F8" s="922" t="s">
        <v>318</v>
      </c>
      <c r="G8" s="919"/>
      <c r="H8" s="27" t="s">
        <v>44</v>
      </c>
      <c r="I8" s="28"/>
      <c r="J8" s="29"/>
      <c r="K8" s="29"/>
      <c r="L8" s="51"/>
      <c r="M8" s="36" t="s">
        <v>122</v>
      </c>
      <c r="N8" s="36"/>
      <c r="O8" s="36"/>
      <c r="P8" s="36"/>
      <c r="Q8" s="36"/>
      <c r="R8" s="36"/>
      <c r="S8" s="36"/>
      <c r="T8" s="36"/>
      <c r="U8" s="36"/>
      <c r="V8" s="36"/>
      <c r="W8" s="36"/>
      <c r="X8" s="228">
        <v>4</v>
      </c>
      <c r="Y8" s="29">
        <v>4</v>
      </c>
      <c r="Z8" s="29">
        <v>4</v>
      </c>
      <c r="AA8" s="29">
        <v>4</v>
      </c>
      <c r="AB8" s="29">
        <v>4</v>
      </c>
      <c r="AC8" s="29">
        <v>4</v>
      </c>
      <c r="AD8" s="29">
        <v>4</v>
      </c>
      <c r="AE8" s="29">
        <v>4</v>
      </c>
      <c r="AF8" s="29">
        <v>4</v>
      </c>
      <c r="AG8" s="29">
        <v>4</v>
      </c>
      <c r="AH8" s="29">
        <v>4</v>
      </c>
      <c r="AI8" s="29">
        <v>4</v>
      </c>
      <c r="AJ8" s="67">
        <f>IF(AJ$6&gt;$E$3,"",4)</f>
        <v>4</v>
      </c>
      <c r="AK8" s="67">
        <f t="shared" ref="AK8:BN8" si="4">IF(AK$6&gt;$E$3,"",4)</f>
        <v>4</v>
      </c>
      <c r="AL8" s="67">
        <f t="shared" si="4"/>
        <v>4</v>
      </c>
      <c r="AM8" s="67">
        <f t="shared" si="4"/>
        <v>4</v>
      </c>
      <c r="AN8" s="67">
        <f t="shared" si="4"/>
        <v>4</v>
      </c>
      <c r="AO8" s="67">
        <f t="shared" si="4"/>
        <v>4</v>
      </c>
      <c r="AP8" s="67">
        <f t="shared" si="4"/>
        <v>4</v>
      </c>
      <c r="AQ8" s="67">
        <f t="shared" si="4"/>
        <v>4</v>
      </c>
      <c r="AR8" s="67">
        <f t="shared" si="4"/>
        <v>4</v>
      </c>
      <c r="AS8" s="67">
        <f t="shared" si="4"/>
        <v>4</v>
      </c>
      <c r="AT8" s="67">
        <f t="shared" si="4"/>
        <v>4</v>
      </c>
      <c r="AU8" s="67">
        <f t="shared" si="4"/>
        <v>4</v>
      </c>
      <c r="AV8" s="67">
        <f t="shared" si="4"/>
        <v>4</v>
      </c>
      <c r="AW8" s="67">
        <f t="shared" si="4"/>
        <v>4</v>
      </c>
      <c r="AX8" s="67">
        <f t="shared" si="4"/>
        <v>4</v>
      </c>
      <c r="AY8" s="67">
        <f t="shared" si="4"/>
        <v>4</v>
      </c>
      <c r="AZ8" s="67">
        <f t="shared" si="4"/>
        <v>4</v>
      </c>
      <c r="BA8" s="67">
        <f t="shared" si="4"/>
        <v>4</v>
      </c>
      <c r="BB8" s="67">
        <f t="shared" si="4"/>
        <v>4</v>
      </c>
      <c r="BC8" s="67" t="str">
        <f t="shared" si="4"/>
        <v/>
      </c>
      <c r="BD8" s="67" t="str">
        <f t="shared" si="4"/>
        <v/>
      </c>
      <c r="BE8" s="67" t="str">
        <f t="shared" si="4"/>
        <v/>
      </c>
      <c r="BF8" s="67" t="str">
        <f t="shared" si="4"/>
        <v/>
      </c>
      <c r="BG8" s="67" t="str">
        <f t="shared" si="4"/>
        <v/>
      </c>
      <c r="BH8" s="67" t="str">
        <f t="shared" si="4"/>
        <v/>
      </c>
      <c r="BI8" s="67" t="str">
        <f t="shared" si="4"/>
        <v/>
      </c>
      <c r="BJ8" s="67" t="str">
        <f t="shared" si="4"/>
        <v/>
      </c>
      <c r="BK8" s="67" t="str">
        <f t="shared" si="4"/>
        <v/>
      </c>
      <c r="BL8" s="67" t="str">
        <f t="shared" si="4"/>
        <v/>
      </c>
      <c r="BM8" s="67" t="str">
        <f t="shared" si="4"/>
        <v/>
      </c>
      <c r="BN8" s="67" t="str">
        <f t="shared" si="4"/>
        <v/>
      </c>
    </row>
    <row r="9" spans="2:66" ht="24" customHeight="1" x14ac:dyDescent="0.3">
      <c r="B9" s="920"/>
      <c r="C9" s="921"/>
      <c r="D9" s="921"/>
      <c r="E9" s="921"/>
      <c r="F9" s="921"/>
      <c r="G9" s="919"/>
      <c r="H9" s="33" t="s">
        <v>45</v>
      </c>
      <c r="I9" s="34"/>
      <c r="J9" s="35"/>
      <c r="K9" s="35"/>
      <c r="L9" s="52"/>
      <c r="M9" s="36" t="s">
        <v>122</v>
      </c>
      <c r="N9" s="35" t="s">
        <v>35</v>
      </c>
      <c r="O9" s="35" t="s">
        <v>35</v>
      </c>
      <c r="P9" s="35" t="s">
        <v>35</v>
      </c>
      <c r="Q9" s="35" t="s">
        <v>35</v>
      </c>
      <c r="R9" s="35" t="s">
        <v>35</v>
      </c>
      <c r="S9" s="35" t="s">
        <v>35</v>
      </c>
      <c r="T9" s="35" t="s">
        <v>35</v>
      </c>
      <c r="U9" s="35" t="s">
        <v>35</v>
      </c>
      <c r="V9" s="35" t="s">
        <v>35</v>
      </c>
      <c r="W9" s="35" t="s">
        <v>35</v>
      </c>
      <c r="X9" s="229">
        <v>4</v>
      </c>
      <c r="Y9" s="35">
        <v>4</v>
      </c>
      <c r="Z9" s="35">
        <v>4.04</v>
      </c>
      <c r="AA9" s="35">
        <v>3.5</v>
      </c>
      <c r="AB9" s="35">
        <v>3.5</v>
      </c>
      <c r="AC9" s="35">
        <v>3.5</v>
      </c>
      <c r="AD9" s="35">
        <v>3.8</v>
      </c>
      <c r="AE9" s="35">
        <v>3.8</v>
      </c>
      <c r="AF9" s="35">
        <v>3.8</v>
      </c>
      <c r="AG9" s="35">
        <v>4</v>
      </c>
      <c r="AH9" s="35">
        <v>3.6</v>
      </c>
      <c r="AI9" s="35">
        <v>3.6</v>
      </c>
      <c r="AJ9" s="35">
        <v>3.6</v>
      </c>
      <c r="AK9" s="35">
        <v>3.6</v>
      </c>
      <c r="AL9" s="35">
        <v>3.6</v>
      </c>
      <c r="AM9" s="35">
        <v>3.5</v>
      </c>
      <c r="AN9" s="35">
        <v>3.5</v>
      </c>
      <c r="AO9" s="35">
        <v>3.5</v>
      </c>
      <c r="AP9" s="35">
        <v>3.5</v>
      </c>
      <c r="AQ9" s="35">
        <v>3.6</v>
      </c>
      <c r="AR9" s="35">
        <v>3.6</v>
      </c>
      <c r="AS9" s="35">
        <v>3.6</v>
      </c>
      <c r="AT9" s="35">
        <v>3.6</v>
      </c>
      <c r="AU9" s="35">
        <v>3.6</v>
      </c>
      <c r="AV9" s="35">
        <v>3.7</v>
      </c>
      <c r="AW9" s="35">
        <v>3.7</v>
      </c>
      <c r="AX9" s="35">
        <v>3.7</v>
      </c>
      <c r="AY9" s="35">
        <v>3.7</v>
      </c>
      <c r="AZ9" s="35">
        <v>3.7</v>
      </c>
      <c r="BA9" s="35">
        <v>3.7</v>
      </c>
      <c r="BB9" s="35">
        <v>3.7</v>
      </c>
      <c r="BC9" s="35"/>
      <c r="BD9" s="35"/>
      <c r="BE9" s="35"/>
      <c r="BF9" s="35"/>
      <c r="BG9" s="35"/>
      <c r="BH9" s="35"/>
      <c r="BI9" s="35"/>
      <c r="BJ9" s="35"/>
      <c r="BK9" s="35"/>
      <c r="BL9" s="35"/>
      <c r="BM9" s="35"/>
      <c r="BN9" s="37"/>
    </row>
    <row r="10" spans="2:66" ht="24" customHeight="1" x14ac:dyDescent="0.3">
      <c r="B10" s="920"/>
      <c r="C10" s="921"/>
      <c r="D10" s="921"/>
      <c r="E10" s="921"/>
      <c r="F10" s="921"/>
      <c r="G10" s="919"/>
      <c r="H10" s="38" t="s">
        <v>46</v>
      </c>
      <c r="I10" s="39"/>
      <c r="J10" s="40"/>
      <c r="K10" s="40"/>
      <c r="L10" s="53"/>
      <c r="M10" s="40" t="str">
        <f>IF(M$6&gt;$E$3,"",IF(M9="","OD",IF(M9="Blank","Blank",IF(M9="TBC","TBC",IF(M9="Undefined","Undefined",IF(M9="Missed","Missed",IF(M9="OD","OD",IF(M$4="OD","OD",IF((M9-M8)&gt;=0,"G",IF((M9-(M8*0.95))&gt;=0,"A","R"))))))))))</f>
        <v>Blank</v>
      </c>
      <c r="N10" s="40" t="str">
        <f t="shared" ref="N10:BM10" si="5">IF(N$6&gt;$E$3,"",IF(N9="","OD",IF(N9="Blank","Blank",IF(N9="TBC","TBC",IF(N9="Undefined","Undefined",IF(N9="Missed","Missed",IF(N9="OD","OD",IF(N$4="OD","OD",IF((N9-N8)&gt;=0,"G",IF((N9-(N8*0.95))&gt;=0,"A","R"))))))))))</f>
        <v>TBC</v>
      </c>
      <c r="O10" s="40" t="str">
        <f t="shared" si="5"/>
        <v>TBC</v>
      </c>
      <c r="P10" s="40" t="str">
        <f t="shared" si="5"/>
        <v>TBC</v>
      </c>
      <c r="Q10" s="40" t="str">
        <f t="shared" si="5"/>
        <v>TBC</v>
      </c>
      <c r="R10" s="40" t="str">
        <f t="shared" si="5"/>
        <v>TBC</v>
      </c>
      <c r="S10" s="40" t="str">
        <f t="shared" si="5"/>
        <v>TBC</v>
      </c>
      <c r="T10" s="40" t="str">
        <f t="shared" si="5"/>
        <v>TBC</v>
      </c>
      <c r="U10" s="40" t="str">
        <f t="shared" si="5"/>
        <v>TBC</v>
      </c>
      <c r="V10" s="40" t="str">
        <f t="shared" si="5"/>
        <v>TBC</v>
      </c>
      <c r="W10" s="40" t="str">
        <f t="shared" si="5"/>
        <v>TBC</v>
      </c>
      <c r="X10" s="40" t="str">
        <f t="shared" si="5"/>
        <v>G</v>
      </c>
      <c r="Y10" s="40" t="str">
        <f t="shared" si="5"/>
        <v>G</v>
      </c>
      <c r="Z10" s="40" t="str">
        <f t="shared" si="5"/>
        <v>G</v>
      </c>
      <c r="AA10" s="40" t="str">
        <f t="shared" si="5"/>
        <v>R</v>
      </c>
      <c r="AB10" s="40" t="str">
        <f t="shared" si="5"/>
        <v>R</v>
      </c>
      <c r="AC10" s="40" t="str">
        <f t="shared" si="5"/>
        <v>R</v>
      </c>
      <c r="AD10" s="40" t="str">
        <f t="shared" si="5"/>
        <v>A</v>
      </c>
      <c r="AE10" s="40" t="str">
        <f t="shared" si="5"/>
        <v>A</v>
      </c>
      <c r="AF10" s="40" t="str">
        <f t="shared" si="5"/>
        <v>A</v>
      </c>
      <c r="AG10" s="40" t="str">
        <f t="shared" si="5"/>
        <v>G</v>
      </c>
      <c r="AH10" s="40" t="str">
        <f t="shared" si="5"/>
        <v>R</v>
      </c>
      <c r="AI10" s="40" t="str">
        <f t="shared" si="5"/>
        <v>R</v>
      </c>
      <c r="AJ10" s="40" t="str">
        <f t="shared" si="5"/>
        <v>R</v>
      </c>
      <c r="AK10" s="40" t="str">
        <f t="shared" si="5"/>
        <v>R</v>
      </c>
      <c r="AL10" s="40" t="str">
        <f t="shared" si="5"/>
        <v>R</v>
      </c>
      <c r="AM10" s="40" t="str">
        <f t="shared" si="5"/>
        <v>R</v>
      </c>
      <c r="AN10" s="40" t="str">
        <f t="shared" si="5"/>
        <v>R</v>
      </c>
      <c r="AO10" s="40" t="str">
        <f t="shared" si="5"/>
        <v>R</v>
      </c>
      <c r="AP10" s="40" t="str">
        <f t="shared" si="5"/>
        <v>R</v>
      </c>
      <c r="AQ10" s="40" t="str">
        <f t="shared" si="5"/>
        <v>R</v>
      </c>
      <c r="AR10" s="40" t="str">
        <f t="shared" si="5"/>
        <v>R</v>
      </c>
      <c r="AS10" s="40" t="str">
        <f t="shared" si="5"/>
        <v>R</v>
      </c>
      <c r="AT10" s="40" t="str">
        <f t="shared" si="5"/>
        <v>R</v>
      </c>
      <c r="AU10" s="40" t="str">
        <f t="shared" si="5"/>
        <v>R</v>
      </c>
      <c r="AV10" s="40" t="str">
        <f t="shared" si="5"/>
        <v>R</v>
      </c>
      <c r="AW10" s="40" t="str">
        <f t="shared" si="5"/>
        <v>R</v>
      </c>
      <c r="AX10" s="40" t="str">
        <f t="shared" si="5"/>
        <v>R</v>
      </c>
      <c r="AY10" s="40" t="str">
        <f t="shared" si="5"/>
        <v>R</v>
      </c>
      <c r="AZ10" s="40" t="str">
        <f t="shared" si="5"/>
        <v>R</v>
      </c>
      <c r="BA10" s="40" t="str">
        <f t="shared" si="5"/>
        <v>R</v>
      </c>
      <c r="BB10" s="40" t="str">
        <f t="shared" si="5"/>
        <v>R</v>
      </c>
      <c r="BC10" s="40" t="str">
        <f t="shared" si="5"/>
        <v/>
      </c>
      <c r="BD10" s="40" t="str">
        <f t="shared" si="5"/>
        <v/>
      </c>
      <c r="BE10" s="40" t="str">
        <f t="shared" si="5"/>
        <v/>
      </c>
      <c r="BF10" s="40" t="str">
        <f t="shared" si="5"/>
        <v/>
      </c>
      <c r="BG10" s="40" t="str">
        <f t="shared" si="5"/>
        <v/>
      </c>
      <c r="BH10" s="40" t="str">
        <f t="shared" si="5"/>
        <v/>
      </c>
      <c r="BI10" s="40" t="str">
        <f t="shared" si="5"/>
        <v/>
      </c>
      <c r="BJ10" s="40" t="str">
        <f t="shared" si="5"/>
        <v/>
      </c>
      <c r="BK10" s="40" t="str">
        <f t="shared" si="5"/>
        <v/>
      </c>
      <c r="BL10" s="40" t="str">
        <f t="shared" si="5"/>
        <v/>
      </c>
      <c r="BM10" s="40" t="str">
        <f t="shared" si="5"/>
        <v/>
      </c>
      <c r="BN10" s="42"/>
    </row>
    <row r="11" spans="2:66" ht="24" customHeight="1" x14ac:dyDescent="0.3">
      <c r="B11" s="920" t="s">
        <v>33</v>
      </c>
      <c r="C11" s="922" t="s">
        <v>317</v>
      </c>
      <c r="D11" s="922" t="s">
        <v>369</v>
      </c>
      <c r="E11" s="921" t="s">
        <v>144</v>
      </c>
      <c r="F11" s="922" t="s">
        <v>318</v>
      </c>
      <c r="G11" s="919"/>
      <c r="H11" s="27" t="s">
        <v>44</v>
      </c>
      <c r="I11" s="28"/>
      <c r="J11" s="29"/>
      <c r="K11" s="29"/>
      <c r="L11" s="51"/>
      <c r="M11" s="36" t="s">
        <v>122</v>
      </c>
      <c r="N11" s="36"/>
      <c r="O11" s="36"/>
      <c r="P11" s="36"/>
      <c r="Q11" s="36"/>
      <c r="R11" s="36"/>
      <c r="S11" s="36"/>
      <c r="T11" s="36"/>
      <c r="U11" s="36"/>
      <c r="V11" s="36"/>
      <c r="W11" s="36"/>
      <c r="X11" s="685">
        <v>95</v>
      </c>
      <c r="Y11" s="686">
        <v>95</v>
      </c>
      <c r="Z11" s="686">
        <v>95</v>
      </c>
      <c r="AA11" s="686">
        <v>95</v>
      </c>
      <c r="AB11" s="686">
        <v>95</v>
      </c>
      <c r="AC11" s="686">
        <v>95</v>
      </c>
      <c r="AD11" s="686">
        <v>95</v>
      </c>
      <c r="AE11" s="686">
        <v>95</v>
      </c>
      <c r="AF11" s="686">
        <v>95</v>
      </c>
      <c r="AG11" s="686">
        <v>95</v>
      </c>
      <c r="AH11" s="686">
        <v>95</v>
      </c>
      <c r="AI11" s="686">
        <v>95</v>
      </c>
      <c r="AJ11" s="234">
        <f>IF(AJ$6&gt;$E$3,"",95)</f>
        <v>95</v>
      </c>
      <c r="AK11" s="234">
        <f t="shared" ref="AK11:BN11" si="6">IF(AK$6&gt;$E$3,"",95)</f>
        <v>95</v>
      </c>
      <c r="AL11" s="234">
        <f t="shared" si="6"/>
        <v>95</v>
      </c>
      <c r="AM11" s="234">
        <f t="shared" si="6"/>
        <v>95</v>
      </c>
      <c r="AN11" s="234">
        <f t="shared" si="6"/>
        <v>95</v>
      </c>
      <c r="AO11" s="234">
        <f t="shared" si="6"/>
        <v>95</v>
      </c>
      <c r="AP11" s="234">
        <f t="shared" si="6"/>
        <v>95</v>
      </c>
      <c r="AQ11" s="234">
        <f t="shared" si="6"/>
        <v>95</v>
      </c>
      <c r="AR11" s="234">
        <f t="shared" si="6"/>
        <v>95</v>
      </c>
      <c r="AS11" s="234">
        <f t="shared" si="6"/>
        <v>95</v>
      </c>
      <c r="AT11" s="234">
        <f t="shared" si="6"/>
        <v>95</v>
      </c>
      <c r="AU11" s="234">
        <f t="shared" si="6"/>
        <v>95</v>
      </c>
      <c r="AV11" s="234">
        <f t="shared" si="6"/>
        <v>95</v>
      </c>
      <c r="AW11" s="234">
        <f t="shared" si="6"/>
        <v>95</v>
      </c>
      <c r="AX11" s="234">
        <f t="shared" si="6"/>
        <v>95</v>
      </c>
      <c r="AY11" s="234">
        <f t="shared" si="6"/>
        <v>95</v>
      </c>
      <c r="AZ11" s="234">
        <f t="shared" si="6"/>
        <v>95</v>
      </c>
      <c r="BA11" s="234">
        <f t="shared" si="6"/>
        <v>95</v>
      </c>
      <c r="BB11" s="234">
        <f t="shared" si="6"/>
        <v>95</v>
      </c>
      <c r="BC11" s="234" t="str">
        <f t="shared" si="6"/>
        <v/>
      </c>
      <c r="BD11" s="234" t="str">
        <f t="shared" si="6"/>
        <v/>
      </c>
      <c r="BE11" s="234" t="str">
        <f t="shared" si="6"/>
        <v/>
      </c>
      <c r="BF11" s="234" t="str">
        <f t="shared" si="6"/>
        <v/>
      </c>
      <c r="BG11" s="234" t="str">
        <f t="shared" si="6"/>
        <v/>
      </c>
      <c r="BH11" s="234" t="str">
        <f t="shared" si="6"/>
        <v/>
      </c>
      <c r="BI11" s="234" t="str">
        <f t="shared" si="6"/>
        <v/>
      </c>
      <c r="BJ11" s="234" t="str">
        <f t="shared" si="6"/>
        <v/>
      </c>
      <c r="BK11" s="234" t="str">
        <f t="shared" si="6"/>
        <v/>
      </c>
      <c r="BL11" s="234" t="str">
        <f t="shared" si="6"/>
        <v/>
      </c>
      <c r="BM11" s="234" t="str">
        <f t="shared" si="6"/>
        <v/>
      </c>
      <c r="BN11" s="234" t="str">
        <f t="shared" si="6"/>
        <v/>
      </c>
    </row>
    <row r="12" spans="2:66" ht="24" customHeight="1" x14ac:dyDescent="0.3">
      <c r="B12" s="920"/>
      <c r="C12" s="921"/>
      <c r="D12" s="921"/>
      <c r="E12" s="921"/>
      <c r="F12" s="921"/>
      <c r="G12" s="919"/>
      <c r="H12" s="33" t="s">
        <v>45</v>
      </c>
      <c r="I12" s="34"/>
      <c r="J12" s="35"/>
      <c r="K12" s="35"/>
      <c r="L12" s="52"/>
      <c r="M12" s="36" t="s">
        <v>122</v>
      </c>
      <c r="N12" s="35" t="s">
        <v>35</v>
      </c>
      <c r="O12" s="35" t="s">
        <v>35</v>
      </c>
      <c r="P12" s="35" t="s">
        <v>35</v>
      </c>
      <c r="Q12" s="35" t="s">
        <v>35</v>
      </c>
      <c r="R12" s="35" t="s">
        <v>35</v>
      </c>
      <c r="S12" s="35" t="s">
        <v>35</v>
      </c>
      <c r="T12" s="35" t="s">
        <v>35</v>
      </c>
      <c r="U12" s="35" t="s">
        <v>35</v>
      </c>
      <c r="V12" s="35" t="s">
        <v>35</v>
      </c>
      <c r="W12" s="35" t="s">
        <v>35</v>
      </c>
      <c r="X12" s="687">
        <v>93.5</v>
      </c>
      <c r="Y12" s="683">
        <v>93</v>
      </c>
      <c r="Z12" s="683">
        <v>93.8</v>
      </c>
      <c r="AA12" s="683">
        <v>92.8</v>
      </c>
      <c r="AB12" s="683">
        <v>93.1</v>
      </c>
      <c r="AC12" s="683">
        <v>93.4</v>
      </c>
      <c r="AD12" s="683">
        <v>92.7</v>
      </c>
      <c r="AE12" s="683">
        <v>93.4</v>
      </c>
      <c r="AF12" s="683">
        <v>94.1</v>
      </c>
      <c r="AG12" s="683">
        <v>94</v>
      </c>
      <c r="AH12" s="683">
        <v>93.9</v>
      </c>
      <c r="AI12" s="683">
        <v>92.9</v>
      </c>
      <c r="AJ12" s="683">
        <v>94.2</v>
      </c>
      <c r="AK12" s="683">
        <v>92.9</v>
      </c>
      <c r="AL12" s="683">
        <v>93.2</v>
      </c>
      <c r="AM12" s="683">
        <v>92.9</v>
      </c>
      <c r="AN12" s="683">
        <v>92.9</v>
      </c>
      <c r="AO12" s="683">
        <v>92.9</v>
      </c>
      <c r="AP12" s="683">
        <v>92.9</v>
      </c>
      <c r="AQ12" s="683">
        <v>93.4</v>
      </c>
      <c r="AR12" s="683">
        <v>93.4</v>
      </c>
      <c r="AS12" s="683">
        <v>93.4</v>
      </c>
      <c r="AT12" s="683">
        <v>93</v>
      </c>
      <c r="AU12" s="35">
        <v>93.8</v>
      </c>
      <c r="AV12" s="35">
        <v>93.8</v>
      </c>
      <c r="AW12" s="35">
        <v>93.8</v>
      </c>
      <c r="AX12" s="683">
        <v>93.8</v>
      </c>
      <c r="AY12" s="683">
        <v>93.8</v>
      </c>
      <c r="AZ12" s="683">
        <v>93.8</v>
      </c>
      <c r="BA12" s="683">
        <v>93.8</v>
      </c>
      <c r="BB12" s="683">
        <v>93.8</v>
      </c>
      <c r="BC12" s="683"/>
      <c r="BD12" s="683"/>
      <c r="BE12" s="683"/>
      <c r="BF12" s="683"/>
      <c r="BG12" s="683"/>
      <c r="BH12" s="683"/>
      <c r="BI12" s="683"/>
      <c r="BJ12" s="683"/>
      <c r="BK12" s="683"/>
      <c r="BL12" s="683"/>
      <c r="BM12" s="683"/>
      <c r="BN12" s="688"/>
    </row>
    <row r="13" spans="2:66" ht="24" customHeight="1" x14ac:dyDescent="0.3">
      <c r="B13" s="920"/>
      <c r="C13" s="921"/>
      <c r="D13" s="921"/>
      <c r="E13" s="921"/>
      <c r="F13" s="921"/>
      <c r="G13" s="919"/>
      <c r="H13" s="38" t="s">
        <v>46</v>
      </c>
      <c r="I13" s="39"/>
      <c r="J13" s="40"/>
      <c r="K13" s="40"/>
      <c r="L13" s="53"/>
      <c r="M13" s="40" t="str">
        <f>IF(M$6&gt;$E$3,"",IF(M12="","OD",IF(M12="Blank","Blank",IF(M12="TBC","TBC",IF(M12="Undefined","Undefined",IF(M12="Missed","Missed",IF(M12="OD","OD",IF(M$4="OD","OD",IF((M12-M11)&gt;=0,"G",IF((M12-(M11*0.95))&gt;=0,"A","R"))))))))))</f>
        <v>Blank</v>
      </c>
      <c r="N13" s="40" t="str">
        <f t="shared" ref="N13:BM13" si="7">IF(N$6&gt;$E$3,"",IF(N12="","OD",IF(N12="Blank","Blank",IF(N12="TBC","TBC",IF(N12="Undefined","Undefined",IF(N12="Missed","Missed",IF(N12="OD","OD",IF(N$4="OD","OD",IF((N12-N11)&gt;=0,"G",IF((N12-(N11*0.95))&gt;=0,"A","R"))))))))))</f>
        <v>TBC</v>
      </c>
      <c r="O13" s="40" t="str">
        <f t="shared" si="7"/>
        <v>TBC</v>
      </c>
      <c r="P13" s="40" t="str">
        <f t="shared" si="7"/>
        <v>TBC</v>
      </c>
      <c r="Q13" s="40" t="str">
        <f t="shared" si="7"/>
        <v>TBC</v>
      </c>
      <c r="R13" s="40" t="str">
        <f t="shared" si="7"/>
        <v>TBC</v>
      </c>
      <c r="S13" s="40" t="str">
        <f t="shared" si="7"/>
        <v>TBC</v>
      </c>
      <c r="T13" s="40" t="str">
        <f t="shared" si="7"/>
        <v>TBC</v>
      </c>
      <c r="U13" s="40" t="str">
        <f t="shared" si="7"/>
        <v>TBC</v>
      </c>
      <c r="V13" s="40" t="str">
        <f t="shared" si="7"/>
        <v>TBC</v>
      </c>
      <c r="W13" s="40" t="str">
        <f t="shared" si="7"/>
        <v>TBC</v>
      </c>
      <c r="X13" s="40" t="str">
        <f t="shared" si="7"/>
        <v>A</v>
      </c>
      <c r="Y13" s="40" t="str">
        <f t="shared" si="7"/>
        <v>A</v>
      </c>
      <c r="Z13" s="40" t="str">
        <f t="shared" si="7"/>
        <v>A</v>
      </c>
      <c r="AA13" s="40" t="str">
        <f t="shared" si="7"/>
        <v>A</v>
      </c>
      <c r="AB13" s="40" t="str">
        <f t="shared" si="7"/>
        <v>A</v>
      </c>
      <c r="AC13" s="40" t="str">
        <f t="shared" si="7"/>
        <v>A</v>
      </c>
      <c r="AD13" s="40" t="str">
        <f t="shared" si="7"/>
        <v>A</v>
      </c>
      <c r="AE13" s="40" t="str">
        <f t="shared" si="7"/>
        <v>A</v>
      </c>
      <c r="AF13" s="40" t="str">
        <f t="shared" si="7"/>
        <v>A</v>
      </c>
      <c r="AG13" s="40" t="str">
        <f t="shared" si="7"/>
        <v>A</v>
      </c>
      <c r="AH13" s="40" t="str">
        <f t="shared" si="7"/>
        <v>A</v>
      </c>
      <c r="AI13" s="40" t="str">
        <f t="shared" si="7"/>
        <v>A</v>
      </c>
      <c r="AJ13" s="40" t="str">
        <f t="shared" si="7"/>
        <v>A</v>
      </c>
      <c r="AK13" s="40" t="str">
        <f t="shared" si="7"/>
        <v>A</v>
      </c>
      <c r="AL13" s="40" t="str">
        <f t="shared" si="7"/>
        <v>A</v>
      </c>
      <c r="AM13" s="40" t="str">
        <f t="shared" si="7"/>
        <v>A</v>
      </c>
      <c r="AN13" s="40" t="str">
        <f t="shared" si="7"/>
        <v>A</v>
      </c>
      <c r="AO13" s="40" t="str">
        <f t="shared" si="7"/>
        <v>A</v>
      </c>
      <c r="AP13" s="40" t="str">
        <f t="shared" si="7"/>
        <v>A</v>
      </c>
      <c r="AQ13" s="40" t="str">
        <f t="shared" si="7"/>
        <v>A</v>
      </c>
      <c r="AR13" s="40" t="str">
        <f t="shared" si="7"/>
        <v>A</v>
      </c>
      <c r="AS13" s="40" t="str">
        <f t="shared" si="7"/>
        <v>A</v>
      </c>
      <c r="AT13" s="40" t="str">
        <f t="shared" si="7"/>
        <v>A</v>
      </c>
      <c r="AU13" s="40" t="str">
        <f t="shared" si="7"/>
        <v>A</v>
      </c>
      <c r="AV13" s="40" t="str">
        <f t="shared" si="7"/>
        <v>A</v>
      </c>
      <c r="AW13" s="40" t="str">
        <f t="shared" si="7"/>
        <v>A</v>
      </c>
      <c r="AX13" s="40" t="str">
        <f t="shared" si="7"/>
        <v>A</v>
      </c>
      <c r="AY13" s="40" t="str">
        <f t="shared" si="7"/>
        <v>A</v>
      </c>
      <c r="AZ13" s="40" t="str">
        <f t="shared" si="7"/>
        <v>A</v>
      </c>
      <c r="BA13" s="40" t="str">
        <f t="shared" si="7"/>
        <v>A</v>
      </c>
      <c r="BB13" s="40" t="str">
        <f t="shared" si="7"/>
        <v>A</v>
      </c>
      <c r="BC13" s="40" t="str">
        <f t="shared" si="7"/>
        <v/>
      </c>
      <c r="BD13" s="40" t="str">
        <f t="shared" si="7"/>
        <v/>
      </c>
      <c r="BE13" s="40" t="str">
        <f t="shared" si="7"/>
        <v/>
      </c>
      <c r="BF13" s="40" t="str">
        <f t="shared" si="7"/>
        <v/>
      </c>
      <c r="BG13" s="40" t="str">
        <f t="shared" si="7"/>
        <v/>
      </c>
      <c r="BH13" s="40" t="str">
        <f t="shared" si="7"/>
        <v/>
      </c>
      <c r="BI13" s="40" t="str">
        <f t="shared" si="7"/>
        <v/>
      </c>
      <c r="BJ13" s="40" t="str">
        <f t="shared" si="7"/>
        <v/>
      </c>
      <c r="BK13" s="40" t="str">
        <f t="shared" si="7"/>
        <v/>
      </c>
      <c r="BL13" s="40" t="str">
        <f t="shared" si="7"/>
        <v/>
      </c>
      <c r="BM13" s="40" t="str">
        <f t="shared" si="7"/>
        <v/>
      </c>
      <c r="BN13" s="42"/>
    </row>
    <row r="14" spans="2:66" ht="24" customHeight="1" x14ac:dyDescent="0.3">
      <c r="B14" s="920" t="s">
        <v>32</v>
      </c>
      <c r="C14" s="922" t="s">
        <v>371</v>
      </c>
      <c r="D14" s="922" t="s">
        <v>372</v>
      </c>
      <c r="E14" s="921" t="s">
        <v>142</v>
      </c>
      <c r="F14" s="922" t="s">
        <v>171</v>
      </c>
      <c r="G14" s="919"/>
      <c r="H14" s="27" t="s">
        <v>44</v>
      </c>
      <c r="I14" s="28"/>
      <c r="J14" s="29"/>
      <c r="K14" s="29"/>
      <c r="L14" s="51"/>
      <c r="M14" s="36" t="s">
        <v>122</v>
      </c>
      <c r="N14" s="36"/>
      <c r="O14" s="36"/>
      <c r="P14" s="36"/>
      <c r="Q14" s="36"/>
      <c r="R14" s="36"/>
      <c r="S14" s="36"/>
      <c r="T14" s="36"/>
      <c r="U14" s="36"/>
      <c r="V14" s="36"/>
      <c r="W14" s="36"/>
      <c r="X14" s="230">
        <v>0</v>
      </c>
      <c r="Y14" s="29">
        <v>0</v>
      </c>
      <c r="Z14" s="29">
        <v>0</v>
      </c>
      <c r="AA14" s="29">
        <v>0</v>
      </c>
      <c r="AB14" s="29">
        <v>0</v>
      </c>
      <c r="AC14" s="29">
        <v>0</v>
      </c>
      <c r="AD14" s="29">
        <v>0</v>
      </c>
      <c r="AE14" s="29">
        <v>0</v>
      </c>
      <c r="AF14" s="29">
        <v>0</v>
      </c>
      <c r="AG14" s="29">
        <v>0</v>
      </c>
      <c r="AH14" s="29">
        <v>0</v>
      </c>
      <c r="AI14" s="29">
        <v>0</v>
      </c>
      <c r="AJ14" s="67">
        <f>IF(AJ$6&gt;$E$3,"",0)</f>
        <v>0</v>
      </c>
      <c r="AK14" s="67">
        <f t="shared" ref="AK14:BM14" si="8">IF(AK$6&gt;$E$3,"",0)</f>
        <v>0</v>
      </c>
      <c r="AL14" s="67">
        <f t="shared" si="8"/>
        <v>0</v>
      </c>
      <c r="AM14" s="67">
        <f t="shared" si="8"/>
        <v>0</v>
      </c>
      <c r="AN14" s="67">
        <f t="shared" si="8"/>
        <v>0</v>
      </c>
      <c r="AO14" s="67">
        <f t="shared" si="8"/>
        <v>0</v>
      </c>
      <c r="AP14" s="67">
        <f t="shared" si="8"/>
        <v>0</v>
      </c>
      <c r="AQ14" s="67">
        <f t="shared" si="8"/>
        <v>0</v>
      </c>
      <c r="AR14" s="67">
        <f t="shared" si="8"/>
        <v>0</v>
      </c>
      <c r="AS14" s="67">
        <f t="shared" si="8"/>
        <v>0</v>
      </c>
      <c r="AT14" s="67">
        <f t="shared" si="8"/>
        <v>0</v>
      </c>
      <c r="AU14" s="67">
        <f t="shared" si="8"/>
        <v>0</v>
      </c>
      <c r="AV14" s="67">
        <f t="shared" si="8"/>
        <v>0</v>
      </c>
      <c r="AW14" s="67">
        <f t="shared" si="8"/>
        <v>0</v>
      </c>
      <c r="AX14" s="67">
        <f t="shared" si="8"/>
        <v>0</v>
      </c>
      <c r="AY14" s="67">
        <f t="shared" si="8"/>
        <v>0</v>
      </c>
      <c r="AZ14" s="67">
        <f t="shared" si="8"/>
        <v>0</v>
      </c>
      <c r="BA14" s="67">
        <f t="shared" si="8"/>
        <v>0</v>
      </c>
      <c r="BB14" s="67">
        <f t="shared" si="8"/>
        <v>0</v>
      </c>
      <c r="BC14" s="67" t="str">
        <f t="shared" si="8"/>
        <v/>
      </c>
      <c r="BD14" s="67" t="str">
        <f t="shared" si="8"/>
        <v/>
      </c>
      <c r="BE14" s="67" t="str">
        <f t="shared" si="8"/>
        <v/>
      </c>
      <c r="BF14" s="67" t="str">
        <f t="shared" si="8"/>
        <v/>
      </c>
      <c r="BG14" s="67" t="str">
        <f t="shared" si="8"/>
        <v/>
      </c>
      <c r="BH14" s="67" t="str">
        <f t="shared" si="8"/>
        <v/>
      </c>
      <c r="BI14" s="67" t="str">
        <f t="shared" si="8"/>
        <v/>
      </c>
      <c r="BJ14" s="67" t="str">
        <f t="shared" si="8"/>
        <v/>
      </c>
      <c r="BK14" s="67" t="str">
        <f t="shared" si="8"/>
        <v/>
      </c>
      <c r="BL14" s="67" t="str">
        <f t="shared" si="8"/>
        <v/>
      </c>
      <c r="BM14" s="67" t="str">
        <f t="shared" si="8"/>
        <v/>
      </c>
      <c r="BN14" s="31"/>
    </row>
    <row r="15" spans="2:66" ht="24" customHeight="1" x14ac:dyDescent="0.3">
      <c r="B15" s="920"/>
      <c r="C15" s="921"/>
      <c r="D15" s="921"/>
      <c r="E15" s="921"/>
      <c r="F15" s="921"/>
      <c r="G15" s="919"/>
      <c r="H15" s="33" t="s">
        <v>45</v>
      </c>
      <c r="I15" s="34"/>
      <c r="J15" s="35"/>
      <c r="K15" s="35"/>
      <c r="L15" s="52"/>
      <c r="M15" s="36" t="s">
        <v>122</v>
      </c>
      <c r="N15" s="35" t="s">
        <v>35</v>
      </c>
      <c r="O15" s="35" t="s">
        <v>35</v>
      </c>
      <c r="P15" s="35" t="s">
        <v>35</v>
      </c>
      <c r="Q15" s="35" t="s">
        <v>35</v>
      </c>
      <c r="R15" s="35" t="s">
        <v>35</v>
      </c>
      <c r="S15" s="35" t="s">
        <v>35</v>
      </c>
      <c r="T15" s="35" t="s">
        <v>35</v>
      </c>
      <c r="U15" s="35" t="s">
        <v>35</v>
      </c>
      <c r="V15" s="35" t="s">
        <v>35</v>
      </c>
      <c r="W15" s="35" t="s">
        <v>35</v>
      </c>
      <c r="X15" s="229">
        <v>0</v>
      </c>
      <c r="Y15" s="35">
        <v>0</v>
      </c>
      <c r="Z15" s="35">
        <v>0</v>
      </c>
      <c r="AA15" s="35">
        <v>0</v>
      </c>
      <c r="AB15" s="35">
        <v>0</v>
      </c>
      <c r="AC15" s="35">
        <v>0</v>
      </c>
      <c r="AD15" s="35">
        <v>0</v>
      </c>
      <c r="AE15" s="35">
        <v>0</v>
      </c>
      <c r="AF15" s="35">
        <v>0</v>
      </c>
      <c r="AG15" s="35">
        <v>0</v>
      </c>
      <c r="AH15" s="35">
        <v>0</v>
      </c>
      <c r="AI15" s="35">
        <v>2</v>
      </c>
      <c r="AJ15" s="35">
        <v>0</v>
      </c>
      <c r="AK15" s="35">
        <v>0</v>
      </c>
      <c r="AL15" s="35">
        <v>0</v>
      </c>
      <c r="AM15" s="35">
        <v>0</v>
      </c>
      <c r="AN15" s="35">
        <v>0</v>
      </c>
      <c r="AO15" s="35">
        <v>0</v>
      </c>
      <c r="AP15" s="35">
        <v>0</v>
      </c>
      <c r="AQ15" s="35">
        <v>0</v>
      </c>
      <c r="AR15" s="35">
        <v>0</v>
      </c>
      <c r="AS15" s="35">
        <v>0</v>
      </c>
      <c r="AT15" s="35">
        <v>0</v>
      </c>
      <c r="AU15" s="35">
        <v>0</v>
      </c>
      <c r="AV15" s="35">
        <v>0</v>
      </c>
      <c r="AW15" s="35">
        <v>0</v>
      </c>
      <c r="AX15" s="35">
        <v>0</v>
      </c>
      <c r="AY15" s="35">
        <v>0</v>
      </c>
      <c r="AZ15" s="35">
        <v>0</v>
      </c>
      <c r="BA15" s="35">
        <v>0</v>
      </c>
      <c r="BB15" s="35">
        <v>0</v>
      </c>
      <c r="BC15" s="35"/>
      <c r="BD15" s="35"/>
      <c r="BE15" s="35"/>
      <c r="BF15" s="35"/>
      <c r="BG15" s="35"/>
      <c r="BH15" s="35"/>
      <c r="BI15" s="35"/>
      <c r="BJ15" s="35"/>
      <c r="BK15" s="35"/>
      <c r="BL15" s="35"/>
      <c r="BM15" s="35"/>
      <c r="BN15" s="37"/>
    </row>
    <row r="16" spans="2:66" ht="24" customHeight="1" x14ac:dyDescent="0.3">
      <c r="B16" s="920"/>
      <c r="C16" s="921"/>
      <c r="D16" s="921"/>
      <c r="E16" s="921"/>
      <c r="F16" s="921"/>
      <c r="G16" s="919"/>
      <c r="H16" s="38" t="s">
        <v>46</v>
      </c>
      <c r="I16" s="39"/>
      <c r="J16" s="40"/>
      <c r="K16" s="40"/>
      <c r="L16" s="53"/>
      <c r="M16" s="40" t="str">
        <f>IF(M$6&gt;$E$3,"",IF(M15="","OD",IF(M15="Blank","Blank",IF(M15="TBC","TBC",IF(M15="Undefined","Undefined",IF(M15="Missed","Missed",IF(M15="OD","OD",IF(M$4="OD","OD",IF((M15-M14)&lt;=0,"G",IF((M15-(M14/0.95))&lt;=0,"A","R"))))))))))</f>
        <v>Blank</v>
      </c>
      <c r="N16" s="40" t="str">
        <f t="shared" ref="N16:BM16" si="9">IF(N$6&gt;$E$3,"",IF(N15="","OD",IF(N15="Blank","Blank",IF(N15="TBC","TBC",IF(N15="Undefined","Undefined",IF(N15="Missed","Missed",IF(N15="OD","OD",IF(N$4="OD","OD",IF((N15-N14)&lt;=0,"G",IF((N15-(N14/0.95))&lt;=0,"A","R"))))))))))</f>
        <v>TBC</v>
      </c>
      <c r="O16" s="40" t="str">
        <f t="shared" si="9"/>
        <v>TBC</v>
      </c>
      <c r="P16" s="40" t="str">
        <f t="shared" si="9"/>
        <v>TBC</v>
      </c>
      <c r="Q16" s="40" t="str">
        <f t="shared" si="9"/>
        <v>TBC</v>
      </c>
      <c r="R16" s="40" t="str">
        <f t="shared" si="9"/>
        <v>TBC</v>
      </c>
      <c r="S16" s="40" t="str">
        <f t="shared" si="9"/>
        <v>TBC</v>
      </c>
      <c r="T16" s="40" t="str">
        <f t="shared" si="9"/>
        <v>TBC</v>
      </c>
      <c r="U16" s="40" t="str">
        <f t="shared" si="9"/>
        <v>TBC</v>
      </c>
      <c r="V16" s="40" t="str">
        <f t="shared" si="9"/>
        <v>TBC</v>
      </c>
      <c r="W16" s="40" t="str">
        <f t="shared" si="9"/>
        <v>TBC</v>
      </c>
      <c r="X16" s="40" t="str">
        <f t="shared" si="9"/>
        <v>G</v>
      </c>
      <c r="Y16" s="40" t="str">
        <f t="shared" si="9"/>
        <v>G</v>
      </c>
      <c r="Z16" s="40" t="str">
        <f t="shared" si="9"/>
        <v>G</v>
      </c>
      <c r="AA16" s="40" t="str">
        <f t="shared" si="9"/>
        <v>G</v>
      </c>
      <c r="AB16" s="40" t="str">
        <f t="shared" si="9"/>
        <v>G</v>
      </c>
      <c r="AC16" s="40" t="str">
        <f t="shared" si="9"/>
        <v>G</v>
      </c>
      <c r="AD16" s="40" t="str">
        <f t="shared" si="9"/>
        <v>G</v>
      </c>
      <c r="AE16" s="40" t="str">
        <f t="shared" si="9"/>
        <v>G</v>
      </c>
      <c r="AF16" s="40" t="str">
        <f t="shared" si="9"/>
        <v>G</v>
      </c>
      <c r="AG16" s="40" t="str">
        <f t="shared" si="9"/>
        <v>G</v>
      </c>
      <c r="AH16" s="40" t="str">
        <f t="shared" si="9"/>
        <v>G</v>
      </c>
      <c r="AI16" s="40" t="str">
        <f t="shared" si="9"/>
        <v>R</v>
      </c>
      <c r="AJ16" s="40" t="str">
        <f t="shared" si="9"/>
        <v>G</v>
      </c>
      <c r="AK16" s="40" t="str">
        <f t="shared" si="9"/>
        <v>G</v>
      </c>
      <c r="AL16" s="40" t="str">
        <f t="shared" si="9"/>
        <v>G</v>
      </c>
      <c r="AM16" s="40" t="str">
        <f t="shared" si="9"/>
        <v>G</v>
      </c>
      <c r="AN16" s="40" t="str">
        <f t="shared" si="9"/>
        <v>G</v>
      </c>
      <c r="AO16" s="40" t="str">
        <f t="shared" si="9"/>
        <v>G</v>
      </c>
      <c r="AP16" s="40" t="str">
        <f t="shared" si="9"/>
        <v>G</v>
      </c>
      <c r="AQ16" s="40" t="str">
        <f t="shared" si="9"/>
        <v>G</v>
      </c>
      <c r="AR16" s="40" t="str">
        <f t="shared" si="9"/>
        <v>G</v>
      </c>
      <c r="AS16" s="40" t="str">
        <f t="shared" si="9"/>
        <v>G</v>
      </c>
      <c r="AT16" s="40" t="str">
        <f t="shared" si="9"/>
        <v>G</v>
      </c>
      <c r="AU16" s="40" t="str">
        <f t="shared" si="9"/>
        <v>G</v>
      </c>
      <c r="AV16" s="40" t="str">
        <f t="shared" si="9"/>
        <v>G</v>
      </c>
      <c r="AW16" s="40" t="str">
        <f t="shared" si="9"/>
        <v>G</v>
      </c>
      <c r="AX16" s="40" t="str">
        <f t="shared" si="9"/>
        <v>G</v>
      </c>
      <c r="AY16" s="40" t="str">
        <f t="shared" si="9"/>
        <v>G</v>
      </c>
      <c r="AZ16" s="40" t="str">
        <f t="shared" si="9"/>
        <v>G</v>
      </c>
      <c r="BA16" s="40" t="str">
        <f t="shared" si="9"/>
        <v>G</v>
      </c>
      <c r="BB16" s="40" t="str">
        <f t="shared" si="9"/>
        <v>G</v>
      </c>
      <c r="BC16" s="40" t="str">
        <f t="shared" si="9"/>
        <v/>
      </c>
      <c r="BD16" s="40" t="str">
        <f t="shared" si="9"/>
        <v/>
      </c>
      <c r="BE16" s="40" t="str">
        <f t="shared" si="9"/>
        <v/>
      </c>
      <c r="BF16" s="40" t="str">
        <f t="shared" si="9"/>
        <v/>
      </c>
      <c r="BG16" s="40" t="str">
        <f t="shared" si="9"/>
        <v/>
      </c>
      <c r="BH16" s="40" t="str">
        <f t="shared" si="9"/>
        <v/>
      </c>
      <c r="BI16" s="40" t="str">
        <f t="shared" si="9"/>
        <v/>
      </c>
      <c r="BJ16" s="40" t="str">
        <f t="shared" si="9"/>
        <v/>
      </c>
      <c r="BK16" s="40" t="str">
        <f t="shared" si="9"/>
        <v/>
      </c>
      <c r="BL16" s="40" t="str">
        <f t="shared" si="9"/>
        <v/>
      </c>
      <c r="BM16" s="40" t="str">
        <f t="shared" si="9"/>
        <v/>
      </c>
      <c r="BN16" s="42"/>
    </row>
    <row r="17" spans="2:66" ht="24" customHeight="1" x14ac:dyDescent="0.3">
      <c r="B17" s="920" t="s">
        <v>31</v>
      </c>
      <c r="C17" s="922" t="s">
        <v>370</v>
      </c>
      <c r="D17" s="922" t="s">
        <v>566</v>
      </c>
      <c r="E17" s="921" t="s">
        <v>169</v>
      </c>
      <c r="F17" s="954" t="s">
        <v>318</v>
      </c>
      <c r="G17" s="919" t="s">
        <v>567</v>
      </c>
      <c r="H17" s="27" t="s">
        <v>44</v>
      </c>
      <c r="I17" s="28"/>
      <c r="J17" s="29"/>
      <c r="K17" s="29"/>
      <c r="L17" s="51"/>
      <c r="M17" s="36" t="s">
        <v>122</v>
      </c>
      <c r="N17" s="36"/>
      <c r="O17" s="36"/>
      <c r="P17" s="36"/>
      <c r="Q17" s="36"/>
      <c r="R17" s="36"/>
      <c r="S17" s="36"/>
      <c r="T17" s="36"/>
      <c r="U17" s="36"/>
      <c r="V17" s="36"/>
      <c r="W17" s="36"/>
      <c r="X17" s="230">
        <v>500</v>
      </c>
      <c r="Y17" s="230">
        <v>500</v>
      </c>
      <c r="Z17" s="230">
        <v>500</v>
      </c>
      <c r="AA17" s="230">
        <v>500</v>
      </c>
      <c r="AB17" s="230">
        <v>500</v>
      </c>
      <c r="AC17" s="230">
        <v>500</v>
      </c>
      <c r="AD17" s="230">
        <v>500</v>
      </c>
      <c r="AE17" s="230">
        <v>500</v>
      </c>
      <c r="AF17" s="230">
        <v>500</v>
      </c>
      <c r="AG17" s="230">
        <v>500</v>
      </c>
      <c r="AH17" s="230">
        <v>500</v>
      </c>
      <c r="AI17" s="230">
        <v>500</v>
      </c>
      <c r="AJ17" s="67">
        <f>IF(AJ$6&gt;$E$3,"",500)</f>
        <v>500</v>
      </c>
      <c r="AK17" s="67">
        <f t="shared" ref="AK17:BM17" si="10">IF(AK$6&gt;$E$3,"",500)</f>
        <v>500</v>
      </c>
      <c r="AL17" s="67">
        <f t="shared" si="10"/>
        <v>500</v>
      </c>
      <c r="AM17" s="67">
        <f t="shared" si="10"/>
        <v>500</v>
      </c>
      <c r="AN17" s="67">
        <f t="shared" si="10"/>
        <v>500</v>
      </c>
      <c r="AO17" s="67">
        <f t="shared" si="10"/>
        <v>500</v>
      </c>
      <c r="AP17" s="67">
        <f t="shared" si="10"/>
        <v>500</v>
      </c>
      <c r="AQ17" s="67">
        <f t="shared" si="10"/>
        <v>500</v>
      </c>
      <c r="AR17" s="67">
        <f t="shared" si="10"/>
        <v>500</v>
      </c>
      <c r="AS17" s="67">
        <f t="shared" si="10"/>
        <v>500</v>
      </c>
      <c r="AT17" s="67">
        <f t="shared" si="10"/>
        <v>500</v>
      </c>
      <c r="AU17" s="67">
        <f t="shared" si="10"/>
        <v>500</v>
      </c>
      <c r="AV17" s="67">
        <f t="shared" si="10"/>
        <v>500</v>
      </c>
      <c r="AW17" s="67">
        <f t="shared" si="10"/>
        <v>500</v>
      </c>
      <c r="AX17" s="67">
        <f t="shared" si="10"/>
        <v>500</v>
      </c>
      <c r="AY17" s="67">
        <f t="shared" si="10"/>
        <v>500</v>
      </c>
      <c r="AZ17" s="67">
        <f t="shared" si="10"/>
        <v>500</v>
      </c>
      <c r="BA17" s="67">
        <f t="shared" si="10"/>
        <v>500</v>
      </c>
      <c r="BB17" s="67">
        <f t="shared" si="10"/>
        <v>500</v>
      </c>
      <c r="BC17" s="67" t="str">
        <f t="shared" si="10"/>
        <v/>
      </c>
      <c r="BD17" s="67" t="str">
        <f t="shared" si="10"/>
        <v/>
      </c>
      <c r="BE17" s="67" t="str">
        <f t="shared" si="10"/>
        <v/>
      </c>
      <c r="BF17" s="67" t="str">
        <f t="shared" si="10"/>
        <v/>
      </c>
      <c r="BG17" s="67" t="str">
        <f t="shared" si="10"/>
        <v/>
      </c>
      <c r="BH17" s="67" t="str">
        <f t="shared" si="10"/>
        <v/>
      </c>
      <c r="BI17" s="67" t="str">
        <f t="shared" si="10"/>
        <v/>
      </c>
      <c r="BJ17" s="67" t="str">
        <f t="shared" si="10"/>
        <v/>
      </c>
      <c r="BK17" s="67" t="str">
        <f t="shared" si="10"/>
        <v/>
      </c>
      <c r="BL17" s="67" t="str">
        <f t="shared" si="10"/>
        <v/>
      </c>
      <c r="BM17" s="67" t="str">
        <f t="shared" si="10"/>
        <v/>
      </c>
      <c r="BN17" s="31"/>
    </row>
    <row r="18" spans="2:66" ht="24" customHeight="1" x14ac:dyDescent="0.3">
      <c r="B18" s="920"/>
      <c r="C18" s="921"/>
      <c r="D18" s="921"/>
      <c r="E18" s="921"/>
      <c r="F18" s="955"/>
      <c r="G18" s="919"/>
      <c r="H18" s="33" t="s">
        <v>45</v>
      </c>
      <c r="I18" s="34"/>
      <c r="J18" s="35"/>
      <c r="K18" s="35"/>
      <c r="L18" s="52"/>
      <c r="M18" s="36" t="s">
        <v>122</v>
      </c>
      <c r="N18" s="35" t="s">
        <v>35</v>
      </c>
      <c r="O18" s="35" t="s">
        <v>35</v>
      </c>
      <c r="P18" s="35" t="s">
        <v>35</v>
      </c>
      <c r="Q18" s="35" t="s">
        <v>35</v>
      </c>
      <c r="R18" s="35" t="s">
        <v>35</v>
      </c>
      <c r="S18" s="35" t="s">
        <v>35</v>
      </c>
      <c r="T18" s="35" t="s">
        <v>35</v>
      </c>
      <c r="U18" s="35" t="s">
        <v>35</v>
      </c>
      <c r="V18" s="35" t="s">
        <v>35</v>
      </c>
      <c r="W18" s="35" t="s">
        <v>35</v>
      </c>
      <c r="X18" s="229">
        <v>1400</v>
      </c>
      <c r="Y18" s="35">
        <v>1250</v>
      </c>
      <c r="Z18" s="35">
        <v>1250</v>
      </c>
      <c r="AA18" s="35">
        <v>500</v>
      </c>
      <c r="AB18" s="35">
        <v>500</v>
      </c>
      <c r="AC18" s="35">
        <v>500</v>
      </c>
      <c r="AD18" s="35">
        <v>500</v>
      </c>
      <c r="AE18" s="35">
        <v>500</v>
      </c>
      <c r="AF18" s="35">
        <v>1250</v>
      </c>
      <c r="AG18" s="35">
        <v>500</v>
      </c>
      <c r="AH18" s="35">
        <v>500</v>
      </c>
      <c r="AI18" s="35">
        <v>500</v>
      </c>
      <c r="AJ18" s="35">
        <v>500</v>
      </c>
      <c r="AK18" s="35">
        <v>500</v>
      </c>
      <c r="AL18" s="35">
        <v>500</v>
      </c>
      <c r="AM18" s="35">
        <v>500</v>
      </c>
      <c r="AN18" s="35">
        <v>500</v>
      </c>
      <c r="AO18" s="35">
        <v>500</v>
      </c>
      <c r="AP18" s="35">
        <v>500</v>
      </c>
      <c r="AQ18" s="35">
        <v>500</v>
      </c>
      <c r="AR18" s="35">
        <v>500</v>
      </c>
      <c r="AS18" s="35">
        <v>500</v>
      </c>
      <c r="AT18" s="35">
        <v>500</v>
      </c>
      <c r="AU18" s="35">
        <v>500</v>
      </c>
      <c r="AV18" s="35">
        <v>500</v>
      </c>
      <c r="AW18" s="35">
        <v>500</v>
      </c>
      <c r="AX18" s="35">
        <v>500</v>
      </c>
      <c r="AY18" s="35">
        <v>500</v>
      </c>
      <c r="AZ18" s="35">
        <v>500</v>
      </c>
      <c r="BA18" s="35">
        <v>500</v>
      </c>
      <c r="BB18" s="35">
        <v>500</v>
      </c>
      <c r="BC18" s="35"/>
      <c r="BD18" s="35"/>
      <c r="BE18" s="35"/>
      <c r="BF18" s="35"/>
      <c r="BG18" s="35"/>
      <c r="BH18" s="35"/>
      <c r="BI18" s="35"/>
      <c r="BJ18" s="35"/>
      <c r="BK18" s="35"/>
      <c r="BL18" s="35"/>
      <c r="BM18" s="35"/>
      <c r="BN18" s="37"/>
    </row>
    <row r="19" spans="2:66" ht="24" customHeight="1" thickBot="1" x14ac:dyDescent="0.35">
      <c r="B19" s="920"/>
      <c r="C19" s="921"/>
      <c r="D19" s="921"/>
      <c r="E19" s="921"/>
      <c r="F19" s="956"/>
      <c r="G19" s="919"/>
      <c r="H19" s="38" t="s">
        <v>46</v>
      </c>
      <c r="I19" s="43"/>
      <c r="J19" s="44"/>
      <c r="K19" s="44"/>
      <c r="L19" s="54"/>
      <c r="M19" s="40" t="str">
        <f>IF(M$6&gt;$E$3,"",IF(M18="","OD",IF(M18="Blank","Blank",IF(M18="TBC","TBC",IF(M18="Undefined","Undefined",IF(M18="Missed","Missed",IF(M18="OD","OD",IF(M$4="OD","OD",IF((M18-M17)&gt;=0,"G",IF((M18-(M17*0.95))&gt;=0,"A","R"))))))))))</f>
        <v>Blank</v>
      </c>
      <c r="N19" s="40" t="str">
        <f t="shared" ref="N19:BM19" si="11">IF(N$6&gt;$E$3,"",IF(N18="","OD",IF(N18="Blank","Blank",IF(N18="TBC","TBC",IF(N18="Undefined","Undefined",IF(N18="Missed","Missed",IF(N18="OD","OD",IF(N$4="OD","OD",IF((N18-N17)&gt;=0,"G",IF((N18-(N17*0.95))&gt;=0,"A","R"))))))))))</f>
        <v>TBC</v>
      </c>
      <c r="O19" s="40" t="str">
        <f t="shared" si="11"/>
        <v>TBC</v>
      </c>
      <c r="P19" s="40" t="str">
        <f t="shared" si="11"/>
        <v>TBC</v>
      </c>
      <c r="Q19" s="40" t="str">
        <f t="shared" si="11"/>
        <v>TBC</v>
      </c>
      <c r="R19" s="40" t="str">
        <f t="shared" si="11"/>
        <v>TBC</v>
      </c>
      <c r="S19" s="40" t="str">
        <f t="shared" si="11"/>
        <v>TBC</v>
      </c>
      <c r="T19" s="40" t="str">
        <f t="shared" si="11"/>
        <v>TBC</v>
      </c>
      <c r="U19" s="40" t="str">
        <f t="shared" si="11"/>
        <v>TBC</v>
      </c>
      <c r="V19" s="40" t="str">
        <f t="shared" si="11"/>
        <v>TBC</v>
      </c>
      <c r="W19" s="40" t="str">
        <f t="shared" si="11"/>
        <v>TBC</v>
      </c>
      <c r="X19" s="40" t="str">
        <f t="shared" si="11"/>
        <v>G</v>
      </c>
      <c r="Y19" s="40" t="str">
        <f t="shared" si="11"/>
        <v>G</v>
      </c>
      <c r="Z19" s="40" t="str">
        <f t="shared" si="11"/>
        <v>G</v>
      </c>
      <c r="AA19" s="40" t="str">
        <f t="shared" si="11"/>
        <v>G</v>
      </c>
      <c r="AB19" s="40" t="str">
        <f t="shared" si="11"/>
        <v>G</v>
      </c>
      <c r="AC19" s="40" t="str">
        <f t="shared" si="11"/>
        <v>G</v>
      </c>
      <c r="AD19" s="40" t="str">
        <f t="shared" si="11"/>
        <v>G</v>
      </c>
      <c r="AE19" s="40" t="str">
        <f t="shared" si="11"/>
        <v>G</v>
      </c>
      <c r="AF19" s="40" t="str">
        <f t="shared" si="11"/>
        <v>G</v>
      </c>
      <c r="AG19" s="40" t="str">
        <f t="shared" si="11"/>
        <v>G</v>
      </c>
      <c r="AH19" s="40" t="str">
        <f t="shared" si="11"/>
        <v>G</v>
      </c>
      <c r="AI19" s="40" t="str">
        <f t="shared" si="11"/>
        <v>G</v>
      </c>
      <c r="AJ19" s="40" t="str">
        <f t="shared" si="11"/>
        <v>G</v>
      </c>
      <c r="AK19" s="40" t="str">
        <f t="shared" si="11"/>
        <v>G</v>
      </c>
      <c r="AL19" s="40" t="str">
        <f t="shared" si="11"/>
        <v>G</v>
      </c>
      <c r="AM19" s="40" t="str">
        <f t="shared" si="11"/>
        <v>G</v>
      </c>
      <c r="AN19" s="40" t="str">
        <f t="shared" si="11"/>
        <v>G</v>
      </c>
      <c r="AO19" s="40" t="str">
        <f t="shared" si="11"/>
        <v>G</v>
      </c>
      <c r="AP19" s="40" t="str">
        <f t="shared" si="11"/>
        <v>G</v>
      </c>
      <c r="AQ19" s="40" t="str">
        <f t="shared" si="11"/>
        <v>G</v>
      </c>
      <c r="AR19" s="40" t="str">
        <f t="shared" si="11"/>
        <v>G</v>
      </c>
      <c r="AS19" s="40" t="str">
        <f t="shared" si="11"/>
        <v>G</v>
      </c>
      <c r="AT19" s="40" t="str">
        <f t="shared" si="11"/>
        <v>G</v>
      </c>
      <c r="AU19" s="40" t="str">
        <f t="shared" si="11"/>
        <v>G</v>
      </c>
      <c r="AV19" s="40" t="str">
        <f t="shared" si="11"/>
        <v>G</v>
      </c>
      <c r="AW19" s="40" t="str">
        <f t="shared" si="11"/>
        <v>G</v>
      </c>
      <c r="AX19" s="40" t="str">
        <f t="shared" si="11"/>
        <v>G</v>
      </c>
      <c r="AY19" s="40" t="str">
        <f t="shared" si="11"/>
        <v>G</v>
      </c>
      <c r="AZ19" s="40" t="str">
        <f t="shared" si="11"/>
        <v>G</v>
      </c>
      <c r="BA19" s="40" t="str">
        <f t="shared" si="11"/>
        <v>G</v>
      </c>
      <c r="BB19" s="40" t="str">
        <f t="shared" si="11"/>
        <v>G</v>
      </c>
      <c r="BC19" s="40" t="str">
        <f t="shared" si="11"/>
        <v/>
      </c>
      <c r="BD19" s="40" t="str">
        <f t="shared" si="11"/>
        <v/>
      </c>
      <c r="BE19" s="40" t="str">
        <f t="shared" si="11"/>
        <v/>
      </c>
      <c r="BF19" s="40" t="str">
        <f t="shared" si="11"/>
        <v/>
      </c>
      <c r="BG19" s="40" t="str">
        <f t="shared" si="11"/>
        <v/>
      </c>
      <c r="BH19" s="40" t="str">
        <f t="shared" si="11"/>
        <v/>
      </c>
      <c r="BI19" s="40" t="str">
        <f t="shared" si="11"/>
        <v/>
      </c>
      <c r="BJ19" s="40" t="str">
        <f t="shared" si="11"/>
        <v/>
      </c>
      <c r="BK19" s="40" t="str">
        <f t="shared" si="11"/>
        <v/>
      </c>
      <c r="BL19" s="40" t="str">
        <f t="shared" si="11"/>
        <v/>
      </c>
      <c r="BM19" s="40" t="str">
        <f t="shared" si="11"/>
        <v/>
      </c>
      <c r="BN19" s="42"/>
    </row>
    <row r="22" spans="2:66" ht="15.6" x14ac:dyDescent="0.3">
      <c r="B22" s="1" t="s">
        <v>0</v>
      </c>
      <c r="C22" s="45" t="s">
        <v>1</v>
      </c>
    </row>
    <row r="23" spans="2:66" ht="15.6" x14ac:dyDescent="0.3">
      <c r="B23" s="4" t="s">
        <v>2</v>
      </c>
      <c r="C23" s="45" t="s">
        <v>3</v>
      </c>
    </row>
    <row r="24" spans="2:66" ht="15.6" x14ac:dyDescent="0.3">
      <c r="B24" s="5" t="s">
        <v>4</v>
      </c>
      <c r="C24" s="45" t="s">
        <v>5</v>
      </c>
    </row>
    <row r="25" spans="2:66" x14ac:dyDescent="0.3">
      <c r="B25" s="340" t="s">
        <v>35</v>
      </c>
      <c r="C25" s="13" t="s">
        <v>376</v>
      </c>
    </row>
    <row r="26" spans="2:66" x14ac:dyDescent="0.3">
      <c r="B26" s="341" t="s">
        <v>122</v>
      </c>
      <c r="C26" s="13" t="s">
        <v>377</v>
      </c>
    </row>
  </sheetData>
  <mergeCells count="26">
    <mergeCell ref="G17:G19"/>
    <mergeCell ref="B14:B16"/>
    <mergeCell ref="C14:C16"/>
    <mergeCell ref="D14:D16"/>
    <mergeCell ref="E14:E16"/>
    <mergeCell ref="F14:F16"/>
    <mergeCell ref="G14:G16"/>
    <mergeCell ref="B17:B19"/>
    <mergeCell ref="C17:C19"/>
    <mergeCell ref="D17:D19"/>
    <mergeCell ref="E17:E19"/>
    <mergeCell ref="F17:F19"/>
    <mergeCell ref="G11:G13"/>
    <mergeCell ref="C6:D6"/>
    <mergeCell ref="G6:G7"/>
    <mergeCell ref="B8:B10"/>
    <mergeCell ref="C8:C10"/>
    <mergeCell ref="D8:D10"/>
    <mergeCell ref="E8:E10"/>
    <mergeCell ref="F8:F10"/>
    <mergeCell ref="G8:G10"/>
    <mergeCell ref="B11:B13"/>
    <mergeCell ref="C11:C13"/>
    <mergeCell ref="D11:D13"/>
    <mergeCell ref="E11:E13"/>
    <mergeCell ref="F11:F13"/>
  </mergeCells>
  <conditionalFormatting sqref="B26">
    <cfRule type="cellIs" dxfId="159" priority="41" operator="equal">
      <formula>"TBC"</formula>
    </cfRule>
    <cfRule type="cellIs" dxfId="158" priority="42" operator="equal">
      <formula>"OD"</formula>
    </cfRule>
    <cfRule type="cellIs" dxfId="157" priority="43" operator="equal">
      <formula>"G"</formula>
    </cfRule>
    <cfRule type="cellIs" dxfId="156" priority="44" operator="equal">
      <formula>"A"</formula>
    </cfRule>
    <cfRule type="cellIs" dxfId="155" priority="45" operator="equal">
      <formula>"R"</formula>
    </cfRule>
  </conditionalFormatting>
  <conditionalFormatting sqref="I10:BM10">
    <cfRule type="cellIs" dxfId="154" priority="16" operator="equal">
      <formula>"OD"</formula>
    </cfRule>
    <cfRule type="cellIs" dxfId="153" priority="17" operator="equal">
      <formula>"TBC"</formula>
    </cfRule>
    <cfRule type="cellIs" dxfId="152" priority="18" operator="equal">
      <formula>"G"</formula>
    </cfRule>
    <cfRule type="cellIs" dxfId="151" priority="19" operator="equal">
      <formula>"A"</formula>
    </cfRule>
    <cfRule type="cellIs" dxfId="150" priority="20" operator="equal">
      <formula>"R"</formula>
    </cfRule>
  </conditionalFormatting>
  <conditionalFormatting sqref="I13:BM13">
    <cfRule type="cellIs" dxfId="149" priority="11" operator="equal">
      <formula>"OD"</formula>
    </cfRule>
    <cfRule type="cellIs" dxfId="148" priority="12" operator="equal">
      <formula>"TBC"</formula>
    </cfRule>
    <cfRule type="cellIs" dxfId="147" priority="13" operator="equal">
      <formula>"G"</formula>
    </cfRule>
    <cfRule type="cellIs" dxfId="146" priority="14" operator="equal">
      <formula>"A"</formula>
    </cfRule>
    <cfRule type="cellIs" dxfId="145" priority="15" operator="equal">
      <formula>"R"</formula>
    </cfRule>
  </conditionalFormatting>
  <conditionalFormatting sqref="I16:BM16">
    <cfRule type="cellIs" dxfId="144" priority="1" operator="equal">
      <formula>"OD"</formula>
    </cfRule>
    <cfRule type="cellIs" dxfId="143" priority="2" operator="equal">
      <formula>"TBC"</formula>
    </cfRule>
    <cfRule type="cellIs" dxfId="142" priority="3" operator="equal">
      <formula>"G"</formula>
    </cfRule>
    <cfRule type="cellIs" dxfId="141" priority="4" operator="equal">
      <formula>"A"</formula>
    </cfRule>
    <cfRule type="cellIs" dxfId="140" priority="5" operator="equal">
      <formula>"R"</formula>
    </cfRule>
  </conditionalFormatting>
  <conditionalFormatting sqref="I19:BM19">
    <cfRule type="cellIs" dxfId="139" priority="6" operator="equal">
      <formula>"OD"</formula>
    </cfRule>
    <cfRule type="cellIs" dxfId="138" priority="7" operator="equal">
      <formula>"TBC"</formula>
    </cfRule>
    <cfRule type="cellIs" dxfId="137" priority="8" operator="equal">
      <formula>"G"</formula>
    </cfRule>
    <cfRule type="cellIs" dxfId="136" priority="9" operator="equal">
      <formula>"A"</formula>
    </cfRule>
    <cfRule type="cellIs" dxfId="135" priority="10" operator="equal">
      <formula>"R"</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8ED35-4492-4F8C-987D-5A512F32F73F}">
  <sheetPr>
    <tabColor rgb="FF00B050"/>
  </sheetPr>
  <dimension ref="B1:BN26"/>
  <sheetViews>
    <sheetView zoomScale="80" zoomScaleNormal="80" workbookViewId="0">
      <pane xSplit="8" ySplit="7" topLeftCell="AJ8" activePane="bottomRight" state="frozen"/>
      <selection pane="topRight" activeCell="I1" sqref="I1"/>
      <selection pane="bottomLeft" activeCell="A8" sqref="A8"/>
      <selection pane="bottomRight" activeCell="AZ27" sqref="AZ27"/>
    </sheetView>
  </sheetViews>
  <sheetFormatPr defaultColWidth="9.33203125" defaultRowHeight="14.4" x14ac:dyDescent="0.3"/>
  <cols>
    <col min="1" max="1" width="3" style="2" customWidth="1"/>
    <col min="2" max="2" width="18" style="2" customWidth="1"/>
    <col min="3" max="3" width="16.5546875" style="13" bestFit="1" customWidth="1"/>
    <col min="4" max="4" width="20.6640625" style="2" customWidth="1"/>
    <col min="5" max="5" width="13.33203125" style="2" customWidth="1"/>
    <col min="6" max="6" width="9.44140625" style="2" customWidth="1"/>
    <col min="7" max="7" width="31.33203125" style="2" customWidth="1"/>
    <col min="8" max="8" width="9.44140625" style="2" bestFit="1" customWidth="1"/>
    <col min="9" max="11" width="4" style="2" bestFit="1" customWidth="1"/>
    <col min="12" max="12" width="3" style="2" bestFit="1" customWidth="1"/>
    <col min="13" max="65" width="7.33203125" style="2" customWidth="1"/>
    <col min="66" max="66" width="7.6640625" style="2" hidden="1"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18.600000000000001" thickBot="1" x14ac:dyDescent="0.35">
      <c r="B1" s="14" t="s">
        <v>121</v>
      </c>
      <c r="C1" s="10" t="s">
        <v>119</v>
      </c>
    </row>
    <row r="2" spans="2:66" ht="15" thickBot="1" x14ac:dyDescent="0.35">
      <c r="D2" s="119" t="s">
        <v>123</v>
      </c>
      <c r="E2" s="310">
        <v>42</v>
      </c>
      <c r="F2" s="2" t="s">
        <v>248</v>
      </c>
    </row>
    <row r="3" spans="2:66" ht="15" thickBot="1" x14ac:dyDescent="0.35">
      <c r="B3" s="2" t="s">
        <v>384</v>
      </c>
      <c r="D3" s="120" t="s">
        <v>193</v>
      </c>
      <c r="E3" s="120">
        <f>+'KPI Analysis'!D3</f>
        <v>42</v>
      </c>
    </row>
    <row r="4" spans="2:66" ht="15.6"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5" thickBot="1" x14ac:dyDescent="0.35"/>
    <row r="6" spans="2:66" ht="24" customHeight="1" x14ac:dyDescent="0.3">
      <c r="B6" s="14" t="s">
        <v>79</v>
      </c>
      <c r="C6" s="926" t="s">
        <v>127</v>
      </c>
      <c r="D6" s="927"/>
      <c r="E6" s="106"/>
      <c r="F6" s="106"/>
      <c r="G6" s="928" t="s">
        <v>37</v>
      </c>
      <c r="H6" s="15" t="s">
        <v>7</v>
      </c>
      <c r="I6" s="16">
        <f>J6-1</f>
        <v>49</v>
      </c>
      <c r="J6" s="17">
        <f>K6-1</f>
        <v>50</v>
      </c>
      <c r="K6" s="17">
        <f>L6-1</f>
        <v>51</v>
      </c>
      <c r="L6" s="55">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49.2" customHeight="1" x14ac:dyDescent="0.3">
      <c r="B7" s="14" t="s">
        <v>38</v>
      </c>
      <c r="C7" s="21" t="s">
        <v>39</v>
      </c>
      <c r="D7" s="21" t="s">
        <v>40</v>
      </c>
      <c r="E7" s="21" t="s">
        <v>140</v>
      </c>
      <c r="F7" s="21" t="s">
        <v>159</v>
      </c>
      <c r="G7" s="929"/>
      <c r="H7" s="15" t="s">
        <v>41</v>
      </c>
      <c r="I7" s="22">
        <f t="shared" ref="I7:K7" si="2">J7-7</f>
        <v>45632</v>
      </c>
      <c r="J7" s="23">
        <f t="shared" si="2"/>
        <v>45639</v>
      </c>
      <c r="K7" s="23">
        <f t="shared" si="2"/>
        <v>45646</v>
      </c>
      <c r="L7" s="56">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24" customHeight="1" x14ac:dyDescent="0.3">
      <c r="B8" s="920" t="s">
        <v>30</v>
      </c>
      <c r="C8" s="922" t="s">
        <v>51</v>
      </c>
      <c r="D8" s="922"/>
      <c r="E8" s="922"/>
      <c r="F8" s="921" t="s">
        <v>154</v>
      </c>
      <c r="G8" s="957"/>
      <c r="H8" s="27" t="s">
        <v>44</v>
      </c>
      <c r="I8" s="28"/>
      <c r="J8" s="29"/>
      <c r="K8" s="29"/>
      <c r="L8" s="51">
        <v>0</v>
      </c>
      <c r="M8" s="30">
        <v>0</v>
      </c>
      <c r="N8" s="30" t="s">
        <v>182</v>
      </c>
      <c r="O8" s="29" t="s">
        <v>182</v>
      </c>
      <c r="P8" s="29" t="s">
        <v>182</v>
      </c>
      <c r="Q8" s="29" t="s">
        <v>182</v>
      </c>
      <c r="R8" s="29" t="s">
        <v>182</v>
      </c>
      <c r="S8" s="29" t="s">
        <v>182</v>
      </c>
      <c r="T8" s="29" t="s">
        <v>182</v>
      </c>
      <c r="U8" s="29" t="s">
        <v>182</v>
      </c>
      <c r="V8" s="29" t="s">
        <v>182</v>
      </c>
      <c r="W8" s="29" t="s">
        <v>182</v>
      </c>
      <c r="X8" s="29" t="s">
        <v>182</v>
      </c>
      <c r="Y8" s="29" t="s">
        <v>182</v>
      </c>
      <c r="Z8" s="29" t="s">
        <v>182</v>
      </c>
      <c r="AA8" s="29" t="s">
        <v>182</v>
      </c>
      <c r="AB8" s="29" t="s">
        <v>182</v>
      </c>
      <c r="AC8" s="29" t="s">
        <v>182</v>
      </c>
      <c r="AD8" s="29" t="s">
        <v>182</v>
      </c>
      <c r="AE8" s="29" t="s">
        <v>182</v>
      </c>
      <c r="AF8" s="29" t="s">
        <v>182</v>
      </c>
      <c r="AG8" s="29" t="s">
        <v>182</v>
      </c>
      <c r="AH8" s="29" t="s">
        <v>182</v>
      </c>
      <c r="AI8" s="29" t="s">
        <v>182</v>
      </c>
      <c r="AJ8" s="67" t="str">
        <f>IF(AJ$6&gt;$E$3,"","undefined")</f>
        <v>undefined</v>
      </c>
      <c r="AK8" s="67" t="str">
        <f t="shared" ref="AK8:BM8" si="4">IF(AK$6&gt;$E$3,"","undefined")</f>
        <v>undefined</v>
      </c>
      <c r="AL8" s="67" t="str">
        <f t="shared" si="4"/>
        <v>undefined</v>
      </c>
      <c r="AM8" s="67" t="str">
        <f t="shared" si="4"/>
        <v>undefined</v>
      </c>
      <c r="AN8" s="67" t="str">
        <f t="shared" si="4"/>
        <v>undefined</v>
      </c>
      <c r="AO8" s="67" t="str">
        <f t="shared" si="4"/>
        <v>undefined</v>
      </c>
      <c r="AP8" s="67" t="str">
        <f t="shared" si="4"/>
        <v>undefined</v>
      </c>
      <c r="AQ8" s="67" t="str">
        <f t="shared" si="4"/>
        <v>undefined</v>
      </c>
      <c r="AR8" s="67" t="str">
        <f t="shared" si="4"/>
        <v>undefined</v>
      </c>
      <c r="AS8" s="67" t="str">
        <f t="shared" si="4"/>
        <v>undefined</v>
      </c>
      <c r="AT8" s="67" t="str">
        <f t="shared" si="4"/>
        <v>undefined</v>
      </c>
      <c r="AU8" s="67" t="str">
        <f t="shared" si="4"/>
        <v>undefined</v>
      </c>
      <c r="AV8" s="67" t="str">
        <f t="shared" si="4"/>
        <v>undefined</v>
      </c>
      <c r="AW8" s="67" t="str">
        <f t="shared" si="4"/>
        <v>undefined</v>
      </c>
      <c r="AX8" s="67" t="str">
        <f t="shared" si="4"/>
        <v>undefined</v>
      </c>
      <c r="AY8" s="67" t="str">
        <f t="shared" si="4"/>
        <v>undefined</v>
      </c>
      <c r="AZ8" s="67" t="str">
        <f t="shared" si="4"/>
        <v>undefined</v>
      </c>
      <c r="BA8" s="67" t="str">
        <f t="shared" si="4"/>
        <v>undefined</v>
      </c>
      <c r="BB8" s="67" t="str">
        <f t="shared" si="4"/>
        <v>undefined</v>
      </c>
      <c r="BC8" s="67" t="str">
        <f t="shared" si="4"/>
        <v/>
      </c>
      <c r="BD8" s="67" t="str">
        <f t="shared" si="4"/>
        <v/>
      </c>
      <c r="BE8" s="67" t="str">
        <f t="shared" si="4"/>
        <v/>
      </c>
      <c r="BF8" s="67" t="str">
        <f t="shared" si="4"/>
        <v/>
      </c>
      <c r="BG8" s="67" t="str">
        <f t="shared" si="4"/>
        <v/>
      </c>
      <c r="BH8" s="67" t="str">
        <f t="shared" si="4"/>
        <v/>
      </c>
      <c r="BI8" s="67" t="str">
        <f t="shared" si="4"/>
        <v/>
      </c>
      <c r="BJ8" s="67" t="str">
        <f t="shared" si="4"/>
        <v/>
      </c>
      <c r="BK8" s="67" t="str">
        <f t="shared" si="4"/>
        <v/>
      </c>
      <c r="BL8" s="67" t="str">
        <f t="shared" si="4"/>
        <v/>
      </c>
      <c r="BM8" s="67" t="str">
        <f t="shared" si="4"/>
        <v/>
      </c>
      <c r="BN8" s="32"/>
    </row>
    <row r="9" spans="2:66" ht="24" customHeight="1" x14ac:dyDescent="0.3">
      <c r="B9" s="920"/>
      <c r="C9" s="921"/>
      <c r="D9" s="921"/>
      <c r="E9" s="921"/>
      <c r="F9" s="921"/>
      <c r="G9" s="953"/>
      <c r="H9" s="33" t="s">
        <v>45</v>
      </c>
      <c r="I9" s="34"/>
      <c r="J9" s="35"/>
      <c r="K9" s="35"/>
      <c r="L9" s="52"/>
      <c r="M9" s="36" t="s">
        <v>122</v>
      </c>
      <c r="N9" s="35" t="s">
        <v>182</v>
      </c>
      <c r="O9" s="35" t="s">
        <v>182</v>
      </c>
      <c r="P9" s="35" t="s">
        <v>182</v>
      </c>
      <c r="Q9" s="35" t="s">
        <v>182</v>
      </c>
      <c r="R9" s="35" t="s">
        <v>182</v>
      </c>
      <c r="S9" s="35" t="s">
        <v>182</v>
      </c>
      <c r="T9" s="35" t="s">
        <v>182</v>
      </c>
      <c r="U9" s="35" t="s">
        <v>182</v>
      </c>
      <c r="V9" s="35" t="s">
        <v>182</v>
      </c>
      <c r="W9" s="35" t="s">
        <v>182</v>
      </c>
      <c r="X9" s="35" t="s">
        <v>182</v>
      </c>
      <c r="Y9" s="35" t="s">
        <v>182</v>
      </c>
      <c r="Z9" s="35" t="s">
        <v>182</v>
      </c>
      <c r="AA9" s="35" t="s">
        <v>182</v>
      </c>
      <c r="AB9" s="35" t="s">
        <v>182</v>
      </c>
      <c r="AC9" s="35" t="s">
        <v>182</v>
      </c>
      <c r="AD9" s="35" t="s">
        <v>182</v>
      </c>
      <c r="AE9" s="35" t="s">
        <v>182</v>
      </c>
      <c r="AF9" s="35" t="s">
        <v>182</v>
      </c>
      <c r="AG9" s="35" t="s">
        <v>182</v>
      </c>
      <c r="AH9" s="35" t="s">
        <v>182</v>
      </c>
      <c r="AI9" s="35" t="s">
        <v>182</v>
      </c>
      <c r="AJ9" s="35" t="s">
        <v>182</v>
      </c>
      <c r="AK9" s="35" t="s">
        <v>182</v>
      </c>
      <c r="AL9" s="35" t="s">
        <v>182</v>
      </c>
      <c r="AM9" s="35" t="s">
        <v>182</v>
      </c>
      <c r="AN9" s="35" t="s">
        <v>182</v>
      </c>
      <c r="AO9" s="35" t="s">
        <v>182</v>
      </c>
      <c r="AP9" s="35" t="s">
        <v>182</v>
      </c>
      <c r="AQ9" s="35" t="s">
        <v>182</v>
      </c>
      <c r="AR9" s="35" t="s">
        <v>182</v>
      </c>
      <c r="AS9" s="35" t="s">
        <v>182</v>
      </c>
      <c r="AT9" s="35" t="s">
        <v>182</v>
      </c>
      <c r="AU9" s="35" t="s">
        <v>182</v>
      </c>
      <c r="AV9" s="35" t="s">
        <v>182</v>
      </c>
      <c r="AW9" s="35" t="s">
        <v>182</v>
      </c>
      <c r="AX9" s="35" t="s">
        <v>182</v>
      </c>
      <c r="AY9" s="35" t="s">
        <v>182</v>
      </c>
      <c r="AZ9" s="35" t="s">
        <v>182</v>
      </c>
      <c r="BA9" s="35" t="s">
        <v>182</v>
      </c>
      <c r="BB9" s="35" t="s">
        <v>182</v>
      </c>
      <c r="BC9" s="35"/>
      <c r="BD9" s="35"/>
      <c r="BE9" s="35"/>
      <c r="BF9" s="35"/>
      <c r="BG9" s="35"/>
      <c r="BH9" s="35"/>
      <c r="BI9" s="35"/>
      <c r="BJ9" s="35"/>
      <c r="BK9" s="35"/>
      <c r="BL9" s="35"/>
      <c r="BM9" s="35"/>
      <c r="BN9" s="37"/>
    </row>
    <row r="10" spans="2:66" ht="24" customHeight="1" x14ac:dyDescent="0.3">
      <c r="B10" s="920"/>
      <c r="C10" s="921"/>
      <c r="D10" s="921"/>
      <c r="E10" s="921"/>
      <c r="F10" s="921"/>
      <c r="G10" s="953"/>
      <c r="H10" s="38" t="s">
        <v>46</v>
      </c>
      <c r="I10" s="39" t="str">
        <f>IF(I9="","",IF((I9-I8)&gt;=0,"G",IF((I9/I8&lt;=0.9),"R","A")))</f>
        <v/>
      </c>
      <c r="J10" s="40" t="str">
        <f t="shared" ref="J10:L10" si="5">IF(J9="","",IF((J9-J8)&gt;=0,"G",IF((J9/J8&lt;=0.9),"R","A")))</f>
        <v/>
      </c>
      <c r="K10" s="40" t="str">
        <f t="shared" si="5"/>
        <v/>
      </c>
      <c r="L10" s="53" t="str">
        <f t="shared" si="5"/>
        <v/>
      </c>
      <c r="M10" s="40" t="str">
        <f>IF(M$6&gt;$E$3,"",IF(M9="","OD",IF(M9="Blank","Blank",IF(M9="TBC","TBC",IF(M9="Undefined","Undefined",IF(M9="Missed","Missed",IF(M9="OD","OD",IF(M$4="OD","OD",IF((M9-M8)&gt;=0,"G",IF((M9-(M8*0.95))&gt;=0,"A","R"))))))))))</f>
        <v>Blank</v>
      </c>
      <c r="N10" s="40" t="str">
        <f t="shared" ref="N10:BM10" si="6">IF(N$6&gt;$E$3,"",IF(N9="","OD",IF(N9="Blank","Blank",IF(N9="TBC","TBC",IF(N9="Undefined","Undefined",IF(N9="Missed","Missed",IF(N9="OD","OD",IF(N$4="OD","OD",IF((N9-N8)&gt;=0,"G",IF((N9-(N8*0.95))&gt;=0,"A","R"))))))))))</f>
        <v>Undefined</v>
      </c>
      <c r="O10" s="40" t="str">
        <f t="shared" si="6"/>
        <v>Undefined</v>
      </c>
      <c r="P10" s="40" t="str">
        <f t="shared" si="6"/>
        <v>Undefined</v>
      </c>
      <c r="Q10" s="40" t="str">
        <f t="shared" si="6"/>
        <v>Undefined</v>
      </c>
      <c r="R10" s="40" t="str">
        <f t="shared" si="6"/>
        <v>Undefined</v>
      </c>
      <c r="S10" s="40" t="str">
        <f t="shared" si="6"/>
        <v>Undefined</v>
      </c>
      <c r="T10" s="40" t="str">
        <f t="shared" si="6"/>
        <v>Undefined</v>
      </c>
      <c r="U10" s="40" t="str">
        <f t="shared" si="6"/>
        <v>Undefined</v>
      </c>
      <c r="V10" s="40" t="str">
        <f t="shared" si="6"/>
        <v>Undefined</v>
      </c>
      <c r="W10" s="40" t="str">
        <f t="shared" si="6"/>
        <v>Undefined</v>
      </c>
      <c r="X10" s="40" t="str">
        <f t="shared" si="6"/>
        <v>Undefined</v>
      </c>
      <c r="Y10" s="40" t="str">
        <f t="shared" si="6"/>
        <v>Undefined</v>
      </c>
      <c r="Z10" s="40" t="str">
        <f t="shared" si="6"/>
        <v>Undefined</v>
      </c>
      <c r="AA10" s="40" t="str">
        <f t="shared" si="6"/>
        <v>Undefined</v>
      </c>
      <c r="AB10" s="40" t="str">
        <f t="shared" si="6"/>
        <v>Undefined</v>
      </c>
      <c r="AC10" s="40" t="str">
        <f t="shared" si="6"/>
        <v>Undefined</v>
      </c>
      <c r="AD10" s="40" t="str">
        <f t="shared" si="6"/>
        <v>Undefined</v>
      </c>
      <c r="AE10" s="40" t="str">
        <f t="shared" si="6"/>
        <v>Undefined</v>
      </c>
      <c r="AF10" s="40" t="str">
        <f t="shared" si="6"/>
        <v>Undefined</v>
      </c>
      <c r="AG10" s="40" t="str">
        <f t="shared" si="6"/>
        <v>Undefined</v>
      </c>
      <c r="AH10" s="40" t="str">
        <f t="shared" si="6"/>
        <v>Undefined</v>
      </c>
      <c r="AI10" s="40" t="str">
        <f t="shared" si="6"/>
        <v>Undefined</v>
      </c>
      <c r="AJ10" s="40" t="str">
        <f t="shared" si="6"/>
        <v>Undefined</v>
      </c>
      <c r="AK10" s="40" t="str">
        <f t="shared" si="6"/>
        <v>Undefined</v>
      </c>
      <c r="AL10" s="40" t="str">
        <f t="shared" si="6"/>
        <v>Undefined</v>
      </c>
      <c r="AM10" s="40" t="str">
        <f t="shared" si="6"/>
        <v>Undefined</v>
      </c>
      <c r="AN10" s="40" t="str">
        <f t="shared" si="6"/>
        <v>Undefined</v>
      </c>
      <c r="AO10" s="40" t="str">
        <f t="shared" si="6"/>
        <v>Undefined</v>
      </c>
      <c r="AP10" s="40" t="str">
        <f t="shared" si="6"/>
        <v>Undefined</v>
      </c>
      <c r="AQ10" s="40" t="str">
        <f t="shared" si="6"/>
        <v>Undefined</v>
      </c>
      <c r="AR10" s="40" t="str">
        <f t="shared" si="6"/>
        <v>Undefined</v>
      </c>
      <c r="AS10" s="40" t="str">
        <f t="shared" si="6"/>
        <v>Undefined</v>
      </c>
      <c r="AT10" s="40" t="str">
        <f t="shared" si="6"/>
        <v>Undefined</v>
      </c>
      <c r="AU10" s="40" t="str">
        <f t="shared" si="6"/>
        <v>Undefined</v>
      </c>
      <c r="AV10" s="40" t="str">
        <f t="shared" si="6"/>
        <v>Undefined</v>
      </c>
      <c r="AW10" s="40" t="str">
        <f t="shared" si="6"/>
        <v>Undefined</v>
      </c>
      <c r="AX10" s="40" t="str">
        <f t="shared" si="6"/>
        <v>Undefined</v>
      </c>
      <c r="AY10" s="40" t="str">
        <f t="shared" si="6"/>
        <v>Undefined</v>
      </c>
      <c r="AZ10" s="40" t="str">
        <f t="shared" si="6"/>
        <v>Undefined</v>
      </c>
      <c r="BA10" s="40" t="str">
        <f t="shared" si="6"/>
        <v>Undefined</v>
      </c>
      <c r="BB10" s="40" t="str">
        <f t="shared" si="6"/>
        <v>Undefined</v>
      </c>
      <c r="BC10" s="40" t="str">
        <f t="shared" si="6"/>
        <v/>
      </c>
      <c r="BD10" s="40" t="str">
        <f t="shared" si="6"/>
        <v/>
      </c>
      <c r="BE10" s="40" t="str">
        <f t="shared" si="6"/>
        <v/>
      </c>
      <c r="BF10" s="40" t="str">
        <f t="shared" si="6"/>
        <v/>
      </c>
      <c r="BG10" s="40" t="str">
        <f t="shared" si="6"/>
        <v/>
      </c>
      <c r="BH10" s="40" t="str">
        <f t="shared" si="6"/>
        <v/>
      </c>
      <c r="BI10" s="40" t="str">
        <f t="shared" si="6"/>
        <v/>
      </c>
      <c r="BJ10" s="40" t="str">
        <f t="shared" si="6"/>
        <v/>
      </c>
      <c r="BK10" s="40" t="str">
        <f t="shared" si="6"/>
        <v/>
      </c>
      <c r="BL10" s="40" t="str">
        <f t="shared" si="6"/>
        <v/>
      </c>
      <c r="BM10" s="40" t="str">
        <f t="shared" si="6"/>
        <v/>
      </c>
      <c r="BN10" s="42"/>
    </row>
    <row r="11" spans="2:66" ht="24" customHeight="1" x14ac:dyDescent="0.3">
      <c r="B11" s="920" t="s">
        <v>33</v>
      </c>
      <c r="C11" s="921" t="s">
        <v>623</v>
      </c>
      <c r="D11" s="921"/>
      <c r="E11" s="921" t="s">
        <v>142</v>
      </c>
      <c r="F11" s="921" t="s">
        <v>154</v>
      </c>
      <c r="G11" s="919"/>
      <c r="H11" s="27" t="s">
        <v>44</v>
      </c>
      <c r="I11" s="28"/>
      <c r="J11" s="29"/>
      <c r="K11" s="29"/>
      <c r="L11" s="51"/>
      <c r="M11" s="30" t="s">
        <v>122</v>
      </c>
      <c r="N11" s="29" t="s">
        <v>35</v>
      </c>
      <c r="O11" s="29" t="s">
        <v>35</v>
      </c>
      <c r="P11" s="29" t="s">
        <v>35</v>
      </c>
      <c r="Q11" s="29" t="s">
        <v>35</v>
      </c>
      <c r="R11" s="29" t="s">
        <v>35</v>
      </c>
      <c r="S11" s="29" t="s">
        <v>35</v>
      </c>
      <c r="T11" s="29" t="s">
        <v>35</v>
      </c>
      <c r="U11" s="29" t="s">
        <v>35</v>
      </c>
      <c r="V11" s="29" t="s">
        <v>35</v>
      </c>
      <c r="W11" s="29" t="s">
        <v>35</v>
      </c>
      <c r="X11" s="29" t="s">
        <v>35</v>
      </c>
      <c r="Y11" s="29" t="s">
        <v>35</v>
      </c>
      <c r="Z11" s="29" t="s">
        <v>35</v>
      </c>
      <c r="AA11" s="29" t="s">
        <v>35</v>
      </c>
      <c r="AB11" s="29" t="s">
        <v>35</v>
      </c>
      <c r="AC11" s="29" t="s">
        <v>35</v>
      </c>
      <c r="AD11" s="29" t="s">
        <v>35</v>
      </c>
      <c r="AE11" s="29" t="s">
        <v>35</v>
      </c>
      <c r="AF11" s="29" t="s">
        <v>35</v>
      </c>
      <c r="AG11" s="29" t="s">
        <v>35</v>
      </c>
      <c r="AH11" s="29" t="s">
        <v>35</v>
      </c>
      <c r="AI11" s="586">
        <v>0.95</v>
      </c>
      <c r="AJ11" s="653">
        <f>IF(AJ$6&gt;$E$3,"",95%)</f>
        <v>0.95</v>
      </c>
      <c r="AK11" s="653">
        <f t="shared" ref="AK11:BM11" si="7">IF(AK$6&gt;$E$3,"",95%)</f>
        <v>0.95</v>
      </c>
      <c r="AL11" s="653">
        <f t="shared" si="7"/>
        <v>0.95</v>
      </c>
      <c r="AM11" s="653">
        <f t="shared" si="7"/>
        <v>0.95</v>
      </c>
      <c r="AN11" s="653">
        <f t="shared" si="7"/>
        <v>0.95</v>
      </c>
      <c r="AO11" s="653">
        <f t="shared" si="7"/>
        <v>0.95</v>
      </c>
      <c r="AP11" s="653">
        <f t="shared" si="7"/>
        <v>0.95</v>
      </c>
      <c r="AQ11" s="653">
        <f t="shared" si="7"/>
        <v>0.95</v>
      </c>
      <c r="AR11" s="653">
        <f t="shared" si="7"/>
        <v>0.95</v>
      </c>
      <c r="AS11" s="653">
        <f t="shared" si="7"/>
        <v>0.95</v>
      </c>
      <c r="AT11" s="653">
        <f t="shared" si="7"/>
        <v>0.95</v>
      </c>
      <c r="AU11" s="653">
        <f t="shared" si="7"/>
        <v>0.95</v>
      </c>
      <c r="AV11" s="653">
        <f t="shared" si="7"/>
        <v>0.95</v>
      </c>
      <c r="AW11" s="653">
        <f t="shared" si="7"/>
        <v>0.95</v>
      </c>
      <c r="AX11" s="653">
        <f t="shared" si="7"/>
        <v>0.95</v>
      </c>
      <c r="AY11" s="653">
        <f t="shared" si="7"/>
        <v>0.95</v>
      </c>
      <c r="AZ11" s="653">
        <f t="shared" si="7"/>
        <v>0.95</v>
      </c>
      <c r="BA11" s="653">
        <f t="shared" si="7"/>
        <v>0.95</v>
      </c>
      <c r="BB11" s="653">
        <f t="shared" si="7"/>
        <v>0.95</v>
      </c>
      <c r="BC11" s="653" t="str">
        <f t="shared" si="7"/>
        <v/>
      </c>
      <c r="BD11" s="653" t="str">
        <f t="shared" si="7"/>
        <v/>
      </c>
      <c r="BE11" s="653" t="str">
        <f t="shared" si="7"/>
        <v/>
      </c>
      <c r="BF11" s="653" t="str">
        <f t="shared" si="7"/>
        <v/>
      </c>
      <c r="BG11" s="653" t="str">
        <f t="shared" si="7"/>
        <v/>
      </c>
      <c r="BH11" s="653" t="str">
        <f t="shared" si="7"/>
        <v/>
      </c>
      <c r="BI11" s="653" t="str">
        <f t="shared" si="7"/>
        <v/>
      </c>
      <c r="BJ11" s="653" t="str">
        <f t="shared" si="7"/>
        <v/>
      </c>
      <c r="BK11" s="653" t="str">
        <f t="shared" si="7"/>
        <v/>
      </c>
      <c r="BL11" s="653" t="str">
        <f t="shared" si="7"/>
        <v/>
      </c>
      <c r="BM11" s="653" t="str">
        <f t="shared" si="7"/>
        <v/>
      </c>
      <c r="BN11" s="31"/>
    </row>
    <row r="12" spans="2:66" s="656" customFormat="1" ht="24" customHeight="1" x14ac:dyDescent="0.3">
      <c r="B12" s="920"/>
      <c r="C12" s="921"/>
      <c r="D12" s="921"/>
      <c r="E12" s="921"/>
      <c r="F12" s="921"/>
      <c r="G12" s="919"/>
      <c r="H12" s="654" t="s">
        <v>45</v>
      </c>
      <c r="I12" s="261"/>
      <c r="J12" s="98"/>
      <c r="K12" s="98"/>
      <c r="L12" s="655"/>
      <c r="M12" s="390" t="s">
        <v>122</v>
      </c>
      <c r="N12" s="98" t="s">
        <v>35</v>
      </c>
      <c r="O12" s="98" t="s">
        <v>35</v>
      </c>
      <c r="P12" s="98" t="s">
        <v>35</v>
      </c>
      <c r="Q12" s="98" t="s">
        <v>35</v>
      </c>
      <c r="R12" s="98" t="s">
        <v>35</v>
      </c>
      <c r="S12" s="98" t="s">
        <v>35</v>
      </c>
      <c r="T12" s="98" t="s">
        <v>35</v>
      </c>
      <c r="U12" s="98" t="s">
        <v>35</v>
      </c>
      <c r="V12" s="98" t="s">
        <v>35</v>
      </c>
      <c r="W12" s="98" t="s">
        <v>35</v>
      </c>
      <c r="X12" s="98" t="s">
        <v>35</v>
      </c>
      <c r="Y12" s="98" t="s">
        <v>35</v>
      </c>
      <c r="Z12" s="98" t="s">
        <v>35</v>
      </c>
      <c r="AA12" s="98" t="s">
        <v>35</v>
      </c>
      <c r="AB12" s="98" t="s">
        <v>35</v>
      </c>
      <c r="AC12" s="98" t="s">
        <v>35</v>
      </c>
      <c r="AD12" s="98" t="s">
        <v>35</v>
      </c>
      <c r="AE12" s="98" t="s">
        <v>35</v>
      </c>
      <c r="AF12" s="98" t="s">
        <v>35</v>
      </c>
      <c r="AG12" s="98" t="s">
        <v>35</v>
      </c>
      <c r="AH12" s="98" t="s">
        <v>35</v>
      </c>
      <c r="AI12" s="98">
        <v>0.96</v>
      </c>
      <c r="AJ12" s="98">
        <v>0.96</v>
      </c>
      <c r="AK12" s="98">
        <v>1</v>
      </c>
      <c r="AL12" s="98">
        <v>0.9</v>
      </c>
      <c r="AM12" s="98">
        <v>1</v>
      </c>
      <c r="AN12" s="98">
        <v>1</v>
      </c>
      <c r="AO12" s="98">
        <v>0.97</v>
      </c>
      <c r="AP12" s="98">
        <v>0.97</v>
      </c>
      <c r="AQ12" s="98">
        <v>1</v>
      </c>
      <c r="AR12" s="98">
        <v>0.98</v>
      </c>
      <c r="AS12" s="98">
        <v>0.96</v>
      </c>
      <c r="AT12" s="98">
        <v>0.96</v>
      </c>
      <c r="AU12" s="98">
        <v>0.91</v>
      </c>
      <c r="AV12" s="98"/>
      <c r="AW12" s="98"/>
      <c r="AX12" s="98">
        <v>97</v>
      </c>
      <c r="AY12" s="98">
        <v>0.97</v>
      </c>
      <c r="AZ12" s="98">
        <v>0.98</v>
      </c>
      <c r="BA12" s="98">
        <v>0.97</v>
      </c>
      <c r="BB12" s="98" t="s">
        <v>194</v>
      </c>
      <c r="BC12" s="98"/>
      <c r="BD12" s="98"/>
      <c r="BE12" s="98"/>
      <c r="BF12" s="98"/>
      <c r="BG12" s="98"/>
      <c r="BH12" s="98"/>
      <c r="BI12" s="98"/>
      <c r="BJ12" s="98"/>
      <c r="BK12" s="98"/>
      <c r="BL12" s="98"/>
      <c r="BM12" s="394"/>
      <c r="BN12" s="394"/>
    </row>
    <row r="13" spans="2:66" ht="24" customHeight="1" x14ac:dyDescent="0.3">
      <c r="B13" s="920"/>
      <c r="C13" s="921"/>
      <c r="D13" s="921"/>
      <c r="E13" s="921"/>
      <c r="F13" s="921"/>
      <c r="G13" s="919"/>
      <c r="H13" s="38" t="s">
        <v>46</v>
      </c>
      <c r="I13" s="39" t="str">
        <f>IF(I12="","",IF((I12-I11)&gt;=0,"G",IF((I12/I11&gt;=0.9),"R","A")))</f>
        <v/>
      </c>
      <c r="J13" s="40" t="str">
        <f>IF(J12="","",IF((J12-J11)&gt;=0,"G",IF((J12/J11&gt;=0.9),"R","A")))</f>
        <v/>
      </c>
      <c r="K13" s="40" t="str">
        <f>IF(K12="","",IF((K12-K11)&gt;=0,"G",IF((K12/K11&gt;=0.9),"R","A")))</f>
        <v/>
      </c>
      <c r="L13" s="53" t="str">
        <f>IF(L12="","",IF((L12-L11)&gt;=0,"G",IF((L12/L11&gt;=0.9),"R","A")))</f>
        <v/>
      </c>
      <c r="M13" s="40" t="str">
        <f>IF(M$6&gt;$E$3,"",IF(M12="","OD",IF(M12="Blank","Blank",IF(M12="TBC","TBC",IF(M12="Undefined","Undefined",IF(M12="Missed","Missed",IF(M12="OD","OD",IF(M$4="OD","OD",IF((M12-M11)&gt;=0,"G",IF((M12-(M11*0.95))&gt;=0,"A","R"))))))))))</f>
        <v>Blank</v>
      </c>
      <c r="N13" s="40" t="str">
        <f t="shared" ref="N13:BM13" si="8">IF(N$6&gt;$E$3,"",IF(N12="","OD",IF(N12="Blank","Blank",IF(N12="TBC","TBC",IF(N12="Undefined","Undefined",IF(N12="Missed","Missed",IF(N12="OD","OD",IF(N$4="OD","OD",IF((N12-N11)&gt;=0,"G",IF((N12-(N11*0.95))&gt;=0,"A","R"))))))))))</f>
        <v>TBC</v>
      </c>
      <c r="O13" s="40" t="str">
        <f t="shared" si="8"/>
        <v>TBC</v>
      </c>
      <c r="P13" s="40" t="str">
        <f t="shared" si="8"/>
        <v>TBC</v>
      </c>
      <c r="Q13" s="40" t="str">
        <f t="shared" si="8"/>
        <v>TBC</v>
      </c>
      <c r="R13" s="40" t="str">
        <f t="shared" si="8"/>
        <v>TBC</v>
      </c>
      <c r="S13" s="40" t="str">
        <f t="shared" si="8"/>
        <v>TBC</v>
      </c>
      <c r="T13" s="40" t="str">
        <f t="shared" si="8"/>
        <v>TBC</v>
      </c>
      <c r="U13" s="40" t="str">
        <f t="shared" si="8"/>
        <v>TBC</v>
      </c>
      <c r="V13" s="40" t="str">
        <f t="shared" si="8"/>
        <v>TBC</v>
      </c>
      <c r="W13" s="40" t="str">
        <f t="shared" si="8"/>
        <v>TBC</v>
      </c>
      <c r="X13" s="40" t="str">
        <f t="shared" si="8"/>
        <v>TBC</v>
      </c>
      <c r="Y13" s="40" t="str">
        <f t="shared" si="8"/>
        <v>TBC</v>
      </c>
      <c r="Z13" s="40" t="str">
        <f t="shared" si="8"/>
        <v>TBC</v>
      </c>
      <c r="AA13" s="40" t="str">
        <f t="shared" si="8"/>
        <v>TBC</v>
      </c>
      <c r="AB13" s="40" t="str">
        <f t="shared" si="8"/>
        <v>TBC</v>
      </c>
      <c r="AC13" s="40" t="str">
        <f t="shared" si="8"/>
        <v>TBC</v>
      </c>
      <c r="AD13" s="40" t="str">
        <f t="shared" si="8"/>
        <v>TBC</v>
      </c>
      <c r="AE13" s="40" t="str">
        <f t="shared" si="8"/>
        <v>TBC</v>
      </c>
      <c r="AF13" s="40" t="str">
        <f t="shared" si="8"/>
        <v>TBC</v>
      </c>
      <c r="AG13" s="40" t="str">
        <f t="shared" si="8"/>
        <v>TBC</v>
      </c>
      <c r="AH13" s="40" t="str">
        <f t="shared" si="8"/>
        <v>TBC</v>
      </c>
      <c r="AI13" s="40" t="str">
        <f t="shared" si="8"/>
        <v>G</v>
      </c>
      <c r="AJ13" s="40" t="str">
        <f t="shared" si="8"/>
        <v>G</v>
      </c>
      <c r="AK13" s="40" t="str">
        <f t="shared" si="8"/>
        <v>G</v>
      </c>
      <c r="AL13" s="40" t="str">
        <f t="shared" si="8"/>
        <v>R</v>
      </c>
      <c r="AM13" s="40" t="str">
        <f t="shared" si="8"/>
        <v>G</v>
      </c>
      <c r="AN13" s="40" t="str">
        <f t="shared" si="8"/>
        <v>G</v>
      </c>
      <c r="AO13" s="40" t="str">
        <f t="shared" si="8"/>
        <v>G</v>
      </c>
      <c r="AP13" s="40" t="str">
        <f t="shared" si="8"/>
        <v>G</v>
      </c>
      <c r="AQ13" s="40" t="str">
        <f t="shared" si="8"/>
        <v>G</v>
      </c>
      <c r="AR13" s="40" t="str">
        <f t="shared" si="8"/>
        <v>G</v>
      </c>
      <c r="AS13" s="40" t="str">
        <f t="shared" si="8"/>
        <v>G</v>
      </c>
      <c r="AT13" s="40" t="str">
        <f t="shared" si="8"/>
        <v>G</v>
      </c>
      <c r="AU13" s="40" t="str">
        <f t="shared" si="8"/>
        <v>A</v>
      </c>
      <c r="AV13" s="40" t="str">
        <f t="shared" si="8"/>
        <v>OD</v>
      </c>
      <c r="AW13" s="40" t="str">
        <f t="shared" si="8"/>
        <v>OD</v>
      </c>
      <c r="AX13" s="40" t="str">
        <f t="shared" si="8"/>
        <v>G</v>
      </c>
      <c r="AY13" s="40" t="str">
        <f t="shared" si="8"/>
        <v>G</v>
      </c>
      <c r="AZ13" s="40" t="str">
        <f t="shared" si="8"/>
        <v>G</v>
      </c>
      <c r="BA13" s="40" t="str">
        <f t="shared" si="8"/>
        <v>G</v>
      </c>
      <c r="BB13" s="40" t="str">
        <f t="shared" si="8"/>
        <v>OD</v>
      </c>
      <c r="BC13" s="40" t="str">
        <f t="shared" si="8"/>
        <v/>
      </c>
      <c r="BD13" s="40" t="str">
        <f t="shared" si="8"/>
        <v/>
      </c>
      <c r="BE13" s="40" t="str">
        <f t="shared" si="8"/>
        <v/>
      </c>
      <c r="BF13" s="40" t="str">
        <f t="shared" si="8"/>
        <v/>
      </c>
      <c r="BG13" s="40" t="str">
        <f t="shared" si="8"/>
        <v/>
      </c>
      <c r="BH13" s="40" t="str">
        <f t="shared" si="8"/>
        <v/>
      </c>
      <c r="BI13" s="40" t="str">
        <f t="shared" si="8"/>
        <v/>
      </c>
      <c r="BJ13" s="40" t="str">
        <f t="shared" si="8"/>
        <v/>
      </c>
      <c r="BK13" s="40" t="str">
        <f t="shared" si="8"/>
        <v/>
      </c>
      <c r="BL13" s="40" t="str">
        <f t="shared" si="8"/>
        <v/>
      </c>
      <c r="BM13" s="40" t="str">
        <f t="shared" si="8"/>
        <v/>
      </c>
      <c r="BN13" s="42"/>
    </row>
    <row r="14" spans="2:66" ht="24" customHeight="1" x14ac:dyDescent="0.3">
      <c r="B14" s="920" t="s">
        <v>32</v>
      </c>
      <c r="C14" s="921" t="s">
        <v>624</v>
      </c>
      <c r="D14" s="921"/>
      <c r="E14" s="921"/>
      <c r="F14" s="921" t="s">
        <v>154</v>
      </c>
      <c r="G14" s="919"/>
      <c r="H14" s="27" t="s">
        <v>44</v>
      </c>
      <c r="I14" s="28"/>
      <c r="J14" s="29"/>
      <c r="K14" s="29"/>
      <c r="L14" s="51"/>
      <c r="M14" s="30" t="s">
        <v>122</v>
      </c>
      <c r="N14" s="29" t="s">
        <v>35</v>
      </c>
      <c r="O14" s="29" t="s">
        <v>35</v>
      </c>
      <c r="P14" s="29" t="s">
        <v>35</v>
      </c>
      <c r="Q14" s="29" t="s">
        <v>35</v>
      </c>
      <c r="R14" s="29" t="s">
        <v>35</v>
      </c>
      <c r="S14" s="29" t="s">
        <v>35</v>
      </c>
      <c r="T14" s="29" t="s">
        <v>35</v>
      </c>
      <c r="U14" s="29" t="s">
        <v>35</v>
      </c>
      <c r="V14" s="29" t="s">
        <v>35</v>
      </c>
      <c r="W14" s="29" t="s">
        <v>35</v>
      </c>
      <c r="X14" s="29" t="s">
        <v>35</v>
      </c>
      <c r="Y14" s="29" t="s">
        <v>35</v>
      </c>
      <c r="Z14" s="29" t="s">
        <v>35</v>
      </c>
      <c r="AA14" s="29" t="s">
        <v>35</v>
      </c>
      <c r="AB14" s="29" t="s">
        <v>35</v>
      </c>
      <c r="AC14" s="29" t="s">
        <v>35</v>
      </c>
      <c r="AD14" s="29" t="s">
        <v>35</v>
      </c>
      <c r="AE14" s="29" t="s">
        <v>35</v>
      </c>
      <c r="AF14" s="29" t="s">
        <v>35</v>
      </c>
      <c r="AG14" s="29" t="s">
        <v>35</v>
      </c>
      <c r="AH14" s="29" t="s">
        <v>35</v>
      </c>
      <c r="AI14" s="586">
        <v>0.7</v>
      </c>
      <c r="AJ14" s="653">
        <f>IF(AJ$6&gt;$E$3,"",70%)</f>
        <v>0.7</v>
      </c>
      <c r="AK14" s="653">
        <f t="shared" ref="AK14:BM14" si="9">IF(AK$6&gt;$E$3,"",70%)</f>
        <v>0.7</v>
      </c>
      <c r="AL14" s="653">
        <f t="shared" si="9"/>
        <v>0.7</v>
      </c>
      <c r="AM14" s="653">
        <f t="shared" si="9"/>
        <v>0.7</v>
      </c>
      <c r="AN14" s="653">
        <f t="shared" si="9"/>
        <v>0.7</v>
      </c>
      <c r="AO14" s="653">
        <f t="shared" si="9"/>
        <v>0.7</v>
      </c>
      <c r="AP14" s="653">
        <f t="shared" si="9"/>
        <v>0.7</v>
      </c>
      <c r="AQ14" s="653">
        <f t="shared" si="9"/>
        <v>0.7</v>
      </c>
      <c r="AR14" s="653">
        <f t="shared" si="9"/>
        <v>0.7</v>
      </c>
      <c r="AS14" s="653">
        <f t="shared" si="9"/>
        <v>0.7</v>
      </c>
      <c r="AT14" s="653">
        <f t="shared" si="9"/>
        <v>0.7</v>
      </c>
      <c r="AU14" s="653">
        <f t="shared" si="9"/>
        <v>0.7</v>
      </c>
      <c r="AV14" s="653">
        <f t="shared" si="9"/>
        <v>0.7</v>
      </c>
      <c r="AW14" s="653">
        <f t="shared" si="9"/>
        <v>0.7</v>
      </c>
      <c r="AX14" s="653">
        <f t="shared" si="9"/>
        <v>0.7</v>
      </c>
      <c r="AY14" s="653">
        <f t="shared" si="9"/>
        <v>0.7</v>
      </c>
      <c r="AZ14" s="653">
        <f t="shared" si="9"/>
        <v>0.7</v>
      </c>
      <c r="BA14" s="653">
        <f t="shared" si="9"/>
        <v>0.7</v>
      </c>
      <c r="BB14" s="653">
        <f t="shared" si="9"/>
        <v>0.7</v>
      </c>
      <c r="BC14" s="653" t="str">
        <f t="shared" si="9"/>
        <v/>
      </c>
      <c r="BD14" s="653" t="str">
        <f t="shared" si="9"/>
        <v/>
      </c>
      <c r="BE14" s="653" t="str">
        <f t="shared" si="9"/>
        <v/>
      </c>
      <c r="BF14" s="653" t="str">
        <f t="shared" si="9"/>
        <v/>
      </c>
      <c r="BG14" s="653" t="str">
        <f t="shared" si="9"/>
        <v/>
      </c>
      <c r="BH14" s="653" t="str">
        <f t="shared" si="9"/>
        <v/>
      </c>
      <c r="BI14" s="653" t="str">
        <f t="shared" si="9"/>
        <v/>
      </c>
      <c r="BJ14" s="653" t="str">
        <f t="shared" si="9"/>
        <v/>
      </c>
      <c r="BK14" s="653" t="str">
        <f t="shared" si="9"/>
        <v/>
      </c>
      <c r="BL14" s="653" t="str">
        <f t="shared" si="9"/>
        <v/>
      </c>
      <c r="BM14" s="653" t="str">
        <f t="shared" si="9"/>
        <v/>
      </c>
      <c r="BN14" s="31"/>
    </row>
    <row r="15" spans="2:66" s="656" customFormat="1" ht="24" customHeight="1" x14ac:dyDescent="0.3">
      <c r="B15" s="920"/>
      <c r="C15" s="921"/>
      <c r="D15" s="921"/>
      <c r="E15" s="921"/>
      <c r="F15" s="921"/>
      <c r="G15" s="919"/>
      <c r="H15" s="654" t="s">
        <v>45</v>
      </c>
      <c r="I15" s="261"/>
      <c r="J15" s="98"/>
      <c r="K15" s="98"/>
      <c r="L15" s="655"/>
      <c r="M15" s="390" t="s">
        <v>122</v>
      </c>
      <c r="N15" s="98" t="s">
        <v>35</v>
      </c>
      <c r="O15" s="98" t="s">
        <v>35</v>
      </c>
      <c r="P15" s="98" t="s">
        <v>35</v>
      </c>
      <c r="Q15" s="98" t="s">
        <v>35</v>
      </c>
      <c r="R15" s="98" t="s">
        <v>35</v>
      </c>
      <c r="S15" s="98" t="s">
        <v>35</v>
      </c>
      <c r="T15" s="98" t="s">
        <v>35</v>
      </c>
      <c r="U15" s="98" t="s">
        <v>35</v>
      </c>
      <c r="V15" s="98" t="s">
        <v>35</v>
      </c>
      <c r="W15" s="98" t="s">
        <v>35</v>
      </c>
      <c r="X15" s="98" t="s">
        <v>35</v>
      </c>
      <c r="Y15" s="98" t="s">
        <v>35</v>
      </c>
      <c r="Z15" s="98" t="s">
        <v>35</v>
      </c>
      <c r="AA15" s="98" t="s">
        <v>35</v>
      </c>
      <c r="AB15" s="98" t="s">
        <v>35</v>
      </c>
      <c r="AC15" s="98" t="s">
        <v>35</v>
      </c>
      <c r="AD15" s="98" t="s">
        <v>35</v>
      </c>
      <c r="AE15" s="98" t="s">
        <v>35</v>
      </c>
      <c r="AF15" s="98" t="s">
        <v>35</v>
      </c>
      <c r="AG15" s="98" t="s">
        <v>35</v>
      </c>
      <c r="AH15" s="98" t="s">
        <v>35</v>
      </c>
      <c r="AI15" s="98">
        <v>0.75</v>
      </c>
      <c r="AJ15" s="98">
        <v>1</v>
      </c>
      <c r="AK15" s="98">
        <v>0.92</v>
      </c>
      <c r="AL15" s="98">
        <v>1</v>
      </c>
      <c r="AM15" s="98">
        <v>1</v>
      </c>
      <c r="AN15" s="98">
        <v>1</v>
      </c>
      <c r="AO15" s="98">
        <v>1</v>
      </c>
      <c r="AP15" s="98">
        <v>1</v>
      </c>
      <c r="AQ15" s="98">
        <v>1</v>
      </c>
      <c r="AR15" s="98">
        <v>1</v>
      </c>
      <c r="AS15" s="98">
        <v>1</v>
      </c>
      <c r="AT15" s="98">
        <v>1</v>
      </c>
      <c r="AU15" s="98">
        <v>1</v>
      </c>
      <c r="AV15" s="98"/>
      <c r="AW15" s="98"/>
      <c r="AX15" s="98">
        <v>1</v>
      </c>
      <c r="AY15" s="98">
        <v>1</v>
      </c>
      <c r="AZ15" s="98">
        <v>1</v>
      </c>
      <c r="BA15" s="98">
        <v>1</v>
      </c>
      <c r="BB15" s="98" t="s">
        <v>194</v>
      </c>
      <c r="BC15" s="98"/>
      <c r="BD15" s="98"/>
      <c r="BE15" s="98"/>
      <c r="BF15" s="98"/>
      <c r="BG15" s="98"/>
      <c r="BH15" s="98"/>
      <c r="BI15" s="98"/>
      <c r="BJ15" s="98"/>
      <c r="BK15" s="98"/>
      <c r="BL15" s="98"/>
      <c r="BM15" s="394"/>
      <c r="BN15" s="394"/>
    </row>
    <row r="16" spans="2:66" ht="24" customHeight="1" x14ac:dyDescent="0.3">
      <c r="B16" s="920"/>
      <c r="C16" s="921"/>
      <c r="D16" s="921"/>
      <c r="E16" s="921"/>
      <c r="F16" s="921"/>
      <c r="G16" s="919"/>
      <c r="H16" s="38" t="s">
        <v>46</v>
      </c>
      <c r="I16" s="39" t="str">
        <f>IF(I15="","",IF((I15-I14)&gt;=0,"G",IF((I15/I14&gt;=0.9),"R","A")))</f>
        <v/>
      </c>
      <c r="J16" s="40" t="str">
        <f>IF(J15="","",IF((J15-J14)&gt;=0,"G",IF((J15/J14&gt;=0.9),"R","A")))</f>
        <v/>
      </c>
      <c r="K16" s="40" t="str">
        <f>IF(K15="","",IF((K15-K14)&gt;=0,"G",IF((K15/K14&gt;=0.9),"R","A")))</f>
        <v/>
      </c>
      <c r="L16" s="53" t="str">
        <f>IF(L15="","",IF((L15-L14)&gt;=0,"G",IF((L15/L14&gt;=0.9),"R","A")))</f>
        <v/>
      </c>
      <c r="M16" s="40" t="str">
        <f>IF(M$6&gt;$E$3,"",IF(M15="","OD",IF(M15="Blank","Blank",IF(M15="TBC","TBC",IF(M15="Undefined","Undefined",IF(M15="Missed","Missed",IF(M15="OD","OD",IF(M$4="OD","OD",IF((M15-M14)&gt;=0,"G",IF((M15-(M14*0.95))&gt;=0,"A","R"))))))))))</f>
        <v>Blank</v>
      </c>
      <c r="N16" s="40" t="str">
        <f t="shared" ref="N16:BM16" si="10">IF(N$6&gt;$E$3,"",IF(N15="","OD",IF(N15="Blank","Blank",IF(N15="TBC","TBC",IF(N15="Undefined","Undefined",IF(N15="Missed","Missed",IF(N15="OD","OD",IF(N$4="OD","OD",IF((N15-N14)&gt;=0,"G",IF((N15-(N14*0.95))&gt;=0,"A","R"))))))))))</f>
        <v>TBC</v>
      </c>
      <c r="O16" s="40" t="str">
        <f t="shared" si="10"/>
        <v>TBC</v>
      </c>
      <c r="P16" s="40" t="str">
        <f t="shared" si="10"/>
        <v>TBC</v>
      </c>
      <c r="Q16" s="40" t="str">
        <f t="shared" si="10"/>
        <v>TBC</v>
      </c>
      <c r="R16" s="40" t="str">
        <f t="shared" si="10"/>
        <v>TBC</v>
      </c>
      <c r="S16" s="40" t="str">
        <f t="shared" si="10"/>
        <v>TBC</v>
      </c>
      <c r="T16" s="40" t="str">
        <f t="shared" si="10"/>
        <v>TBC</v>
      </c>
      <c r="U16" s="40" t="str">
        <f t="shared" si="10"/>
        <v>TBC</v>
      </c>
      <c r="V16" s="40" t="str">
        <f t="shared" si="10"/>
        <v>TBC</v>
      </c>
      <c r="W16" s="40" t="str">
        <f t="shared" si="10"/>
        <v>TBC</v>
      </c>
      <c r="X16" s="40" t="str">
        <f t="shared" si="10"/>
        <v>TBC</v>
      </c>
      <c r="Y16" s="40" t="str">
        <f t="shared" si="10"/>
        <v>TBC</v>
      </c>
      <c r="Z16" s="40" t="str">
        <f t="shared" si="10"/>
        <v>TBC</v>
      </c>
      <c r="AA16" s="40" t="str">
        <f t="shared" si="10"/>
        <v>TBC</v>
      </c>
      <c r="AB16" s="40" t="str">
        <f t="shared" si="10"/>
        <v>TBC</v>
      </c>
      <c r="AC16" s="40" t="str">
        <f t="shared" si="10"/>
        <v>TBC</v>
      </c>
      <c r="AD16" s="40" t="str">
        <f t="shared" si="10"/>
        <v>TBC</v>
      </c>
      <c r="AE16" s="40" t="str">
        <f t="shared" si="10"/>
        <v>TBC</v>
      </c>
      <c r="AF16" s="40" t="str">
        <f t="shared" si="10"/>
        <v>TBC</v>
      </c>
      <c r="AG16" s="40" t="str">
        <f t="shared" si="10"/>
        <v>TBC</v>
      </c>
      <c r="AH16" s="40" t="str">
        <f t="shared" si="10"/>
        <v>TBC</v>
      </c>
      <c r="AI16" s="40" t="str">
        <f t="shared" si="10"/>
        <v>G</v>
      </c>
      <c r="AJ16" s="40" t="str">
        <f t="shared" si="10"/>
        <v>G</v>
      </c>
      <c r="AK16" s="40" t="str">
        <f t="shared" si="10"/>
        <v>G</v>
      </c>
      <c r="AL16" s="40" t="str">
        <f t="shared" si="10"/>
        <v>G</v>
      </c>
      <c r="AM16" s="40" t="str">
        <f t="shared" si="10"/>
        <v>G</v>
      </c>
      <c r="AN16" s="40" t="str">
        <f t="shared" si="10"/>
        <v>G</v>
      </c>
      <c r="AO16" s="40" t="str">
        <f t="shared" si="10"/>
        <v>G</v>
      </c>
      <c r="AP16" s="40" t="str">
        <f t="shared" si="10"/>
        <v>G</v>
      </c>
      <c r="AQ16" s="40" t="str">
        <f t="shared" si="10"/>
        <v>G</v>
      </c>
      <c r="AR16" s="40" t="str">
        <f t="shared" si="10"/>
        <v>G</v>
      </c>
      <c r="AS16" s="40" t="str">
        <f t="shared" si="10"/>
        <v>G</v>
      </c>
      <c r="AT16" s="40" t="str">
        <f t="shared" si="10"/>
        <v>G</v>
      </c>
      <c r="AU16" s="40" t="str">
        <f t="shared" si="10"/>
        <v>G</v>
      </c>
      <c r="AV16" s="40" t="str">
        <f t="shared" si="10"/>
        <v>OD</v>
      </c>
      <c r="AW16" s="40" t="str">
        <f t="shared" si="10"/>
        <v>OD</v>
      </c>
      <c r="AX16" s="40" t="str">
        <f t="shared" si="10"/>
        <v>G</v>
      </c>
      <c r="AY16" s="40" t="str">
        <f t="shared" si="10"/>
        <v>G</v>
      </c>
      <c r="AZ16" s="40" t="str">
        <f t="shared" si="10"/>
        <v>G</v>
      </c>
      <c r="BA16" s="40" t="str">
        <f t="shared" si="10"/>
        <v>G</v>
      </c>
      <c r="BB16" s="40" t="str">
        <f t="shared" si="10"/>
        <v>OD</v>
      </c>
      <c r="BC16" s="40" t="str">
        <f t="shared" si="10"/>
        <v/>
      </c>
      <c r="BD16" s="40" t="str">
        <f t="shared" si="10"/>
        <v/>
      </c>
      <c r="BE16" s="40" t="str">
        <f t="shared" si="10"/>
        <v/>
      </c>
      <c r="BF16" s="40" t="str">
        <f t="shared" si="10"/>
        <v/>
      </c>
      <c r="BG16" s="40" t="str">
        <f t="shared" si="10"/>
        <v/>
      </c>
      <c r="BH16" s="40" t="str">
        <f t="shared" si="10"/>
        <v/>
      </c>
      <c r="BI16" s="40" t="str">
        <f t="shared" si="10"/>
        <v/>
      </c>
      <c r="BJ16" s="40" t="str">
        <f t="shared" si="10"/>
        <v/>
      </c>
      <c r="BK16" s="40" t="str">
        <f t="shared" si="10"/>
        <v/>
      </c>
      <c r="BL16" s="40" t="str">
        <f t="shared" si="10"/>
        <v/>
      </c>
      <c r="BM16" s="40" t="str">
        <f t="shared" si="10"/>
        <v/>
      </c>
      <c r="BN16" s="42"/>
    </row>
    <row r="17" spans="2:66" ht="24" customHeight="1" x14ac:dyDescent="0.3">
      <c r="B17" s="920" t="s">
        <v>31</v>
      </c>
      <c r="C17" s="921" t="s">
        <v>625</v>
      </c>
      <c r="D17" s="921"/>
      <c r="E17" s="921" t="s">
        <v>143</v>
      </c>
      <c r="F17" s="921" t="s">
        <v>171</v>
      </c>
      <c r="G17" s="919" t="s">
        <v>52</v>
      </c>
      <c r="H17" s="27" t="s">
        <v>44</v>
      </c>
      <c r="I17" s="28"/>
      <c r="J17" s="29"/>
      <c r="K17" s="29"/>
      <c r="L17" s="51"/>
      <c r="M17" s="30">
        <v>0</v>
      </c>
      <c r="N17" s="29">
        <v>0</v>
      </c>
      <c r="O17" s="29">
        <v>0</v>
      </c>
      <c r="P17" s="29">
        <v>0</v>
      </c>
      <c r="Q17" s="29">
        <v>0</v>
      </c>
      <c r="R17" s="29">
        <v>0</v>
      </c>
      <c r="S17" s="29">
        <v>0</v>
      </c>
      <c r="T17" s="29">
        <v>0</v>
      </c>
      <c r="U17" s="29">
        <v>0</v>
      </c>
      <c r="V17" s="29">
        <v>0</v>
      </c>
      <c r="W17" s="29">
        <v>0</v>
      </c>
      <c r="X17" s="29">
        <v>0</v>
      </c>
      <c r="Y17" s="29">
        <v>0</v>
      </c>
      <c r="Z17" s="29">
        <v>0</v>
      </c>
      <c r="AA17" s="29">
        <v>0</v>
      </c>
      <c r="AB17" s="29">
        <v>0</v>
      </c>
      <c r="AC17" s="29">
        <v>0</v>
      </c>
      <c r="AD17" s="29">
        <v>0</v>
      </c>
      <c r="AE17" s="29">
        <v>0</v>
      </c>
      <c r="AF17" s="29">
        <v>0</v>
      </c>
      <c r="AG17" s="29">
        <v>0</v>
      </c>
      <c r="AH17" s="29">
        <v>0</v>
      </c>
      <c r="AI17" s="29">
        <v>0</v>
      </c>
      <c r="AJ17" s="67">
        <f>IF(AJ$6&gt;$E$3,"",0)</f>
        <v>0</v>
      </c>
      <c r="AK17" s="67">
        <f t="shared" ref="AK17:BN17" si="11">IF(AK$6&gt;$E$3,"",0)</f>
        <v>0</v>
      </c>
      <c r="AL17" s="67">
        <f t="shared" si="11"/>
        <v>0</v>
      </c>
      <c r="AM17" s="67">
        <f t="shared" si="11"/>
        <v>0</v>
      </c>
      <c r="AN17" s="67">
        <f t="shared" si="11"/>
        <v>0</v>
      </c>
      <c r="AO17" s="67">
        <f t="shared" si="11"/>
        <v>0</v>
      </c>
      <c r="AP17" s="67">
        <f t="shared" si="11"/>
        <v>0</v>
      </c>
      <c r="AQ17" s="67">
        <f t="shared" si="11"/>
        <v>0</v>
      </c>
      <c r="AR17" s="67">
        <f t="shared" si="11"/>
        <v>0</v>
      </c>
      <c r="AS17" s="67">
        <f t="shared" si="11"/>
        <v>0</v>
      </c>
      <c r="AT17" s="67">
        <f t="shared" si="11"/>
        <v>0</v>
      </c>
      <c r="AU17" s="67">
        <f t="shared" si="11"/>
        <v>0</v>
      </c>
      <c r="AV17" s="67">
        <f t="shared" si="11"/>
        <v>0</v>
      </c>
      <c r="AW17" s="67">
        <f t="shared" si="11"/>
        <v>0</v>
      </c>
      <c r="AX17" s="67">
        <f t="shared" si="11"/>
        <v>0</v>
      </c>
      <c r="AY17" s="67">
        <f t="shared" si="11"/>
        <v>0</v>
      </c>
      <c r="AZ17" s="67">
        <f t="shared" si="11"/>
        <v>0</v>
      </c>
      <c r="BA17" s="67">
        <f t="shared" si="11"/>
        <v>0</v>
      </c>
      <c r="BB17" s="67">
        <f t="shared" si="11"/>
        <v>0</v>
      </c>
      <c r="BC17" s="67" t="str">
        <f t="shared" si="11"/>
        <v/>
      </c>
      <c r="BD17" s="67" t="str">
        <f t="shared" si="11"/>
        <v/>
      </c>
      <c r="BE17" s="67" t="str">
        <f t="shared" si="11"/>
        <v/>
      </c>
      <c r="BF17" s="67" t="str">
        <f t="shared" si="11"/>
        <v/>
      </c>
      <c r="BG17" s="67" t="str">
        <f t="shared" si="11"/>
        <v/>
      </c>
      <c r="BH17" s="67" t="str">
        <f t="shared" si="11"/>
        <v/>
      </c>
      <c r="BI17" s="67" t="str">
        <f t="shared" si="11"/>
        <v/>
      </c>
      <c r="BJ17" s="67" t="str">
        <f t="shared" si="11"/>
        <v/>
      </c>
      <c r="BK17" s="67" t="str">
        <f t="shared" si="11"/>
        <v/>
      </c>
      <c r="BL17" s="67" t="str">
        <f t="shared" si="11"/>
        <v/>
      </c>
      <c r="BM17" s="67" t="str">
        <f t="shared" si="11"/>
        <v/>
      </c>
      <c r="BN17" s="67" t="str">
        <f t="shared" si="11"/>
        <v/>
      </c>
    </row>
    <row r="18" spans="2:66" ht="24" customHeight="1" x14ac:dyDescent="0.3">
      <c r="B18" s="920"/>
      <c r="C18" s="921"/>
      <c r="D18" s="921"/>
      <c r="E18" s="921"/>
      <c r="F18" s="921"/>
      <c r="G18" s="919"/>
      <c r="H18" s="33" t="s">
        <v>45</v>
      </c>
      <c r="I18" s="34"/>
      <c r="J18" s="35"/>
      <c r="K18" s="35"/>
      <c r="L18" s="52"/>
      <c r="M18" s="36" t="s">
        <v>122</v>
      </c>
      <c r="N18" s="36">
        <v>603.17999999999995</v>
      </c>
      <c r="O18" s="35">
        <v>0</v>
      </c>
      <c r="P18" s="35">
        <f>240+3067.74</f>
        <v>3307.74</v>
      </c>
      <c r="Q18" s="35">
        <v>850</v>
      </c>
      <c r="R18" s="35" t="s">
        <v>35</v>
      </c>
      <c r="S18" s="35" t="s">
        <v>35</v>
      </c>
      <c r="T18" s="35" t="s">
        <v>35</v>
      </c>
      <c r="U18" s="35" t="s">
        <v>35</v>
      </c>
      <c r="V18" s="35" t="s">
        <v>35</v>
      </c>
      <c r="W18" s="35" t="s">
        <v>35</v>
      </c>
      <c r="X18" s="35" t="s">
        <v>35</v>
      </c>
      <c r="Y18" s="35" t="s">
        <v>35</v>
      </c>
      <c r="Z18" s="35" t="s">
        <v>35</v>
      </c>
      <c r="AA18" s="35" t="s">
        <v>35</v>
      </c>
      <c r="AB18" s="35" t="s">
        <v>35</v>
      </c>
      <c r="AC18" s="35" t="s">
        <v>35</v>
      </c>
      <c r="AD18" s="35" t="s">
        <v>35</v>
      </c>
      <c r="AE18" s="35" t="s">
        <v>35</v>
      </c>
      <c r="AF18" s="35" t="s">
        <v>35</v>
      </c>
      <c r="AG18" s="35">
        <f>136.99+2887.74+180</f>
        <v>3204.7299999999996</v>
      </c>
      <c r="AH18" s="35">
        <v>0</v>
      </c>
      <c r="AI18" s="35">
        <v>214.73</v>
      </c>
      <c r="AJ18" s="67">
        <v>310.95999999999998</v>
      </c>
      <c r="AK18" s="35">
        <v>16213</v>
      </c>
      <c r="AL18" s="35">
        <v>2077</v>
      </c>
      <c r="AM18" s="35">
        <v>0</v>
      </c>
      <c r="AN18" s="35">
        <v>11754</v>
      </c>
      <c r="AO18" s="35">
        <v>330.92</v>
      </c>
      <c r="AP18" s="35">
        <v>0</v>
      </c>
      <c r="AQ18" s="35">
        <v>0</v>
      </c>
      <c r="AR18" s="35">
        <v>841.97</v>
      </c>
      <c r="AS18" s="35">
        <v>0</v>
      </c>
      <c r="AT18" s="35">
        <v>0</v>
      </c>
      <c r="AU18" s="35">
        <v>0</v>
      </c>
      <c r="AV18" s="35"/>
      <c r="AW18" s="35"/>
      <c r="AX18" s="35">
        <v>3192</v>
      </c>
      <c r="AY18" s="35">
        <v>149</v>
      </c>
      <c r="AZ18" s="35">
        <v>2254</v>
      </c>
      <c r="BA18" s="35">
        <v>0</v>
      </c>
      <c r="BB18" s="35" t="s">
        <v>194</v>
      </c>
      <c r="BC18" s="35"/>
      <c r="BD18" s="35"/>
      <c r="BE18" s="35"/>
      <c r="BF18" s="35"/>
      <c r="BG18" s="35"/>
      <c r="BH18" s="35"/>
      <c r="BI18" s="35"/>
      <c r="BJ18" s="35"/>
      <c r="BK18" s="35"/>
      <c r="BL18" s="35"/>
      <c r="BM18" s="37"/>
      <c r="BN18" s="37"/>
    </row>
    <row r="19" spans="2:66" ht="24" customHeight="1" thickBot="1" x14ac:dyDescent="0.35">
      <c r="B19" s="920"/>
      <c r="C19" s="921"/>
      <c r="D19" s="921"/>
      <c r="E19" s="921"/>
      <c r="F19" s="921"/>
      <c r="G19" s="919"/>
      <c r="H19" s="38" t="s">
        <v>46</v>
      </c>
      <c r="I19" s="43" t="str">
        <f>IF(I18="","",IF((I18-I17)&gt;=0,"G",IF((I18/I17&lt;=0.9),"R","A")))</f>
        <v/>
      </c>
      <c r="J19" s="44" t="str">
        <f t="shared" ref="J19:L19" si="12">IF(J18="","",IF((J18-J17)&gt;=0,"G",IF((J18/J17&lt;=0.9),"R","A")))</f>
        <v/>
      </c>
      <c r="K19" s="44" t="str">
        <f t="shared" si="12"/>
        <v/>
      </c>
      <c r="L19" s="54" t="str">
        <f t="shared" si="12"/>
        <v/>
      </c>
      <c r="M19" s="40" t="str">
        <f>IF(M$6&gt;$E$3,"",IF(M18="","OD",IF(M18="Blank","Blank",IF(M18="TBC","TBC",IF(M18="Undefined","Undefined",IF(M18="Missed","Missed",IF(M18="OD","OD",IF(M$4="OD","OD",IF((M18-M17)&lt;=0,"G",IF((M18-(M17/0.95))&lt;=0,"A","R"))))))))))</f>
        <v>Blank</v>
      </c>
      <c r="N19" s="40" t="str">
        <f t="shared" ref="N19:BM19" si="13">IF(N$6&gt;$E$3,"",IF(N18="","OD",IF(N18="Blank","Blank",IF(N18="TBC","TBC",IF(N18="Undefined","Undefined",IF(N18="Missed","Missed",IF(N18="OD","OD",IF(N$4="OD","OD",IF((N18-N17)&lt;=0,"G",IF((N18-(N17/0.95))&lt;=0,"A","R"))))))))))</f>
        <v>R</v>
      </c>
      <c r="O19" s="40" t="str">
        <f t="shared" si="13"/>
        <v>G</v>
      </c>
      <c r="P19" s="40" t="str">
        <f t="shared" si="13"/>
        <v>R</v>
      </c>
      <c r="Q19" s="40" t="str">
        <f t="shared" si="13"/>
        <v>R</v>
      </c>
      <c r="R19" s="40" t="str">
        <f t="shared" si="13"/>
        <v>TBC</v>
      </c>
      <c r="S19" s="40" t="str">
        <f t="shared" si="13"/>
        <v>TBC</v>
      </c>
      <c r="T19" s="40" t="str">
        <f t="shared" si="13"/>
        <v>TBC</v>
      </c>
      <c r="U19" s="40" t="str">
        <f t="shared" si="13"/>
        <v>TBC</v>
      </c>
      <c r="V19" s="40" t="str">
        <f t="shared" si="13"/>
        <v>TBC</v>
      </c>
      <c r="W19" s="40" t="str">
        <f t="shared" si="13"/>
        <v>TBC</v>
      </c>
      <c r="X19" s="40" t="str">
        <f t="shared" si="13"/>
        <v>TBC</v>
      </c>
      <c r="Y19" s="40" t="str">
        <f t="shared" si="13"/>
        <v>TBC</v>
      </c>
      <c r="Z19" s="40" t="str">
        <f t="shared" si="13"/>
        <v>TBC</v>
      </c>
      <c r="AA19" s="40" t="str">
        <f t="shared" si="13"/>
        <v>TBC</v>
      </c>
      <c r="AB19" s="40" t="str">
        <f t="shared" si="13"/>
        <v>TBC</v>
      </c>
      <c r="AC19" s="40" t="str">
        <f t="shared" si="13"/>
        <v>TBC</v>
      </c>
      <c r="AD19" s="40" t="str">
        <f t="shared" si="13"/>
        <v>TBC</v>
      </c>
      <c r="AE19" s="40" t="str">
        <f t="shared" si="13"/>
        <v>TBC</v>
      </c>
      <c r="AF19" s="40" t="str">
        <f t="shared" si="13"/>
        <v>TBC</v>
      </c>
      <c r="AG19" s="40" t="str">
        <f t="shared" si="13"/>
        <v>R</v>
      </c>
      <c r="AH19" s="40" t="str">
        <f t="shared" si="13"/>
        <v>G</v>
      </c>
      <c r="AI19" s="40" t="str">
        <f t="shared" si="13"/>
        <v>R</v>
      </c>
      <c r="AJ19" s="40" t="str">
        <f t="shared" si="13"/>
        <v>R</v>
      </c>
      <c r="AK19" s="40" t="str">
        <f t="shared" si="13"/>
        <v>R</v>
      </c>
      <c r="AL19" s="40" t="str">
        <f t="shared" si="13"/>
        <v>R</v>
      </c>
      <c r="AM19" s="40" t="str">
        <f t="shared" si="13"/>
        <v>G</v>
      </c>
      <c r="AN19" s="40" t="str">
        <f t="shared" si="13"/>
        <v>R</v>
      </c>
      <c r="AO19" s="40" t="str">
        <f t="shared" si="13"/>
        <v>R</v>
      </c>
      <c r="AP19" s="40" t="str">
        <f t="shared" si="13"/>
        <v>G</v>
      </c>
      <c r="AQ19" s="40" t="str">
        <f t="shared" si="13"/>
        <v>G</v>
      </c>
      <c r="AR19" s="40" t="str">
        <f t="shared" si="13"/>
        <v>R</v>
      </c>
      <c r="AS19" s="40" t="str">
        <f t="shared" si="13"/>
        <v>G</v>
      </c>
      <c r="AT19" s="40" t="str">
        <f t="shared" si="13"/>
        <v>G</v>
      </c>
      <c r="AU19" s="40" t="str">
        <f t="shared" si="13"/>
        <v>G</v>
      </c>
      <c r="AV19" s="40" t="str">
        <f t="shared" si="13"/>
        <v>OD</v>
      </c>
      <c r="AW19" s="40" t="str">
        <f t="shared" si="13"/>
        <v>OD</v>
      </c>
      <c r="AX19" s="40" t="str">
        <f t="shared" si="13"/>
        <v>R</v>
      </c>
      <c r="AY19" s="40" t="str">
        <f t="shared" si="13"/>
        <v>R</v>
      </c>
      <c r="AZ19" s="40" t="str">
        <f t="shared" si="13"/>
        <v>R</v>
      </c>
      <c r="BA19" s="40" t="str">
        <f t="shared" si="13"/>
        <v>G</v>
      </c>
      <c r="BB19" s="40" t="str">
        <f t="shared" si="13"/>
        <v>OD</v>
      </c>
      <c r="BC19" s="40" t="str">
        <f t="shared" si="13"/>
        <v/>
      </c>
      <c r="BD19" s="40" t="str">
        <f t="shared" si="13"/>
        <v/>
      </c>
      <c r="BE19" s="40" t="str">
        <f t="shared" si="13"/>
        <v/>
      </c>
      <c r="BF19" s="40" t="str">
        <f t="shared" si="13"/>
        <v/>
      </c>
      <c r="BG19" s="40" t="str">
        <f t="shared" si="13"/>
        <v/>
      </c>
      <c r="BH19" s="40" t="str">
        <f t="shared" si="13"/>
        <v/>
      </c>
      <c r="BI19" s="40" t="str">
        <f t="shared" si="13"/>
        <v/>
      </c>
      <c r="BJ19" s="40" t="str">
        <f t="shared" si="13"/>
        <v/>
      </c>
      <c r="BK19" s="40" t="str">
        <f t="shared" si="13"/>
        <v/>
      </c>
      <c r="BL19" s="40" t="str">
        <f t="shared" si="13"/>
        <v/>
      </c>
      <c r="BM19" s="40" t="str">
        <f t="shared" si="13"/>
        <v/>
      </c>
      <c r="BN19" s="42"/>
    </row>
    <row r="22" spans="2:66" ht="15.6" x14ac:dyDescent="0.3">
      <c r="B22" s="1" t="s">
        <v>0</v>
      </c>
      <c r="C22" s="45" t="s">
        <v>1</v>
      </c>
    </row>
    <row r="23" spans="2:66" ht="15.6" x14ac:dyDescent="0.3">
      <c r="B23" s="4" t="s">
        <v>2</v>
      </c>
      <c r="C23" s="45" t="s">
        <v>3</v>
      </c>
    </row>
    <row r="24" spans="2:66" ht="15.6" x14ac:dyDescent="0.3">
      <c r="B24" s="5" t="s">
        <v>4</v>
      </c>
      <c r="C24" s="45" t="s">
        <v>5</v>
      </c>
    </row>
    <row r="25" spans="2:66" x14ac:dyDescent="0.3">
      <c r="B25" s="340" t="s">
        <v>35</v>
      </c>
      <c r="C25" s="13" t="s">
        <v>376</v>
      </c>
    </row>
    <row r="26" spans="2:66" x14ac:dyDescent="0.3">
      <c r="B26" s="341" t="s">
        <v>122</v>
      </c>
      <c r="C26" s="13" t="s">
        <v>377</v>
      </c>
    </row>
  </sheetData>
  <mergeCells count="26">
    <mergeCell ref="C11:C13"/>
    <mergeCell ref="D11:D13"/>
    <mergeCell ref="C6:D6"/>
    <mergeCell ref="G6:G7"/>
    <mergeCell ref="B8:B10"/>
    <mergeCell ref="C8:C10"/>
    <mergeCell ref="D8:D10"/>
    <mergeCell ref="G8:G10"/>
    <mergeCell ref="E8:E10"/>
    <mergeCell ref="F8:F10"/>
    <mergeCell ref="E17:E19"/>
    <mergeCell ref="G11:G13"/>
    <mergeCell ref="B14:B16"/>
    <mergeCell ref="C14:C16"/>
    <mergeCell ref="D14:D16"/>
    <mergeCell ref="G14:G16"/>
    <mergeCell ref="E11:E13"/>
    <mergeCell ref="F11:F13"/>
    <mergeCell ref="E14:E16"/>
    <mergeCell ref="F14:F16"/>
    <mergeCell ref="F17:F19"/>
    <mergeCell ref="B17:B19"/>
    <mergeCell ref="C17:C19"/>
    <mergeCell ref="D17:D19"/>
    <mergeCell ref="G17:G19"/>
    <mergeCell ref="B11:B13"/>
  </mergeCells>
  <conditionalFormatting sqref="B26">
    <cfRule type="cellIs" dxfId="134" priority="41" operator="equal">
      <formula>"TBC"</formula>
    </cfRule>
    <cfRule type="cellIs" dxfId="133" priority="42" operator="equal">
      <formula>"OD"</formula>
    </cfRule>
    <cfRule type="cellIs" dxfId="132" priority="43" operator="equal">
      <formula>"G"</formula>
    </cfRule>
    <cfRule type="cellIs" dxfId="131" priority="44" operator="equal">
      <formula>"A"</formula>
    </cfRule>
    <cfRule type="cellIs" dxfId="130" priority="45" operator="equal">
      <formula>"R"</formula>
    </cfRule>
  </conditionalFormatting>
  <conditionalFormatting sqref="I10:BM10">
    <cfRule type="cellIs" dxfId="129" priority="16" operator="equal">
      <formula>"OD"</formula>
    </cfRule>
    <cfRule type="cellIs" dxfId="128" priority="17" operator="equal">
      <formula>"TBC"</formula>
    </cfRule>
    <cfRule type="cellIs" dxfId="127" priority="18" operator="equal">
      <formula>"G"</formula>
    </cfRule>
    <cfRule type="cellIs" dxfId="126" priority="19" operator="equal">
      <formula>"A"</formula>
    </cfRule>
    <cfRule type="cellIs" dxfId="125" priority="20" operator="equal">
      <formula>"R"</formula>
    </cfRule>
  </conditionalFormatting>
  <conditionalFormatting sqref="I13:BM13">
    <cfRule type="cellIs" dxfId="124" priority="11" operator="equal">
      <formula>"OD"</formula>
    </cfRule>
    <cfRule type="cellIs" dxfId="123" priority="12" operator="equal">
      <formula>"TBC"</formula>
    </cfRule>
    <cfRule type="cellIs" dxfId="122" priority="13" operator="equal">
      <formula>"G"</formula>
    </cfRule>
    <cfRule type="cellIs" dxfId="121" priority="14" operator="equal">
      <formula>"A"</formula>
    </cfRule>
    <cfRule type="cellIs" dxfId="120" priority="15" operator="equal">
      <formula>"R"</formula>
    </cfRule>
  </conditionalFormatting>
  <conditionalFormatting sqref="I16:BM16">
    <cfRule type="cellIs" dxfId="119" priority="6" operator="equal">
      <formula>"OD"</formula>
    </cfRule>
    <cfRule type="cellIs" dxfId="118" priority="7" operator="equal">
      <formula>"TBC"</formula>
    </cfRule>
    <cfRule type="cellIs" dxfId="117" priority="8" operator="equal">
      <formula>"G"</formula>
    </cfRule>
    <cfRule type="cellIs" dxfId="116" priority="9" operator="equal">
      <formula>"A"</formula>
    </cfRule>
    <cfRule type="cellIs" dxfId="115" priority="10" operator="equal">
      <formula>"R"</formula>
    </cfRule>
  </conditionalFormatting>
  <conditionalFormatting sqref="I19:BM19">
    <cfRule type="cellIs" dxfId="114" priority="1" operator="equal">
      <formula>"OD"</formula>
    </cfRule>
    <cfRule type="cellIs" dxfId="113" priority="2" operator="equal">
      <formula>"TBC"</formula>
    </cfRule>
    <cfRule type="cellIs" dxfId="112" priority="3" operator="equal">
      <formula>"G"</formula>
    </cfRule>
    <cfRule type="cellIs" dxfId="111" priority="4" operator="equal">
      <formula>"A"</formula>
    </cfRule>
    <cfRule type="cellIs" dxfId="110" priority="5" operator="equal">
      <formula>"R"</formula>
    </cfRule>
  </conditionalFormatting>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7F2F-8827-45F8-9046-EDC2E6FD38A3}">
  <sheetPr>
    <tabColor rgb="FF00B050"/>
  </sheetPr>
  <dimension ref="B1:BN26"/>
  <sheetViews>
    <sheetView workbookViewId="0">
      <pane xSplit="8" ySplit="7" topLeftCell="AS8" activePane="bottomRight" state="frozen"/>
      <selection pane="topRight" activeCell="I1" sqref="I1"/>
      <selection pane="bottomLeft" activeCell="A8" sqref="A8"/>
      <selection pane="bottomRight" activeCell="H22" sqref="H22"/>
    </sheetView>
  </sheetViews>
  <sheetFormatPr defaultColWidth="9.33203125" defaultRowHeight="14.4" x14ac:dyDescent="0.3"/>
  <cols>
    <col min="1" max="1" width="3" style="2" customWidth="1"/>
    <col min="2" max="2" width="18" style="2" customWidth="1"/>
    <col min="3" max="3" width="16.5546875" style="13" bestFit="1" customWidth="1"/>
    <col min="4" max="4" width="25.33203125" style="2" customWidth="1"/>
    <col min="5" max="5" width="11.33203125" style="2" customWidth="1"/>
    <col min="6" max="6" width="11.6640625" style="2" customWidth="1"/>
    <col min="7" max="7" width="31.33203125" style="2" customWidth="1"/>
    <col min="8" max="8" width="9.44140625" style="2" bestFit="1" customWidth="1"/>
    <col min="9" max="9" width="5" style="2" bestFit="1" customWidth="1"/>
    <col min="10" max="12" width="4" style="2" bestFit="1" customWidth="1"/>
    <col min="13" max="65" width="8" style="2" customWidth="1"/>
    <col min="66" max="66" width="7.6640625" style="2" hidden="1"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66" ht="31.8" thickBot="1" x14ac:dyDescent="0.35">
      <c r="B1" s="14" t="s">
        <v>121</v>
      </c>
      <c r="C1" s="10" t="s">
        <v>133</v>
      </c>
    </row>
    <row r="2" spans="2:66" ht="15" thickBot="1" x14ac:dyDescent="0.35">
      <c r="D2" s="119"/>
      <c r="E2" s="310">
        <v>42</v>
      </c>
      <c r="F2" s="2" t="s">
        <v>248</v>
      </c>
    </row>
    <row r="3" spans="2:66" ht="15" thickBot="1" x14ac:dyDescent="0.35">
      <c r="B3" s="2" t="s">
        <v>384</v>
      </c>
      <c r="D3" s="120" t="s">
        <v>193</v>
      </c>
      <c r="E3" s="120">
        <f>+'KPI Analysis'!D3</f>
        <v>42</v>
      </c>
    </row>
    <row r="4" spans="2:66" ht="15.6" customHeight="1" thickBot="1" x14ac:dyDescent="0.35">
      <c r="B4" s="346" t="str">
        <f>IF(E2&lt;(E3),"Overdue","Current")</f>
        <v>Current</v>
      </c>
      <c r="C4" s="2"/>
      <c r="D4" s="120" t="s">
        <v>378</v>
      </c>
      <c r="E4" s="343" t="s">
        <v>385</v>
      </c>
      <c r="F4"/>
      <c r="G4"/>
      <c r="M4" s="117" t="str">
        <f t="shared" ref="M4:BM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si="0"/>
        <v>Calc</v>
      </c>
      <c r="AT4" s="117" t="str">
        <f t="shared" si="0"/>
        <v>Calc</v>
      </c>
      <c r="AU4" s="117" t="str">
        <f t="shared" si="0"/>
        <v>Calc</v>
      </c>
      <c r="AV4" s="117" t="str">
        <f t="shared" si="0"/>
        <v>Calc</v>
      </c>
      <c r="AW4" s="117" t="str">
        <f t="shared" si="0"/>
        <v>Calc</v>
      </c>
      <c r="AX4" s="117" t="str">
        <f t="shared" si="0"/>
        <v>Calc</v>
      </c>
      <c r="AY4" s="117" t="str">
        <f t="shared" si="0"/>
        <v>Calc</v>
      </c>
      <c r="AZ4" s="117" t="str">
        <f t="shared" si="0"/>
        <v>Calc</v>
      </c>
      <c r="BA4" s="117" t="str">
        <f t="shared" si="0"/>
        <v>Calc</v>
      </c>
      <c r="BB4" s="117" t="str">
        <f t="shared" si="0"/>
        <v>Calc</v>
      </c>
      <c r="BC4" s="117" t="str">
        <f t="shared" si="0"/>
        <v>Future</v>
      </c>
      <c r="BD4" s="117" t="str">
        <f t="shared" si="0"/>
        <v>Future</v>
      </c>
      <c r="BE4" s="117" t="str">
        <f t="shared" si="0"/>
        <v>Future</v>
      </c>
      <c r="BF4" s="117" t="str">
        <f t="shared" si="0"/>
        <v>Future</v>
      </c>
      <c r="BG4" s="117" t="str">
        <f t="shared" si="0"/>
        <v>Future</v>
      </c>
      <c r="BH4" s="117" t="str">
        <f t="shared" si="0"/>
        <v>Future</v>
      </c>
      <c r="BI4" s="117" t="str">
        <f t="shared" si="0"/>
        <v>Future</v>
      </c>
      <c r="BJ4" s="117" t="str">
        <f t="shared" si="0"/>
        <v>Future</v>
      </c>
      <c r="BK4" s="117" t="str">
        <f t="shared" si="0"/>
        <v>Future</v>
      </c>
      <c r="BL4" s="117" t="str">
        <f t="shared" si="0"/>
        <v>Future</v>
      </c>
      <c r="BM4" s="117" t="str">
        <f t="shared" si="0"/>
        <v>Future</v>
      </c>
      <c r="BN4" s="202" t="str">
        <f>IF($E$2&gt;=BN6,"Calc",IF(BN6&gt;$E$2,IF(BN12&gt;0,"Not Calc yet","Future")))</f>
        <v>Future</v>
      </c>
    </row>
    <row r="5" spans="2:66" ht="15" thickBot="1" x14ac:dyDescent="0.35"/>
    <row r="6" spans="2:66" ht="24" customHeight="1" x14ac:dyDescent="0.3">
      <c r="B6" s="14" t="s">
        <v>79</v>
      </c>
      <c r="C6" s="926" t="s">
        <v>13</v>
      </c>
      <c r="D6" s="927"/>
      <c r="E6" s="106"/>
      <c r="F6" s="106"/>
      <c r="G6" s="928" t="s">
        <v>37</v>
      </c>
      <c r="H6" s="15" t="s">
        <v>7</v>
      </c>
      <c r="I6" s="57">
        <f>J6-1</f>
        <v>49</v>
      </c>
      <c r="J6" s="58">
        <f>K6-1</f>
        <v>50</v>
      </c>
      <c r="K6" s="58">
        <f>L6-1</f>
        <v>51</v>
      </c>
      <c r="L6" s="59">
        <v>52</v>
      </c>
      <c r="M6" s="18">
        <v>1</v>
      </c>
      <c r="N6" s="19">
        <f t="shared" ref="N6:BM6" si="1">M6+1</f>
        <v>2</v>
      </c>
      <c r="O6" s="19">
        <f t="shared" si="1"/>
        <v>3</v>
      </c>
      <c r="P6" s="19">
        <f t="shared" si="1"/>
        <v>4</v>
      </c>
      <c r="Q6" s="19">
        <f t="shared" si="1"/>
        <v>5</v>
      </c>
      <c r="R6" s="19">
        <f t="shared" si="1"/>
        <v>6</v>
      </c>
      <c r="S6" s="19">
        <f t="shared" si="1"/>
        <v>7</v>
      </c>
      <c r="T6" s="19">
        <f t="shared" si="1"/>
        <v>8</v>
      </c>
      <c r="U6" s="19">
        <f t="shared" si="1"/>
        <v>9</v>
      </c>
      <c r="V6" s="19">
        <f t="shared" si="1"/>
        <v>10</v>
      </c>
      <c r="W6" s="19">
        <f t="shared" si="1"/>
        <v>11</v>
      </c>
      <c r="X6" s="19">
        <f t="shared" si="1"/>
        <v>12</v>
      </c>
      <c r="Y6" s="19">
        <f t="shared" si="1"/>
        <v>13</v>
      </c>
      <c r="Z6" s="19">
        <f t="shared" si="1"/>
        <v>14</v>
      </c>
      <c r="AA6" s="19">
        <f t="shared" si="1"/>
        <v>15</v>
      </c>
      <c r="AB6" s="19">
        <f t="shared" si="1"/>
        <v>16</v>
      </c>
      <c r="AC6" s="19">
        <f t="shared" si="1"/>
        <v>17</v>
      </c>
      <c r="AD6" s="19">
        <f t="shared" si="1"/>
        <v>18</v>
      </c>
      <c r="AE6" s="19">
        <f t="shared" si="1"/>
        <v>19</v>
      </c>
      <c r="AF6" s="19">
        <f t="shared" si="1"/>
        <v>20</v>
      </c>
      <c r="AG6" s="19">
        <f t="shared" si="1"/>
        <v>21</v>
      </c>
      <c r="AH6" s="19">
        <f t="shared" si="1"/>
        <v>22</v>
      </c>
      <c r="AI6" s="19">
        <f t="shared" si="1"/>
        <v>23</v>
      </c>
      <c r="AJ6" s="19">
        <f t="shared" si="1"/>
        <v>24</v>
      </c>
      <c r="AK6" s="19">
        <f t="shared" si="1"/>
        <v>25</v>
      </c>
      <c r="AL6" s="19">
        <f t="shared" si="1"/>
        <v>26</v>
      </c>
      <c r="AM6" s="19">
        <f t="shared" si="1"/>
        <v>27</v>
      </c>
      <c r="AN6" s="19">
        <f t="shared" si="1"/>
        <v>28</v>
      </c>
      <c r="AO6" s="19">
        <f t="shared" si="1"/>
        <v>29</v>
      </c>
      <c r="AP6" s="19">
        <f t="shared" si="1"/>
        <v>30</v>
      </c>
      <c r="AQ6" s="19">
        <f t="shared" si="1"/>
        <v>31</v>
      </c>
      <c r="AR6" s="19">
        <f t="shared" si="1"/>
        <v>32</v>
      </c>
      <c r="AS6" s="19">
        <f t="shared" si="1"/>
        <v>33</v>
      </c>
      <c r="AT6" s="19">
        <f t="shared" si="1"/>
        <v>34</v>
      </c>
      <c r="AU6" s="19">
        <f t="shared" si="1"/>
        <v>35</v>
      </c>
      <c r="AV6" s="19">
        <f t="shared" si="1"/>
        <v>36</v>
      </c>
      <c r="AW6" s="19">
        <f t="shared" si="1"/>
        <v>37</v>
      </c>
      <c r="AX6" s="19">
        <f t="shared" si="1"/>
        <v>38</v>
      </c>
      <c r="AY6" s="19">
        <f t="shared" si="1"/>
        <v>39</v>
      </c>
      <c r="AZ6" s="19">
        <f t="shared" si="1"/>
        <v>40</v>
      </c>
      <c r="BA6" s="19">
        <f t="shared" si="1"/>
        <v>41</v>
      </c>
      <c r="BB6" s="19">
        <f t="shared" si="1"/>
        <v>42</v>
      </c>
      <c r="BC6" s="19">
        <f t="shared" si="1"/>
        <v>43</v>
      </c>
      <c r="BD6" s="19">
        <f t="shared" si="1"/>
        <v>44</v>
      </c>
      <c r="BE6" s="19">
        <f t="shared" si="1"/>
        <v>45</v>
      </c>
      <c r="BF6" s="19">
        <f t="shared" si="1"/>
        <v>46</v>
      </c>
      <c r="BG6" s="19">
        <f t="shared" si="1"/>
        <v>47</v>
      </c>
      <c r="BH6" s="19">
        <f t="shared" si="1"/>
        <v>48</v>
      </c>
      <c r="BI6" s="19">
        <f t="shared" si="1"/>
        <v>49</v>
      </c>
      <c r="BJ6" s="19">
        <f t="shared" si="1"/>
        <v>50</v>
      </c>
      <c r="BK6" s="19">
        <f t="shared" si="1"/>
        <v>51</v>
      </c>
      <c r="BL6" s="19">
        <f t="shared" si="1"/>
        <v>52</v>
      </c>
      <c r="BM6" s="19">
        <f t="shared" si="1"/>
        <v>53</v>
      </c>
      <c r="BN6" s="20" t="s">
        <v>34</v>
      </c>
    </row>
    <row r="7" spans="2:66" ht="33.6" customHeight="1" x14ac:dyDescent="0.3">
      <c r="B7" s="14" t="s">
        <v>38</v>
      </c>
      <c r="C7" s="21" t="s">
        <v>39</v>
      </c>
      <c r="D7" s="21" t="s">
        <v>40</v>
      </c>
      <c r="E7" s="21" t="s">
        <v>140</v>
      </c>
      <c r="F7" s="21" t="s">
        <v>159</v>
      </c>
      <c r="G7" s="929"/>
      <c r="H7" s="15" t="s">
        <v>41</v>
      </c>
      <c r="I7" s="60">
        <f t="shared" ref="I7:K7" si="2">J7-7</f>
        <v>45632</v>
      </c>
      <c r="J7" s="61">
        <f t="shared" si="2"/>
        <v>45639</v>
      </c>
      <c r="K7" s="61">
        <f t="shared" si="2"/>
        <v>45646</v>
      </c>
      <c r="L7" s="62">
        <f>M7-7</f>
        <v>45653</v>
      </c>
      <c r="M7" s="24">
        <v>45660</v>
      </c>
      <c r="N7" s="25">
        <f t="shared" ref="N7:BM7" si="3">M7+7</f>
        <v>45667</v>
      </c>
      <c r="O7" s="25">
        <f t="shared" si="3"/>
        <v>45674</v>
      </c>
      <c r="P7" s="25">
        <f t="shared" si="3"/>
        <v>45681</v>
      </c>
      <c r="Q7" s="25">
        <f t="shared" si="3"/>
        <v>45688</v>
      </c>
      <c r="R7" s="25">
        <f t="shared" si="3"/>
        <v>45695</v>
      </c>
      <c r="S7" s="25">
        <f t="shared" si="3"/>
        <v>45702</v>
      </c>
      <c r="T7" s="25">
        <f t="shared" si="3"/>
        <v>45709</v>
      </c>
      <c r="U7" s="25">
        <f t="shared" si="3"/>
        <v>45716</v>
      </c>
      <c r="V7" s="25">
        <f t="shared" si="3"/>
        <v>45723</v>
      </c>
      <c r="W7" s="25">
        <f t="shared" si="3"/>
        <v>45730</v>
      </c>
      <c r="X7" s="25">
        <f t="shared" si="3"/>
        <v>45737</v>
      </c>
      <c r="Y7" s="25">
        <f t="shared" si="3"/>
        <v>45744</v>
      </c>
      <c r="Z7" s="25">
        <f t="shared" si="3"/>
        <v>45751</v>
      </c>
      <c r="AA7" s="25">
        <f t="shared" si="3"/>
        <v>45758</v>
      </c>
      <c r="AB7" s="25">
        <f t="shared" si="3"/>
        <v>45765</v>
      </c>
      <c r="AC7" s="25">
        <f t="shared" si="3"/>
        <v>45772</v>
      </c>
      <c r="AD7" s="25">
        <f t="shared" si="3"/>
        <v>45779</v>
      </c>
      <c r="AE7" s="25">
        <f t="shared" si="3"/>
        <v>45786</v>
      </c>
      <c r="AF7" s="25">
        <f t="shared" si="3"/>
        <v>45793</v>
      </c>
      <c r="AG7" s="25">
        <f t="shared" si="3"/>
        <v>45800</v>
      </c>
      <c r="AH7" s="25">
        <f t="shared" si="3"/>
        <v>45807</v>
      </c>
      <c r="AI7" s="25">
        <f t="shared" si="3"/>
        <v>45814</v>
      </c>
      <c r="AJ7" s="25">
        <f t="shared" si="3"/>
        <v>45821</v>
      </c>
      <c r="AK7" s="25">
        <f t="shared" si="3"/>
        <v>45828</v>
      </c>
      <c r="AL7" s="25">
        <f t="shared" si="3"/>
        <v>45835</v>
      </c>
      <c r="AM7" s="25">
        <f t="shared" si="3"/>
        <v>45842</v>
      </c>
      <c r="AN7" s="25">
        <f t="shared" si="3"/>
        <v>45849</v>
      </c>
      <c r="AO7" s="25">
        <f t="shared" si="3"/>
        <v>45856</v>
      </c>
      <c r="AP7" s="25">
        <f t="shared" si="3"/>
        <v>45863</v>
      </c>
      <c r="AQ7" s="25">
        <f t="shared" si="3"/>
        <v>45870</v>
      </c>
      <c r="AR7" s="25">
        <f t="shared" si="3"/>
        <v>45877</v>
      </c>
      <c r="AS7" s="25">
        <f t="shared" si="3"/>
        <v>45884</v>
      </c>
      <c r="AT7" s="25">
        <f t="shared" si="3"/>
        <v>45891</v>
      </c>
      <c r="AU7" s="25">
        <f t="shared" si="3"/>
        <v>45898</v>
      </c>
      <c r="AV7" s="25">
        <f t="shared" si="3"/>
        <v>45905</v>
      </c>
      <c r="AW7" s="25">
        <f t="shared" si="3"/>
        <v>45912</v>
      </c>
      <c r="AX7" s="25">
        <f t="shared" si="3"/>
        <v>45919</v>
      </c>
      <c r="AY7" s="25">
        <f t="shared" si="3"/>
        <v>45926</v>
      </c>
      <c r="AZ7" s="25">
        <f t="shared" si="3"/>
        <v>45933</v>
      </c>
      <c r="BA7" s="25">
        <f t="shared" si="3"/>
        <v>45940</v>
      </c>
      <c r="BB7" s="25">
        <f t="shared" si="3"/>
        <v>45947</v>
      </c>
      <c r="BC7" s="25">
        <f t="shared" si="3"/>
        <v>45954</v>
      </c>
      <c r="BD7" s="25">
        <f t="shared" si="3"/>
        <v>45961</v>
      </c>
      <c r="BE7" s="25">
        <f t="shared" si="3"/>
        <v>45968</v>
      </c>
      <c r="BF7" s="25">
        <f t="shared" si="3"/>
        <v>45975</v>
      </c>
      <c r="BG7" s="25">
        <f t="shared" si="3"/>
        <v>45982</v>
      </c>
      <c r="BH7" s="25">
        <f t="shared" si="3"/>
        <v>45989</v>
      </c>
      <c r="BI7" s="25">
        <f t="shared" si="3"/>
        <v>45996</v>
      </c>
      <c r="BJ7" s="25">
        <f t="shared" si="3"/>
        <v>46003</v>
      </c>
      <c r="BK7" s="25">
        <f t="shared" si="3"/>
        <v>46010</v>
      </c>
      <c r="BL7" s="25">
        <f t="shared" si="3"/>
        <v>46017</v>
      </c>
      <c r="BM7" s="25">
        <f t="shared" si="3"/>
        <v>46024</v>
      </c>
      <c r="BN7" s="26"/>
    </row>
    <row r="8" spans="2:66" ht="24" customHeight="1" x14ac:dyDescent="0.3">
      <c r="B8" s="920" t="s">
        <v>30</v>
      </c>
      <c r="C8" s="921" t="s">
        <v>53</v>
      </c>
      <c r="D8" s="921" t="s">
        <v>54</v>
      </c>
      <c r="E8" s="921" t="s">
        <v>142</v>
      </c>
      <c r="F8" s="921" t="s">
        <v>154</v>
      </c>
      <c r="G8" s="961" t="s">
        <v>55</v>
      </c>
      <c r="H8" s="63" t="s">
        <v>44</v>
      </c>
      <c r="I8" s="64">
        <v>2</v>
      </c>
      <c r="J8" s="65">
        <v>3</v>
      </c>
      <c r="K8" s="65">
        <v>4</v>
      </c>
      <c r="L8" s="66">
        <v>0</v>
      </c>
      <c r="M8" s="65" t="s">
        <v>122</v>
      </c>
      <c r="N8" s="67">
        <v>3</v>
      </c>
      <c r="O8" s="67">
        <v>3</v>
      </c>
      <c r="P8" s="67">
        <v>2</v>
      </c>
      <c r="Q8" s="67">
        <v>2</v>
      </c>
      <c r="R8" s="67">
        <v>3</v>
      </c>
      <c r="S8" s="67">
        <v>3</v>
      </c>
      <c r="T8" s="67">
        <v>2</v>
      </c>
      <c r="U8" s="67">
        <v>3</v>
      </c>
      <c r="V8" s="67">
        <v>3</v>
      </c>
      <c r="W8" s="67">
        <v>3</v>
      </c>
      <c r="X8" s="67">
        <v>2</v>
      </c>
      <c r="Y8" s="67">
        <v>2</v>
      </c>
      <c r="Z8" s="67">
        <v>3</v>
      </c>
      <c r="AA8" s="67">
        <v>3</v>
      </c>
      <c r="AB8" s="67">
        <v>2</v>
      </c>
      <c r="AC8" s="67">
        <v>2</v>
      </c>
      <c r="AD8" s="67">
        <v>3</v>
      </c>
      <c r="AE8" s="67">
        <v>3</v>
      </c>
      <c r="AF8" s="67">
        <v>2</v>
      </c>
      <c r="AG8" s="67">
        <v>2</v>
      </c>
      <c r="AH8" s="67">
        <v>3</v>
      </c>
      <c r="AI8" s="67">
        <v>5</v>
      </c>
      <c r="AJ8" s="67">
        <v>4</v>
      </c>
      <c r="AK8" s="67">
        <v>4</v>
      </c>
      <c r="AL8" s="67">
        <v>5</v>
      </c>
      <c r="AM8" s="67">
        <v>5</v>
      </c>
      <c r="AN8" s="67">
        <v>4</v>
      </c>
      <c r="AO8" s="67">
        <v>4</v>
      </c>
      <c r="AP8" s="67">
        <v>5</v>
      </c>
      <c r="AQ8" s="67">
        <v>5</v>
      </c>
      <c r="AR8" s="67">
        <v>4</v>
      </c>
      <c r="AS8" s="67">
        <v>4</v>
      </c>
      <c r="AT8" s="67">
        <v>4</v>
      </c>
      <c r="AU8" s="67">
        <v>5</v>
      </c>
      <c r="AV8" s="67">
        <v>4</v>
      </c>
      <c r="AW8" s="67">
        <v>4</v>
      </c>
      <c r="AX8" s="67">
        <v>5</v>
      </c>
      <c r="AY8" s="67">
        <v>5</v>
      </c>
      <c r="AZ8" s="67">
        <v>4</v>
      </c>
      <c r="BA8" s="67">
        <v>4</v>
      </c>
      <c r="BB8" s="67">
        <v>5</v>
      </c>
      <c r="BC8" s="67">
        <v>5</v>
      </c>
      <c r="BD8" s="67">
        <v>4</v>
      </c>
      <c r="BE8" s="67">
        <v>4</v>
      </c>
      <c r="BF8" s="67">
        <v>5</v>
      </c>
      <c r="BG8" s="67">
        <v>5</v>
      </c>
      <c r="BH8" s="67">
        <v>4</v>
      </c>
      <c r="BI8" s="67">
        <v>4</v>
      </c>
      <c r="BJ8" s="67">
        <v>5</v>
      </c>
      <c r="BK8" s="67">
        <v>5</v>
      </c>
      <c r="BL8" s="67">
        <v>0</v>
      </c>
      <c r="BM8" s="67">
        <v>0</v>
      </c>
      <c r="BN8" s="32"/>
    </row>
    <row r="9" spans="2:66" ht="24" customHeight="1" x14ac:dyDescent="0.3">
      <c r="B9" s="920"/>
      <c r="C9" s="921"/>
      <c r="D9" s="921"/>
      <c r="E9" s="921"/>
      <c r="F9" s="921"/>
      <c r="G9" s="960"/>
      <c r="H9" s="33" t="s">
        <v>45</v>
      </c>
      <c r="I9" s="34">
        <v>4</v>
      </c>
      <c r="J9" s="36">
        <v>2</v>
      </c>
      <c r="K9" s="36">
        <v>4</v>
      </c>
      <c r="L9" s="52">
        <v>0</v>
      </c>
      <c r="M9" s="36" t="s">
        <v>122</v>
      </c>
      <c r="N9" s="35">
        <v>6</v>
      </c>
      <c r="O9" s="35">
        <v>10</v>
      </c>
      <c r="P9" s="35">
        <v>5</v>
      </c>
      <c r="Q9" s="35">
        <v>5</v>
      </c>
      <c r="R9" s="35">
        <v>4</v>
      </c>
      <c r="S9" s="35">
        <v>5</v>
      </c>
      <c r="T9" s="35">
        <v>5</v>
      </c>
      <c r="U9" s="35">
        <v>6</v>
      </c>
      <c r="V9" s="35">
        <v>6</v>
      </c>
      <c r="W9" s="35">
        <v>4</v>
      </c>
      <c r="X9" s="35">
        <v>8</v>
      </c>
      <c r="Y9" s="35">
        <v>9</v>
      </c>
      <c r="Z9" s="35">
        <v>5</v>
      </c>
      <c r="AA9" s="35">
        <v>7</v>
      </c>
      <c r="AB9" s="35">
        <v>7</v>
      </c>
      <c r="AC9" s="35">
        <v>10</v>
      </c>
      <c r="AD9" s="35">
        <v>8</v>
      </c>
      <c r="AE9" s="35">
        <v>8</v>
      </c>
      <c r="AF9" s="35">
        <v>13</v>
      </c>
      <c r="AG9" s="35">
        <v>10</v>
      </c>
      <c r="AH9" s="35">
        <v>9</v>
      </c>
      <c r="AI9" s="35">
        <v>11</v>
      </c>
      <c r="AJ9" s="35">
        <v>10</v>
      </c>
      <c r="AK9" s="35">
        <v>13</v>
      </c>
      <c r="AL9" s="35">
        <v>7</v>
      </c>
      <c r="AM9" s="35">
        <v>8</v>
      </c>
      <c r="AN9" s="35">
        <v>15</v>
      </c>
      <c r="AO9" s="35">
        <v>8</v>
      </c>
      <c r="AP9" s="35">
        <v>8</v>
      </c>
      <c r="AQ9" s="35">
        <v>10</v>
      </c>
      <c r="AR9" s="35">
        <v>11</v>
      </c>
      <c r="AS9" s="35">
        <v>11</v>
      </c>
      <c r="AT9" s="35">
        <v>6</v>
      </c>
      <c r="AU9" s="35">
        <v>7</v>
      </c>
      <c r="AV9" s="35">
        <v>11</v>
      </c>
      <c r="AW9" s="35">
        <v>9</v>
      </c>
      <c r="AX9" s="833">
        <v>11</v>
      </c>
      <c r="AY9" s="35">
        <v>6</v>
      </c>
      <c r="AZ9" s="35">
        <v>9</v>
      </c>
      <c r="BA9" s="35">
        <v>9</v>
      </c>
      <c r="BB9" s="35">
        <v>8</v>
      </c>
      <c r="BC9" s="35"/>
      <c r="BD9" s="35"/>
      <c r="BE9" s="35"/>
      <c r="BF9" s="35"/>
      <c r="BG9" s="35"/>
      <c r="BH9" s="35"/>
      <c r="BI9" s="35"/>
      <c r="BJ9" s="35"/>
      <c r="BK9" s="35"/>
      <c r="BL9" s="35"/>
      <c r="BM9" s="35"/>
      <c r="BN9" s="37"/>
    </row>
    <row r="10" spans="2:66" ht="24" customHeight="1" x14ac:dyDescent="0.3">
      <c r="B10" s="920"/>
      <c r="C10" s="921"/>
      <c r="D10" s="921"/>
      <c r="E10" s="921"/>
      <c r="F10" s="921"/>
      <c r="G10" s="960"/>
      <c r="H10" s="38" t="s">
        <v>46</v>
      </c>
      <c r="I10" s="39" t="str">
        <f>IF(I6="Blank","Blank",IF(I6="TBC","TBC",IF(I$6&gt;$E$2,"",IF((I9-I8)&gt;=0,"G",IF((I9-(I8*0.95))&gt;=0,"A","R")))))</f>
        <v/>
      </c>
      <c r="J10" s="41" t="str">
        <f t="shared" ref="J10:L10" si="4">IF(J9="","",IF((J9-J8)&gt;=0,"G",IF((J9/J8&lt;=0.9),"R","A")))</f>
        <v>R</v>
      </c>
      <c r="K10" s="41" t="str">
        <f t="shared" si="4"/>
        <v>G</v>
      </c>
      <c r="L10" s="53" t="str">
        <f t="shared" si="4"/>
        <v>G</v>
      </c>
      <c r="M10" s="40" t="str">
        <f>IF(M$6&gt;$E$3,"",IF(M9="","OD",IF(M9="Blank","Blank",IF(M9="TBC","TBC",IF(M9="Undefined","Undefined",IF(M9="Missed","Missed",IF(M9="OD","OD",IF(M$4="OD","OD",IF((M9-M8)&gt;=0,"G",IF((M9-(M8*0.95))&gt;=0,"A","R"))))))))))</f>
        <v>Blank</v>
      </c>
      <c r="N10" s="40" t="str">
        <f t="shared" ref="N10:BM10" si="5">IF(N$6&gt;$E$3,"",IF(N9="","OD",IF(N9="Blank","Blank",IF(N9="TBC","TBC",IF(N9="Undefined","Undefined",IF(N9="Missed","Missed",IF(N9="OD","OD",IF(N$4="OD","OD",IF((N9-N8)&gt;=0,"G",IF((N9-(N8*0.95))&gt;=0,"A","R"))))))))))</f>
        <v>G</v>
      </c>
      <c r="O10" s="40" t="str">
        <f t="shared" si="5"/>
        <v>G</v>
      </c>
      <c r="P10" s="40" t="str">
        <f t="shared" si="5"/>
        <v>G</v>
      </c>
      <c r="Q10" s="40" t="str">
        <f t="shared" si="5"/>
        <v>G</v>
      </c>
      <c r="R10" s="40" t="str">
        <f t="shared" si="5"/>
        <v>G</v>
      </c>
      <c r="S10" s="40" t="str">
        <f t="shared" si="5"/>
        <v>G</v>
      </c>
      <c r="T10" s="40" t="str">
        <f t="shared" si="5"/>
        <v>G</v>
      </c>
      <c r="U10" s="40" t="str">
        <f t="shared" si="5"/>
        <v>G</v>
      </c>
      <c r="V10" s="40" t="str">
        <f t="shared" si="5"/>
        <v>G</v>
      </c>
      <c r="W10" s="40" t="str">
        <f t="shared" si="5"/>
        <v>G</v>
      </c>
      <c r="X10" s="40" t="str">
        <f t="shared" si="5"/>
        <v>G</v>
      </c>
      <c r="Y10" s="40" t="str">
        <f t="shared" si="5"/>
        <v>G</v>
      </c>
      <c r="Z10" s="40" t="str">
        <f t="shared" si="5"/>
        <v>G</v>
      </c>
      <c r="AA10" s="40" t="str">
        <f t="shared" si="5"/>
        <v>G</v>
      </c>
      <c r="AB10" s="40" t="str">
        <f t="shared" si="5"/>
        <v>G</v>
      </c>
      <c r="AC10" s="40" t="str">
        <f t="shared" si="5"/>
        <v>G</v>
      </c>
      <c r="AD10" s="40" t="str">
        <f t="shared" si="5"/>
        <v>G</v>
      </c>
      <c r="AE10" s="40" t="str">
        <f t="shared" si="5"/>
        <v>G</v>
      </c>
      <c r="AF10" s="40" t="str">
        <f t="shared" si="5"/>
        <v>G</v>
      </c>
      <c r="AG10" s="40" t="str">
        <f t="shared" si="5"/>
        <v>G</v>
      </c>
      <c r="AH10" s="40" t="str">
        <f t="shared" si="5"/>
        <v>G</v>
      </c>
      <c r="AI10" s="40" t="str">
        <f t="shared" si="5"/>
        <v>G</v>
      </c>
      <c r="AJ10" s="40" t="str">
        <f t="shared" si="5"/>
        <v>G</v>
      </c>
      <c r="AK10" s="40" t="str">
        <f t="shared" si="5"/>
        <v>G</v>
      </c>
      <c r="AL10" s="40" t="str">
        <f t="shared" si="5"/>
        <v>G</v>
      </c>
      <c r="AM10" s="40" t="str">
        <f t="shared" si="5"/>
        <v>G</v>
      </c>
      <c r="AN10" s="40" t="str">
        <f t="shared" si="5"/>
        <v>G</v>
      </c>
      <c r="AO10" s="40" t="str">
        <f t="shared" si="5"/>
        <v>G</v>
      </c>
      <c r="AP10" s="40" t="str">
        <f t="shared" si="5"/>
        <v>G</v>
      </c>
      <c r="AQ10" s="40" t="str">
        <f t="shared" si="5"/>
        <v>G</v>
      </c>
      <c r="AR10" s="40" t="str">
        <f t="shared" si="5"/>
        <v>G</v>
      </c>
      <c r="AS10" s="40" t="str">
        <f t="shared" si="5"/>
        <v>G</v>
      </c>
      <c r="AT10" s="40" t="str">
        <f t="shared" si="5"/>
        <v>G</v>
      </c>
      <c r="AU10" s="40" t="str">
        <f t="shared" si="5"/>
        <v>G</v>
      </c>
      <c r="AV10" s="40" t="str">
        <f t="shared" si="5"/>
        <v>G</v>
      </c>
      <c r="AW10" s="40" t="str">
        <f t="shared" si="5"/>
        <v>G</v>
      </c>
      <c r="AX10" s="40" t="str">
        <f t="shared" si="5"/>
        <v>G</v>
      </c>
      <c r="AY10" s="40" t="str">
        <f t="shared" si="5"/>
        <v>G</v>
      </c>
      <c r="AZ10" s="40" t="str">
        <f t="shared" si="5"/>
        <v>G</v>
      </c>
      <c r="BA10" s="40" t="str">
        <f t="shared" si="5"/>
        <v>G</v>
      </c>
      <c r="BB10" s="40" t="str">
        <f t="shared" si="5"/>
        <v>G</v>
      </c>
      <c r="BC10" s="40" t="str">
        <f t="shared" si="5"/>
        <v/>
      </c>
      <c r="BD10" s="40" t="str">
        <f t="shared" si="5"/>
        <v/>
      </c>
      <c r="BE10" s="40" t="str">
        <f t="shared" si="5"/>
        <v/>
      </c>
      <c r="BF10" s="40" t="str">
        <f t="shared" si="5"/>
        <v/>
      </c>
      <c r="BG10" s="40" t="str">
        <f t="shared" si="5"/>
        <v/>
      </c>
      <c r="BH10" s="40" t="str">
        <f t="shared" si="5"/>
        <v/>
      </c>
      <c r="BI10" s="40" t="str">
        <f t="shared" si="5"/>
        <v/>
      </c>
      <c r="BJ10" s="40" t="str">
        <f t="shared" si="5"/>
        <v/>
      </c>
      <c r="BK10" s="40" t="str">
        <f t="shared" si="5"/>
        <v/>
      </c>
      <c r="BL10" s="40" t="str">
        <f t="shared" si="5"/>
        <v/>
      </c>
      <c r="BM10" s="40" t="str">
        <f t="shared" si="5"/>
        <v/>
      </c>
      <c r="BN10" s="42"/>
    </row>
    <row r="11" spans="2:66" ht="24" customHeight="1" x14ac:dyDescent="0.3">
      <c r="B11" s="920" t="s">
        <v>33</v>
      </c>
      <c r="C11" s="921" t="s">
        <v>56</v>
      </c>
      <c r="D11" s="921" t="s">
        <v>57</v>
      </c>
      <c r="E11" s="921" t="s">
        <v>144</v>
      </c>
      <c r="F11" s="921" t="s">
        <v>154</v>
      </c>
      <c r="G11" s="960" t="s">
        <v>58</v>
      </c>
      <c r="H11" s="27" t="s">
        <v>44</v>
      </c>
      <c r="I11" s="28">
        <v>100</v>
      </c>
      <c r="J11" s="30">
        <v>100</v>
      </c>
      <c r="K11" s="30">
        <v>100</v>
      </c>
      <c r="L11" s="51">
        <v>100</v>
      </c>
      <c r="M11" s="30" t="s">
        <v>122</v>
      </c>
      <c r="N11" s="29">
        <v>100</v>
      </c>
      <c r="O11" s="29">
        <v>100</v>
      </c>
      <c r="P11" s="29">
        <v>100</v>
      </c>
      <c r="Q11" s="29">
        <v>100</v>
      </c>
      <c r="R11" s="29">
        <v>100</v>
      </c>
      <c r="S11" s="29">
        <v>100</v>
      </c>
      <c r="T11" s="29">
        <v>100</v>
      </c>
      <c r="U11" s="29">
        <v>100</v>
      </c>
      <c r="V11" s="29">
        <v>100</v>
      </c>
      <c r="W11" s="29">
        <v>100</v>
      </c>
      <c r="X11" s="29">
        <v>100</v>
      </c>
      <c r="Y11" s="29">
        <v>100</v>
      </c>
      <c r="Z11" s="29">
        <v>100</v>
      </c>
      <c r="AA11" s="29">
        <v>100</v>
      </c>
      <c r="AB11" s="29">
        <v>100</v>
      </c>
      <c r="AC11" s="29">
        <v>100</v>
      </c>
      <c r="AD11" s="29">
        <v>100</v>
      </c>
      <c r="AE11" s="29">
        <v>100</v>
      </c>
      <c r="AF11" s="29">
        <v>100</v>
      </c>
      <c r="AG11" s="29">
        <v>100</v>
      </c>
      <c r="AH11" s="29">
        <v>100</v>
      </c>
      <c r="AI11" s="29">
        <v>100</v>
      </c>
      <c r="AJ11" s="67">
        <f>IF(AJ$6&gt;$E$3,"",100)</f>
        <v>100</v>
      </c>
      <c r="AK11" s="67">
        <f t="shared" ref="AK11:BM11" si="6">IF(AK$6&gt;$E$3,"",100)</f>
        <v>100</v>
      </c>
      <c r="AL11" s="67">
        <f t="shared" si="6"/>
        <v>100</v>
      </c>
      <c r="AM11" s="67">
        <f t="shared" si="6"/>
        <v>100</v>
      </c>
      <c r="AN11" s="67">
        <f t="shared" si="6"/>
        <v>100</v>
      </c>
      <c r="AO11" s="67">
        <f t="shared" si="6"/>
        <v>100</v>
      </c>
      <c r="AP11" s="67">
        <f t="shared" si="6"/>
        <v>100</v>
      </c>
      <c r="AQ11" s="67">
        <f t="shared" si="6"/>
        <v>100</v>
      </c>
      <c r="AR11" s="67">
        <f t="shared" si="6"/>
        <v>100</v>
      </c>
      <c r="AS11" s="67">
        <f t="shared" si="6"/>
        <v>100</v>
      </c>
      <c r="AT11" s="67">
        <f t="shared" si="6"/>
        <v>100</v>
      </c>
      <c r="AU11" s="67">
        <f t="shared" si="6"/>
        <v>100</v>
      </c>
      <c r="AV11" s="67">
        <f t="shared" si="6"/>
        <v>100</v>
      </c>
      <c r="AW11" s="67">
        <f t="shared" si="6"/>
        <v>100</v>
      </c>
      <c r="AX11" s="67">
        <f t="shared" si="6"/>
        <v>100</v>
      </c>
      <c r="AY11" s="67">
        <f t="shared" si="6"/>
        <v>100</v>
      </c>
      <c r="AZ11" s="67">
        <f t="shared" si="6"/>
        <v>100</v>
      </c>
      <c r="BA11" s="67">
        <f t="shared" si="6"/>
        <v>100</v>
      </c>
      <c r="BB11" s="67">
        <f t="shared" si="6"/>
        <v>100</v>
      </c>
      <c r="BC11" s="67" t="str">
        <f t="shared" si="6"/>
        <v/>
      </c>
      <c r="BD11" s="67" t="str">
        <f t="shared" si="6"/>
        <v/>
      </c>
      <c r="BE11" s="67" t="str">
        <f t="shared" si="6"/>
        <v/>
      </c>
      <c r="BF11" s="67" t="str">
        <f t="shared" si="6"/>
        <v/>
      </c>
      <c r="BG11" s="67" t="str">
        <f t="shared" si="6"/>
        <v/>
      </c>
      <c r="BH11" s="67" t="str">
        <f t="shared" si="6"/>
        <v/>
      </c>
      <c r="BI11" s="67" t="str">
        <f t="shared" si="6"/>
        <v/>
      </c>
      <c r="BJ11" s="67" t="str">
        <f t="shared" si="6"/>
        <v/>
      </c>
      <c r="BK11" s="67" t="str">
        <f t="shared" si="6"/>
        <v/>
      </c>
      <c r="BL11" s="67" t="str">
        <f t="shared" si="6"/>
        <v/>
      </c>
      <c r="BM11" s="67" t="str">
        <f t="shared" si="6"/>
        <v/>
      </c>
      <c r="BN11" s="31"/>
    </row>
    <row r="12" spans="2:66" ht="24" customHeight="1" x14ac:dyDescent="0.3">
      <c r="B12" s="920"/>
      <c r="C12" s="921"/>
      <c r="D12" s="921"/>
      <c r="E12" s="921"/>
      <c r="F12" s="921"/>
      <c r="G12" s="960"/>
      <c r="H12" s="33" t="s">
        <v>45</v>
      </c>
      <c r="I12" s="34">
        <v>100</v>
      </c>
      <c r="J12" s="36">
        <v>100</v>
      </c>
      <c r="K12" s="36">
        <v>100</v>
      </c>
      <c r="L12" s="52">
        <v>100</v>
      </c>
      <c r="M12" s="36" t="s">
        <v>122</v>
      </c>
      <c r="N12" s="35">
        <v>100</v>
      </c>
      <c r="O12" s="35">
        <v>33</v>
      </c>
      <c r="P12" s="35">
        <v>100</v>
      </c>
      <c r="Q12" s="35">
        <v>33</v>
      </c>
      <c r="R12" s="35">
        <v>66</v>
      </c>
      <c r="S12" s="35">
        <v>66</v>
      </c>
      <c r="T12" s="35">
        <v>50</v>
      </c>
      <c r="U12" s="35">
        <v>100</v>
      </c>
      <c r="V12" s="35">
        <v>100</v>
      </c>
      <c r="W12" s="35">
        <v>100</v>
      </c>
      <c r="X12" s="35">
        <v>100</v>
      </c>
      <c r="Y12" s="35">
        <v>100</v>
      </c>
      <c r="Z12" s="35">
        <v>66</v>
      </c>
      <c r="AA12" s="35">
        <v>100</v>
      </c>
      <c r="AB12" s="35">
        <v>100</v>
      </c>
      <c r="AC12" s="35">
        <v>100</v>
      </c>
      <c r="AD12" s="35">
        <v>100</v>
      </c>
      <c r="AE12" s="35">
        <v>100</v>
      </c>
      <c r="AF12" s="35">
        <v>100</v>
      </c>
      <c r="AG12" s="35">
        <v>100</v>
      </c>
      <c r="AH12" s="35">
        <v>100</v>
      </c>
      <c r="AI12" s="35">
        <v>100</v>
      </c>
      <c r="AJ12" s="35">
        <v>75</v>
      </c>
      <c r="AK12" s="35">
        <v>100</v>
      </c>
      <c r="AL12" s="35">
        <v>40</v>
      </c>
      <c r="AM12" s="35">
        <v>60</v>
      </c>
      <c r="AN12" s="35">
        <v>100</v>
      </c>
      <c r="AO12" s="35">
        <v>100</v>
      </c>
      <c r="AP12" s="35">
        <v>100</v>
      </c>
      <c r="AQ12" s="35">
        <v>40</v>
      </c>
      <c r="AR12" s="35">
        <v>50</v>
      </c>
      <c r="AS12" s="35">
        <v>20</v>
      </c>
      <c r="AT12" s="35">
        <v>60</v>
      </c>
      <c r="AU12" s="35">
        <v>0</v>
      </c>
      <c r="AV12" s="35">
        <v>100</v>
      </c>
      <c r="AW12" s="35">
        <v>100</v>
      </c>
      <c r="AX12" s="35">
        <v>100</v>
      </c>
      <c r="AY12" s="35">
        <v>60</v>
      </c>
      <c r="AZ12" s="35">
        <v>100</v>
      </c>
      <c r="BA12" s="35">
        <v>100</v>
      </c>
      <c r="BB12" s="35">
        <v>100</v>
      </c>
      <c r="BC12" s="35"/>
      <c r="BD12" s="35"/>
      <c r="BE12" s="35"/>
      <c r="BF12" s="35"/>
      <c r="BG12" s="35"/>
      <c r="BH12" s="35"/>
      <c r="BI12" s="35"/>
      <c r="BJ12" s="35"/>
      <c r="BK12" s="35"/>
      <c r="BL12" s="35"/>
      <c r="BM12" s="37"/>
      <c r="BN12" s="37"/>
    </row>
    <row r="13" spans="2:66" ht="24" customHeight="1" x14ac:dyDescent="0.3">
      <c r="B13" s="920"/>
      <c r="C13" s="921"/>
      <c r="D13" s="921"/>
      <c r="E13" s="921"/>
      <c r="F13" s="921"/>
      <c r="G13" s="960"/>
      <c r="H13" s="38" t="s">
        <v>46</v>
      </c>
      <c r="I13" s="39" t="str">
        <f>IF(I9="Blank","Blank",IF(I9="TBC","TBC",IF(I$6&gt;$E$2,"",IF((I12-I11)&gt;=0,"G",IF((I12-(I11*0.95))&gt;=0,"A","R")))))</f>
        <v/>
      </c>
      <c r="J13" s="41" t="str">
        <f t="shared" ref="J13:L13" si="7">IF(J12="","",IF((J12-J11)&gt;=0,"G",IF((J12/J11&lt;=0.9),"R","A")))</f>
        <v>G</v>
      </c>
      <c r="K13" s="41" t="str">
        <f t="shared" si="7"/>
        <v>G</v>
      </c>
      <c r="L13" s="53" t="str">
        <f t="shared" si="7"/>
        <v>G</v>
      </c>
      <c r="M13" s="40" t="str">
        <f>IF(M$6&gt;$E$3,"",IF(M12="","OD",IF(M12="Blank","Blank",IF(M12="TBC","TBC",IF(M12="Undefined","Undefined",IF(M12="Missed","Missed",IF(M12="OD","OD",IF(M$4="OD","OD",IF((M12-M11)&gt;=0,"G",IF((M12-(M11*0.95))&gt;=0,"A","R"))))))))))</f>
        <v>Blank</v>
      </c>
      <c r="N13" s="40" t="str">
        <f t="shared" ref="N13:BM13" si="8">IF(N$6&gt;$E$3,"",IF(N12="","OD",IF(N12="Blank","Blank",IF(N12="TBC","TBC",IF(N12="Undefined","Undefined",IF(N12="Missed","Missed",IF(N12="OD","OD",IF(N$4="OD","OD",IF((N12-N11)&gt;=0,"G",IF((N12-(N11*0.95))&gt;=0,"A","R"))))))))))</f>
        <v>G</v>
      </c>
      <c r="O13" s="40" t="str">
        <f t="shared" si="8"/>
        <v>R</v>
      </c>
      <c r="P13" s="40" t="str">
        <f t="shared" si="8"/>
        <v>G</v>
      </c>
      <c r="Q13" s="40" t="str">
        <f t="shared" si="8"/>
        <v>R</v>
      </c>
      <c r="R13" s="40" t="str">
        <f t="shared" si="8"/>
        <v>R</v>
      </c>
      <c r="S13" s="40" t="str">
        <f t="shared" si="8"/>
        <v>R</v>
      </c>
      <c r="T13" s="40" t="str">
        <f t="shared" si="8"/>
        <v>R</v>
      </c>
      <c r="U13" s="40" t="str">
        <f t="shared" si="8"/>
        <v>G</v>
      </c>
      <c r="V13" s="40" t="str">
        <f t="shared" si="8"/>
        <v>G</v>
      </c>
      <c r="W13" s="40" t="str">
        <f t="shared" si="8"/>
        <v>G</v>
      </c>
      <c r="X13" s="40" t="str">
        <f t="shared" si="8"/>
        <v>G</v>
      </c>
      <c r="Y13" s="40" t="str">
        <f t="shared" si="8"/>
        <v>G</v>
      </c>
      <c r="Z13" s="40" t="str">
        <f t="shared" si="8"/>
        <v>R</v>
      </c>
      <c r="AA13" s="40" t="str">
        <f t="shared" si="8"/>
        <v>G</v>
      </c>
      <c r="AB13" s="40" t="str">
        <f t="shared" si="8"/>
        <v>G</v>
      </c>
      <c r="AC13" s="40" t="str">
        <f t="shared" si="8"/>
        <v>G</v>
      </c>
      <c r="AD13" s="40" t="str">
        <f t="shared" si="8"/>
        <v>G</v>
      </c>
      <c r="AE13" s="40" t="str">
        <f t="shared" si="8"/>
        <v>G</v>
      </c>
      <c r="AF13" s="40" t="str">
        <f t="shared" si="8"/>
        <v>G</v>
      </c>
      <c r="AG13" s="40" t="str">
        <f t="shared" si="8"/>
        <v>G</v>
      </c>
      <c r="AH13" s="40" t="str">
        <f t="shared" si="8"/>
        <v>G</v>
      </c>
      <c r="AI13" s="40" t="str">
        <f t="shared" si="8"/>
        <v>G</v>
      </c>
      <c r="AJ13" s="40" t="str">
        <f t="shared" si="8"/>
        <v>R</v>
      </c>
      <c r="AK13" s="40" t="str">
        <f t="shared" si="8"/>
        <v>G</v>
      </c>
      <c r="AL13" s="40" t="str">
        <f t="shared" si="8"/>
        <v>R</v>
      </c>
      <c r="AM13" s="40" t="str">
        <f t="shared" si="8"/>
        <v>R</v>
      </c>
      <c r="AN13" s="40" t="str">
        <f t="shared" si="8"/>
        <v>G</v>
      </c>
      <c r="AO13" s="40" t="str">
        <f t="shared" si="8"/>
        <v>G</v>
      </c>
      <c r="AP13" s="40" t="str">
        <f t="shared" si="8"/>
        <v>G</v>
      </c>
      <c r="AQ13" s="40" t="str">
        <f t="shared" si="8"/>
        <v>R</v>
      </c>
      <c r="AR13" s="40" t="str">
        <f t="shared" si="8"/>
        <v>R</v>
      </c>
      <c r="AS13" s="40" t="str">
        <f t="shared" si="8"/>
        <v>R</v>
      </c>
      <c r="AT13" s="40" t="str">
        <f t="shared" si="8"/>
        <v>R</v>
      </c>
      <c r="AU13" s="40" t="str">
        <f t="shared" si="8"/>
        <v>R</v>
      </c>
      <c r="AV13" s="40" t="str">
        <f t="shared" si="8"/>
        <v>G</v>
      </c>
      <c r="AW13" s="40" t="str">
        <f t="shared" si="8"/>
        <v>G</v>
      </c>
      <c r="AX13" s="40" t="str">
        <f t="shared" si="8"/>
        <v>G</v>
      </c>
      <c r="AY13" s="40" t="str">
        <f t="shared" si="8"/>
        <v>R</v>
      </c>
      <c r="AZ13" s="40" t="str">
        <f t="shared" si="8"/>
        <v>G</v>
      </c>
      <c r="BA13" s="40" t="str">
        <f t="shared" si="8"/>
        <v>G</v>
      </c>
      <c r="BB13" s="40" t="str">
        <f t="shared" si="8"/>
        <v>G</v>
      </c>
      <c r="BC13" s="40" t="str">
        <f t="shared" si="8"/>
        <v/>
      </c>
      <c r="BD13" s="40" t="str">
        <f t="shared" si="8"/>
        <v/>
      </c>
      <c r="BE13" s="40" t="str">
        <f t="shared" si="8"/>
        <v/>
      </c>
      <c r="BF13" s="40" t="str">
        <f t="shared" si="8"/>
        <v/>
      </c>
      <c r="BG13" s="40" t="str">
        <f t="shared" si="8"/>
        <v/>
      </c>
      <c r="BH13" s="40" t="str">
        <f t="shared" si="8"/>
        <v/>
      </c>
      <c r="BI13" s="40" t="str">
        <f t="shared" si="8"/>
        <v/>
      </c>
      <c r="BJ13" s="40" t="str">
        <f t="shared" si="8"/>
        <v/>
      </c>
      <c r="BK13" s="40" t="str">
        <f t="shared" si="8"/>
        <v/>
      </c>
      <c r="BL13" s="40" t="str">
        <f t="shared" si="8"/>
        <v/>
      </c>
      <c r="BM13" s="40" t="str">
        <f t="shared" si="8"/>
        <v/>
      </c>
      <c r="BN13" s="42"/>
    </row>
    <row r="14" spans="2:66" ht="24" customHeight="1" x14ac:dyDescent="0.3">
      <c r="B14" s="920" t="s">
        <v>32</v>
      </c>
      <c r="C14" s="922" t="s">
        <v>59</v>
      </c>
      <c r="D14" s="922" t="s">
        <v>60</v>
      </c>
      <c r="E14" s="922" t="s">
        <v>142</v>
      </c>
      <c r="F14" s="922" t="s">
        <v>171</v>
      </c>
      <c r="G14" s="960" t="s">
        <v>61</v>
      </c>
      <c r="H14" s="27" t="s">
        <v>44</v>
      </c>
      <c r="I14" s="28">
        <v>0</v>
      </c>
      <c r="J14" s="30">
        <v>0</v>
      </c>
      <c r="K14" s="30">
        <v>0</v>
      </c>
      <c r="L14" s="51">
        <v>0</v>
      </c>
      <c r="M14" s="30" t="s">
        <v>122</v>
      </c>
      <c r="N14" s="30">
        <v>0</v>
      </c>
      <c r="O14" s="30">
        <v>0</v>
      </c>
      <c r="P14" s="30">
        <v>0</v>
      </c>
      <c r="Q14" s="30">
        <v>0</v>
      </c>
      <c r="R14" s="30">
        <v>0</v>
      </c>
      <c r="S14" s="30">
        <v>0</v>
      </c>
      <c r="T14" s="30">
        <v>0</v>
      </c>
      <c r="U14" s="30">
        <v>0</v>
      </c>
      <c r="V14" s="30">
        <v>0</v>
      </c>
      <c r="W14" s="30">
        <v>0</v>
      </c>
      <c r="X14" s="30">
        <v>0</v>
      </c>
      <c r="Y14" s="30">
        <v>0</v>
      </c>
      <c r="Z14" s="30">
        <v>0</v>
      </c>
      <c r="AA14" s="30">
        <v>0</v>
      </c>
      <c r="AB14" s="30">
        <v>0</v>
      </c>
      <c r="AC14" s="30">
        <v>0</v>
      </c>
      <c r="AD14" s="30">
        <v>0</v>
      </c>
      <c r="AE14" s="30">
        <v>0</v>
      </c>
      <c r="AF14" s="30">
        <v>0</v>
      </c>
      <c r="AG14" s="30">
        <v>0</v>
      </c>
      <c r="AH14" s="30">
        <v>0</v>
      </c>
      <c r="AI14" s="30">
        <v>0</v>
      </c>
      <c r="AJ14" s="67">
        <f>IF(AJ$6&gt;$E$3,"",0)</f>
        <v>0</v>
      </c>
      <c r="AK14" s="30">
        <v>0</v>
      </c>
      <c r="AL14" s="67">
        <f t="shared" ref="AL14:BM14" si="9">IF(AL$6&gt;$E$3,"",0)</f>
        <v>0</v>
      </c>
      <c r="AM14" s="67">
        <f t="shared" si="9"/>
        <v>0</v>
      </c>
      <c r="AN14" s="67">
        <f t="shared" si="9"/>
        <v>0</v>
      </c>
      <c r="AO14" s="67">
        <f t="shared" si="9"/>
        <v>0</v>
      </c>
      <c r="AP14" s="67">
        <f t="shared" si="9"/>
        <v>0</v>
      </c>
      <c r="AQ14" s="67">
        <f t="shared" si="9"/>
        <v>0</v>
      </c>
      <c r="AR14" s="67">
        <f t="shared" si="9"/>
        <v>0</v>
      </c>
      <c r="AS14" s="67">
        <f t="shared" si="9"/>
        <v>0</v>
      </c>
      <c r="AT14" s="67">
        <f t="shared" si="9"/>
        <v>0</v>
      </c>
      <c r="AU14" s="67">
        <f t="shared" si="9"/>
        <v>0</v>
      </c>
      <c r="AV14" s="67">
        <f t="shared" si="9"/>
        <v>0</v>
      </c>
      <c r="AW14" s="67">
        <f t="shared" si="9"/>
        <v>0</v>
      </c>
      <c r="AX14" s="67">
        <f t="shared" si="9"/>
        <v>0</v>
      </c>
      <c r="AY14" s="67">
        <f t="shared" si="9"/>
        <v>0</v>
      </c>
      <c r="AZ14" s="67">
        <f t="shared" si="9"/>
        <v>0</v>
      </c>
      <c r="BA14" s="67">
        <f t="shared" si="9"/>
        <v>0</v>
      </c>
      <c r="BB14" s="67">
        <f t="shared" si="9"/>
        <v>0</v>
      </c>
      <c r="BC14" s="67" t="str">
        <f t="shared" si="9"/>
        <v/>
      </c>
      <c r="BD14" s="67" t="str">
        <f t="shared" si="9"/>
        <v/>
      </c>
      <c r="BE14" s="67" t="str">
        <f t="shared" si="9"/>
        <v/>
      </c>
      <c r="BF14" s="67" t="str">
        <f t="shared" si="9"/>
        <v/>
      </c>
      <c r="BG14" s="67" t="str">
        <f t="shared" si="9"/>
        <v/>
      </c>
      <c r="BH14" s="67" t="str">
        <f t="shared" si="9"/>
        <v/>
      </c>
      <c r="BI14" s="67" t="str">
        <f t="shared" si="9"/>
        <v/>
      </c>
      <c r="BJ14" s="67" t="str">
        <f t="shared" si="9"/>
        <v/>
      </c>
      <c r="BK14" s="67" t="str">
        <f t="shared" si="9"/>
        <v/>
      </c>
      <c r="BL14" s="67" t="str">
        <f t="shared" si="9"/>
        <v/>
      </c>
      <c r="BM14" s="67" t="str">
        <f t="shared" si="9"/>
        <v/>
      </c>
      <c r="BN14" s="31"/>
    </row>
    <row r="15" spans="2:66" ht="24" customHeight="1" x14ac:dyDescent="0.3">
      <c r="B15" s="920"/>
      <c r="C15" s="921"/>
      <c r="D15" s="921"/>
      <c r="E15" s="921"/>
      <c r="F15" s="921"/>
      <c r="G15" s="960"/>
      <c r="H15" s="33" t="s">
        <v>45</v>
      </c>
      <c r="I15" s="34">
        <v>2</v>
      </c>
      <c r="J15" s="68">
        <v>0</v>
      </c>
      <c r="K15" s="36">
        <v>0</v>
      </c>
      <c r="L15" s="52">
        <v>0</v>
      </c>
      <c r="M15" s="36" t="s">
        <v>122</v>
      </c>
      <c r="N15" s="35">
        <v>1</v>
      </c>
      <c r="O15" s="35">
        <v>1</v>
      </c>
      <c r="P15" s="35">
        <v>1</v>
      </c>
      <c r="Q15" s="35">
        <v>0</v>
      </c>
      <c r="R15" s="35">
        <v>0</v>
      </c>
      <c r="S15" s="35">
        <v>1</v>
      </c>
      <c r="T15" s="35">
        <v>1</v>
      </c>
      <c r="U15" s="35">
        <v>1</v>
      </c>
      <c r="V15" s="35">
        <v>0</v>
      </c>
      <c r="W15" s="35">
        <v>0</v>
      </c>
      <c r="X15" s="35">
        <v>1</v>
      </c>
      <c r="Y15" s="35">
        <v>0</v>
      </c>
      <c r="Z15" s="35">
        <v>1</v>
      </c>
      <c r="AA15" s="35">
        <v>0</v>
      </c>
      <c r="AB15" s="35">
        <v>0</v>
      </c>
      <c r="AC15" s="35">
        <v>0</v>
      </c>
      <c r="AD15" s="35">
        <v>0</v>
      </c>
      <c r="AE15" s="35">
        <v>0</v>
      </c>
      <c r="AF15" s="35">
        <v>0</v>
      </c>
      <c r="AG15" s="35">
        <v>1</v>
      </c>
      <c r="AH15" s="35">
        <v>0</v>
      </c>
      <c r="AI15" s="35">
        <v>1</v>
      </c>
      <c r="AJ15" s="35">
        <v>1</v>
      </c>
      <c r="AK15" s="35">
        <v>1</v>
      </c>
      <c r="AL15" s="35">
        <v>0</v>
      </c>
      <c r="AM15" s="35">
        <v>0</v>
      </c>
      <c r="AN15" s="35">
        <v>0</v>
      </c>
      <c r="AO15" s="35">
        <v>0</v>
      </c>
      <c r="AP15" s="35">
        <v>1</v>
      </c>
      <c r="AQ15" s="35">
        <v>0</v>
      </c>
      <c r="AR15" s="35">
        <v>3</v>
      </c>
      <c r="AS15" s="35">
        <v>0</v>
      </c>
      <c r="AT15" s="35">
        <v>1</v>
      </c>
      <c r="AU15" s="35">
        <v>1</v>
      </c>
      <c r="AV15" s="35">
        <v>1</v>
      </c>
      <c r="AW15" s="35">
        <v>0</v>
      </c>
      <c r="AX15" s="35">
        <v>0</v>
      </c>
      <c r="AY15" s="35">
        <v>0</v>
      </c>
      <c r="AZ15" s="35">
        <v>1</v>
      </c>
      <c r="BA15" s="35">
        <v>0</v>
      </c>
      <c r="BB15" s="35">
        <v>0</v>
      </c>
      <c r="BC15" s="35"/>
      <c r="BD15" s="35"/>
      <c r="BE15" s="35"/>
      <c r="BF15" s="35"/>
      <c r="BG15" s="35"/>
      <c r="BH15" s="35"/>
      <c r="BI15" s="35"/>
      <c r="BJ15" s="35"/>
      <c r="BK15" s="35"/>
      <c r="BL15" s="35"/>
      <c r="BM15" s="37"/>
      <c r="BN15" s="37"/>
    </row>
    <row r="16" spans="2:66" ht="24" customHeight="1" x14ac:dyDescent="0.3">
      <c r="B16" s="920"/>
      <c r="C16" s="921"/>
      <c r="D16" s="921"/>
      <c r="E16" s="921"/>
      <c r="F16" s="921"/>
      <c r="G16" s="960"/>
      <c r="H16" s="38" t="s">
        <v>46</v>
      </c>
      <c r="I16" s="69" t="str">
        <f>IF(I15="","",IF((I15-I14)&gt;=0.1,"R",IF((I15-I14&lt;=0),"G","A")))</f>
        <v>R</v>
      </c>
      <c r="J16" s="70" t="str">
        <f t="shared" ref="J16:L16" si="10">IF(J15="","",IF((J15-J14)&gt;=0.1,"R",IF((J15-J14&lt;=0),"G","A")))</f>
        <v>G</v>
      </c>
      <c r="K16" s="71" t="str">
        <f t="shared" si="10"/>
        <v>G</v>
      </c>
      <c r="L16" s="72" t="str">
        <f t="shared" si="10"/>
        <v>G</v>
      </c>
      <c r="M16" s="40" t="str">
        <f>IF(M$6&gt;$E$3,"",IF(M15="","OD",IF(M15="Blank","Blank",IF(M15="TBC","TBC",IF(M15="Undefined","Undefined",IF(M15="Missed","Missed",IF(M15="OD","OD",IF(M$4="OD","OD",IF((M15-M14)&lt;=0,"G",IF((M15-(M14/0.95))&lt;=0,"A","R"))))))))))</f>
        <v>Blank</v>
      </c>
      <c r="N16" s="40" t="str">
        <f t="shared" ref="N16:BM16" si="11">IF(N$6&gt;$E$3,"",IF(N15="","OD",IF(N15="Blank","Blank",IF(N15="TBC","TBC",IF(N15="Undefined","Undefined",IF(N15="Missed","Missed",IF(N15="OD","OD",IF(N$4="OD","OD",IF((N15-N14)&lt;=0,"G",IF((N15-(N14/0.95))&lt;=0,"A","R"))))))))))</f>
        <v>R</v>
      </c>
      <c r="O16" s="40" t="str">
        <f t="shared" si="11"/>
        <v>R</v>
      </c>
      <c r="P16" s="40" t="str">
        <f t="shared" si="11"/>
        <v>R</v>
      </c>
      <c r="Q16" s="40" t="str">
        <f t="shared" si="11"/>
        <v>G</v>
      </c>
      <c r="R16" s="40" t="str">
        <f t="shared" si="11"/>
        <v>G</v>
      </c>
      <c r="S16" s="40" t="str">
        <f t="shared" si="11"/>
        <v>R</v>
      </c>
      <c r="T16" s="40" t="str">
        <f t="shared" si="11"/>
        <v>R</v>
      </c>
      <c r="U16" s="40" t="str">
        <f t="shared" si="11"/>
        <v>R</v>
      </c>
      <c r="V16" s="40" t="str">
        <f t="shared" si="11"/>
        <v>G</v>
      </c>
      <c r="W16" s="40" t="str">
        <f t="shared" si="11"/>
        <v>G</v>
      </c>
      <c r="X16" s="40" t="str">
        <f t="shared" si="11"/>
        <v>R</v>
      </c>
      <c r="Y16" s="40" t="str">
        <f t="shared" si="11"/>
        <v>G</v>
      </c>
      <c r="Z16" s="40" t="str">
        <f t="shared" si="11"/>
        <v>R</v>
      </c>
      <c r="AA16" s="40" t="str">
        <f t="shared" si="11"/>
        <v>G</v>
      </c>
      <c r="AB16" s="40" t="str">
        <f t="shared" si="11"/>
        <v>G</v>
      </c>
      <c r="AC16" s="40" t="str">
        <f t="shared" si="11"/>
        <v>G</v>
      </c>
      <c r="AD16" s="40" t="str">
        <f t="shared" si="11"/>
        <v>G</v>
      </c>
      <c r="AE16" s="40" t="str">
        <f t="shared" si="11"/>
        <v>G</v>
      </c>
      <c r="AF16" s="40" t="str">
        <f t="shared" si="11"/>
        <v>G</v>
      </c>
      <c r="AG16" s="40" t="str">
        <f t="shared" si="11"/>
        <v>R</v>
      </c>
      <c r="AH16" s="40" t="str">
        <f t="shared" si="11"/>
        <v>G</v>
      </c>
      <c r="AI16" s="40" t="str">
        <f t="shared" si="11"/>
        <v>R</v>
      </c>
      <c r="AJ16" s="40" t="str">
        <f t="shared" si="11"/>
        <v>R</v>
      </c>
      <c r="AK16" s="40" t="str">
        <f t="shared" si="11"/>
        <v>R</v>
      </c>
      <c r="AL16" s="40" t="str">
        <f t="shared" si="11"/>
        <v>G</v>
      </c>
      <c r="AM16" s="40" t="str">
        <f t="shared" si="11"/>
        <v>G</v>
      </c>
      <c r="AN16" s="40" t="str">
        <f t="shared" si="11"/>
        <v>G</v>
      </c>
      <c r="AO16" s="40" t="str">
        <f t="shared" si="11"/>
        <v>G</v>
      </c>
      <c r="AP16" s="40" t="str">
        <f t="shared" si="11"/>
        <v>R</v>
      </c>
      <c r="AQ16" s="40" t="str">
        <f t="shared" si="11"/>
        <v>G</v>
      </c>
      <c r="AR16" s="40" t="str">
        <f t="shared" si="11"/>
        <v>R</v>
      </c>
      <c r="AS16" s="40" t="str">
        <f t="shared" si="11"/>
        <v>G</v>
      </c>
      <c r="AT16" s="40" t="str">
        <f t="shared" si="11"/>
        <v>R</v>
      </c>
      <c r="AU16" s="40" t="str">
        <f t="shared" si="11"/>
        <v>R</v>
      </c>
      <c r="AV16" s="40" t="str">
        <f t="shared" si="11"/>
        <v>R</v>
      </c>
      <c r="AW16" s="40" t="str">
        <f t="shared" si="11"/>
        <v>G</v>
      </c>
      <c r="AX16" s="40" t="str">
        <f t="shared" si="11"/>
        <v>G</v>
      </c>
      <c r="AY16" s="40" t="str">
        <f t="shared" si="11"/>
        <v>G</v>
      </c>
      <c r="AZ16" s="40" t="str">
        <f t="shared" si="11"/>
        <v>R</v>
      </c>
      <c r="BA16" s="40" t="str">
        <f t="shared" si="11"/>
        <v>G</v>
      </c>
      <c r="BB16" s="40" t="str">
        <f t="shared" si="11"/>
        <v>G</v>
      </c>
      <c r="BC16" s="40" t="str">
        <f t="shared" si="11"/>
        <v/>
      </c>
      <c r="BD16" s="40" t="str">
        <f t="shared" si="11"/>
        <v/>
      </c>
      <c r="BE16" s="40" t="str">
        <f t="shared" si="11"/>
        <v/>
      </c>
      <c r="BF16" s="40" t="str">
        <f t="shared" si="11"/>
        <v/>
      </c>
      <c r="BG16" s="40" t="str">
        <f t="shared" si="11"/>
        <v/>
      </c>
      <c r="BH16" s="40" t="str">
        <f t="shared" si="11"/>
        <v/>
      </c>
      <c r="BI16" s="40" t="str">
        <f t="shared" si="11"/>
        <v/>
      </c>
      <c r="BJ16" s="40" t="str">
        <f t="shared" si="11"/>
        <v/>
      </c>
      <c r="BK16" s="40" t="str">
        <f t="shared" si="11"/>
        <v/>
      </c>
      <c r="BL16" s="40" t="str">
        <f t="shared" si="11"/>
        <v/>
      </c>
      <c r="BM16" s="40" t="str">
        <f t="shared" si="11"/>
        <v/>
      </c>
      <c r="BN16" s="42"/>
    </row>
    <row r="17" spans="2:66" ht="24" customHeight="1" x14ac:dyDescent="0.3">
      <c r="B17" s="920" t="s">
        <v>31</v>
      </c>
      <c r="C17" s="921" t="s">
        <v>62</v>
      </c>
      <c r="D17" s="958" t="s">
        <v>63</v>
      </c>
      <c r="E17" s="958" t="s">
        <v>169</v>
      </c>
      <c r="F17" s="958" t="s">
        <v>171</v>
      </c>
      <c r="G17" s="960" t="s">
        <v>64</v>
      </c>
      <c r="H17" s="27" t="s">
        <v>44</v>
      </c>
      <c r="I17" s="73">
        <v>101</v>
      </c>
      <c r="J17" s="74" t="s">
        <v>65</v>
      </c>
      <c r="K17" s="74" t="s">
        <v>65</v>
      </c>
      <c r="L17" s="75" t="s">
        <v>65</v>
      </c>
      <c r="M17" s="30" t="s">
        <v>122</v>
      </c>
      <c r="N17" s="30">
        <v>0</v>
      </c>
      <c r="O17" s="30">
        <v>0</v>
      </c>
      <c r="P17" s="30">
        <v>0</v>
      </c>
      <c r="Q17" s="30">
        <v>0</v>
      </c>
      <c r="R17" s="30">
        <v>0</v>
      </c>
      <c r="S17" s="30">
        <v>0</v>
      </c>
      <c r="T17" s="30">
        <v>0</v>
      </c>
      <c r="U17" s="30">
        <v>0</v>
      </c>
      <c r="V17" s="30">
        <v>0</v>
      </c>
      <c r="W17" s="30">
        <v>0</v>
      </c>
      <c r="X17" s="74">
        <v>142</v>
      </c>
      <c r="Y17" s="30">
        <v>0</v>
      </c>
      <c r="Z17" s="30">
        <v>0</v>
      </c>
      <c r="AA17" s="74">
        <v>0</v>
      </c>
      <c r="AB17" s="30">
        <v>0</v>
      </c>
      <c r="AC17" s="74">
        <v>0</v>
      </c>
      <c r="AD17" s="30">
        <v>0</v>
      </c>
      <c r="AE17" s="30">
        <v>0</v>
      </c>
      <c r="AF17" s="74">
        <v>0</v>
      </c>
      <c r="AG17" s="74">
        <v>20</v>
      </c>
      <c r="AH17" s="30">
        <v>0</v>
      </c>
      <c r="AI17" s="30">
        <v>0</v>
      </c>
      <c r="AJ17" s="30">
        <v>0</v>
      </c>
      <c r="AK17" s="30">
        <v>0</v>
      </c>
      <c r="AL17" s="30">
        <v>0</v>
      </c>
      <c r="AM17" s="30">
        <v>0</v>
      </c>
      <c r="AN17" s="30">
        <v>0</v>
      </c>
      <c r="AO17" s="30">
        <v>0</v>
      </c>
      <c r="AP17" s="30">
        <v>0</v>
      </c>
      <c r="AQ17" s="30">
        <v>0</v>
      </c>
      <c r="AR17" s="30">
        <v>0</v>
      </c>
      <c r="AS17" s="30">
        <v>0</v>
      </c>
      <c r="AT17" s="30">
        <v>0</v>
      </c>
      <c r="AU17" s="30">
        <v>0</v>
      </c>
      <c r="AV17" s="30">
        <v>40</v>
      </c>
      <c r="AW17" s="30">
        <v>0</v>
      </c>
      <c r="AX17" s="834">
        <v>267</v>
      </c>
      <c r="AY17" s="30">
        <v>0</v>
      </c>
      <c r="AZ17" s="30">
        <v>0</v>
      </c>
      <c r="BA17" s="30">
        <v>0</v>
      </c>
      <c r="BB17" s="30">
        <v>0</v>
      </c>
      <c r="BC17" s="30">
        <v>0</v>
      </c>
      <c r="BD17" s="30">
        <v>0</v>
      </c>
      <c r="BE17" s="30">
        <v>0</v>
      </c>
      <c r="BF17" s="30">
        <v>0</v>
      </c>
      <c r="BG17" s="30">
        <v>0</v>
      </c>
      <c r="BH17" s="74">
        <v>267</v>
      </c>
      <c r="BI17" s="74">
        <v>101</v>
      </c>
      <c r="BJ17" s="30">
        <v>0</v>
      </c>
      <c r="BK17" s="30">
        <v>0</v>
      </c>
      <c r="BL17" s="30">
        <v>0</v>
      </c>
      <c r="BM17" s="30">
        <v>0</v>
      </c>
      <c r="BN17" s="31"/>
    </row>
    <row r="18" spans="2:66" ht="24" customHeight="1" x14ac:dyDescent="0.3">
      <c r="B18" s="920"/>
      <c r="C18" s="921"/>
      <c r="D18" s="959"/>
      <c r="E18" s="959"/>
      <c r="F18" s="959"/>
      <c r="G18" s="960"/>
      <c r="H18" s="33" t="s">
        <v>45</v>
      </c>
      <c r="I18" s="76">
        <v>272</v>
      </c>
      <c r="J18" s="36" t="s">
        <v>65</v>
      </c>
      <c r="K18" s="36" t="s">
        <v>65</v>
      </c>
      <c r="L18" s="52" t="s">
        <v>65</v>
      </c>
      <c r="M18" s="36" t="s">
        <v>122</v>
      </c>
      <c r="N18" s="36">
        <v>0</v>
      </c>
      <c r="O18" s="36">
        <v>0</v>
      </c>
      <c r="P18" s="36">
        <v>0</v>
      </c>
      <c r="Q18" s="36">
        <v>0</v>
      </c>
      <c r="R18" s="36">
        <v>0</v>
      </c>
      <c r="S18" s="36">
        <v>0</v>
      </c>
      <c r="T18" s="36">
        <v>0</v>
      </c>
      <c r="U18" s="36">
        <v>0</v>
      </c>
      <c r="V18" s="36">
        <v>0</v>
      </c>
      <c r="W18" s="36">
        <v>0</v>
      </c>
      <c r="X18" s="104">
        <v>76</v>
      </c>
      <c r="Y18" s="35">
        <v>0</v>
      </c>
      <c r="Z18" s="35">
        <v>0</v>
      </c>
      <c r="AA18" s="35">
        <v>0</v>
      </c>
      <c r="AB18" s="35">
        <v>0</v>
      </c>
      <c r="AC18" s="35">
        <v>0</v>
      </c>
      <c r="AD18" s="35">
        <v>0</v>
      </c>
      <c r="AE18" s="35">
        <v>0</v>
      </c>
      <c r="AF18" s="35">
        <v>0</v>
      </c>
      <c r="AG18" s="105">
        <v>2.5</v>
      </c>
      <c r="AH18" s="35">
        <v>0</v>
      </c>
      <c r="AI18" s="35">
        <v>0</v>
      </c>
      <c r="AJ18" s="35">
        <v>0</v>
      </c>
      <c r="AK18" s="35">
        <v>0</v>
      </c>
      <c r="AL18" s="35">
        <v>0</v>
      </c>
      <c r="AM18" s="35">
        <v>0</v>
      </c>
      <c r="AN18" s="35">
        <v>0</v>
      </c>
      <c r="AO18" s="35">
        <v>0</v>
      </c>
      <c r="AP18" s="35">
        <v>0</v>
      </c>
      <c r="AQ18" s="35">
        <v>0</v>
      </c>
      <c r="AR18" s="35">
        <v>0</v>
      </c>
      <c r="AS18" s="35">
        <v>0</v>
      </c>
      <c r="AT18" s="35">
        <v>0</v>
      </c>
      <c r="AU18" s="35">
        <v>0</v>
      </c>
      <c r="AV18" s="35">
        <v>0</v>
      </c>
      <c r="AW18" s="35">
        <v>0</v>
      </c>
      <c r="AX18" s="35">
        <v>0</v>
      </c>
      <c r="AY18" s="35">
        <v>0</v>
      </c>
      <c r="AZ18" s="35">
        <v>0</v>
      </c>
      <c r="BA18" s="35">
        <v>0</v>
      </c>
      <c r="BB18" s="35">
        <v>0</v>
      </c>
      <c r="BC18" s="35"/>
      <c r="BD18" s="35"/>
      <c r="BE18" s="35"/>
      <c r="BF18" s="35"/>
      <c r="BG18" s="35"/>
      <c r="BH18" s="35"/>
      <c r="BI18" s="35"/>
      <c r="BJ18" s="35"/>
      <c r="BK18" s="35"/>
      <c r="BL18" s="35"/>
      <c r="BM18" s="37"/>
      <c r="BN18" s="37"/>
    </row>
    <row r="19" spans="2:66" ht="24" customHeight="1" thickBot="1" x14ac:dyDescent="0.35">
      <c r="B19" s="920"/>
      <c r="C19" s="921"/>
      <c r="D19" s="922"/>
      <c r="E19" s="922"/>
      <c r="F19" s="922"/>
      <c r="G19" s="960"/>
      <c r="H19" s="38" t="s">
        <v>46</v>
      </c>
      <c r="I19" s="77" t="str">
        <f>IF(I18="","",IF((I18-I17)&gt;=0,"R",IF((I18/I17&lt;=0.9),"G","A")))</f>
        <v>R</v>
      </c>
      <c r="J19" s="78" t="s">
        <v>65</v>
      </c>
      <c r="K19" s="78" t="s">
        <v>65</v>
      </c>
      <c r="L19" s="54" t="s">
        <v>65</v>
      </c>
      <c r="M19" s="40" t="str">
        <f>IF(M$6&gt;$E$3,"",IF(M18="","OD",IF(M18="Blank","Blank",IF(M18="TBC","TBC",IF(M18="Undefined","Undefined",IF(M18="Missed","Missed",IF(M18="OD","OD",IF(M$4="OD","OD",IF((M18-M17)&lt;=0,"G",IF((M18-(M17/0.95))&lt;=0,"A","R"))))))))))</f>
        <v>Blank</v>
      </c>
      <c r="N19" s="40" t="str">
        <f t="shared" ref="N19:BM19" si="12">IF(N$6&gt;$E$3,"",IF(N18="","OD",IF(N18="Blank","Blank",IF(N18="TBC","TBC",IF(N18="Undefined","Undefined",IF(N18="Missed","Missed",IF(N18="OD","OD",IF(N$4="OD","OD",IF((N18-N17)&lt;=0,"G",IF((N18-(N17/0.95))&lt;=0,"A","R"))))))))))</f>
        <v>G</v>
      </c>
      <c r="O19" s="40" t="str">
        <f t="shared" si="12"/>
        <v>G</v>
      </c>
      <c r="P19" s="40" t="str">
        <f t="shared" si="12"/>
        <v>G</v>
      </c>
      <c r="Q19" s="40" t="str">
        <f t="shared" si="12"/>
        <v>G</v>
      </c>
      <c r="R19" s="40" t="str">
        <f t="shared" si="12"/>
        <v>G</v>
      </c>
      <c r="S19" s="40" t="str">
        <f t="shared" si="12"/>
        <v>G</v>
      </c>
      <c r="T19" s="40" t="str">
        <f t="shared" si="12"/>
        <v>G</v>
      </c>
      <c r="U19" s="40" t="str">
        <f t="shared" si="12"/>
        <v>G</v>
      </c>
      <c r="V19" s="40" t="str">
        <f t="shared" si="12"/>
        <v>G</v>
      </c>
      <c r="W19" s="40" t="str">
        <f t="shared" si="12"/>
        <v>G</v>
      </c>
      <c r="X19" s="40" t="str">
        <f t="shared" si="12"/>
        <v>G</v>
      </c>
      <c r="Y19" s="40" t="str">
        <f t="shared" si="12"/>
        <v>G</v>
      </c>
      <c r="Z19" s="40" t="str">
        <f t="shared" si="12"/>
        <v>G</v>
      </c>
      <c r="AA19" s="40" t="str">
        <f t="shared" si="12"/>
        <v>G</v>
      </c>
      <c r="AB19" s="40" t="str">
        <f t="shared" si="12"/>
        <v>G</v>
      </c>
      <c r="AC19" s="40" t="str">
        <f t="shared" si="12"/>
        <v>G</v>
      </c>
      <c r="AD19" s="40" t="str">
        <f t="shared" si="12"/>
        <v>G</v>
      </c>
      <c r="AE19" s="40" t="str">
        <f t="shared" si="12"/>
        <v>G</v>
      </c>
      <c r="AF19" s="40" t="str">
        <f t="shared" si="12"/>
        <v>G</v>
      </c>
      <c r="AG19" s="40" t="str">
        <f t="shared" si="12"/>
        <v>G</v>
      </c>
      <c r="AH19" s="40" t="str">
        <f t="shared" si="12"/>
        <v>G</v>
      </c>
      <c r="AI19" s="40" t="str">
        <f t="shared" si="12"/>
        <v>G</v>
      </c>
      <c r="AJ19" s="40" t="str">
        <f t="shared" si="12"/>
        <v>G</v>
      </c>
      <c r="AK19" s="40" t="str">
        <f t="shared" si="12"/>
        <v>G</v>
      </c>
      <c r="AL19" s="40" t="str">
        <f t="shared" si="12"/>
        <v>G</v>
      </c>
      <c r="AM19" s="40" t="str">
        <f t="shared" si="12"/>
        <v>G</v>
      </c>
      <c r="AN19" s="40" t="str">
        <f t="shared" si="12"/>
        <v>G</v>
      </c>
      <c r="AO19" s="40" t="str">
        <f t="shared" si="12"/>
        <v>G</v>
      </c>
      <c r="AP19" s="40" t="str">
        <f t="shared" si="12"/>
        <v>G</v>
      </c>
      <c r="AQ19" s="40" t="str">
        <f t="shared" si="12"/>
        <v>G</v>
      </c>
      <c r="AR19" s="40" t="str">
        <f t="shared" si="12"/>
        <v>G</v>
      </c>
      <c r="AS19" s="40" t="str">
        <f t="shared" si="12"/>
        <v>G</v>
      </c>
      <c r="AT19" s="40" t="str">
        <f t="shared" si="12"/>
        <v>G</v>
      </c>
      <c r="AU19" s="40" t="str">
        <f t="shared" si="12"/>
        <v>G</v>
      </c>
      <c r="AV19" s="40" t="str">
        <f t="shared" si="12"/>
        <v>G</v>
      </c>
      <c r="AW19" s="40" t="str">
        <f t="shared" si="12"/>
        <v>G</v>
      </c>
      <c r="AX19" s="40" t="str">
        <f t="shared" si="12"/>
        <v>G</v>
      </c>
      <c r="AY19" s="40" t="str">
        <f t="shared" si="12"/>
        <v>G</v>
      </c>
      <c r="AZ19" s="40" t="str">
        <f t="shared" si="12"/>
        <v>G</v>
      </c>
      <c r="BA19" s="40" t="str">
        <f t="shared" si="12"/>
        <v>G</v>
      </c>
      <c r="BB19" s="40" t="str">
        <f t="shared" si="12"/>
        <v>G</v>
      </c>
      <c r="BC19" s="40" t="str">
        <f t="shared" si="12"/>
        <v/>
      </c>
      <c r="BD19" s="40" t="str">
        <f t="shared" si="12"/>
        <v/>
      </c>
      <c r="BE19" s="40" t="str">
        <f t="shared" si="12"/>
        <v/>
      </c>
      <c r="BF19" s="40" t="str">
        <f t="shared" si="12"/>
        <v/>
      </c>
      <c r="BG19" s="40" t="str">
        <f t="shared" si="12"/>
        <v/>
      </c>
      <c r="BH19" s="40" t="str">
        <f t="shared" si="12"/>
        <v/>
      </c>
      <c r="BI19" s="40" t="str">
        <f t="shared" si="12"/>
        <v/>
      </c>
      <c r="BJ19" s="40" t="str">
        <f t="shared" si="12"/>
        <v/>
      </c>
      <c r="BK19" s="40" t="str">
        <f t="shared" si="12"/>
        <v/>
      </c>
      <c r="BL19" s="40" t="str">
        <f t="shared" si="12"/>
        <v/>
      </c>
      <c r="BM19" s="40" t="str">
        <f t="shared" si="12"/>
        <v/>
      </c>
      <c r="BN19" s="42"/>
    </row>
    <row r="20" spans="2:66" x14ac:dyDescent="0.3">
      <c r="M20" s="80"/>
    </row>
    <row r="22" spans="2:66" ht="15.6" x14ac:dyDescent="0.3">
      <c r="B22" s="1" t="s">
        <v>0</v>
      </c>
      <c r="C22" s="45" t="s">
        <v>1</v>
      </c>
    </row>
    <row r="23" spans="2:66" ht="15.6" x14ac:dyDescent="0.3">
      <c r="B23" s="4" t="s">
        <v>2</v>
      </c>
      <c r="C23" s="45" t="s">
        <v>3</v>
      </c>
    </row>
    <row r="24" spans="2:66" ht="15.6" x14ac:dyDescent="0.3">
      <c r="B24" s="5" t="s">
        <v>4</v>
      </c>
      <c r="C24" s="45" t="s">
        <v>5</v>
      </c>
    </row>
    <row r="25" spans="2:66" x14ac:dyDescent="0.3">
      <c r="B25" s="340" t="s">
        <v>35</v>
      </c>
      <c r="C25" s="13" t="s">
        <v>376</v>
      </c>
    </row>
    <row r="26" spans="2:66" x14ac:dyDescent="0.3">
      <c r="B26" s="341" t="s">
        <v>122</v>
      </c>
      <c r="C26" s="13" t="s">
        <v>377</v>
      </c>
    </row>
  </sheetData>
  <mergeCells count="26">
    <mergeCell ref="C11:C13"/>
    <mergeCell ref="D11:D13"/>
    <mergeCell ref="C6:D6"/>
    <mergeCell ref="G6:G7"/>
    <mergeCell ref="B8:B10"/>
    <mergeCell ref="C8:C10"/>
    <mergeCell ref="D8:D10"/>
    <mergeCell ref="G8:G10"/>
    <mergeCell ref="E8:E10"/>
    <mergeCell ref="F8:F10"/>
    <mergeCell ref="E17:E19"/>
    <mergeCell ref="G11:G13"/>
    <mergeCell ref="B14:B16"/>
    <mergeCell ref="C14:C16"/>
    <mergeCell ref="D14:D16"/>
    <mergeCell ref="G14:G16"/>
    <mergeCell ref="E11:E13"/>
    <mergeCell ref="F11:F13"/>
    <mergeCell ref="E14:E16"/>
    <mergeCell ref="F14:F16"/>
    <mergeCell ref="F17:F19"/>
    <mergeCell ref="B17:B19"/>
    <mergeCell ref="C17:C19"/>
    <mergeCell ref="D17:D19"/>
    <mergeCell ref="G17:G19"/>
    <mergeCell ref="B11:B13"/>
  </mergeCells>
  <conditionalFormatting sqref="B26">
    <cfRule type="cellIs" dxfId="109" priority="41" operator="equal">
      <formula>"TBC"</formula>
    </cfRule>
    <cfRule type="cellIs" dxfId="108" priority="42" operator="equal">
      <formula>"OD"</formula>
    </cfRule>
    <cfRule type="cellIs" dxfId="107" priority="43" operator="equal">
      <formula>"G"</formula>
    </cfRule>
    <cfRule type="cellIs" dxfId="106" priority="44" operator="equal">
      <formula>"A"</formula>
    </cfRule>
    <cfRule type="cellIs" dxfId="105" priority="45" operator="equal">
      <formula>"R"</formula>
    </cfRule>
  </conditionalFormatting>
  <conditionalFormatting sqref="I10:BM10">
    <cfRule type="cellIs" dxfId="104" priority="16" operator="equal">
      <formula>"OD"</formula>
    </cfRule>
    <cfRule type="cellIs" dxfId="103" priority="17" operator="equal">
      <formula>"TBC"</formula>
    </cfRule>
    <cfRule type="cellIs" dxfId="102" priority="18" operator="equal">
      <formula>"G"</formula>
    </cfRule>
    <cfRule type="cellIs" dxfId="101" priority="19" operator="equal">
      <formula>"A"</formula>
    </cfRule>
    <cfRule type="cellIs" dxfId="100" priority="20" operator="equal">
      <formula>"R"</formula>
    </cfRule>
  </conditionalFormatting>
  <conditionalFormatting sqref="I13:BM13">
    <cfRule type="cellIs" dxfId="99" priority="11" operator="equal">
      <formula>"OD"</formula>
    </cfRule>
    <cfRule type="cellIs" dxfId="98" priority="12" operator="equal">
      <formula>"TBC"</formula>
    </cfRule>
    <cfRule type="cellIs" dxfId="97" priority="13" operator="equal">
      <formula>"G"</formula>
    </cfRule>
    <cfRule type="cellIs" dxfId="96" priority="14" operator="equal">
      <formula>"A"</formula>
    </cfRule>
    <cfRule type="cellIs" dxfId="95" priority="15" operator="equal">
      <formula>"R"</formula>
    </cfRule>
  </conditionalFormatting>
  <conditionalFormatting sqref="I16:BM16">
    <cfRule type="cellIs" dxfId="94" priority="6" operator="equal">
      <formula>"OD"</formula>
    </cfRule>
    <cfRule type="cellIs" dxfId="93" priority="7" operator="equal">
      <formula>"TBC"</formula>
    </cfRule>
    <cfRule type="cellIs" dxfId="92" priority="8" operator="equal">
      <formula>"G"</formula>
    </cfRule>
    <cfRule type="cellIs" dxfId="91" priority="9" operator="equal">
      <formula>"A"</formula>
    </cfRule>
    <cfRule type="cellIs" dxfId="90" priority="10" operator="equal">
      <formula>"R"</formula>
    </cfRule>
  </conditionalFormatting>
  <conditionalFormatting sqref="I19:BM19">
    <cfRule type="cellIs" dxfId="89" priority="1" operator="equal">
      <formula>"OD"</formula>
    </cfRule>
    <cfRule type="cellIs" dxfId="88" priority="2" operator="equal">
      <formula>"TBC"</formula>
    </cfRule>
    <cfRule type="cellIs" dxfId="87" priority="3" operator="equal">
      <formula>"G"</formula>
    </cfRule>
    <cfRule type="cellIs" dxfId="86" priority="4" operator="equal">
      <formula>"A"</formula>
    </cfRule>
    <cfRule type="cellIs" dxfId="85" priority="5" operator="equal">
      <formula>"R"</formula>
    </cfRule>
  </conditionalFormatting>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09C3C-804A-4657-9825-3A8DCBE1829C}">
  <sheetPr>
    <tabColor rgb="FF00B050"/>
  </sheetPr>
  <dimension ref="B1:BR34"/>
  <sheetViews>
    <sheetView tabSelected="1" workbookViewId="0">
      <pane xSplit="8" ySplit="7" topLeftCell="Q8" activePane="bottomRight" state="frozen"/>
      <selection pane="topRight" activeCell="I1" sqref="I1"/>
      <selection pane="bottomLeft" activeCell="A8" sqref="A8"/>
      <selection pane="bottomRight" activeCell="G19" sqref="G19:G21"/>
    </sheetView>
  </sheetViews>
  <sheetFormatPr defaultColWidth="9.33203125" defaultRowHeight="14.4" x14ac:dyDescent="0.3"/>
  <cols>
    <col min="1" max="1" width="3" style="2" customWidth="1"/>
    <col min="2" max="2" width="18" style="2" customWidth="1"/>
    <col min="3" max="3" width="16.5546875" style="13" bestFit="1" customWidth="1"/>
    <col min="4" max="4" width="45" style="2" customWidth="1"/>
    <col min="5" max="5" width="11.44140625" style="2" customWidth="1"/>
    <col min="6" max="6" width="8.33203125" style="2" customWidth="1"/>
    <col min="7" max="7" width="31.33203125" style="2" customWidth="1"/>
    <col min="8" max="8" width="14.33203125" style="2" customWidth="1"/>
    <col min="9" max="9" width="4.88671875" style="2" bestFit="1" customWidth="1"/>
    <col min="10" max="12" width="3" style="2" bestFit="1" customWidth="1"/>
    <col min="13" max="24" width="10.109375" style="2" customWidth="1"/>
    <col min="25" max="65" width="8" style="2" customWidth="1"/>
    <col min="66" max="66" width="7.6640625" style="2" hidden="1" customWidth="1"/>
    <col min="67" max="67" width="14.33203125" style="2" bestFit="1" customWidth="1"/>
    <col min="68" max="68" width="14.6640625" style="2" bestFit="1" customWidth="1"/>
    <col min="69" max="69" width="14.33203125" style="2" bestFit="1" customWidth="1"/>
    <col min="70" max="70" width="12.33203125" style="2" bestFit="1" customWidth="1"/>
    <col min="71" max="71" width="24.33203125" style="2" bestFit="1" customWidth="1"/>
    <col min="72" max="72" width="14.6640625" style="2" bestFit="1" customWidth="1"/>
    <col min="73" max="16384" width="9.33203125" style="2"/>
  </cols>
  <sheetData>
    <row r="1" spans="2:70" ht="18.600000000000001" thickBot="1" x14ac:dyDescent="0.35">
      <c r="B1" s="14" t="s">
        <v>121</v>
      </c>
      <c r="C1" s="10" t="s">
        <v>26</v>
      </c>
    </row>
    <row r="2" spans="2:70" ht="21.6" thickBot="1" x14ac:dyDescent="0.45">
      <c r="B2" s="401" t="s">
        <v>480</v>
      </c>
      <c r="D2" s="119">
        <v>33</v>
      </c>
      <c r="E2" s="346">
        <v>42</v>
      </c>
      <c r="F2" s="2" t="s">
        <v>248</v>
      </c>
    </row>
    <row r="3" spans="2:70" ht="15" thickBot="1" x14ac:dyDescent="0.35">
      <c r="B3" s="2" t="s">
        <v>384</v>
      </c>
      <c r="D3" s="120" t="s">
        <v>193</v>
      </c>
      <c r="E3" s="120">
        <f>+'KPI Analysis'!D3</f>
        <v>42</v>
      </c>
    </row>
    <row r="4" spans="2:70" ht="15.6" customHeight="1" thickBot="1" x14ac:dyDescent="0.35">
      <c r="B4" s="346" t="str">
        <f>IF(E2&lt;(E3),"Overdue","Current")</f>
        <v>Current</v>
      </c>
      <c r="C4" s="2"/>
      <c r="D4" s="120" t="s">
        <v>378</v>
      </c>
      <c r="E4" s="347" t="s">
        <v>385</v>
      </c>
      <c r="F4"/>
      <c r="G4"/>
      <c r="M4" s="117" t="str">
        <f t="shared" ref="M4:AR4" si="0">IF(M6&gt;$E$3,"Future",IF(M6&gt;$E$2,"OD",IF($E$2&gt;=M6,"Calc")))</f>
        <v>Calc</v>
      </c>
      <c r="N4" s="117" t="str">
        <f t="shared" si="0"/>
        <v>Calc</v>
      </c>
      <c r="O4" s="117" t="str">
        <f t="shared" si="0"/>
        <v>Calc</v>
      </c>
      <c r="P4" s="117" t="str">
        <f t="shared" si="0"/>
        <v>Calc</v>
      </c>
      <c r="Q4" s="117" t="str">
        <f t="shared" si="0"/>
        <v>Calc</v>
      </c>
      <c r="R4" s="117" t="str">
        <f t="shared" si="0"/>
        <v>Calc</v>
      </c>
      <c r="S4" s="117" t="str">
        <f t="shared" si="0"/>
        <v>Calc</v>
      </c>
      <c r="T4" s="117" t="str">
        <f t="shared" si="0"/>
        <v>Calc</v>
      </c>
      <c r="U4" s="117" t="str">
        <f t="shared" si="0"/>
        <v>Calc</v>
      </c>
      <c r="V4" s="117" t="str">
        <f t="shared" si="0"/>
        <v>Calc</v>
      </c>
      <c r="W4" s="117" t="str">
        <f t="shared" si="0"/>
        <v>Calc</v>
      </c>
      <c r="X4" s="117" t="str">
        <f t="shared" si="0"/>
        <v>Calc</v>
      </c>
      <c r="Y4" s="117" t="str">
        <f t="shared" si="0"/>
        <v>Calc</v>
      </c>
      <c r="Z4" s="117" t="str">
        <f t="shared" si="0"/>
        <v>Calc</v>
      </c>
      <c r="AA4" s="117" t="str">
        <f t="shared" si="0"/>
        <v>Calc</v>
      </c>
      <c r="AB4" s="117" t="str">
        <f t="shared" si="0"/>
        <v>Calc</v>
      </c>
      <c r="AC4" s="117" t="str">
        <f t="shared" si="0"/>
        <v>Calc</v>
      </c>
      <c r="AD4" s="117" t="str">
        <f t="shared" si="0"/>
        <v>Calc</v>
      </c>
      <c r="AE4" s="117" t="str">
        <f t="shared" si="0"/>
        <v>Calc</v>
      </c>
      <c r="AF4" s="117" t="str">
        <f t="shared" si="0"/>
        <v>Calc</v>
      </c>
      <c r="AG4" s="117" t="str">
        <f t="shared" si="0"/>
        <v>Calc</v>
      </c>
      <c r="AH4" s="117" t="str">
        <f t="shared" si="0"/>
        <v>Calc</v>
      </c>
      <c r="AI4" s="117" t="str">
        <f t="shared" si="0"/>
        <v>Calc</v>
      </c>
      <c r="AJ4" s="117" t="str">
        <f t="shared" si="0"/>
        <v>Calc</v>
      </c>
      <c r="AK4" s="117" t="str">
        <f t="shared" si="0"/>
        <v>Calc</v>
      </c>
      <c r="AL4" s="117" t="str">
        <f t="shared" si="0"/>
        <v>Calc</v>
      </c>
      <c r="AM4" s="117" t="str">
        <f t="shared" si="0"/>
        <v>Calc</v>
      </c>
      <c r="AN4" s="117" t="str">
        <f t="shared" si="0"/>
        <v>Calc</v>
      </c>
      <c r="AO4" s="117" t="str">
        <f t="shared" si="0"/>
        <v>Calc</v>
      </c>
      <c r="AP4" s="117" t="str">
        <f t="shared" si="0"/>
        <v>Calc</v>
      </c>
      <c r="AQ4" s="117" t="str">
        <f t="shared" si="0"/>
        <v>Calc</v>
      </c>
      <c r="AR4" s="117" t="str">
        <f t="shared" si="0"/>
        <v>Calc</v>
      </c>
      <c r="AS4" s="117" t="str">
        <f t="shared" ref="AS4:BM4" si="1">IF(AS6&gt;$E$3,"Future",IF(AS6&gt;$E$2,"OD",IF($E$2&gt;=AS6,"Calc")))</f>
        <v>Calc</v>
      </c>
      <c r="AT4" s="117" t="str">
        <f t="shared" si="1"/>
        <v>Calc</v>
      </c>
      <c r="AU4" s="117" t="str">
        <f t="shared" si="1"/>
        <v>Calc</v>
      </c>
      <c r="AV4" s="117" t="str">
        <f t="shared" si="1"/>
        <v>Calc</v>
      </c>
      <c r="AW4" s="117" t="str">
        <f t="shared" si="1"/>
        <v>Calc</v>
      </c>
      <c r="AX4" s="117" t="str">
        <f t="shared" si="1"/>
        <v>Calc</v>
      </c>
      <c r="AY4" s="117" t="str">
        <f t="shared" si="1"/>
        <v>Calc</v>
      </c>
      <c r="AZ4" s="117" t="str">
        <f t="shared" si="1"/>
        <v>Calc</v>
      </c>
      <c r="BA4" s="117" t="str">
        <f t="shared" si="1"/>
        <v>Calc</v>
      </c>
      <c r="BB4" s="117" t="str">
        <f t="shared" si="1"/>
        <v>Calc</v>
      </c>
      <c r="BC4" s="117" t="str">
        <f t="shared" si="1"/>
        <v>Future</v>
      </c>
      <c r="BD4" s="117" t="str">
        <f t="shared" si="1"/>
        <v>Future</v>
      </c>
      <c r="BE4" s="117" t="str">
        <f t="shared" si="1"/>
        <v>Future</v>
      </c>
      <c r="BF4" s="117" t="str">
        <f t="shared" si="1"/>
        <v>Future</v>
      </c>
      <c r="BG4" s="117" t="str">
        <f t="shared" si="1"/>
        <v>Future</v>
      </c>
      <c r="BH4" s="117" t="str">
        <f t="shared" si="1"/>
        <v>Future</v>
      </c>
      <c r="BI4" s="117" t="str">
        <f t="shared" si="1"/>
        <v>Future</v>
      </c>
      <c r="BJ4" s="117" t="str">
        <f t="shared" si="1"/>
        <v>Future</v>
      </c>
      <c r="BK4" s="117" t="str">
        <f t="shared" si="1"/>
        <v>Future</v>
      </c>
      <c r="BL4" s="117" t="str">
        <f t="shared" si="1"/>
        <v>Future</v>
      </c>
      <c r="BM4" s="117" t="str">
        <f t="shared" si="1"/>
        <v>Future</v>
      </c>
      <c r="BN4" s="202" t="e">
        <f>IF($E$2&gt;=BN6,"Calc",IF(BN6&gt;$E$2,IF(#REF!&gt;0,"Not Calc yet","Future")))</f>
        <v>#REF!</v>
      </c>
    </row>
    <row r="5" spans="2:70" ht="15.6" customHeight="1" thickBot="1" x14ac:dyDescent="0.35">
      <c r="B5" s="349"/>
      <c r="C5" s="2"/>
      <c r="E5" s="651"/>
      <c r="F5"/>
      <c r="G5"/>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c r="BN5" s="202"/>
    </row>
    <row r="6" spans="2:70" ht="24" customHeight="1" x14ac:dyDescent="0.3">
      <c r="B6" s="14" t="s">
        <v>79</v>
      </c>
      <c r="C6" s="926" t="s">
        <v>14</v>
      </c>
      <c r="D6" s="927"/>
      <c r="E6" s="106"/>
      <c r="F6" s="106"/>
      <c r="G6" s="928" t="s">
        <v>37</v>
      </c>
      <c r="H6" s="15" t="s">
        <v>7</v>
      </c>
      <c r="I6" s="57">
        <f>J6-1</f>
        <v>49</v>
      </c>
      <c r="J6" s="58">
        <f>K6-1</f>
        <v>50</v>
      </c>
      <c r="K6" s="58">
        <f>L6-1</f>
        <v>51</v>
      </c>
      <c r="L6" s="59">
        <v>52</v>
      </c>
      <c r="M6" s="18">
        <v>1</v>
      </c>
      <c r="N6" s="19">
        <f t="shared" ref="N6:BM6" si="2">M6+1</f>
        <v>2</v>
      </c>
      <c r="O6" s="19">
        <f t="shared" si="2"/>
        <v>3</v>
      </c>
      <c r="P6" s="19">
        <f t="shared" si="2"/>
        <v>4</v>
      </c>
      <c r="Q6" s="19">
        <f t="shared" si="2"/>
        <v>5</v>
      </c>
      <c r="R6" s="19">
        <f t="shared" si="2"/>
        <v>6</v>
      </c>
      <c r="S6" s="19">
        <f t="shared" si="2"/>
        <v>7</v>
      </c>
      <c r="T6" s="19">
        <f t="shared" si="2"/>
        <v>8</v>
      </c>
      <c r="U6" s="19">
        <f t="shared" si="2"/>
        <v>9</v>
      </c>
      <c r="V6" s="19">
        <f t="shared" si="2"/>
        <v>10</v>
      </c>
      <c r="W6" s="19">
        <f t="shared" si="2"/>
        <v>11</v>
      </c>
      <c r="X6" s="19">
        <f t="shared" si="2"/>
        <v>12</v>
      </c>
      <c r="Y6" s="19">
        <f t="shared" si="2"/>
        <v>13</v>
      </c>
      <c r="Z6" s="19">
        <f t="shared" si="2"/>
        <v>14</v>
      </c>
      <c r="AA6" s="19">
        <f t="shared" si="2"/>
        <v>15</v>
      </c>
      <c r="AB6" s="19">
        <f t="shared" si="2"/>
        <v>16</v>
      </c>
      <c r="AC6" s="19">
        <f t="shared" si="2"/>
        <v>17</v>
      </c>
      <c r="AD6" s="19">
        <f t="shared" si="2"/>
        <v>18</v>
      </c>
      <c r="AE6" s="19">
        <f t="shared" si="2"/>
        <v>19</v>
      </c>
      <c r="AF6" s="19">
        <f t="shared" si="2"/>
        <v>20</v>
      </c>
      <c r="AG6" s="19">
        <f t="shared" si="2"/>
        <v>21</v>
      </c>
      <c r="AH6" s="19">
        <f t="shared" si="2"/>
        <v>22</v>
      </c>
      <c r="AI6" s="19">
        <f t="shared" si="2"/>
        <v>23</v>
      </c>
      <c r="AJ6" s="19">
        <f t="shared" si="2"/>
        <v>24</v>
      </c>
      <c r="AK6" s="19">
        <f t="shared" si="2"/>
        <v>25</v>
      </c>
      <c r="AL6" s="19">
        <f t="shared" si="2"/>
        <v>26</v>
      </c>
      <c r="AM6" s="19">
        <f t="shared" si="2"/>
        <v>27</v>
      </c>
      <c r="AN6" s="19">
        <f t="shared" si="2"/>
        <v>28</v>
      </c>
      <c r="AO6" s="19">
        <f t="shared" si="2"/>
        <v>29</v>
      </c>
      <c r="AP6" s="19">
        <f t="shared" si="2"/>
        <v>30</v>
      </c>
      <c r="AQ6" s="19">
        <f t="shared" si="2"/>
        <v>31</v>
      </c>
      <c r="AR6" s="19">
        <f t="shared" si="2"/>
        <v>32</v>
      </c>
      <c r="AS6" s="19">
        <f t="shared" si="2"/>
        <v>33</v>
      </c>
      <c r="AT6" s="19">
        <f t="shared" si="2"/>
        <v>34</v>
      </c>
      <c r="AU6" s="19">
        <f t="shared" si="2"/>
        <v>35</v>
      </c>
      <c r="AV6" s="19">
        <f t="shared" si="2"/>
        <v>36</v>
      </c>
      <c r="AW6" s="19">
        <f t="shared" si="2"/>
        <v>37</v>
      </c>
      <c r="AX6" s="19">
        <f t="shared" si="2"/>
        <v>38</v>
      </c>
      <c r="AY6" s="19">
        <f t="shared" si="2"/>
        <v>39</v>
      </c>
      <c r="AZ6" s="19">
        <f t="shared" si="2"/>
        <v>40</v>
      </c>
      <c r="BA6" s="19">
        <f t="shared" si="2"/>
        <v>41</v>
      </c>
      <c r="BB6" s="19">
        <f t="shared" si="2"/>
        <v>42</v>
      </c>
      <c r="BC6" s="19">
        <f t="shared" si="2"/>
        <v>43</v>
      </c>
      <c r="BD6" s="19">
        <f t="shared" si="2"/>
        <v>44</v>
      </c>
      <c r="BE6" s="19">
        <f t="shared" si="2"/>
        <v>45</v>
      </c>
      <c r="BF6" s="19">
        <f t="shared" si="2"/>
        <v>46</v>
      </c>
      <c r="BG6" s="19">
        <f t="shared" si="2"/>
        <v>47</v>
      </c>
      <c r="BH6" s="19">
        <f t="shared" si="2"/>
        <v>48</v>
      </c>
      <c r="BI6" s="19">
        <f t="shared" si="2"/>
        <v>49</v>
      </c>
      <c r="BJ6" s="19">
        <f t="shared" si="2"/>
        <v>50</v>
      </c>
      <c r="BK6" s="19">
        <f t="shared" si="2"/>
        <v>51</v>
      </c>
      <c r="BL6" s="19">
        <f t="shared" si="2"/>
        <v>52</v>
      </c>
      <c r="BM6" s="19">
        <f t="shared" si="2"/>
        <v>53</v>
      </c>
      <c r="BN6" s="20" t="s">
        <v>34</v>
      </c>
    </row>
    <row r="7" spans="2:70" ht="60.6" customHeight="1" x14ac:dyDescent="0.3">
      <c r="B7" s="14" t="s">
        <v>38</v>
      </c>
      <c r="C7" s="21" t="s">
        <v>39</v>
      </c>
      <c r="D7" s="21" t="s">
        <v>40</v>
      </c>
      <c r="E7" s="21" t="s">
        <v>140</v>
      </c>
      <c r="F7" s="21" t="s">
        <v>159</v>
      </c>
      <c r="G7" s="929"/>
      <c r="H7" s="15" t="s">
        <v>41</v>
      </c>
      <c r="I7" s="60">
        <f t="shared" ref="I7:K7" si="3">J7-7</f>
        <v>45632</v>
      </c>
      <c r="J7" s="61">
        <f t="shared" si="3"/>
        <v>45639</v>
      </c>
      <c r="K7" s="61">
        <f t="shared" si="3"/>
        <v>45646</v>
      </c>
      <c r="L7" s="62">
        <f>M7-7</f>
        <v>45653</v>
      </c>
      <c r="M7" s="24">
        <v>45660</v>
      </c>
      <c r="N7" s="25">
        <f t="shared" ref="N7:BM7" si="4">M7+7</f>
        <v>45667</v>
      </c>
      <c r="O7" s="25">
        <f t="shared" si="4"/>
        <v>45674</v>
      </c>
      <c r="P7" s="25">
        <f t="shared" si="4"/>
        <v>45681</v>
      </c>
      <c r="Q7" s="25">
        <f t="shared" si="4"/>
        <v>45688</v>
      </c>
      <c r="R7" s="25">
        <f t="shared" si="4"/>
        <v>45695</v>
      </c>
      <c r="S7" s="25">
        <f t="shared" si="4"/>
        <v>45702</v>
      </c>
      <c r="T7" s="25">
        <f t="shared" si="4"/>
        <v>45709</v>
      </c>
      <c r="U7" s="25">
        <f t="shared" si="4"/>
        <v>45716</v>
      </c>
      <c r="V7" s="25">
        <f t="shared" si="4"/>
        <v>45723</v>
      </c>
      <c r="W7" s="25">
        <f t="shared" si="4"/>
        <v>45730</v>
      </c>
      <c r="X7" s="25">
        <f t="shared" si="4"/>
        <v>45737</v>
      </c>
      <c r="Y7" s="25">
        <f t="shared" si="4"/>
        <v>45744</v>
      </c>
      <c r="Z7" s="25">
        <f t="shared" si="4"/>
        <v>45751</v>
      </c>
      <c r="AA7" s="25">
        <f t="shared" si="4"/>
        <v>45758</v>
      </c>
      <c r="AB7" s="25">
        <f t="shared" si="4"/>
        <v>45765</v>
      </c>
      <c r="AC7" s="25">
        <f t="shared" si="4"/>
        <v>45772</v>
      </c>
      <c r="AD7" s="25">
        <f t="shared" si="4"/>
        <v>45779</v>
      </c>
      <c r="AE7" s="25">
        <f t="shared" si="4"/>
        <v>45786</v>
      </c>
      <c r="AF7" s="25">
        <f t="shared" si="4"/>
        <v>45793</v>
      </c>
      <c r="AG7" s="25">
        <f t="shared" si="4"/>
        <v>45800</v>
      </c>
      <c r="AH7" s="25">
        <f t="shared" si="4"/>
        <v>45807</v>
      </c>
      <c r="AI7" s="25">
        <f t="shared" si="4"/>
        <v>45814</v>
      </c>
      <c r="AJ7" s="25">
        <f t="shared" si="4"/>
        <v>45821</v>
      </c>
      <c r="AK7" s="25">
        <f t="shared" si="4"/>
        <v>45828</v>
      </c>
      <c r="AL7" s="25">
        <f t="shared" si="4"/>
        <v>45835</v>
      </c>
      <c r="AM7" s="25">
        <f t="shared" si="4"/>
        <v>45842</v>
      </c>
      <c r="AN7" s="25">
        <f t="shared" si="4"/>
        <v>45849</v>
      </c>
      <c r="AO7" s="25">
        <f t="shared" si="4"/>
        <v>45856</v>
      </c>
      <c r="AP7" s="25">
        <f t="shared" si="4"/>
        <v>45863</v>
      </c>
      <c r="AQ7" s="25">
        <f t="shared" si="4"/>
        <v>45870</v>
      </c>
      <c r="AR7" s="25">
        <f t="shared" si="4"/>
        <v>45877</v>
      </c>
      <c r="AS7" s="25">
        <f t="shared" si="4"/>
        <v>45884</v>
      </c>
      <c r="AT7" s="25">
        <f t="shared" si="4"/>
        <v>45891</v>
      </c>
      <c r="AU7" s="25">
        <f t="shared" si="4"/>
        <v>45898</v>
      </c>
      <c r="AV7" s="25">
        <f t="shared" si="4"/>
        <v>45905</v>
      </c>
      <c r="AW7" s="25">
        <f t="shared" si="4"/>
        <v>45912</v>
      </c>
      <c r="AX7" s="25">
        <f t="shared" si="4"/>
        <v>45919</v>
      </c>
      <c r="AY7" s="25">
        <f t="shared" si="4"/>
        <v>45926</v>
      </c>
      <c r="AZ7" s="25">
        <f t="shared" si="4"/>
        <v>45933</v>
      </c>
      <c r="BA7" s="25">
        <f t="shared" si="4"/>
        <v>45940</v>
      </c>
      <c r="BB7" s="25">
        <f t="shared" si="4"/>
        <v>45947</v>
      </c>
      <c r="BC7" s="25">
        <f t="shared" si="4"/>
        <v>45954</v>
      </c>
      <c r="BD7" s="25">
        <f t="shared" si="4"/>
        <v>45961</v>
      </c>
      <c r="BE7" s="25">
        <f t="shared" si="4"/>
        <v>45968</v>
      </c>
      <c r="BF7" s="25">
        <f t="shared" si="4"/>
        <v>45975</v>
      </c>
      <c r="BG7" s="25">
        <f t="shared" si="4"/>
        <v>45982</v>
      </c>
      <c r="BH7" s="25">
        <f t="shared" si="4"/>
        <v>45989</v>
      </c>
      <c r="BI7" s="25">
        <f t="shared" si="4"/>
        <v>45996</v>
      </c>
      <c r="BJ7" s="25">
        <f t="shared" si="4"/>
        <v>46003</v>
      </c>
      <c r="BK7" s="25">
        <f t="shared" si="4"/>
        <v>46010</v>
      </c>
      <c r="BL7" s="25">
        <f t="shared" si="4"/>
        <v>46017</v>
      </c>
      <c r="BM7" s="25">
        <f t="shared" si="4"/>
        <v>46024</v>
      </c>
      <c r="BN7" s="26"/>
    </row>
    <row r="8" spans="2:70" s="462" customFormat="1" ht="24" customHeight="1" x14ac:dyDescent="0.3">
      <c r="B8" s="920" t="s">
        <v>30</v>
      </c>
      <c r="C8" s="944" t="s">
        <v>104</v>
      </c>
      <c r="D8" s="944" t="s">
        <v>105</v>
      </c>
      <c r="E8" s="944" t="s">
        <v>142</v>
      </c>
      <c r="F8" s="944" t="s">
        <v>154</v>
      </c>
      <c r="G8" s="951"/>
      <c r="H8" s="661" t="s">
        <v>44</v>
      </c>
      <c r="I8" s="662"/>
      <c r="J8" s="663"/>
      <c r="K8" s="663"/>
      <c r="L8" s="664"/>
      <c r="M8" s="663">
        <f>IF(M6&gt;$E$3,"",(138.87))</f>
        <v>138.87</v>
      </c>
      <c r="N8" s="663">
        <f t="shared" ref="N8:AI8" si="5">IF(N6&gt;$E$3,"",(138.87))</f>
        <v>138.87</v>
      </c>
      <c r="O8" s="663">
        <f t="shared" si="5"/>
        <v>138.87</v>
      </c>
      <c r="P8" s="663">
        <f t="shared" si="5"/>
        <v>138.87</v>
      </c>
      <c r="Q8" s="663">
        <f t="shared" si="5"/>
        <v>138.87</v>
      </c>
      <c r="R8" s="663">
        <f t="shared" si="5"/>
        <v>138.87</v>
      </c>
      <c r="S8" s="663">
        <f t="shared" si="5"/>
        <v>138.87</v>
      </c>
      <c r="T8" s="663">
        <f t="shared" si="5"/>
        <v>138.87</v>
      </c>
      <c r="U8" s="663">
        <f t="shared" si="5"/>
        <v>138.87</v>
      </c>
      <c r="V8" s="663">
        <f t="shared" si="5"/>
        <v>138.87</v>
      </c>
      <c r="W8" s="663">
        <f t="shared" si="5"/>
        <v>138.87</v>
      </c>
      <c r="X8" s="663">
        <f t="shared" si="5"/>
        <v>138.87</v>
      </c>
      <c r="Y8" s="663">
        <f t="shared" si="5"/>
        <v>138.87</v>
      </c>
      <c r="Z8" s="663">
        <f t="shared" si="5"/>
        <v>138.87</v>
      </c>
      <c r="AA8" s="663">
        <f t="shared" si="5"/>
        <v>138.87</v>
      </c>
      <c r="AB8" s="663">
        <f t="shared" si="5"/>
        <v>138.87</v>
      </c>
      <c r="AC8" s="663">
        <f t="shared" si="5"/>
        <v>138.87</v>
      </c>
      <c r="AD8" s="663">
        <f t="shared" si="5"/>
        <v>138.87</v>
      </c>
      <c r="AE8" s="663">
        <f t="shared" si="5"/>
        <v>138.87</v>
      </c>
      <c r="AF8" s="663">
        <f t="shared" si="5"/>
        <v>138.87</v>
      </c>
      <c r="AG8" s="663">
        <f t="shared" si="5"/>
        <v>138.87</v>
      </c>
      <c r="AH8" s="663">
        <f t="shared" si="5"/>
        <v>138.87</v>
      </c>
      <c r="AI8" s="663">
        <f t="shared" si="5"/>
        <v>138.87</v>
      </c>
      <c r="AJ8" s="665">
        <f>IF(AJ$6&gt;$E$3,"",138.87)</f>
        <v>138.87</v>
      </c>
      <c r="AK8" s="665">
        <f t="shared" ref="AK8:BM8" si="6">IF(AK$6&gt;$E$3,"",138.87)</f>
        <v>138.87</v>
      </c>
      <c r="AL8" s="665">
        <f t="shared" si="6"/>
        <v>138.87</v>
      </c>
      <c r="AM8" s="665">
        <f t="shared" si="6"/>
        <v>138.87</v>
      </c>
      <c r="AN8" s="665">
        <f t="shared" si="6"/>
        <v>138.87</v>
      </c>
      <c r="AO8" s="665">
        <f t="shared" si="6"/>
        <v>138.87</v>
      </c>
      <c r="AP8" s="665">
        <f t="shared" si="6"/>
        <v>138.87</v>
      </c>
      <c r="AQ8" s="665">
        <f t="shared" si="6"/>
        <v>138.87</v>
      </c>
      <c r="AR8" s="665">
        <f t="shared" si="6"/>
        <v>138.87</v>
      </c>
      <c r="AS8" s="665">
        <f t="shared" si="6"/>
        <v>138.87</v>
      </c>
      <c r="AT8" s="665">
        <f t="shared" si="6"/>
        <v>138.87</v>
      </c>
      <c r="AU8" s="665">
        <f t="shared" si="6"/>
        <v>138.87</v>
      </c>
      <c r="AV8" s="665">
        <f t="shared" si="6"/>
        <v>138.87</v>
      </c>
      <c r="AW8" s="665">
        <f t="shared" si="6"/>
        <v>138.87</v>
      </c>
      <c r="AX8" s="665">
        <f t="shared" si="6"/>
        <v>138.87</v>
      </c>
      <c r="AY8" s="665">
        <f t="shared" si="6"/>
        <v>138.87</v>
      </c>
      <c r="AZ8" s="665">
        <f t="shared" si="6"/>
        <v>138.87</v>
      </c>
      <c r="BA8" s="665">
        <f t="shared" si="6"/>
        <v>138.87</v>
      </c>
      <c r="BB8" s="665">
        <f t="shared" si="6"/>
        <v>138.87</v>
      </c>
      <c r="BC8" s="665" t="str">
        <f t="shared" si="6"/>
        <v/>
      </c>
      <c r="BD8" s="665" t="str">
        <f t="shared" si="6"/>
        <v/>
      </c>
      <c r="BE8" s="665" t="str">
        <f t="shared" si="6"/>
        <v/>
      </c>
      <c r="BF8" s="665" t="str">
        <f t="shared" si="6"/>
        <v/>
      </c>
      <c r="BG8" s="665" t="str">
        <f t="shared" si="6"/>
        <v/>
      </c>
      <c r="BH8" s="665" t="str">
        <f t="shared" si="6"/>
        <v/>
      </c>
      <c r="BI8" s="665" t="str">
        <f t="shared" si="6"/>
        <v/>
      </c>
      <c r="BJ8" s="665" t="str">
        <f t="shared" si="6"/>
        <v/>
      </c>
      <c r="BK8" s="665" t="str">
        <f t="shared" si="6"/>
        <v/>
      </c>
      <c r="BL8" s="665" t="str">
        <f t="shared" si="6"/>
        <v/>
      </c>
      <c r="BM8" s="665" t="str">
        <f t="shared" si="6"/>
        <v/>
      </c>
      <c r="BN8" s="663" t="str">
        <f t="shared" ref="BN8" si="7">IF(BN6&gt;BF3,"",(138.87))</f>
        <v/>
      </c>
    </row>
    <row r="9" spans="2:70" s="462" customFormat="1" ht="24" customHeight="1" x14ac:dyDescent="0.3">
      <c r="B9" s="920"/>
      <c r="C9" s="945"/>
      <c r="D9" s="945"/>
      <c r="E9" s="945"/>
      <c r="F9" s="945"/>
      <c r="G9" s="940"/>
      <c r="H9" s="306" t="s">
        <v>45</v>
      </c>
      <c r="I9" s="114"/>
      <c r="J9" s="463"/>
      <c r="K9" s="463"/>
      <c r="L9" s="115"/>
      <c r="M9" s="463">
        <v>10.25</v>
      </c>
      <c r="N9" s="463">
        <v>127.75</v>
      </c>
      <c r="O9" s="463">
        <v>132</v>
      </c>
      <c r="P9" s="463">
        <v>166.66666666666666</v>
      </c>
      <c r="Q9" s="463">
        <v>160</v>
      </c>
      <c r="R9" s="463">
        <v>188.66666666666666</v>
      </c>
      <c r="S9" s="463">
        <v>186.66666666666666</v>
      </c>
      <c r="T9" s="463">
        <v>184.66666666666666</v>
      </c>
      <c r="U9" s="463">
        <v>203.33333333333334</v>
      </c>
      <c r="V9" s="463">
        <v>203.66666666666666</v>
      </c>
      <c r="W9" s="463">
        <v>111</v>
      </c>
      <c r="X9" s="463">
        <v>175.33333333333334</v>
      </c>
      <c r="Y9" s="463">
        <v>207.33333333333334</v>
      </c>
      <c r="Z9" s="463">
        <v>218.33333333333334</v>
      </c>
      <c r="AA9" s="463">
        <v>226.33333333333334</v>
      </c>
      <c r="AB9" s="463">
        <v>134.66666666666666</v>
      </c>
      <c r="AC9" s="463">
        <v>142</v>
      </c>
      <c r="AD9" s="463">
        <v>224.33333333333334</v>
      </c>
      <c r="AE9" s="463">
        <v>195.33333333333334</v>
      </c>
      <c r="AF9" s="309">
        <v>162.66666666666666</v>
      </c>
      <c r="AG9" s="309">
        <v>195.33333333333334</v>
      </c>
      <c r="AH9" s="309">
        <v>100</v>
      </c>
      <c r="AI9" s="309">
        <v>213</v>
      </c>
      <c r="AJ9" s="309">
        <v>226</v>
      </c>
      <c r="AK9" s="309">
        <v>196</v>
      </c>
      <c r="AL9" s="309">
        <v>160.66666666666666</v>
      </c>
      <c r="AM9" s="309">
        <v>207.66666666666666</v>
      </c>
      <c r="AN9" s="309">
        <v>201.66666666666666</v>
      </c>
      <c r="AO9" s="309">
        <v>139.33333333333334</v>
      </c>
      <c r="AP9" s="309">
        <v>127.33333333333333</v>
      </c>
      <c r="AQ9" s="309">
        <v>130.33333333333334</v>
      </c>
      <c r="AR9" s="309">
        <v>185</v>
      </c>
      <c r="AS9" s="309">
        <v>284.66666666666669</v>
      </c>
      <c r="AT9" s="309">
        <v>261</v>
      </c>
      <c r="AU9" s="309">
        <v>106.33333333333333</v>
      </c>
      <c r="AV9" s="309">
        <v>194.75</v>
      </c>
      <c r="AW9" s="309">
        <v>197</v>
      </c>
      <c r="AX9" s="309">
        <v>273.66666666666669</v>
      </c>
      <c r="AY9" s="309">
        <v>178.25</v>
      </c>
      <c r="AZ9" s="309">
        <v>158.66666666666666</v>
      </c>
      <c r="BA9" s="309">
        <v>188</v>
      </c>
      <c r="BB9" s="309">
        <v>204</v>
      </c>
      <c r="BC9" s="309"/>
      <c r="BD9" s="309"/>
      <c r="BE9" s="309"/>
      <c r="BF9" s="309"/>
      <c r="BG9" s="309"/>
      <c r="BH9" s="309"/>
      <c r="BI9" s="309"/>
      <c r="BJ9" s="309"/>
      <c r="BK9" s="309"/>
      <c r="BL9" s="309"/>
      <c r="BM9" s="309"/>
      <c r="BN9" s="464"/>
    </row>
    <row r="10" spans="2:70" ht="24" customHeight="1" x14ac:dyDescent="0.3">
      <c r="B10" s="920"/>
      <c r="C10" s="945"/>
      <c r="D10" s="945"/>
      <c r="E10" s="945"/>
      <c r="F10" s="945"/>
      <c r="G10" s="940"/>
      <c r="H10" s="38" t="s">
        <v>46</v>
      </c>
      <c r="I10" s="39" t="str">
        <f>IF(I9="Blank","Blank",IF(I9="TBC","TBC",IF(I$6&gt;$E$2,"",IF((I9-I8)&gt;=0,"G",IF((I9-(I8*0.95))&gt;=0,"A","R")))))</f>
        <v/>
      </c>
      <c r="J10" s="41" t="str">
        <f>IF(J9="Blank","Blank",IF(J9="TBC","TBC",IF(J$6&gt;$E$2,"",IF((J9-J8)&gt;=0,"G",IF((J9-(J8*0.95))&gt;=0,"A","R")))))</f>
        <v/>
      </c>
      <c r="K10" s="41" t="str">
        <f>IF(K9="Blank","Blank",IF(K9="TBC","TBC",IF(K$6&gt;$E$2,"",IF((K9-K8)&gt;=0,"G",IF((K9-(K8*0.95))&gt;=0,"A","R")))))</f>
        <v/>
      </c>
      <c r="L10" s="53" t="str">
        <f>IF(L9="Blank","Blank",IF(L9="TBC","TBC",IF(L$6&gt;$E$2,"",IF((L9-L8)&gt;=0,"G",IF((L9-(L8*0.95))&gt;=0,"A","R")))))</f>
        <v/>
      </c>
      <c r="M10" s="40" t="str">
        <f>IF(M$6&gt;$E$3,"",IF(M9="","OD",IF(M9="Blank","Blank",IF(M9="TBC","TBC",IF(M9="Undefined","Undefined",IF(M9="Missed","Missed",IF(M9="OD","OD",IF(M$4="OD","OD",IF((M9-M8)&gt;=0,"G",IF((M9-(M8*0.95))&gt;=0,"A","R"))))))))))</f>
        <v>R</v>
      </c>
      <c r="N10" s="40" t="str">
        <f t="shared" ref="N10:BM10" si="8">IF(N$6&gt;$E$3,"",IF(N9="","OD",IF(N9="Blank","Blank",IF(N9="TBC","TBC",IF(N9="Undefined","Undefined",IF(N9="Missed","Missed",IF(N9="OD","OD",IF(N$4="OD","OD",IF((N9-N8)&gt;=0,"G",IF((N9-(N8*0.95))&gt;=0,"A","R"))))))))))</f>
        <v>R</v>
      </c>
      <c r="O10" s="40" t="str">
        <f t="shared" si="8"/>
        <v>A</v>
      </c>
      <c r="P10" s="40" t="str">
        <f t="shared" si="8"/>
        <v>G</v>
      </c>
      <c r="Q10" s="40" t="str">
        <f t="shared" si="8"/>
        <v>G</v>
      </c>
      <c r="R10" s="40" t="str">
        <f t="shared" si="8"/>
        <v>G</v>
      </c>
      <c r="S10" s="40" t="str">
        <f t="shared" si="8"/>
        <v>G</v>
      </c>
      <c r="T10" s="40" t="str">
        <f t="shared" si="8"/>
        <v>G</v>
      </c>
      <c r="U10" s="40" t="str">
        <f t="shared" si="8"/>
        <v>G</v>
      </c>
      <c r="V10" s="40" t="str">
        <f t="shared" si="8"/>
        <v>G</v>
      </c>
      <c r="W10" s="40" t="str">
        <f t="shared" si="8"/>
        <v>R</v>
      </c>
      <c r="X10" s="40" t="str">
        <f t="shared" si="8"/>
        <v>G</v>
      </c>
      <c r="Y10" s="40" t="str">
        <f t="shared" si="8"/>
        <v>G</v>
      </c>
      <c r="Z10" s="40" t="str">
        <f t="shared" si="8"/>
        <v>G</v>
      </c>
      <c r="AA10" s="40" t="str">
        <f t="shared" si="8"/>
        <v>G</v>
      </c>
      <c r="AB10" s="40" t="str">
        <f t="shared" si="8"/>
        <v>A</v>
      </c>
      <c r="AC10" s="40" t="str">
        <f t="shared" si="8"/>
        <v>G</v>
      </c>
      <c r="AD10" s="40" t="str">
        <f t="shared" si="8"/>
        <v>G</v>
      </c>
      <c r="AE10" s="40" t="str">
        <f t="shared" si="8"/>
        <v>G</v>
      </c>
      <c r="AF10" s="40" t="str">
        <f t="shared" si="8"/>
        <v>G</v>
      </c>
      <c r="AG10" s="40" t="str">
        <f t="shared" si="8"/>
        <v>G</v>
      </c>
      <c r="AH10" s="40" t="str">
        <f t="shared" si="8"/>
        <v>R</v>
      </c>
      <c r="AI10" s="40" t="str">
        <f t="shared" si="8"/>
        <v>G</v>
      </c>
      <c r="AJ10" s="40" t="str">
        <f t="shared" si="8"/>
        <v>G</v>
      </c>
      <c r="AK10" s="40" t="str">
        <f t="shared" si="8"/>
        <v>G</v>
      </c>
      <c r="AL10" s="40" t="str">
        <f t="shared" si="8"/>
        <v>G</v>
      </c>
      <c r="AM10" s="40" t="str">
        <f t="shared" si="8"/>
        <v>G</v>
      </c>
      <c r="AN10" s="40" t="str">
        <f t="shared" si="8"/>
        <v>G</v>
      </c>
      <c r="AO10" s="40" t="str">
        <f t="shared" si="8"/>
        <v>G</v>
      </c>
      <c r="AP10" s="40" t="str">
        <f t="shared" si="8"/>
        <v>R</v>
      </c>
      <c r="AQ10" s="40" t="str">
        <f t="shared" si="8"/>
        <v>R</v>
      </c>
      <c r="AR10" s="40" t="str">
        <f t="shared" si="8"/>
        <v>G</v>
      </c>
      <c r="AS10" s="40" t="str">
        <f t="shared" si="8"/>
        <v>G</v>
      </c>
      <c r="AT10" s="40" t="str">
        <f t="shared" si="8"/>
        <v>G</v>
      </c>
      <c r="AU10" s="40" t="str">
        <f t="shared" si="8"/>
        <v>R</v>
      </c>
      <c r="AV10" s="40" t="str">
        <f t="shared" si="8"/>
        <v>G</v>
      </c>
      <c r="AW10" s="40" t="str">
        <f t="shared" si="8"/>
        <v>G</v>
      </c>
      <c r="AX10" s="40" t="str">
        <f t="shared" si="8"/>
        <v>G</v>
      </c>
      <c r="AY10" s="40" t="str">
        <f t="shared" si="8"/>
        <v>G</v>
      </c>
      <c r="AZ10" s="40" t="str">
        <f t="shared" si="8"/>
        <v>G</v>
      </c>
      <c r="BA10" s="40" t="str">
        <f t="shared" si="8"/>
        <v>G</v>
      </c>
      <c r="BB10" s="40" t="str">
        <f t="shared" si="8"/>
        <v>G</v>
      </c>
      <c r="BC10" s="40" t="str">
        <f t="shared" si="8"/>
        <v/>
      </c>
      <c r="BD10" s="40" t="str">
        <f t="shared" si="8"/>
        <v/>
      </c>
      <c r="BE10" s="40" t="str">
        <f t="shared" si="8"/>
        <v/>
      </c>
      <c r="BF10" s="40" t="str">
        <f t="shared" si="8"/>
        <v/>
      </c>
      <c r="BG10" s="40" t="str">
        <f t="shared" si="8"/>
        <v/>
      </c>
      <c r="BH10" s="40" t="str">
        <f t="shared" si="8"/>
        <v/>
      </c>
      <c r="BI10" s="40" t="str">
        <f t="shared" si="8"/>
        <v/>
      </c>
      <c r="BJ10" s="40" t="str">
        <f t="shared" si="8"/>
        <v/>
      </c>
      <c r="BK10" s="40" t="str">
        <f t="shared" si="8"/>
        <v/>
      </c>
      <c r="BL10" s="40" t="str">
        <f t="shared" si="8"/>
        <v/>
      </c>
      <c r="BM10" s="40" t="str">
        <f t="shared" si="8"/>
        <v/>
      </c>
      <c r="BN10" s="42"/>
    </row>
    <row r="11" spans="2:70" x14ac:dyDescent="0.3">
      <c r="B11" s="2" t="s">
        <v>510</v>
      </c>
    </row>
    <row r="13" spans="2:70" ht="15" thickBot="1" x14ac:dyDescent="0.35"/>
    <row r="14" spans="2:70" ht="21.6" thickBot="1" x14ac:dyDescent="0.45">
      <c r="B14" s="402" t="s">
        <v>479</v>
      </c>
      <c r="C14"/>
      <c r="D14" s="119" t="s">
        <v>165</v>
      </c>
      <c r="E14" s="310" t="s">
        <v>86</v>
      </c>
      <c r="F14" s="310">
        <v>9</v>
      </c>
      <c r="U14" s="13"/>
    </row>
    <row r="15" spans="2:70" ht="15" thickBot="1" x14ac:dyDescent="0.35">
      <c r="D15" s="119" t="s">
        <v>375</v>
      </c>
      <c r="E15" s="179" t="str">
        <f>+'KPI Linked Table for Report'!A2</f>
        <v>Sep</v>
      </c>
      <c r="F15" s="179">
        <f>+'KPI Linked Table for Report'!C2</f>
        <v>9</v>
      </c>
      <c r="M15" s="117" t="str">
        <f t="shared" ref="M15:X15" si="9">IF($F$14&gt;=M16,"Calc",IF(M16&gt;$F$15,IF(M20&gt;0,"Not Calc yet","Future")))</f>
        <v>Calc</v>
      </c>
      <c r="N15" s="117" t="str">
        <f t="shared" si="9"/>
        <v>Calc</v>
      </c>
      <c r="O15" s="117" t="str">
        <f t="shared" si="9"/>
        <v>Calc</v>
      </c>
      <c r="P15" s="117" t="str">
        <f t="shared" si="9"/>
        <v>Calc</v>
      </c>
      <c r="Q15" s="117" t="str">
        <f t="shared" si="9"/>
        <v>Calc</v>
      </c>
      <c r="R15" s="117" t="str">
        <f t="shared" si="9"/>
        <v>Calc</v>
      </c>
      <c r="S15" s="117" t="str">
        <f t="shared" si="9"/>
        <v>Calc</v>
      </c>
      <c r="T15" s="117" t="str">
        <f t="shared" si="9"/>
        <v>Calc</v>
      </c>
      <c r="U15" s="117" t="str">
        <f t="shared" si="9"/>
        <v>Calc</v>
      </c>
      <c r="V15" s="117" t="str">
        <f t="shared" si="9"/>
        <v>Future</v>
      </c>
      <c r="W15" s="117" t="str">
        <f t="shared" si="9"/>
        <v>Future</v>
      </c>
      <c r="X15" s="117" t="str">
        <f t="shared" si="9"/>
        <v>Future</v>
      </c>
    </row>
    <row r="16" spans="2:70" ht="15.6" customHeight="1" thickBot="1" x14ac:dyDescent="0.35">
      <c r="B16" s="346" t="str">
        <f>IF(F14&lt;(F15),"Overdue","Current")</f>
        <v>Current</v>
      </c>
      <c r="C16" s="2"/>
      <c r="D16" s="120" t="s">
        <v>378</v>
      </c>
      <c r="E16" s="343" t="s">
        <v>177</v>
      </c>
      <c r="F16"/>
      <c r="G16"/>
      <c r="H16" s="2" t="s">
        <v>382</v>
      </c>
      <c r="M16" s="2">
        <v>1</v>
      </c>
      <c r="N16" s="2">
        <v>2</v>
      </c>
      <c r="O16" s="2">
        <v>3</v>
      </c>
      <c r="P16" s="2">
        <v>4</v>
      </c>
      <c r="Q16" s="2">
        <v>5</v>
      </c>
      <c r="R16" s="2">
        <v>6</v>
      </c>
      <c r="S16" s="2">
        <v>7</v>
      </c>
      <c r="T16" s="2">
        <v>8</v>
      </c>
      <c r="U16" s="2">
        <v>9</v>
      </c>
      <c r="V16" s="2">
        <v>10</v>
      </c>
      <c r="W16" s="2">
        <v>11</v>
      </c>
      <c r="X16" s="2">
        <v>12</v>
      </c>
      <c r="Y16" s="117"/>
      <c r="Z16" s="117"/>
      <c r="AA16" s="117"/>
      <c r="AB16" s="117"/>
      <c r="AC16" s="117"/>
      <c r="AD16" s="117"/>
      <c r="AE16" s="117"/>
      <c r="AF16" s="117"/>
      <c r="AG16" s="117"/>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7"/>
      <c r="BF16" s="117"/>
      <c r="BG16" s="117"/>
      <c r="BH16" s="117"/>
      <c r="BI16" s="117"/>
      <c r="BJ16" s="117"/>
      <c r="BK16" s="117"/>
      <c r="BL16" s="117"/>
      <c r="BM16" s="117"/>
      <c r="BN16" s="117"/>
      <c r="BO16" s="117"/>
      <c r="BP16" s="117"/>
      <c r="BQ16" s="117"/>
      <c r="BR16" s="202"/>
    </row>
    <row r="17" spans="2:66" ht="24" customHeight="1" x14ac:dyDescent="0.3">
      <c r="B17" s="14" t="s">
        <v>79</v>
      </c>
      <c r="C17" s="926" t="s">
        <v>14</v>
      </c>
      <c r="D17" s="927"/>
      <c r="E17" s="106"/>
      <c r="F17" s="106"/>
      <c r="G17" s="928" t="s">
        <v>37</v>
      </c>
      <c r="H17" s="94"/>
      <c r="I17" s="94"/>
      <c r="J17" s="94"/>
      <c r="K17" s="94"/>
      <c r="L17" s="94"/>
      <c r="M17" s="94"/>
      <c r="N17" s="94"/>
      <c r="O17" s="94"/>
      <c r="P17" s="94"/>
      <c r="Q17" s="94"/>
      <c r="R17" s="94"/>
      <c r="S17" s="94"/>
      <c r="T17" s="94"/>
      <c r="U17" s="94"/>
      <c r="V17" s="94"/>
      <c r="W17" s="94"/>
      <c r="X17" s="94"/>
      <c r="Y17" s="117"/>
      <c r="Z17" s="117"/>
      <c r="AA17" s="117"/>
      <c r="AB17" s="117"/>
      <c r="AC17" s="117"/>
      <c r="AD17" s="117"/>
      <c r="AE17" s="117"/>
      <c r="AF17" s="117"/>
      <c r="AG17" s="117"/>
      <c r="AH17" s="117"/>
      <c r="AI17" s="117"/>
      <c r="AJ17" s="117"/>
      <c r="AK17" s="117"/>
      <c r="AL17" s="117"/>
      <c r="AM17" s="117"/>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row>
    <row r="18" spans="2:66" ht="18" x14ac:dyDescent="0.3">
      <c r="B18" s="14" t="s">
        <v>38</v>
      </c>
      <c r="C18" s="21" t="s">
        <v>39</v>
      </c>
      <c r="D18" s="21" t="s">
        <v>40</v>
      </c>
      <c r="E18" s="21" t="s">
        <v>140</v>
      </c>
      <c r="F18" s="21" t="s">
        <v>159</v>
      </c>
      <c r="G18" s="929"/>
      <c r="H18" s="95"/>
      <c r="I18" s="95"/>
      <c r="J18" s="95"/>
      <c r="K18" s="95"/>
      <c r="L18" s="95"/>
      <c r="M18" s="95" t="s">
        <v>81</v>
      </c>
      <c r="N18" s="95" t="s">
        <v>82</v>
      </c>
      <c r="O18" s="95" t="s">
        <v>83</v>
      </c>
      <c r="P18" s="95" t="s">
        <v>84</v>
      </c>
      <c r="Q18" s="95" t="s">
        <v>85</v>
      </c>
      <c r="R18" s="95" t="s">
        <v>86</v>
      </c>
      <c r="S18" s="95" t="s">
        <v>87</v>
      </c>
      <c r="T18" s="95" t="s">
        <v>88</v>
      </c>
      <c r="U18" s="95" t="s">
        <v>89</v>
      </c>
      <c r="V18" s="95" t="s">
        <v>90</v>
      </c>
      <c r="W18" s="95" t="s">
        <v>91</v>
      </c>
      <c r="X18" s="95" t="s">
        <v>92</v>
      </c>
    </row>
    <row r="19" spans="2:66" ht="24" customHeight="1" x14ac:dyDescent="0.3">
      <c r="B19" s="964" t="s">
        <v>33</v>
      </c>
      <c r="C19" s="962" t="s">
        <v>102</v>
      </c>
      <c r="D19" s="962" t="s">
        <v>106</v>
      </c>
      <c r="E19" s="958" t="s">
        <v>146</v>
      </c>
      <c r="F19" s="958" t="s">
        <v>171</v>
      </c>
      <c r="G19" s="930" t="s">
        <v>652</v>
      </c>
      <c r="H19" s="27" t="s">
        <v>44</v>
      </c>
      <c r="I19" s="27"/>
      <c r="J19" s="27"/>
      <c r="K19" s="27"/>
      <c r="L19" s="27"/>
      <c r="M19" s="400">
        <v>38</v>
      </c>
      <c r="N19" s="400">
        <v>38</v>
      </c>
      <c r="O19" s="400">
        <v>38</v>
      </c>
      <c r="P19" s="400">
        <v>38</v>
      </c>
      <c r="Q19" s="400">
        <f>IF(Q$16&gt;$F$15,"",38)</f>
        <v>38</v>
      </c>
      <c r="R19" s="400">
        <f t="shared" ref="R19:X19" si="10">IF(R$16&gt;$F$15,"",38)</f>
        <v>38</v>
      </c>
      <c r="S19" s="400">
        <f t="shared" si="10"/>
        <v>38</v>
      </c>
      <c r="T19" s="400">
        <f t="shared" si="10"/>
        <v>38</v>
      </c>
      <c r="U19" s="400">
        <f t="shared" si="10"/>
        <v>38</v>
      </c>
      <c r="V19" s="400" t="str">
        <f t="shared" si="10"/>
        <v/>
      </c>
      <c r="W19" s="400" t="str">
        <f t="shared" si="10"/>
        <v/>
      </c>
      <c r="X19" s="400" t="str">
        <f t="shared" si="10"/>
        <v/>
      </c>
    </row>
    <row r="20" spans="2:66" ht="24" customHeight="1" x14ac:dyDescent="0.3">
      <c r="B20" s="965"/>
      <c r="C20" s="963"/>
      <c r="D20" s="963"/>
      <c r="E20" s="959"/>
      <c r="F20" s="959"/>
      <c r="G20" s="919"/>
      <c r="H20" s="33" t="s">
        <v>45</v>
      </c>
      <c r="I20" s="33"/>
      <c r="J20" s="33"/>
      <c r="K20" s="33"/>
      <c r="L20" s="33"/>
      <c r="M20" s="399">
        <v>37.121231073903267</v>
      </c>
      <c r="N20" s="399">
        <v>45.278179978624536</v>
      </c>
      <c r="O20" s="399">
        <v>32.625551713706834</v>
      </c>
      <c r="P20" s="399">
        <v>44.16261012834255</v>
      </c>
      <c r="Q20" s="399">
        <v>30.2253041986475</v>
      </c>
      <c r="R20" s="399">
        <v>28</v>
      </c>
      <c r="S20" s="399">
        <v>37.700110088290351</v>
      </c>
      <c r="T20" s="399">
        <v>35.516184048019241</v>
      </c>
      <c r="U20" s="399">
        <v>34.65</v>
      </c>
      <c r="V20" s="399"/>
      <c r="W20" s="399"/>
      <c r="X20" s="399"/>
      <c r="Y20" s="117"/>
      <c r="Z20" s="117"/>
      <c r="AA20" s="117"/>
      <c r="AB20" s="117"/>
      <c r="AC20" s="117"/>
      <c r="AD20" s="117"/>
      <c r="AE20" s="117"/>
      <c r="AF20" s="117"/>
      <c r="AG20" s="117"/>
      <c r="AH20" s="117"/>
      <c r="AI20" s="117"/>
      <c r="AJ20" s="117"/>
      <c r="AK20" s="117"/>
      <c r="AL20" s="117"/>
      <c r="AM20" s="117"/>
      <c r="AN20" s="117"/>
      <c r="AO20" s="117"/>
      <c r="AP20" s="117"/>
      <c r="AQ20" s="117"/>
      <c r="AR20" s="117"/>
      <c r="AS20" s="117"/>
      <c r="AT20" s="117"/>
      <c r="AU20" s="117"/>
      <c r="AV20" s="117"/>
      <c r="AW20" s="117"/>
      <c r="AX20" s="117"/>
      <c r="AY20" s="117"/>
      <c r="AZ20" s="117"/>
      <c r="BA20" s="117"/>
      <c r="BB20" s="117"/>
      <c r="BC20" s="117"/>
      <c r="BD20" s="117"/>
      <c r="BE20" s="117"/>
      <c r="BF20" s="117"/>
      <c r="BG20" s="117"/>
      <c r="BH20" s="117"/>
      <c r="BI20" s="117"/>
      <c r="BJ20" s="117"/>
      <c r="BK20" s="117"/>
      <c r="BL20" s="117"/>
      <c r="BM20" s="117"/>
    </row>
    <row r="21" spans="2:66" ht="24" customHeight="1" x14ac:dyDescent="0.3">
      <c r="B21" s="966"/>
      <c r="C21" s="944"/>
      <c r="D21" s="944"/>
      <c r="E21" s="922"/>
      <c r="F21" s="922"/>
      <c r="G21" s="919"/>
      <c r="H21" s="38" t="s">
        <v>46</v>
      </c>
      <c r="I21" s="38"/>
      <c r="J21" s="38"/>
      <c r="K21" s="38"/>
      <c r="L21" s="38"/>
      <c r="M21" s="41" t="str">
        <f>IF(M$16&gt;$F$15,"",IF(M20="","OD",IF(M20="Blank","Blank",IF(M20="TBC","TBC",IF(M20="Undefined","Undefined",IF(M20="Missed","Missed",IF(M20="OD","OD",IF(M$4="OD","OD",IF((M20-M19)&lt;=0,"G",IF((M20-(M19/0.95))&lt;=0,"A","R"))))))))))</f>
        <v>G</v>
      </c>
      <c r="N21" s="41" t="str">
        <f t="shared" ref="N21:P21" si="11">IF(N$16&gt;$F$15,"",IF(N20="","OD",IF(N20="Blank","Blank",IF(N20="TBC","TBC",IF(N20="Undefined","Undefined",IF(N20="Missed","Missed",IF(N20="OD","OD",IF(N$4="OD","OD",IF((N20-N19)&lt;=0,"G",IF((N20-(N19/0.95))&lt;=0,"A","R"))))))))))</f>
        <v>R</v>
      </c>
      <c r="O21" s="41" t="str">
        <f t="shared" si="11"/>
        <v>G</v>
      </c>
      <c r="P21" s="41" t="str">
        <f t="shared" si="11"/>
        <v>R</v>
      </c>
      <c r="Q21" s="41" t="str">
        <f>IF(Q$16&gt;$F$15,"",IF(Q20="","OD",IF(Q20="Blank","Blank",IF(Q20="TBC","TBC",IF(Q20="Undefined","Undefined",IF(Q20="Missed","Missed",IF(Q20="OD","OD",IF(Q$4="OD","OD",IF((Q20-Q19)&lt;=0,"G",IF((Q20-(Q19/0.95))&lt;=0,"A","R"))))))))))</f>
        <v>G</v>
      </c>
      <c r="R21" s="41" t="str">
        <f t="shared" ref="R21:X21" si="12">IF(R$16&gt;$F$15,"",IF(R20="","OD",IF(R20="Blank","Blank",IF(R20="TBC","TBC",IF(R20="Undefined","Undefined",IF(R20="Missed","Missed",IF(R20="OD","OD",IF(R$4="OD","OD",IF((R20-R19)&lt;=0,"G",IF((R20-(R19/0.95))&lt;=0,"A","R"))))))))))</f>
        <v>G</v>
      </c>
      <c r="S21" s="41" t="str">
        <f t="shared" si="12"/>
        <v>G</v>
      </c>
      <c r="T21" s="41" t="str">
        <f t="shared" si="12"/>
        <v>G</v>
      </c>
      <c r="U21" s="41" t="str">
        <f t="shared" si="12"/>
        <v>G</v>
      </c>
      <c r="V21" s="41" t="str">
        <f t="shared" si="12"/>
        <v/>
      </c>
      <c r="W21" s="41" t="str">
        <f t="shared" si="12"/>
        <v/>
      </c>
      <c r="X21" s="41" t="str">
        <f t="shared" si="12"/>
        <v/>
      </c>
    </row>
    <row r="22" spans="2:66" ht="24" customHeight="1" x14ac:dyDescent="0.3">
      <c r="B22" s="964" t="s">
        <v>32</v>
      </c>
      <c r="C22" s="962" t="s">
        <v>101</v>
      </c>
      <c r="D22" s="962" t="s">
        <v>509</v>
      </c>
      <c r="E22" s="958" t="s">
        <v>146</v>
      </c>
      <c r="F22" s="958" t="s">
        <v>171</v>
      </c>
      <c r="G22" s="930"/>
      <c r="H22" s="27" t="s">
        <v>44</v>
      </c>
      <c r="I22" s="27"/>
      <c r="J22" s="27"/>
      <c r="K22" s="27"/>
      <c r="L22" s="27"/>
      <c r="M22" s="400">
        <v>55</v>
      </c>
      <c r="N22" s="400">
        <v>55</v>
      </c>
      <c r="O22" s="400">
        <v>55</v>
      </c>
      <c r="P22" s="400">
        <v>55</v>
      </c>
      <c r="Q22" s="400">
        <f>IF(Q$16&gt;$F$15,"",55)</f>
        <v>55</v>
      </c>
      <c r="R22" s="400">
        <f t="shared" ref="R22:X22" si="13">IF(R$16&gt;$F$15,"",55)</f>
        <v>55</v>
      </c>
      <c r="S22" s="400">
        <f t="shared" si="13"/>
        <v>55</v>
      </c>
      <c r="T22" s="400">
        <f t="shared" si="13"/>
        <v>55</v>
      </c>
      <c r="U22" s="400">
        <f t="shared" si="13"/>
        <v>55</v>
      </c>
      <c r="V22" s="400" t="str">
        <f t="shared" si="13"/>
        <v/>
      </c>
      <c r="W22" s="400" t="str">
        <f t="shared" si="13"/>
        <v/>
      </c>
      <c r="X22" s="400" t="str">
        <f t="shared" si="13"/>
        <v/>
      </c>
    </row>
    <row r="23" spans="2:66" ht="24" customHeight="1" x14ac:dyDescent="0.3">
      <c r="B23" s="965"/>
      <c r="C23" s="963"/>
      <c r="D23" s="963"/>
      <c r="E23" s="959"/>
      <c r="F23" s="959"/>
      <c r="G23" s="919"/>
      <c r="H23" s="33" t="s">
        <v>45</v>
      </c>
      <c r="I23" s="33"/>
      <c r="J23" s="33"/>
      <c r="K23" s="33"/>
      <c r="L23" s="33"/>
      <c r="M23" s="306">
        <v>45.748857820267204</v>
      </c>
      <c r="N23" s="306">
        <v>46.35779272069005</v>
      </c>
      <c r="O23" s="306">
        <v>43.714967837717488</v>
      </c>
      <c r="P23" s="306">
        <v>41.394624503525549</v>
      </c>
      <c r="Q23" s="306">
        <v>43.75</v>
      </c>
      <c r="R23" s="306">
        <v>46.59</v>
      </c>
      <c r="S23" s="399">
        <v>40.46</v>
      </c>
      <c r="T23" s="399">
        <v>36.906610327201321</v>
      </c>
      <c r="U23" s="399">
        <v>32.51</v>
      </c>
      <c r="V23" s="399"/>
      <c r="W23" s="399"/>
      <c r="X23" s="399"/>
      <c r="Y23" s="117"/>
      <c r="Z23" s="117"/>
      <c r="AA23" s="117"/>
      <c r="AB23" s="117"/>
      <c r="AC23" s="117"/>
      <c r="AD23" s="117"/>
      <c r="AE23" s="117"/>
      <c r="AF23" s="117"/>
      <c r="AG23" s="117"/>
      <c r="AH23" s="117"/>
      <c r="AI23" s="117"/>
      <c r="AJ23" s="117"/>
      <c r="AK23" s="117"/>
      <c r="AL23" s="117"/>
      <c r="AM23" s="117"/>
      <c r="AN23" s="117"/>
      <c r="AO23" s="117"/>
      <c r="AP23" s="117"/>
      <c r="AQ23" s="117"/>
      <c r="AR23" s="117"/>
      <c r="AS23" s="117"/>
      <c r="AT23" s="117"/>
      <c r="AU23" s="117"/>
      <c r="AV23" s="117"/>
      <c r="AW23" s="117"/>
      <c r="AX23" s="117"/>
      <c r="AY23" s="117"/>
      <c r="AZ23" s="117"/>
      <c r="BA23" s="117"/>
      <c r="BB23" s="117"/>
      <c r="BC23" s="117"/>
      <c r="BD23" s="117"/>
      <c r="BE23" s="117"/>
      <c r="BF23" s="117"/>
      <c r="BG23" s="117"/>
      <c r="BH23" s="117"/>
      <c r="BI23" s="117"/>
      <c r="BJ23" s="117"/>
      <c r="BK23" s="117"/>
      <c r="BL23" s="117"/>
      <c r="BM23" s="117"/>
    </row>
    <row r="24" spans="2:66" ht="24" customHeight="1" x14ac:dyDescent="0.3">
      <c r="B24" s="966"/>
      <c r="C24" s="944"/>
      <c r="D24" s="944"/>
      <c r="E24" s="922"/>
      <c r="F24" s="922"/>
      <c r="G24" s="919"/>
      <c r="H24" s="38" t="s">
        <v>46</v>
      </c>
      <c r="I24" s="38"/>
      <c r="J24" s="38"/>
      <c r="K24" s="38"/>
      <c r="L24" s="38"/>
      <c r="M24" s="41" t="str">
        <f t="shared" ref="M24:P24" si="14">IF(M$6&gt;$F$15,"",IF(M23="","OD",IF(M23="Blank","Blank",IF(M23="TBC","TBC",IF(M23="Undefined","Undefined",IF(M23="Missed","Missed",IF(M23="OD","OD",IF(M$16="OD","OD",IF((M23-M22)&lt;=0,"G",IF((M23-(M22/0.95))&lt;=0,"A","R"))))))))))</f>
        <v>G</v>
      </c>
      <c r="N24" s="41" t="str">
        <f t="shared" si="14"/>
        <v>G</v>
      </c>
      <c r="O24" s="41" t="str">
        <f t="shared" si="14"/>
        <v>G</v>
      </c>
      <c r="P24" s="41" t="str">
        <f t="shared" si="14"/>
        <v>G</v>
      </c>
      <c r="Q24" s="41" t="str">
        <f>IF(Q$6&gt;$F$15,"",IF(Q23="","OD",IF(Q23="Blank","Blank",IF(Q23="TBC","TBC",IF(Q23="Undefined","Undefined",IF(Q23="Missed","Missed",IF(Q23="OD","OD",IF(Q$16="OD","OD",IF((Q23-Q22)&lt;=0,"G",IF((Q23-(Q22/0.95))&lt;=0,"A","R"))))))))))</f>
        <v>G</v>
      </c>
      <c r="R24" s="41" t="str">
        <f t="shared" ref="R24:X24" si="15">IF(R$6&gt;$F$15,"",IF(R23="","OD",IF(R23="Blank","Blank",IF(R23="TBC","TBC",IF(R23="Undefined","Undefined",IF(R23="Missed","Missed",IF(R23="OD","OD",IF(R$16="OD","OD",IF((R23-R22)&lt;=0,"G",IF((R23-(R22/0.95))&lt;=0,"A","R"))))))))))</f>
        <v>G</v>
      </c>
      <c r="S24" s="41" t="str">
        <f t="shared" si="15"/>
        <v>G</v>
      </c>
      <c r="T24" s="41" t="str">
        <f t="shared" si="15"/>
        <v>G</v>
      </c>
      <c r="U24" s="41" t="str">
        <f t="shared" si="15"/>
        <v>G</v>
      </c>
      <c r="V24" s="41" t="str">
        <f t="shared" si="15"/>
        <v/>
      </c>
      <c r="W24" s="41" t="str">
        <f t="shared" si="15"/>
        <v/>
      </c>
      <c r="X24" s="41" t="str">
        <f t="shared" si="15"/>
        <v/>
      </c>
    </row>
    <row r="25" spans="2:66" ht="24" customHeight="1" x14ac:dyDescent="0.3">
      <c r="B25" s="920" t="s">
        <v>31</v>
      </c>
      <c r="C25" s="945" t="s">
        <v>103</v>
      </c>
      <c r="D25" s="945" t="s">
        <v>481</v>
      </c>
      <c r="E25" s="945" t="s">
        <v>641</v>
      </c>
      <c r="F25" s="944" t="s">
        <v>154</v>
      </c>
      <c r="G25" s="940"/>
      <c r="H25" s="27" t="s">
        <v>44</v>
      </c>
      <c r="I25" s="27"/>
      <c r="J25" s="27"/>
      <c r="K25" s="27"/>
      <c r="L25" s="27"/>
      <c r="M25" s="400">
        <v>107.64848600790515</v>
      </c>
      <c r="N25" s="400">
        <v>113.11062039525692</v>
      </c>
      <c r="O25" s="400">
        <v>133.79235146245063</v>
      </c>
      <c r="P25" s="400">
        <v>127.11368758893282</v>
      </c>
      <c r="Q25" s="400">
        <v>130.90671525691701</v>
      </c>
      <c r="R25" s="400">
        <v>140.51775857707511</v>
      </c>
      <c r="S25" s="400">
        <v>151.818738972332</v>
      </c>
      <c r="T25" s="400">
        <v>152.22240015810277</v>
      </c>
      <c r="U25" s="400">
        <v>157.19999999999999</v>
      </c>
      <c r="V25" s="400"/>
      <c r="W25" s="400"/>
      <c r="X25" s="400"/>
      <c r="BN25" s="31"/>
    </row>
    <row r="26" spans="2:66" ht="24" customHeight="1" x14ac:dyDescent="0.3">
      <c r="B26" s="920"/>
      <c r="C26" s="945"/>
      <c r="D26" s="945"/>
      <c r="E26" s="945"/>
      <c r="F26" s="945"/>
      <c r="G26" s="940"/>
      <c r="H26" s="33" t="s">
        <v>45</v>
      </c>
      <c r="I26" s="33"/>
      <c r="J26" s="33"/>
      <c r="K26" s="33"/>
      <c r="L26" s="33"/>
      <c r="M26" s="399">
        <v>112.53889989389918</v>
      </c>
      <c r="N26" s="399">
        <v>112.66394848806365</v>
      </c>
      <c r="O26" s="399">
        <v>125.08746447058823</v>
      </c>
      <c r="P26" s="399">
        <v>110.99748918367348</v>
      </c>
      <c r="Q26" s="399">
        <v>133.4257975928297</v>
      </c>
      <c r="R26" s="399">
        <v>114.87345011553273</v>
      </c>
      <c r="S26" s="399">
        <v>119.62735775510204</v>
      </c>
      <c r="T26" s="399">
        <v>134.38181490494296</v>
      </c>
      <c r="U26" s="399">
        <v>145.30000000000001</v>
      </c>
      <c r="V26" s="399"/>
      <c r="W26" s="399"/>
      <c r="X26" s="399"/>
      <c r="Y26" s="117"/>
      <c r="Z26" s="117"/>
      <c r="AA26" s="117"/>
      <c r="AB26" s="117"/>
      <c r="AC26" s="117"/>
      <c r="AD26" s="117"/>
      <c r="AE26" s="117"/>
      <c r="AF26" s="117"/>
      <c r="AG26" s="117"/>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7"/>
      <c r="BD26" s="117"/>
      <c r="BE26" s="117"/>
      <c r="BF26" s="117"/>
      <c r="BG26" s="117"/>
      <c r="BH26" s="117"/>
      <c r="BI26" s="117"/>
      <c r="BJ26" s="117"/>
      <c r="BK26" s="117"/>
      <c r="BL26" s="117"/>
      <c r="BM26" s="117"/>
      <c r="BN26" s="37"/>
    </row>
    <row r="27" spans="2:66" ht="24" customHeight="1" x14ac:dyDescent="0.3">
      <c r="B27" s="920"/>
      <c r="C27" s="945"/>
      <c r="D27" s="945"/>
      <c r="E27" s="945"/>
      <c r="F27" s="945"/>
      <c r="G27" s="940"/>
      <c r="H27" s="38" t="s">
        <v>46</v>
      </c>
      <c r="I27" s="38" t="str">
        <f>IF(I26="Blank","Blank",IF(I26="TBC","TBC",IF(I$6&gt;$E$2,"",IF((I26-I25)&gt;=0,"G",IF((I26-(I25*0.95))&gt;=0,"A","R")))))</f>
        <v/>
      </c>
      <c r="J27" s="38" t="str">
        <f>IF(J26="Blank","Blank",IF(J26="TBC","TBC",IF(J$6&gt;$E$2,"",IF((J26-J25)&gt;=0,"G",IF((J26-(J25*0.95))&gt;=0,"A","R")))))</f>
        <v/>
      </c>
      <c r="K27" s="38" t="str">
        <f>IF(K26="Blank","Blank",IF(K26="TBC","TBC",IF(K$6&gt;$E$2,"",IF((K26-K25)&gt;=0,"G",IF((K26-(K25*0.95))&gt;=0,"A","R")))))</f>
        <v/>
      </c>
      <c r="L27" s="38" t="str">
        <f>IF(L26="Blank","Blank",IF(L26="TBC","TBC",IF(L$6&gt;$E$2,"",IF((L26-L25)&gt;=0,"G",IF((L26-(L25*0.95))&gt;=0,"A","R")))))</f>
        <v/>
      </c>
      <c r="M27" s="41" t="str">
        <f t="shared" ref="M27:P27" si="16">IF(M$6&gt;$F$15,"",IF(M26="","OD",IF(M26="Blank","Blank",IF(M26="TBC","TBC",IF(M26="Undefined","Undefined",IF(M26="Missed","Missed",IF(M26="OD","OD",IF(M$16="OD","OD",IF((M26-M25)&gt;=0,"G",IF((M26-(M25*0.95))&gt;=0,"A","R"))))))))))</f>
        <v>G</v>
      </c>
      <c r="N27" s="41" t="str">
        <f t="shared" si="16"/>
        <v>A</v>
      </c>
      <c r="O27" s="41" t="str">
        <f t="shared" si="16"/>
        <v>R</v>
      </c>
      <c r="P27" s="41" t="str">
        <f t="shared" si="16"/>
        <v>R</v>
      </c>
      <c r="Q27" s="41" t="str">
        <f>IF(Q$6&gt;$F$15,"",IF(Q26="","OD",IF(Q26="Blank","Blank",IF(Q26="TBC","TBC",IF(Q26="Undefined","Undefined",IF(Q26="Missed","Missed",IF(Q26="OD","OD",IF(Q$16="OD","OD",IF((Q26-Q25)&gt;=0,"G",IF((Q26-(Q25*0.95))&gt;=0,"A","R"))))))))))</f>
        <v>G</v>
      </c>
      <c r="R27" s="41" t="str">
        <f t="shared" ref="R27:X27" si="17">IF(R$6&gt;$F$15,"",IF(R26="","OD",IF(R26="Blank","Blank",IF(R26="TBC","TBC",IF(R26="Undefined","Undefined",IF(R26="Missed","Missed",IF(R26="OD","OD",IF(R$16="OD","OD",IF((R26-R25)&gt;=0,"G",IF((R26-(R25*0.95))&gt;=0,"A","R"))))))))))</f>
        <v>R</v>
      </c>
      <c r="S27" s="41" t="str">
        <f t="shared" si="17"/>
        <v>R</v>
      </c>
      <c r="T27" s="41" t="str">
        <f t="shared" si="17"/>
        <v>R</v>
      </c>
      <c r="U27" s="41" t="str">
        <f t="shared" si="17"/>
        <v>R</v>
      </c>
      <c r="V27" s="41" t="str">
        <f t="shared" si="17"/>
        <v/>
      </c>
      <c r="W27" s="41" t="str">
        <f t="shared" si="17"/>
        <v/>
      </c>
      <c r="X27" s="41" t="str">
        <f t="shared" si="17"/>
        <v/>
      </c>
      <c r="BN27" s="42"/>
    </row>
    <row r="29" spans="2:66" x14ac:dyDescent="0.3">
      <c r="Y29" s="117"/>
      <c r="Z29" s="117"/>
      <c r="AA29" s="117"/>
      <c r="AB29" s="117"/>
      <c r="AC29" s="117"/>
      <c r="AD29" s="117"/>
      <c r="AE29" s="117"/>
      <c r="AF29" s="117"/>
      <c r="AG29" s="117"/>
      <c r="AH29" s="117"/>
      <c r="AI29" s="117"/>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row>
    <row r="30" spans="2:66" ht="15.6" x14ac:dyDescent="0.3">
      <c r="B30" s="1" t="s">
        <v>0</v>
      </c>
      <c r="C30" s="45" t="s">
        <v>1</v>
      </c>
    </row>
    <row r="31" spans="2:66" ht="15.6" x14ac:dyDescent="0.3">
      <c r="B31" s="4" t="s">
        <v>2</v>
      </c>
      <c r="C31" s="45" t="s">
        <v>3</v>
      </c>
    </row>
    <row r="32" spans="2:66" ht="15.6" x14ac:dyDescent="0.3">
      <c r="B32" s="5" t="s">
        <v>4</v>
      </c>
      <c r="C32" s="45" t="s">
        <v>5</v>
      </c>
    </row>
    <row r="33" spans="2:3" x14ac:dyDescent="0.3">
      <c r="B33" s="340" t="s">
        <v>35</v>
      </c>
      <c r="C33" s="13" t="s">
        <v>376</v>
      </c>
    </row>
    <row r="34" spans="2:3" x14ac:dyDescent="0.3">
      <c r="B34" s="341" t="s">
        <v>122</v>
      </c>
      <c r="C34" s="13" t="s">
        <v>377</v>
      </c>
    </row>
  </sheetData>
  <mergeCells count="28">
    <mergeCell ref="G25:G27"/>
    <mergeCell ref="G6:G7"/>
    <mergeCell ref="B8:B10"/>
    <mergeCell ref="C8:C10"/>
    <mergeCell ref="D8:D10"/>
    <mergeCell ref="G8:G10"/>
    <mergeCell ref="E8:E10"/>
    <mergeCell ref="F8:F10"/>
    <mergeCell ref="B19:B21"/>
    <mergeCell ref="B22:B24"/>
    <mergeCell ref="E25:E27"/>
    <mergeCell ref="F25:F27"/>
    <mergeCell ref="C6:D6"/>
    <mergeCell ref="B25:B27"/>
    <mergeCell ref="C25:C27"/>
    <mergeCell ref="D25:D27"/>
    <mergeCell ref="C22:C24"/>
    <mergeCell ref="D22:D24"/>
    <mergeCell ref="E22:E24"/>
    <mergeCell ref="F22:F24"/>
    <mergeCell ref="G22:G24"/>
    <mergeCell ref="C17:D17"/>
    <mergeCell ref="G17:G18"/>
    <mergeCell ref="C19:C21"/>
    <mergeCell ref="D19:D21"/>
    <mergeCell ref="E19:E21"/>
    <mergeCell ref="F19:F21"/>
    <mergeCell ref="G19:G21"/>
  </mergeCells>
  <conditionalFormatting sqref="B34">
    <cfRule type="cellIs" dxfId="84" priority="59" operator="equal">
      <formula>"TBC"</formula>
    </cfRule>
    <cfRule type="cellIs" dxfId="83" priority="60" operator="equal">
      <formula>"OD"</formula>
    </cfRule>
    <cfRule type="cellIs" dxfId="82" priority="61" operator="equal">
      <formula>"G"</formula>
    </cfRule>
    <cfRule type="cellIs" dxfId="81" priority="62" operator="equal">
      <formula>"A"</formula>
    </cfRule>
    <cfRule type="cellIs" dxfId="80" priority="63" operator="equal">
      <formula>"R"</formula>
    </cfRule>
  </conditionalFormatting>
  <conditionalFormatting sqref="I10:BM10">
    <cfRule type="cellIs" dxfId="79" priority="1" operator="equal">
      <formula>"OD"</formula>
    </cfRule>
    <cfRule type="cellIs" dxfId="78" priority="2" operator="equal">
      <formula>"TBC"</formula>
    </cfRule>
    <cfRule type="cellIs" dxfId="77" priority="3" operator="equal">
      <formula>"G"</formula>
    </cfRule>
    <cfRule type="cellIs" dxfId="76" priority="4" operator="equal">
      <formula>"A"</formula>
    </cfRule>
    <cfRule type="cellIs" dxfId="75" priority="5" operator="equal">
      <formula>"R"</formula>
    </cfRule>
  </conditionalFormatting>
  <conditionalFormatting sqref="M21:X21">
    <cfRule type="cellIs" dxfId="74" priority="31" operator="equal">
      <formula>"TBC"</formula>
    </cfRule>
    <cfRule type="cellIs" dxfId="73" priority="32" operator="equal">
      <formula>"OD"</formula>
    </cfRule>
    <cfRule type="cellIs" dxfId="72" priority="33" operator="equal">
      <formula>"G"</formula>
    </cfRule>
    <cfRule type="cellIs" dxfId="71" priority="34" operator="equal">
      <formula>"A"</formula>
    </cfRule>
    <cfRule type="cellIs" dxfId="70" priority="35" operator="equal">
      <formula>"R"</formula>
    </cfRule>
  </conditionalFormatting>
  <conditionalFormatting sqref="M24:X24">
    <cfRule type="cellIs" dxfId="69" priority="11" operator="equal">
      <formula>"TBC"</formula>
    </cfRule>
    <cfRule type="cellIs" dxfId="68" priority="12" operator="equal">
      <formula>"OD"</formula>
    </cfRule>
    <cfRule type="cellIs" dxfId="67" priority="13" operator="equal">
      <formula>"G"</formula>
    </cfRule>
    <cfRule type="cellIs" dxfId="66" priority="14" operator="equal">
      <formula>"A"</formula>
    </cfRule>
    <cfRule type="cellIs" dxfId="65" priority="15" operator="equal">
      <formula>"R"</formula>
    </cfRule>
  </conditionalFormatting>
  <conditionalFormatting sqref="M27:X27">
    <cfRule type="cellIs" dxfId="64" priority="16" operator="equal">
      <formula>"TBC"</formula>
    </cfRule>
    <cfRule type="cellIs" dxfId="63" priority="17" operator="equal">
      <formula>"OD"</formula>
    </cfRule>
    <cfRule type="cellIs" dxfId="62" priority="18" operator="equal">
      <formula>"G"</formula>
    </cfRule>
    <cfRule type="cellIs" dxfId="61" priority="19" operator="equal">
      <formula>"A"</formula>
    </cfRule>
    <cfRule type="cellIs" dxfId="60" priority="20" operator="equal">
      <formula>"R"</formula>
    </cfRule>
  </conditionalFormatting>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02D4-B013-437F-A032-FF5FFA172EAF}">
  <sheetPr>
    <tabColor rgb="FF00B050"/>
  </sheetPr>
  <dimension ref="B1:BN42"/>
  <sheetViews>
    <sheetView zoomScale="80" zoomScaleNormal="80" workbookViewId="0">
      <pane xSplit="6" ySplit="8" topLeftCell="N18" activePane="bottomRight" state="frozen"/>
      <selection pane="topRight" activeCell="G1" sqref="G1"/>
      <selection pane="bottomLeft" activeCell="A9" sqref="A9"/>
      <selection pane="bottomRight" activeCell="T39" sqref="T39"/>
    </sheetView>
  </sheetViews>
  <sheetFormatPr defaultColWidth="9.33203125" defaultRowHeight="14.4" x14ac:dyDescent="0.3"/>
  <cols>
    <col min="1" max="1" width="3" style="2" customWidth="1"/>
    <col min="2" max="2" width="18" style="2" customWidth="1"/>
    <col min="3" max="3" width="26" style="13" customWidth="1"/>
    <col min="4" max="4" width="29.6640625" style="2" customWidth="1"/>
    <col min="5" max="6" width="12.5546875" style="2" customWidth="1"/>
    <col min="7" max="7" width="29.6640625" style="2" customWidth="1"/>
    <col min="8" max="8" width="11.5546875" style="2" customWidth="1"/>
    <col min="9" max="9" width="12.33203125" style="2" customWidth="1"/>
    <col min="10" max="20" width="11.5546875" style="2" customWidth="1"/>
    <col min="21" max="21" width="85.6640625" style="13" customWidth="1"/>
    <col min="22" max="16384" width="9.33203125" style="2"/>
  </cols>
  <sheetData>
    <row r="1" spans="2:66" ht="18.600000000000001" thickBot="1" x14ac:dyDescent="0.35">
      <c r="B1" s="14" t="s">
        <v>121</v>
      </c>
      <c r="C1" s="10" t="s">
        <v>28</v>
      </c>
      <c r="D1" s="119" t="s">
        <v>165</v>
      </c>
      <c r="E1" s="310" t="s">
        <v>88</v>
      </c>
      <c r="F1" s="310">
        <v>9</v>
      </c>
      <c r="L1" s="2" t="s">
        <v>537</v>
      </c>
    </row>
    <row r="2" spans="2:66" ht="15" thickBot="1" x14ac:dyDescent="0.35"/>
    <row r="3" spans="2:66" ht="15" thickBot="1" x14ac:dyDescent="0.35">
      <c r="D3" s="119" t="s">
        <v>375</v>
      </c>
      <c r="E3" s="179" t="str">
        <f>+'KPI Linked Table for Report'!A2</f>
        <v>Sep</v>
      </c>
      <c r="F3" s="179">
        <f>+'KPI Linked Table for Report'!C2</f>
        <v>9</v>
      </c>
    </row>
    <row r="4" spans="2:66" ht="15.6" customHeight="1" thickBot="1" x14ac:dyDescent="0.35">
      <c r="B4" s="346" t="str">
        <f>IF(E2&lt;(E3),"Overdue","Current")</f>
        <v>Overdue</v>
      </c>
      <c r="C4" s="2"/>
      <c r="D4" s="120" t="s">
        <v>378</v>
      </c>
      <c r="E4" s="343" t="s">
        <v>177</v>
      </c>
      <c r="F4"/>
      <c r="G4"/>
      <c r="I4" s="117" t="str">
        <f t="shared" ref="I4:K4" si="0">IF($F$3&gt;=I6,"Calc",IF(I6&gt;$F$1,IF(I10&gt;0,"Not Calc yet","Future")))</f>
        <v>Calc</v>
      </c>
      <c r="J4" s="117" t="str">
        <f t="shared" si="0"/>
        <v>Calc</v>
      </c>
      <c r="K4" s="117" t="str">
        <f t="shared" si="0"/>
        <v>Calc</v>
      </c>
      <c r="L4" s="117" t="str">
        <f>IF($F$3&gt;=L6,"Calc",IF(L6&gt;$F$1,IF(L10&gt;0,"Not Calc yet","Future")))</f>
        <v>Calc</v>
      </c>
      <c r="M4" s="117" t="str">
        <f t="shared" ref="M4:T4" si="1">IF($F$3&gt;=M6,"Calc",IF(M6&gt;$F$1,IF(M10&gt;0,"Not Calc yet","Future")))</f>
        <v>Calc</v>
      </c>
      <c r="N4" s="117" t="str">
        <f t="shared" si="1"/>
        <v>Calc</v>
      </c>
      <c r="O4" s="117" t="str">
        <f t="shared" si="1"/>
        <v>Calc</v>
      </c>
      <c r="P4" s="117" t="str">
        <f t="shared" si="1"/>
        <v>Calc</v>
      </c>
      <c r="Q4" s="117" t="str">
        <f t="shared" si="1"/>
        <v>Calc</v>
      </c>
      <c r="R4" s="117" t="str">
        <f t="shared" si="1"/>
        <v>Future</v>
      </c>
      <c r="S4" s="117" t="str">
        <f t="shared" si="1"/>
        <v>Future</v>
      </c>
      <c r="T4" s="117" t="str">
        <f t="shared" si="1"/>
        <v>Future</v>
      </c>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202"/>
    </row>
    <row r="6" spans="2:66" x14ac:dyDescent="0.3">
      <c r="H6" s="2" t="s">
        <v>382</v>
      </c>
      <c r="I6" s="2">
        <v>1</v>
      </c>
      <c r="J6" s="2">
        <v>2</v>
      </c>
      <c r="K6" s="2">
        <v>3</v>
      </c>
      <c r="L6" s="2">
        <v>4</v>
      </c>
      <c r="M6" s="2">
        <v>5</v>
      </c>
      <c r="N6" s="2">
        <v>6</v>
      </c>
      <c r="O6" s="2">
        <v>7</v>
      </c>
      <c r="P6" s="2">
        <v>8</v>
      </c>
      <c r="Q6" s="2">
        <v>9</v>
      </c>
      <c r="R6" s="2">
        <v>10</v>
      </c>
      <c r="S6" s="2">
        <v>11</v>
      </c>
      <c r="T6" s="2">
        <v>12</v>
      </c>
    </row>
    <row r="7" spans="2:66" ht="24" customHeight="1" x14ac:dyDescent="0.3">
      <c r="B7" s="14" t="s">
        <v>79</v>
      </c>
      <c r="C7" s="926" t="s">
        <v>16</v>
      </c>
      <c r="D7" s="927"/>
      <c r="E7" s="106"/>
      <c r="F7" s="106"/>
      <c r="G7" s="928" t="s">
        <v>37</v>
      </c>
      <c r="H7" s="94"/>
      <c r="I7" s="94"/>
      <c r="J7" s="94"/>
      <c r="K7" s="94"/>
      <c r="L7" s="94"/>
      <c r="M7" s="94"/>
      <c r="N7" s="94"/>
      <c r="O7" s="94"/>
      <c r="P7" s="94"/>
      <c r="Q7" s="94"/>
      <c r="R7" s="94"/>
      <c r="S7" s="94"/>
      <c r="T7" s="94"/>
      <c r="U7" s="969" t="s">
        <v>80</v>
      </c>
    </row>
    <row r="8" spans="2:66" ht="18" x14ac:dyDescent="0.3">
      <c r="B8" s="14" t="s">
        <v>38</v>
      </c>
      <c r="C8" s="21" t="s">
        <v>39</v>
      </c>
      <c r="D8" s="21" t="s">
        <v>40</v>
      </c>
      <c r="E8" s="21" t="s">
        <v>140</v>
      </c>
      <c r="F8" s="21" t="s">
        <v>159</v>
      </c>
      <c r="G8" s="929"/>
      <c r="H8" s="95"/>
      <c r="I8" s="95" t="s">
        <v>81</v>
      </c>
      <c r="J8" s="95" t="s">
        <v>82</v>
      </c>
      <c r="K8" s="95" t="s">
        <v>83</v>
      </c>
      <c r="L8" s="95" t="s">
        <v>84</v>
      </c>
      <c r="M8" s="95" t="s">
        <v>85</v>
      </c>
      <c r="N8" s="95" t="s">
        <v>86</v>
      </c>
      <c r="O8" s="95" t="s">
        <v>87</v>
      </c>
      <c r="P8" s="95" t="s">
        <v>88</v>
      </c>
      <c r="Q8" s="95" t="s">
        <v>89</v>
      </c>
      <c r="R8" s="95" t="s">
        <v>90</v>
      </c>
      <c r="S8" s="95" t="s">
        <v>91</v>
      </c>
      <c r="T8" s="95" t="s">
        <v>92</v>
      </c>
      <c r="U8" s="970"/>
    </row>
    <row r="9" spans="2:66" ht="24" customHeight="1" x14ac:dyDescent="0.3">
      <c r="B9" s="920" t="s">
        <v>258</v>
      </c>
      <c r="C9" s="922" t="s">
        <v>319</v>
      </c>
      <c r="D9" s="922" t="s">
        <v>260</v>
      </c>
      <c r="E9" s="922" t="s">
        <v>58</v>
      </c>
      <c r="F9" s="922" t="s">
        <v>171</v>
      </c>
      <c r="G9" s="930" t="s">
        <v>321</v>
      </c>
      <c r="H9" s="27" t="s">
        <v>44</v>
      </c>
      <c r="I9" s="96">
        <f>12%/12*I6</f>
        <v>0.01</v>
      </c>
      <c r="J9" s="96">
        <f t="shared" ref="J9:T9" si="2">12%/12*J6</f>
        <v>0.02</v>
      </c>
      <c r="K9" s="96">
        <f t="shared" si="2"/>
        <v>0.03</v>
      </c>
      <c r="L9" s="96">
        <f t="shared" si="2"/>
        <v>0.04</v>
      </c>
      <c r="M9" s="96">
        <f t="shared" si="2"/>
        <v>0.05</v>
      </c>
      <c r="N9" s="96">
        <f t="shared" si="2"/>
        <v>0.06</v>
      </c>
      <c r="O9" s="96">
        <f t="shared" si="2"/>
        <v>7.0000000000000007E-2</v>
      </c>
      <c r="P9" s="96">
        <f t="shared" si="2"/>
        <v>0.08</v>
      </c>
      <c r="Q9" s="96">
        <f t="shared" si="2"/>
        <v>0.09</v>
      </c>
      <c r="R9" s="96">
        <f t="shared" si="2"/>
        <v>0.1</v>
      </c>
      <c r="S9" s="96">
        <f t="shared" si="2"/>
        <v>0.11</v>
      </c>
      <c r="T9" s="96">
        <f t="shared" si="2"/>
        <v>0.12</v>
      </c>
      <c r="U9" s="967" t="s">
        <v>93</v>
      </c>
    </row>
    <row r="10" spans="2:66" ht="24" customHeight="1" x14ac:dyDescent="0.3">
      <c r="B10" s="920"/>
      <c r="C10" s="921"/>
      <c r="D10" s="921"/>
      <c r="E10" s="921"/>
      <c r="F10" s="921"/>
      <c r="G10" s="919"/>
      <c r="H10" s="33" t="s">
        <v>45</v>
      </c>
      <c r="I10" s="305">
        <v>4.4000000000000003E-3</v>
      </c>
      <c r="J10" s="305">
        <v>8.9999999999999993E-3</v>
      </c>
      <c r="K10" s="305">
        <v>1.46E-2</v>
      </c>
      <c r="L10" s="305">
        <v>2.58E-2</v>
      </c>
      <c r="M10" s="305">
        <v>0.03</v>
      </c>
      <c r="N10" s="305">
        <v>3.1399999999999997E-2</v>
      </c>
      <c r="O10" s="305">
        <v>4.6100000000000002E-2</v>
      </c>
      <c r="P10" s="305">
        <v>5.2499999999999998E-2</v>
      </c>
      <c r="Q10" s="305">
        <v>5.8700000000000002E-2</v>
      </c>
      <c r="R10" s="305"/>
      <c r="S10" s="305"/>
      <c r="T10" s="305"/>
      <c r="U10" s="968"/>
    </row>
    <row r="11" spans="2:66" ht="24" customHeight="1" x14ac:dyDescent="0.3">
      <c r="B11" s="920"/>
      <c r="C11" s="921"/>
      <c r="D11" s="921"/>
      <c r="E11" s="921"/>
      <c r="F11" s="921"/>
      <c r="G11" s="919"/>
      <c r="H11" s="38" t="s">
        <v>46</v>
      </c>
      <c r="I11" s="41" t="str">
        <f>IF(I$6&gt;$F$3,"",IF(I10="","OD",IF(I10="Blank","Blank",IF(I10="TBC","TBC",IF(I10="Undefined","Undefined",IF(I10="Missed","Missed",IF(I10="OD","OD",IF(I$4="OD","OD",IF((I10-I9)&lt;=0,"G",IF((I10-(I9/0.95))&lt;=0,"A","R"))))))))))</f>
        <v>G</v>
      </c>
      <c r="J11" s="41" t="str">
        <f t="shared" ref="J11:T11" si="3">IF(J$6&gt;$F$3,"",IF(J10="","OD",IF(J10="Blank","Blank",IF(J10="TBC","TBC",IF(J10="Undefined","Undefined",IF(J10="Missed","Missed",IF(J10="OD","OD",IF(J$4="OD","OD",IF((J10-J9)&lt;=0,"G",IF((J10-(J9/0.95))&lt;=0,"A","R"))))))))))</f>
        <v>G</v>
      </c>
      <c r="K11" s="41" t="str">
        <f t="shared" si="3"/>
        <v>G</v>
      </c>
      <c r="L11" s="41" t="str">
        <f t="shared" si="3"/>
        <v>G</v>
      </c>
      <c r="M11" s="41" t="str">
        <f t="shared" si="3"/>
        <v>G</v>
      </c>
      <c r="N11" s="41" t="str">
        <f t="shared" si="3"/>
        <v>G</v>
      </c>
      <c r="O11" s="41" t="str">
        <f t="shared" si="3"/>
        <v>G</v>
      </c>
      <c r="P11" s="41" t="str">
        <f t="shared" si="3"/>
        <v>G</v>
      </c>
      <c r="Q11" s="41" t="str">
        <f t="shared" si="3"/>
        <v>G</v>
      </c>
      <c r="R11" s="41" t="str">
        <f t="shared" si="3"/>
        <v/>
      </c>
      <c r="S11" s="41" t="str">
        <f t="shared" si="3"/>
        <v/>
      </c>
      <c r="T11" s="41" t="str">
        <f t="shared" si="3"/>
        <v/>
      </c>
      <c r="U11" s="107"/>
    </row>
    <row r="12" spans="2:66" ht="24" customHeight="1" x14ac:dyDescent="0.3">
      <c r="B12" s="920" t="s">
        <v>259</v>
      </c>
      <c r="C12" s="922" t="s">
        <v>320</v>
      </c>
      <c r="D12" s="922" t="s">
        <v>261</v>
      </c>
      <c r="E12" s="922" t="s">
        <v>58</v>
      </c>
      <c r="F12" s="922" t="s">
        <v>171</v>
      </c>
      <c r="G12" s="930" t="s">
        <v>374</v>
      </c>
      <c r="H12" s="27" t="s">
        <v>44</v>
      </c>
      <c r="I12" s="304">
        <f>3%</f>
        <v>0.03</v>
      </c>
      <c r="J12" s="304">
        <f>3%</f>
        <v>0.03</v>
      </c>
      <c r="K12" s="304">
        <f>3%</f>
        <v>0.03</v>
      </c>
      <c r="L12" s="304">
        <f>3%</f>
        <v>0.03</v>
      </c>
      <c r="M12" s="304">
        <f>3%</f>
        <v>0.03</v>
      </c>
      <c r="N12" s="304">
        <f>3%</f>
        <v>0.03</v>
      </c>
      <c r="O12" s="304">
        <f>3%</f>
        <v>0.03</v>
      </c>
      <c r="P12" s="304">
        <f>3%</f>
        <v>0.03</v>
      </c>
      <c r="Q12" s="304">
        <f>3%</f>
        <v>0.03</v>
      </c>
      <c r="R12" s="304">
        <f>3%</f>
        <v>0.03</v>
      </c>
      <c r="S12" s="304">
        <f>3%</f>
        <v>0.03</v>
      </c>
      <c r="T12" s="304">
        <f>3%</f>
        <v>0.03</v>
      </c>
      <c r="U12" s="967"/>
    </row>
    <row r="13" spans="2:66" ht="24" customHeight="1" x14ac:dyDescent="0.3">
      <c r="B13" s="920"/>
      <c r="C13" s="921"/>
      <c r="D13" s="921"/>
      <c r="E13" s="921"/>
      <c r="F13" s="921"/>
      <c r="G13" s="919"/>
      <c r="H13" s="33" t="s">
        <v>45</v>
      </c>
      <c r="I13" s="305">
        <v>2.4799999999999999E-2</v>
      </c>
      <c r="J13" s="305">
        <v>2.7300000000000001E-2</v>
      </c>
      <c r="K13" s="305">
        <v>2.75E-2</v>
      </c>
      <c r="L13" s="305">
        <v>2.5399999999999999E-2</v>
      </c>
      <c r="M13" s="305">
        <v>2.3599999999999999E-2</v>
      </c>
      <c r="N13" s="305">
        <v>2.0799999999999999E-2</v>
      </c>
      <c r="O13" s="305">
        <v>2.18E-2</v>
      </c>
      <c r="P13" s="305">
        <v>2.1999999999999999E-2</v>
      </c>
      <c r="Q13" s="305">
        <v>2.3800000000000002E-2</v>
      </c>
      <c r="R13" s="305"/>
      <c r="S13" s="305"/>
      <c r="T13" s="305"/>
      <c r="U13" s="968"/>
    </row>
    <row r="14" spans="2:66" ht="24" customHeight="1" x14ac:dyDescent="0.3">
      <c r="B14" s="920"/>
      <c r="C14" s="921"/>
      <c r="D14" s="921"/>
      <c r="E14" s="921"/>
      <c r="F14" s="921"/>
      <c r="G14" s="919"/>
      <c r="H14" s="38" t="s">
        <v>46</v>
      </c>
      <c r="I14" s="41" t="str">
        <f>IF(I$6&gt;$F$3,"",IF(I13="","OD",IF(I13="Blank","Blank",IF(I13="TBC","TBC",IF(I13="Undefined","Undefined",IF(I13="Missed","Missed",IF(I13="OD","OD",IF(I$4="OD","OD",IF((I13-I12)&lt;=0,"G",IF((I13-(I12/0.95))&lt;=0,"A","R"))))))))))</f>
        <v>G</v>
      </c>
      <c r="J14" s="41" t="str">
        <f t="shared" ref="J14" si="4">IF(J$6&gt;$F$3,"",IF(J13="","OD",IF(J13="Blank","Blank",IF(J13="TBC","TBC",IF(J13="Undefined","Undefined",IF(J13="Missed","Missed",IF(J13="OD","OD",IF(J$4="OD","OD",IF((J13-J12)&lt;=0,"G",IF((J13-(J12/0.95))&lt;=0,"A","R"))))))))))</f>
        <v>G</v>
      </c>
      <c r="K14" s="41" t="str">
        <f t="shared" ref="K14" si="5">IF(K$6&gt;$F$3,"",IF(K13="","OD",IF(K13="Blank","Blank",IF(K13="TBC","TBC",IF(K13="Undefined","Undefined",IF(K13="Missed","Missed",IF(K13="OD","OD",IF(K$4="OD","OD",IF((K13-K12)&lt;=0,"G",IF((K13-(K12/0.95))&lt;=0,"A","R"))))))))))</f>
        <v>G</v>
      </c>
      <c r="L14" s="41" t="str">
        <f t="shared" ref="L14" si="6">IF(L$6&gt;$F$3,"",IF(L13="","OD",IF(L13="Blank","Blank",IF(L13="TBC","TBC",IF(L13="Undefined","Undefined",IF(L13="Missed","Missed",IF(L13="OD","OD",IF(L$4="OD","OD",IF((L13-L12)&lt;=0,"G",IF((L13-(L12/0.95))&lt;=0,"A","R"))))))))))</f>
        <v>G</v>
      </c>
      <c r="M14" s="41" t="str">
        <f t="shared" ref="M14" si="7">IF(M$6&gt;$F$3,"",IF(M13="","OD",IF(M13="Blank","Blank",IF(M13="TBC","TBC",IF(M13="Undefined","Undefined",IF(M13="Missed","Missed",IF(M13="OD","OD",IF(M$4="OD","OD",IF((M13-M12)&lt;=0,"G",IF((M13-(M12/0.95))&lt;=0,"A","R"))))))))))</f>
        <v>G</v>
      </c>
      <c r="N14" s="41" t="str">
        <f t="shared" ref="N14" si="8">IF(N$6&gt;$F$3,"",IF(N13="","OD",IF(N13="Blank","Blank",IF(N13="TBC","TBC",IF(N13="Undefined","Undefined",IF(N13="Missed","Missed",IF(N13="OD","OD",IF(N$4="OD","OD",IF((N13-N12)&lt;=0,"G",IF((N13-(N12/0.95))&lt;=0,"A","R"))))))))))</f>
        <v>G</v>
      </c>
      <c r="O14" s="41" t="str">
        <f t="shared" ref="O14" si="9">IF(O$6&gt;$F$3,"",IF(O13="","OD",IF(O13="Blank","Blank",IF(O13="TBC","TBC",IF(O13="Undefined","Undefined",IF(O13="Missed","Missed",IF(O13="OD","OD",IF(O$4="OD","OD",IF((O13-O12)&lt;=0,"G",IF((O13-(O12/0.95))&lt;=0,"A","R"))))))))))</f>
        <v>G</v>
      </c>
      <c r="P14" s="41" t="str">
        <f t="shared" ref="P14" si="10">IF(P$6&gt;$F$3,"",IF(P13="","OD",IF(P13="Blank","Blank",IF(P13="TBC","TBC",IF(P13="Undefined","Undefined",IF(P13="Missed","Missed",IF(P13="OD","OD",IF(P$4="OD","OD",IF((P13-P12)&lt;=0,"G",IF((P13-(P12/0.95))&lt;=0,"A","R"))))))))))</f>
        <v>G</v>
      </c>
      <c r="Q14" s="41" t="str">
        <f t="shared" ref="Q14" si="11">IF(Q$6&gt;$F$3,"",IF(Q13="","OD",IF(Q13="Blank","Blank",IF(Q13="TBC","TBC",IF(Q13="Undefined","Undefined",IF(Q13="Missed","Missed",IF(Q13="OD","OD",IF(Q$4="OD","OD",IF((Q13-Q12)&lt;=0,"G",IF((Q13-(Q12/0.95))&lt;=0,"A","R"))))))))))</f>
        <v>G</v>
      </c>
      <c r="R14" s="41" t="str">
        <f t="shared" ref="R14" si="12">IF(R$6&gt;$F$3,"",IF(R13="","OD",IF(R13="Blank","Blank",IF(R13="TBC","TBC",IF(R13="Undefined","Undefined",IF(R13="Missed","Missed",IF(R13="OD","OD",IF(R$4="OD","OD",IF((R13-R12)&lt;=0,"G",IF((R13-(R12/0.95))&lt;=0,"A","R"))))))))))</f>
        <v/>
      </c>
      <c r="S14" s="41" t="str">
        <f t="shared" ref="S14" si="13">IF(S$6&gt;$F$3,"",IF(S13="","OD",IF(S13="Blank","Blank",IF(S13="TBC","TBC",IF(S13="Undefined","Undefined",IF(S13="Missed","Missed",IF(S13="OD","OD",IF(S$4="OD","OD",IF((S13-S12)&lt;=0,"G",IF((S13-(S12/0.95))&lt;=0,"A","R"))))))))))</f>
        <v/>
      </c>
      <c r="T14" s="41" t="str">
        <f t="shared" ref="T14" si="14">IF(T$6&gt;$F$3,"",IF(T13="","OD",IF(T13="Blank","Blank",IF(T13="TBC","TBC",IF(T13="Undefined","Undefined",IF(T13="Missed","Missed",IF(T13="OD","OD",IF(T$4="OD","OD",IF((T13-T12)&lt;=0,"G",IF((T13-(T12/0.95))&lt;=0,"A","R"))))))))))</f>
        <v/>
      </c>
      <c r="U14" s="107"/>
    </row>
    <row r="15" spans="2:66" x14ac:dyDescent="0.3">
      <c r="B15" s="46"/>
      <c r="C15" s="47"/>
    </row>
    <row r="16" spans="2:66" ht="24" customHeight="1" x14ac:dyDescent="0.3">
      <c r="B16" s="920" t="s">
        <v>172</v>
      </c>
      <c r="C16" s="922" t="s">
        <v>324</v>
      </c>
      <c r="D16" s="921" t="s">
        <v>74</v>
      </c>
      <c r="E16" s="922" t="s">
        <v>58</v>
      </c>
      <c r="F16" s="921" t="s">
        <v>154</v>
      </c>
      <c r="G16" s="952"/>
      <c r="H16" s="27" t="s">
        <v>44</v>
      </c>
      <c r="I16" s="694">
        <v>1</v>
      </c>
      <c r="J16" s="694">
        <v>1</v>
      </c>
      <c r="K16" s="694">
        <v>1</v>
      </c>
      <c r="L16" s="694">
        <v>1</v>
      </c>
      <c r="M16" s="694">
        <v>1</v>
      </c>
      <c r="N16" s="694">
        <v>1</v>
      </c>
      <c r="O16" s="694">
        <v>1</v>
      </c>
      <c r="P16" s="694">
        <v>1</v>
      </c>
      <c r="Q16" s="694">
        <v>1</v>
      </c>
      <c r="R16" s="694">
        <v>1</v>
      </c>
      <c r="S16" s="694">
        <v>1</v>
      </c>
      <c r="T16" s="694">
        <v>1</v>
      </c>
      <c r="U16" s="968" t="s">
        <v>98</v>
      </c>
    </row>
    <row r="17" spans="2:21" ht="24" customHeight="1" x14ac:dyDescent="0.3">
      <c r="B17" s="920"/>
      <c r="C17" s="921"/>
      <c r="D17" s="921"/>
      <c r="E17" s="921"/>
      <c r="F17" s="921"/>
      <c r="G17" s="953"/>
      <c r="H17" s="33" t="s">
        <v>45</v>
      </c>
      <c r="I17" s="693">
        <v>0.78</v>
      </c>
      <c r="J17" s="693">
        <v>0.94</v>
      </c>
      <c r="K17" s="693">
        <v>1</v>
      </c>
      <c r="L17" s="693">
        <v>1</v>
      </c>
      <c r="M17" s="693">
        <v>1</v>
      </c>
      <c r="N17" s="693">
        <v>0.12</v>
      </c>
      <c r="O17" s="693">
        <v>0.68</v>
      </c>
      <c r="P17" s="693">
        <v>0.75</v>
      </c>
      <c r="Q17" s="693">
        <v>0.85</v>
      </c>
      <c r="R17" s="693"/>
      <c r="S17" s="693"/>
      <c r="T17" s="693"/>
      <c r="U17" s="968"/>
    </row>
    <row r="18" spans="2:21" ht="24" customHeight="1" x14ac:dyDescent="0.3">
      <c r="B18" s="920"/>
      <c r="C18" s="921"/>
      <c r="D18" s="921"/>
      <c r="E18" s="921"/>
      <c r="F18" s="921"/>
      <c r="G18" s="953"/>
      <c r="H18" s="38" t="s">
        <v>46</v>
      </c>
      <c r="I18" s="41" t="str">
        <f>IF(I$6&gt;$F$3,"",IF(I17="","OD",IF(I17="Blank","Blank",IF(I17="TBC","TBC",IF(I17="Undefined","Undefined",IF(I17="Missed","Missed",IF(I17="OD","OD",IF(I$16="OD","OD",IF((I17-I16)&gt;=0,"G",IF((I17-(I16*0.95))&gt;=0,"A","R"))))))))))</f>
        <v>R</v>
      </c>
      <c r="J18" s="41" t="str">
        <f t="shared" ref="J18:T18" si="15">IF(J$6&gt;$F$3,"",IF(J17="","OD",IF(J17="Blank","Blank",IF(J17="TBC","TBC",IF(J17="Undefined","Undefined",IF(J17="Missed","Missed",IF(J17="OD","OD",IF(J$16="OD","OD",IF((J17-J16)&gt;=0,"G",IF((J17-(J16*0.95))&gt;=0,"A","R"))))))))))</f>
        <v>R</v>
      </c>
      <c r="K18" s="41" t="str">
        <f t="shared" si="15"/>
        <v>G</v>
      </c>
      <c r="L18" s="41" t="str">
        <f t="shared" si="15"/>
        <v>G</v>
      </c>
      <c r="M18" s="41" t="str">
        <f t="shared" si="15"/>
        <v>G</v>
      </c>
      <c r="N18" s="41" t="str">
        <f t="shared" si="15"/>
        <v>R</v>
      </c>
      <c r="O18" s="41" t="str">
        <f t="shared" si="15"/>
        <v>R</v>
      </c>
      <c r="P18" s="41" t="str">
        <f t="shared" si="15"/>
        <v>R</v>
      </c>
      <c r="Q18" s="41" t="str">
        <f t="shared" si="15"/>
        <v>R</v>
      </c>
      <c r="R18" s="41" t="str">
        <f t="shared" si="15"/>
        <v/>
      </c>
      <c r="S18" s="41" t="str">
        <f t="shared" si="15"/>
        <v/>
      </c>
      <c r="T18" s="41" t="str">
        <f t="shared" si="15"/>
        <v/>
      </c>
      <c r="U18" s="107"/>
    </row>
    <row r="19" spans="2:21" ht="24" customHeight="1" x14ac:dyDescent="0.3">
      <c r="B19" s="920" t="s">
        <v>173</v>
      </c>
      <c r="C19" s="922" t="s">
        <v>325</v>
      </c>
      <c r="D19" s="921" t="s">
        <v>74</v>
      </c>
      <c r="E19" s="922" t="s">
        <v>58</v>
      </c>
      <c r="F19" s="921" t="s">
        <v>154</v>
      </c>
      <c r="G19" s="952"/>
      <c r="H19" s="27" t="s">
        <v>44</v>
      </c>
      <c r="I19" s="304">
        <v>0.8</v>
      </c>
      <c r="J19" s="304">
        <v>0.8</v>
      </c>
      <c r="K19" s="304">
        <v>0.8</v>
      </c>
      <c r="L19" s="304">
        <v>0.85</v>
      </c>
      <c r="M19" s="304">
        <v>0.85</v>
      </c>
      <c r="N19" s="304">
        <v>0.85</v>
      </c>
      <c r="O19" s="304">
        <v>0.9</v>
      </c>
      <c r="P19" s="304">
        <v>0.9</v>
      </c>
      <c r="Q19" s="304">
        <v>0.9</v>
      </c>
      <c r="R19" s="304">
        <v>1</v>
      </c>
      <c r="S19" s="304">
        <v>1</v>
      </c>
      <c r="T19" s="304">
        <v>1</v>
      </c>
      <c r="U19" s="967"/>
    </row>
    <row r="20" spans="2:21" ht="24" customHeight="1" x14ac:dyDescent="0.3">
      <c r="B20" s="920"/>
      <c r="C20" s="921"/>
      <c r="D20" s="921"/>
      <c r="E20" s="921"/>
      <c r="F20" s="921"/>
      <c r="G20" s="953"/>
      <c r="H20" s="33" t="s">
        <v>45</v>
      </c>
      <c r="I20" s="305">
        <v>0.66</v>
      </c>
      <c r="J20" s="305">
        <v>0.53</v>
      </c>
      <c r="K20" s="305">
        <v>0.57999999999999996</v>
      </c>
      <c r="L20" s="305">
        <v>0.85</v>
      </c>
      <c r="M20" s="305">
        <v>0.6</v>
      </c>
      <c r="N20" s="305">
        <v>0.37</v>
      </c>
      <c r="O20" s="305">
        <v>0.61</v>
      </c>
      <c r="P20" s="305">
        <v>0.56999999999999995</v>
      </c>
      <c r="Q20" s="305">
        <v>1</v>
      </c>
      <c r="R20" s="305"/>
      <c r="S20" s="305"/>
      <c r="T20" s="305"/>
      <c r="U20" s="968"/>
    </row>
    <row r="21" spans="2:21" ht="24" customHeight="1" x14ac:dyDescent="0.3">
      <c r="B21" s="920"/>
      <c r="C21" s="921"/>
      <c r="D21" s="921"/>
      <c r="E21" s="921"/>
      <c r="F21" s="921"/>
      <c r="G21" s="953"/>
      <c r="H21" s="38" t="s">
        <v>46</v>
      </c>
      <c r="I21" s="41" t="str">
        <f>IF(I$6&gt;$F$3,"",IF(I20="","OD",IF(I20="Blank","Blank",IF(I20="TBC","TBC",IF(I20="Undefined","Undefined",IF(I20="Missed","Missed",IF(I20="OD","OD",IF(I$16="OD","OD",IF((I20-I19)&gt;=0,"G",IF((I20-(I19*0.95))&gt;=0,"A","R"))))))))))</f>
        <v>R</v>
      </c>
      <c r="J21" s="41" t="str">
        <f t="shared" ref="J21" si="16">IF(J$6&gt;$F$3,"",IF(J20="","OD",IF(J20="Blank","Blank",IF(J20="TBC","TBC",IF(J20="Undefined","Undefined",IF(J20="Missed","Missed",IF(J20="OD","OD",IF(J$16="OD","OD",IF((J20-J19)&gt;=0,"G",IF((J20-(J19*0.95))&gt;=0,"A","R"))))))))))</f>
        <v>R</v>
      </c>
      <c r="K21" s="41" t="str">
        <f t="shared" ref="K21" si="17">IF(K$6&gt;$F$3,"",IF(K20="","OD",IF(K20="Blank","Blank",IF(K20="TBC","TBC",IF(K20="Undefined","Undefined",IF(K20="Missed","Missed",IF(K20="OD","OD",IF(K$16="OD","OD",IF((K20-K19)&gt;=0,"G",IF((K20-(K19*0.95))&gt;=0,"A","R"))))))))))</f>
        <v>R</v>
      </c>
      <c r="L21" s="41" t="str">
        <f t="shared" ref="L21" si="18">IF(L$6&gt;$F$3,"",IF(L20="","OD",IF(L20="Blank","Blank",IF(L20="TBC","TBC",IF(L20="Undefined","Undefined",IF(L20="Missed","Missed",IF(L20="OD","OD",IF(L$16="OD","OD",IF((L20-L19)&gt;=0,"G",IF((L20-(L19*0.95))&gt;=0,"A","R"))))))))))</f>
        <v>G</v>
      </c>
      <c r="M21" s="41" t="str">
        <f t="shared" ref="M21" si="19">IF(M$6&gt;$F$3,"",IF(M20="","OD",IF(M20="Blank","Blank",IF(M20="TBC","TBC",IF(M20="Undefined","Undefined",IF(M20="Missed","Missed",IF(M20="OD","OD",IF(M$16="OD","OD",IF((M20-M19)&gt;=0,"G",IF((M20-(M19*0.95))&gt;=0,"A","R"))))))))))</f>
        <v>R</v>
      </c>
      <c r="N21" s="41" t="str">
        <f t="shared" ref="N21" si="20">IF(N$6&gt;$F$3,"",IF(N20="","OD",IF(N20="Blank","Blank",IF(N20="TBC","TBC",IF(N20="Undefined","Undefined",IF(N20="Missed","Missed",IF(N20="OD","OD",IF(N$16="OD","OD",IF((N20-N19)&gt;=0,"G",IF((N20-(N19*0.95))&gt;=0,"A","R"))))))))))</f>
        <v>R</v>
      </c>
      <c r="O21" s="41" t="str">
        <f t="shared" ref="O21" si="21">IF(O$6&gt;$F$3,"",IF(O20="","OD",IF(O20="Blank","Blank",IF(O20="TBC","TBC",IF(O20="Undefined","Undefined",IF(O20="Missed","Missed",IF(O20="OD","OD",IF(O$16="OD","OD",IF((O20-O19)&gt;=0,"G",IF((O20-(O19*0.95))&gt;=0,"A","R"))))))))))</f>
        <v>R</v>
      </c>
      <c r="P21" s="41" t="str">
        <f t="shared" ref="P21" si="22">IF(P$6&gt;$F$3,"",IF(P20="","OD",IF(P20="Blank","Blank",IF(P20="TBC","TBC",IF(P20="Undefined","Undefined",IF(P20="Missed","Missed",IF(P20="OD","OD",IF(P$16="OD","OD",IF((P20-P19)&gt;=0,"G",IF((P20-(P19*0.95))&gt;=0,"A","R"))))))))))</f>
        <v>R</v>
      </c>
      <c r="Q21" s="41" t="str">
        <f t="shared" ref="Q21" si="23">IF(Q$6&gt;$F$3,"",IF(Q20="","OD",IF(Q20="Blank","Blank",IF(Q20="TBC","TBC",IF(Q20="Undefined","Undefined",IF(Q20="Missed","Missed",IF(Q20="OD","OD",IF(Q$16="OD","OD",IF((Q20-Q19)&gt;=0,"G",IF((Q20-(Q19*0.95))&gt;=0,"A","R"))))))))))</f>
        <v>G</v>
      </c>
      <c r="R21" s="41" t="str">
        <f t="shared" ref="R21" si="24">IF(R$6&gt;$F$3,"",IF(R20="","OD",IF(R20="Blank","Blank",IF(R20="TBC","TBC",IF(R20="Undefined","Undefined",IF(R20="Missed","Missed",IF(R20="OD","OD",IF(R$16="OD","OD",IF((R20-R19)&gt;=0,"G",IF((R20-(R19*0.95))&gt;=0,"A","R"))))))))))</f>
        <v/>
      </c>
      <c r="S21" s="41" t="str">
        <f t="shared" ref="S21" si="25">IF(S$6&gt;$F$3,"",IF(S20="","OD",IF(S20="Blank","Blank",IF(S20="TBC","TBC",IF(S20="Undefined","Undefined",IF(S20="Missed","Missed",IF(S20="OD","OD",IF(S$16="OD","OD",IF((S20-S19)&gt;=0,"G",IF((S20-(S19*0.95))&gt;=0,"A","R"))))))))))</f>
        <v/>
      </c>
      <c r="T21" s="41" t="str">
        <f t="shared" ref="T21" si="26">IF(T$6&gt;$F$3,"",IF(T20="","OD",IF(T20="Blank","Blank",IF(T20="TBC","TBC",IF(T20="Undefined","Undefined",IF(T20="Missed","Missed",IF(T20="OD","OD",IF(T$16="OD","OD",IF((T20-T19)&gt;=0,"G",IF((T20-(T19*0.95))&gt;=0,"A","R"))))))))))</f>
        <v/>
      </c>
      <c r="U21" s="107"/>
    </row>
    <row r="22" spans="2:21" x14ac:dyDescent="0.3">
      <c r="B22" s="46"/>
      <c r="C22" s="47"/>
    </row>
    <row r="23" spans="2:21" ht="28.8" x14ac:dyDescent="0.3">
      <c r="B23" s="46"/>
      <c r="C23" s="47"/>
      <c r="O23" s="736" t="s">
        <v>694</v>
      </c>
      <c r="P23" s="736" t="s">
        <v>694</v>
      </c>
      <c r="Q23" s="736" t="s">
        <v>694</v>
      </c>
    </row>
    <row r="24" spans="2:21" ht="24" customHeight="1" x14ac:dyDescent="0.3">
      <c r="B24" s="920" t="s">
        <v>322</v>
      </c>
      <c r="C24" s="922" t="s">
        <v>347</v>
      </c>
      <c r="D24" s="922" t="s">
        <v>333</v>
      </c>
      <c r="E24" s="922" t="s">
        <v>58</v>
      </c>
      <c r="F24" s="921" t="s">
        <v>154</v>
      </c>
      <c r="G24" s="952"/>
      <c r="H24" s="27" t="s">
        <v>44</v>
      </c>
      <c r="I24" s="692">
        <v>0.7</v>
      </c>
      <c r="J24" s="692">
        <v>0.7</v>
      </c>
      <c r="K24" s="692">
        <v>0.7</v>
      </c>
      <c r="L24" s="692">
        <v>0.7</v>
      </c>
      <c r="M24" s="692">
        <v>0.7</v>
      </c>
      <c r="N24" s="692">
        <v>0.7</v>
      </c>
      <c r="O24" s="732">
        <v>0.7</v>
      </c>
      <c r="P24" s="732">
        <v>0.7</v>
      </c>
      <c r="Q24" s="732">
        <v>0.7</v>
      </c>
      <c r="R24" s="692">
        <v>0.7</v>
      </c>
      <c r="S24" s="692">
        <v>0.7</v>
      </c>
      <c r="T24" s="692">
        <v>0.7</v>
      </c>
      <c r="U24" s="968" t="s">
        <v>99</v>
      </c>
    </row>
    <row r="25" spans="2:21" ht="24" customHeight="1" x14ac:dyDescent="0.3">
      <c r="B25" s="920"/>
      <c r="C25" s="921"/>
      <c r="D25" s="921"/>
      <c r="E25" s="921"/>
      <c r="F25" s="921"/>
      <c r="G25" s="953"/>
      <c r="H25" s="33" t="s">
        <v>45</v>
      </c>
      <c r="I25" s="693">
        <v>0.56000000000000005</v>
      </c>
      <c r="J25" s="693">
        <v>0.56000000000000005</v>
      </c>
      <c r="K25" s="693">
        <v>0.56000000000000005</v>
      </c>
      <c r="L25" s="693">
        <v>0.56000000000000005</v>
      </c>
      <c r="M25" s="693">
        <v>0.56000000000000005</v>
      </c>
      <c r="N25" s="693">
        <v>0.56000000000000005</v>
      </c>
      <c r="O25" s="733">
        <v>0.56000000000000005</v>
      </c>
      <c r="P25" s="733">
        <v>0.56000000000000005</v>
      </c>
      <c r="Q25" s="733">
        <v>0.56000000000000005</v>
      </c>
      <c r="R25" s="693">
        <v>0.56000000000000005</v>
      </c>
      <c r="S25" s="693">
        <v>0.56000000000000005</v>
      </c>
      <c r="T25" s="693">
        <v>0.56000000000000005</v>
      </c>
      <c r="U25" s="968"/>
    </row>
    <row r="26" spans="2:21" ht="24" customHeight="1" x14ac:dyDescent="0.3">
      <c r="B26" s="920"/>
      <c r="C26" s="921"/>
      <c r="D26" s="921"/>
      <c r="E26" s="921"/>
      <c r="F26" s="921"/>
      <c r="G26" s="953"/>
      <c r="H26" s="38" t="s">
        <v>46</v>
      </c>
      <c r="I26" s="41" t="str">
        <f>IF(I$6&gt;$F$3,"",IF(I25="","OD",IF(I25="Blank","Blank",IF(I25="TBC","TBC",IF(I25="Undefined","Undefined",IF(I25="Missed","Missed",IF(I25="OD","OD",IF(I$16="OD","OD",IF((I25-I24)&gt;=0,"G",IF((I25-(I24*0.95))&gt;=0,"A","R"))))))))))</f>
        <v>R</v>
      </c>
      <c r="J26" s="41" t="str">
        <f t="shared" ref="J26" si="27">IF(J$6&gt;$F$3,"",IF(J25="","OD",IF(J25="Blank","Blank",IF(J25="TBC","TBC",IF(J25="Undefined","Undefined",IF(J25="Missed","Missed",IF(J25="OD","OD",IF(J$16="OD","OD",IF((J25-J24)&gt;=0,"G",IF((J25-(J24*0.95))&gt;=0,"A","R"))))))))))</f>
        <v>R</v>
      </c>
      <c r="K26" s="41" t="str">
        <f t="shared" ref="K26" si="28">IF(K$6&gt;$F$3,"",IF(K25="","OD",IF(K25="Blank","Blank",IF(K25="TBC","TBC",IF(K25="Undefined","Undefined",IF(K25="Missed","Missed",IF(K25="OD","OD",IF(K$16="OD","OD",IF((K25-K24)&gt;=0,"G",IF((K25-(K24*0.95))&gt;=0,"A","R"))))))))))</f>
        <v>R</v>
      </c>
      <c r="L26" s="41" t="str">
        <f t="shared" ref="L26" si="29">IF(L$6&gt;$F$3,"",IF(L25="","OD",IF(L25="Blank","Blank",IF(L25="TBC","TBC",IF(L25="Undefined","Undefined",IF(L25="Missed","Missed",IF(L25="OD","OD",IF(L$16="OD","OD",IF((L25-L24)&gt;=0,"G",IF((L25-(L24*0.95))&gt;=0,"A","R"))))))))))</f>
        <v>R</v>
      </c>
      <c r="M26" s="41" t="str">
        <f t="shared" ref="M26" si="30">IF(M$6&gt;$F$3,"",IF(M25="","OD",IF(M25="Blank","Blank",IF(M25="TBC","TBC",IF(M25="Undefined","Undefined",IF(M25="Missed","Missed",IF(M25="OD","OD",IF(M$16="OD","OD",IF((M25-M24)&gt;=0,"G",IF((M25-(M24*0.95))&gt;=0,"A","R"))))))))))</f>
        <v>R</v>
      </c>
      <c r="N26" s="41" t="str">
        <f t="shared" ref="N26" si="31">IF(N$6&gt;$F$3,"",IF(N25="","OD",IF(N25="Blank","Blank",IF(N25="TBC","TBC",IF(N25="Undefined","Undefined",IF(N25="Missed","Missed",IF(N25="OD","OD",IF(N$16="OD","OD",IF((N25-N24)&gt;=0,"G",IF((N25-(N24*0.95))&gt;=0,"A","R"))))))))))</f>
        <v>R</v>
      </c>
      <c r="O26" s="41" t="str">
        <f t="shared" ref="O26" si="32">IF(O$6&gt;$F$3,"",IF(O25="","OD",IF(O25="Blank","Blank",IF(O25="TBC","TBC",IF(O25="Undefined","Undefined",IF(O25="Missed","Missed",IF(O25="OD","OD",IF(O$16="OD","OD",IF((O25-O24)&gt;=0,"G",IF((O25-(O24*0.95))&gt;=0,"A","R"))))))))))</f>
        <v>R</v>
      </c>
      <c r="P26" s="41" t="str">
        <f t="shared" ref="P26:Q26" si="33">IF(P$6&gt;$F$3,"",IF(P25="","OD",IF(P25="Blank","Blank",IF(P25="TBC","TBC",IF(P25="Undefined","Undefined",IF(P25="Missed","Missed",IF(P25="OD","OD",IF(P$16="OD","OD",IF((P25-P24)&gt;=0,"G",IF((P25-(P24*0.95))&gt;=0,"A","R"))))))))))</f>
        <v>R</v>
      </c>
      <c r="Q26" s="41" t="str">
        <f t="shared" si="33"/>
        <v>R</v>
      </c>
      <c r="R26" s="41" t="str">
        <f t="shared" ref="R26" si="34">IF(R$6&gt;$F$3,"",IF(R25="","OD",IF(R25="Blank","Blank",IF(R25="TBC","TBC",IF(R25="Undefined","Undefined",IF(R25="Missed","Missed",IF(R25="OD","OD",IF(R$16="OD","OD",IF((R25-R24)&gt;=0,"G",IF((R25-(R24*0.95))&gt;=0,"A","R"))))))))))</f>
        <v/>
      </c>
      <c r="S26" s="41" t="str">
        <f t="shared" ref="S26" si="35">IF(S$6&gt;$F$3,"",IF(S25="","OD",IF(S25="Blank","Blank",IF(S25="TBC","TBC",IF(S25="Undefined","Undefined",IF(S25="Missed","Missed",IF(S25="OD","OD",IF(S$16="OD","OD",IF((S25-S24)&gt;=0,"G",IF((S25-(S24*0.95))&gt;=0,"A","R"))))))))))</f>
        <v/>
      </c>
      <c r="T26" s="41" t="str">
        <f t="shared" ref="T26" si="36">IF(T$6&gt;$F$3,"",IF(T25="","OD",IF(T25="Blank","Blank",IF(T25="TBC","TBC",IF(T25="Undefined","Undefined",IF(T25="Missed","Missed",IF(T25="OD","OD",IF(T$16="OD","OD",IF((T25-T24)&gt;=0,"G",IF((T25-(T24*0.95))&gt;=0,"A","R"))))))))))</f>
        <v/>
      </c>
      <c r="U26" s="107"/>
    </row>
    <row r="27" spans="2:21" ht="24" customHeight="1" x14ac:dyDescent="0.3">
      <c r="B27" s="920" t="s">
        <v>323</v>
      </c>
      <c r="C27" s="922" t="s">
        <v>326</v>
      </c>
      <c r="D27" s="922" t="s">
        <v>334</v>
      </c>
      <c r="E27" s="922"/>
      <c r="F27" s="921" t="s">
        <v>154</v>
      </c>
      <c r="G27" s="952"/>
      <c r="H27" s="27" t="s">
        <v>44</v>
      </c>
      <c r="I27" s="303">
        <v>3</v>
      </c>
      <c r="J27" s="303">
        <v>3</v>
      </c>
      <c r="K27" s="303">
        <v>3</v>
      </c>
      <c r="L27" s="303">
        <v>3</v>
      </c>
      <c r="M27" s="303">
        <v>3</v>
      </c>
      <c r="N27" s="303">
        <v>3</v>
      </c>
      <c r="O27" s="734">
        <v>3</v>
      </c>
      <c r="P27" s="734">
        <v>3</v>
      </c>
      <c r="Q27" s="734">
        <v>4</v>
      </c>
      <c r="R27" s="303">
        <v>3</v>
      </c>
      <c r="S27" s="303">
        <v>3</v>
      </c>
      <c r="T27" s="303">
        <v>3</v>
      </c>
      <c r="U27" s="967"/>
    </row>
    <row r="28" spans="2:21" ht="24" customHeight="1" x14ac:dyDescent="0.3">
      <c r="B28" s="920"/>
      <c r="C28" s="921"/>
      <c r="D28" s="921"/>
      <c r="E28" s="921"/>
      <c r="F28" s="921"/>
      <c r="G28" s="953"/>
      <c r="H28" s="33" t="s">
        <v>45</v>
      </c>
      <c r="I28" s="306">
        <v>2.75</v>
      </c>
      <c r="J28" s="306">
        <v>2.6</v>
      </c>
      <c r="K28" s="306">
        <v>2.92</v>
      </c>
      <c r="L28" s="306">
        <v>2.92</v>
      </c>
      <c r="M28" s="306">
        <v>2.92</v>
      </c>
      <c r="N28" s="306">
        <v>2.92</v>
      </c>
      <c r="O28" s="735"/>
      <c r="P28" s="735"/>
      <c r="Q28" s="735"/>
      <c r="R28" s="306"/>
      <c r="S28" s="306"/>
      <c r="T28" s="306"/>
      <c r="U28" s="968"/>
    </row>
    <row r="29" spans="2:21" ht="24" customHeight="1" x14ac:dyDescent="0.3">
      <c r="B29" s="920"/>
      <c r="C29" s="921"/>
      <c r="D29" s="921"/>
      <c r="E29" s="921"/>
      <c r="F29" s="921"/>
      <c r="G29" s="953"/>
      <c r="H29" s="38" t="s">
        <v>46</v>
      </c>
      <c r="I29" s="41" t="str">
        <f>IF(I$6&gt;$F$3,"",IF(I28="","OD",IF(I28="Blank","Blank",IF(I28="TBC","TBC",IF(I28="Undefined","Undefined",IF(I28="Missed","Missed",IF(I28="OD","OD",IF(I$16="OD","OD",IF((I28-I27)&gt;=0,"G",IF((I28-(I27*0.95))&gt;=0,"A","R"))))))))))</f>
        <v>R</v>
      </c>
      <c r="J29" s="41" t="str">
        <f t="shared" ref="J29" si="37">IF(J$6&gt;$F$3,"",IF(J28="","OD",IF(J28="Blank","Blank",IF(J28="TBC","TBC",IF(J28="Undefined","Undefined",IF(J28="Missed","Missed",IF(J28="OD","OD",IF(J$16="OD","OD",IF((J28-J27)&gt;=0,"G",IF((J28-(J27*0.95))&gt;=0,"A","R"))))))))))</f>
        <v>R</v>
      </c>
      <c r="K29" s="41" t="str">
        <f t="shared" ref="K29" si="38">IF(K$6&gt;$F$3,"",IF(K28="","OD",IF(K28="Blank","Blank",IF(K28="TBC","TBC",IF(K28="Undefined","Undefined",IF(K28="Missed","Missed",IF(K28="OD","OD",IF(K$16="OD","OD",IF((K28-K27)&gt;=0,"G",IF((K28-(K27*0.95))&gt;=0,"A","R"))))))))))</f>
        <v>A</v>
      </c>
      <c r="L29" s="41" t="str">
        <f t="shared" ref="L29" si="39">IF(L$6&gt;$F$3,"",IF(L28="","OD",IF(L28="Blank","Blank",IF(L28="TBC","TBC",IF(L28="Undefined","Undefined",IF(L28="Missed","Missed",IF(L28="OD","OD",IF(L$16="OD","OD",IF((L28-L27)&gt;=0,"G",IF((L28-(L27*0.95))&gt;=0,"A","R"))))))))))</f>
        <v>A</v>
      </c>
      <c r="M29" s="41" t="str">
        <f t="shared" ref="M29" si="40">IF(M$6&gt;$F$3,"",IF(M28="","OD",IF(M28="Blank","Blank",IF(M28="TBC","TBC",IF(M28="Undefined","Undefined",IF(M28="Missed","Missed",IF(M28="OD","OD",IF(M$16="OD","OD",IF((M28-M27)&gt;=0,"G",IF((M28-(M27*0.95))&gt;=0,"A","R"))))))))))</f>
        <v>A</v>
      </c>
      <c r="N29" s="41" t="str">
        <f t="shared" ref="N29" si="41">IF(N$6&gt;$F$3,"",IF(N28="","OD",IF(N28="Blank","Blank",IF(N28="TBC","TBC",IF(N28="Undefined","Undefined",IF(N28="Missed","Missed",IF(N28="OD","OD",IF(N$16="OD","OD",IF((N28-N27)&gt;=0,"G",IF((N28-(N27*0.95))&gt;=0,"A","R"))))))))))</f>
        <v>A</v>
      </c>
      <c r="O29" s="41" t="str">
        <f t="shared" ref="O29" si="42">IF(O$6&gt;$F$3,"",IF(O28="","OD",IF(O28="Blank","Blank",IF(O28="TBC","TBC",IF(O28="Undefined","Undefined",IF(O28="Missed","Missed",IF(O28="OD","OD",IF(O$16="OD","OD",IF((O28-O27)&gt;=0,"G",IF((O28-(O27*0.95))&gt;=0,"A","R"))))))))))</f>
        <v>OD</v>
      </c>
      <c r="P29" s="41" t="str">
        <f t="shared" ref="P29" si="43">IF(P$6&gt;$F$3,"",IF(P28="","OD",IF(P28="Blank","Blank",IF(P28="TBC","TBC",IF(P28="Undefined","Undefined",IF(P28="Missed","Missed",IF(P28="OD","OD",IF(P$16="OD","OD",IF((P28-P27)&gt;=0,"G",IF((P28-(P27*0.95))&gt;=0,"A","R"))))))))))</f>
        <v>OD</v>
      </c>
      <c r="Q29" s="41" t="str">
        <f t="shared" ref="Q29" si="44">IF(Q$6&gt;$F$3,"",IF(Q28="","OD",IF(Q28="Blank","Blank",IF(Q28="TBC","TBC",IF(Q28="Undefined","Undefined",IF(Q28="Missed","Missed",IF(Q28="OD","OD",IF(Q$16="OD","OD",IF((Q28-Q27)&gt;=0,"G",IF((Q28-(Q27*0.95))&gt;=0,"A","R"))))))))))</f>
        <v>OD</v>
      </c>
      <c r="R29" s="41" t="str">
        <f t="shared" ref="R29" si="45">IF(R$6&gt;$F$3,"",IF(R28="","OD",IF(R28="Blank","Blank",IF(R28="TBC","TBC",IF(R28="Undefined","Undefined",IF(R28="Missed","Missed",IF(R28="OD","OD",IF(R$16="OD","OD",IF((R28-R27)&gt;=0,"G",IF((R28-(R27*0.95))&gt;=0,"A","R"))))))))))</f>
        <v/>
      </c>
      <c r="S29" s="41" t="str">
        <f t="shared" ref="S29" si="46">IF(S$6&gt;$F$3,"",IF(S28="","OD",IF(S28="Blank","Blank",IF(S28="TBC","TBC",IF(S28="Undefined","Undefined",IF(S28="Missed","Missed",IF(S28="OD","OD",IF(S$16="OD","OD",IF((S28-S27)&gt;=0,"G",IF((S28-(S27*0.95))&gt;=0,"A","R"))))))))))</f>
        <v/>
      </c>
      <c r="T29" s="41" t="str">
        <f t="shared" ref="T29" si="47">IF(T$6&gt;$F$3,"",IF(T28="","OD",IF(T28="Blank","Blank",IF(T28="TBC","TBC",IF(T28="Undefined","Undefined",IF(T28="Missed","Missed",IF(T28="OD","OD",IF(T$16="OD","OD",IF((T28-T27)&gt;=0,"G",IF((T28-(T27*0.95))&gt;=0,"A","R"))))))))))</f>
        <v/>
      </c>
      <c r="U29" s="107"/>
    </row>
    <row r="30" spans="2:21" x14ac:dyDescent="0.3">
      <c r="B30" s="46"/>
      <c r="C30" s="47"/>
    </row>
    <row r="31" spans="2:21" ht="24" customHeight="1" x14ac:dyDescent="0.3">
      <c r="B31" s="920" t="s">
        <v>327</v>
      </c>
      <c r="C31" s="922" t="s">
        <v>329</v>
      </c>
      <c r="D31" s="922" t="s">
        <v>331</v>
      </c>
      <c r="E31" s="922" t="s">
        <v>335</v>
      </c>
      <c r="F31" s="922" t="s">
        <v>171</v>
      </c>
      <c r="G31" s="930" t="s">
        <v>622</v>
      </c>
      <c r="H31" s="27" t="s">
        <v>44</v>
      </c>
      <c r="I31" s="303">
        <v>759</v>
      </c>
      <c r="J31" s="303">
        <v>759</v>
      </c>
      <c r="K31" s="303">
        <v>759</v>
      </c>
      <c r="L31" s="303">
        <v>759</v>
      </c>
      <c r="M31" s="303">
        <v>759</v>
      </c>
      <c r="N31" s="303">
        <v>759</v>
      </c>
      <c r="O31" s="303">
        <v>759</v>
      </c>
      <c r="P31" s="303">
        <v>759</v>
      </c>
      <c r="Q31" s="303">
        <v>759</v>
      </c>
      <c r="R31" s="303">
        <v>759</v>
      </c>
      <c r="S31" s="303">
        <v>759</v>
      </c>
      <c r="T31" s="303">
        <v>759</v>
      </c>
      <c r="U31" s="967"/>
    </row>
    <row r="32" spans="2:21" ht="24" customHeight="1" x14ac:dyDescent="0.3">
      <c r="B32" s="920"/>
      <c r="C32" s="921"/>
      <c r="D32" s="921"/>
      <c r="E32" s="921"/>
      <c r="F32" s="921"/>
      <c r="G32" s="919"/>
      <c r="H32" s="33" t="s">
        <v>45</v>
      </c>
      <c r="I32" s="306">
        <v>754</v>
      </c>
      <c r="J32" s="306">
        <v>754</v>
      </c>
      <c r="K32" s="306">
        <v>765</v>
      </c>
      <c r="L32" s="306">
        <v>783</v>
      </c>
      <c r="M32" s="306">
        <v>781</v>
      </c>
      <c r="N32" s="306">
        <v>779</v>
      </c>
      <c r="O32" s="306">
        <v>782</v>
      </c>
      <c r="P32" s="306">
        <v>789</v>
      </c>
      <c r="Q32" s="306">
        <v>798</v>
      </c>
      <c r="R32" s="306"/>
      <c r="S32" s="306"/>
      <c r="T32" s="306"/>
      <c r="U32" s="968"/>
    </row>
    <row r="33" spans="2:21" ht="24" customHeight="1" x14ac:dyDescent="0.3">
      <c r="B33" s="920"/>
      <c r="C33" s="921"/>
      <c r="D33" s="921"/>
      <c r="E33" s="921"/>
      <c r="F33" s="921"/>
      <c r="G33" s="919"/>
      <c r="H33" s="38" t="s">
        <v>46</v>
      </c>
      <c r="I33" s="41" t="str">
        <f>IF(I$6&gt;$F$3,"",IF(I32="","OD",IF(I32="Blank","Blank",IF(I32="TBC","TBC",IF(I32="Undefined","Undefined",IF(I32="Missed","Missed",IF(I32="OD","OD",IF(I$4="OD","OD",IF((I32-I31)&lt;=0,"G",IF((I32-(I31/0.95))&lt;=0,"A","R"))))))))))</f>
        <v>G</v>
      </c>
      <c r="J33" s="41" t="str">
        <f t="shared" ref="J33" si="48">IF(J$6&gt;$F$3,"",IF(J32="","OD",IF(J32="Blank","Blank",IF(J32="TBC","TBC",IF(J32="Undefined","Undefined",IF(J32="Missed","Missed",IF(J32="OD","OD",IF(J$4="OD","OD",IF((J32-J31)&lt;=0,"G",IF((J32-(J31/0.95))&lt;=0,"A","R"))))))))))</f>
        <v>G</v>
      </c>
      <c r="K33" s="41" t="str">
        <f t="shared" ref="K33" si="49">IF(K$6&gt;$F$3,"",IF(K32="","OD",IF(K32="Blank","Blank",IF(K32="TBC","TBC",IF(K32="Undefined","Undefined",IF(K32="Missed","Missed",IF(K32="OD","OD",IF(K$4="OD","OD",IF((K32-K31)&lt;=0,"G",IF((K32-(K31/0.95))&lt;=0,"A","R"))))))))))</f>
        <v>A</v>
      </c>
      <c r="L33" s="41" t="str">
        <f t="shared" ref="L33" si="50">IF(L$6&gt;$F$3,"",IF(L32="","OD",IF(L32="Blank","Blank",IF(L32="TBC","TBC",IF(L32="Undefined","Undefined",IF(L32="Missed","Missed",IF(L32="OD","OD",IF(L$4="OD","OD",IF((L32-L31)&lt;=0,"G",IF((L32-(L31/0.95))&lt;=0,"A","R"))))))))))</f>
        <v>A</v>
      </c>
      <c r="M33" s="41" t="str">
        <f t="shared" ref="M33" si="51">IF(M$6&gt;$F$3,"",IF(M32="","OD",IF(M32="Blank","Blank",IF(M32="TBC","TBC",IF(M32="Undefined","Undefined",IF(M32="Missed","Missed",IF(M32="OD","OD",IF(M$4="OD","OD",IF((M32-M31)&lt;=0,"G",IF((M32-(M31/0.95))&lt;=0,"A","R"))))))))))</f>
        <v>A</v>
      </c>
      <c r="N33" s="41" t="str">
        <f t="shared" ref="N33" si="52">IF(N$6&gt;$F$3,"",IF(N32="","OD",IF(N32="Blank","Blank",IF(N32="TBC","TBC",IF(N32="Undefined","Undefined",IF(N32="Missed","Missed",IF(N32="OD","OD",IF(N$4="OD","OD",IF((N32-N31)&lt;=0,"G",IF((N32-(N31/0.95))&lt;=0,"A","R"))))))))))</f>
        <v>A</v>
      </c>
      <c r="O33" s="41" t="str">
        <f t="shared" ref="O33" si="53">IF(O$6&gt;$F$3,"",IF(O32="","OD",IF(O32="Blank","Blank",IF(O32="TBC","TBC",IF(O32="Undefined","Undefined",IF(O32="Missed","Missed",IF(O32="OD","OD",IF(O$4="OD","OD",IF((O32-O31)&lt;=0,"G",IF((O32-(O31/0.95))&lt;=0,"A","R"))))))))))</f>
        <v>A</v>
      </c>
      <c r="P33" s="41" t="str">
        <f t="shared" ref="P33" si="54">IF(P$6&gt;$F$3,"",IF(P32="","OD",IF(P32="Blank","Blank",IF(P32="TBC","TBC",IF(P32="Undefined","Undefined",IF(P32="Missed","Missed",IF(P32="OD","OD",IF(P$4="OD","OD",IF((P32-P31)&lt;=0,"G",IF((P32-(P31/0.95))&lt;=0,"A","R"))))))))))</f>
        <v>A</v>
      </c>
      <c r="Q33" s="41" t="str">
        <f t="shared" ref="Q33" si="55">IF(Q$6&gt;$F$3,"",IF(Q32="","OD",IF(Q32="Blank","Blank",IF(Q32="TBC","TBC",IF(Q32="Undefined","Undefined",IF(Q32="Missed","Missed",IF(Q32="OD","OD",IF(Q$4="OD","OD",IF((Q32-Q31)&lt;=0,"G",IF((Q32-(Q31/0.95))&lt;=0,"A","R"))))))))))</f>
        <v>A</v>
      </c>
      <c r="R33" s="41" t="str">
        <f t="shared" ref="R33" si="56">IF(R$6&gt;$F$3,"",IF(R32="","OD",IF(R32="Blank","Blank",IF(R32="TBC","TBC",IF(R32="Undefined","Undefined",IF(R32="Missed","Missed",IF(R32="OD","OD",IF(R$4="OD","OD",IF((R32-R31)&lt;=0,"G",IF((R32-(R31/0.95))&lt;=0,"A","R"))))))))))</f>
        <v/>
      </c>
      <c r="S33" s="41" t="str">
        <f t="shared" ref="S33" si="57">IF(S$6&gt;$F$3,"",IF(S32="","OD",IF(S32="Blank","Blank",IF(S32="TBC","TBC",IF(S32="Undefined","Undefined",IF(S32="Missed","Missed",IF(S32="OD","OD",IF(S$4="OD","OD",IF((S32-S31)&lt;=0,"G",IF((S32-(S31/0.95))&lt;=0,"A","R"))))))))))</f>
        <v/>
      </c>
      <c r="T33" s="41" t="str">
        <f t="shared" ref="T33" si="58">IF(T$6&gt;$F$3,"",IF(T32="","OD",IF(T32="Blank","Blank",IF(T32="TBC","TBC",IF(T32="Undefined","Undefined",IF(T32="Missed","Missed",IF(T32="OD","OD",IF(T$4="OD","OD",IF((T32-T31)&lt;=0,"G",IF((T32-(T31/0.95))&lt;=0,"A","R"))))))))))</f>
        <v/>
      </c>
      <c r="U33" s="107"/>
    </row>
    <row r="34" spans="2:21" ht="24" customHeight="1" x14ac:dyDescent="0.3">
      <c r="B34" s="920" t="s">
        <v>328</v>
      </c>
      <c r="C34" s="922" t="s">
        <v>330</v>
      </c>
      <c r="D34" s="922" t="s">
        <v>332</v>
      </c>
      <c r="E34" s="922"/>
      <c r="F34" s="921" t="s">
        <v>154</v>
      </c>
      <c r="G34" s="952"/>
      <c r="H34" s="27" t="s">
        <v>44</v>
      </c>
      <c r="I34" s="304">
        <v>0</v>
      </c>
      <c r="J34" s="304">
        <v>0.7</v>
      </c>
      <c r="K34" s="304">
        <v>0.8</v>
      </c>
      <c r="L34" s="304">
        <v>0.9</v>
      </c>
      <c r="M34" s="304">
        <v>1</v>
      </c>
      <c r="N34" s="304">
        <v>1</v>
      </c>
      <c r="O34" s="304">
        <v>1</v>
      </c>
      <c r="P34" s="304">
        <v>1</v>
      </c>
      <c r="Q34" s="304">
        <v>1</v>
      </c>
      <c r="R34" s="304">
        <v>1</v>
      </c>
      <c r="S34" s="304">
        <v>1</v>
      </c>
      <c r="T34" s="304">
        <v>1</v>
      </c>
      <c r="U34" s="967"/>
    </row>
    <row r="35" spans="2:21" ht="24" customHeight="1" x14ac:dyDescent="0.3">
      <c r="B35" s="920"/>
      <c r="C35" s="921"/>
      <c r="D35" s="921"/>
      <c r="E35" s="921"/>
      <c r="F35" s="921"/>
      <c r="G35" s="953"/>
      <c r="H35" s="33" t="s">
        <v>45</v>
      </c>
      <c r="I35" s="305">
        <v>0</v>
      </c>
      <c r="J35" s="305">
        <v>0.9</v>
      </c>
      <c r="K35" s="305">
        <v>0.95</v>
      </c>
      <c r="L35" s="305">
        <v>1</v>
      </c>
      <c r="M35" s="305">
        <v>0.9</v>
      </c>
      <c r="N35" s="305">
        <v>0.9</v>
      </c>
      <c r="O35" s="305">
        <v>0.9</v>
      </c>
      <c r="P35" s="305">
        <v>0.9</v>
      </c>
      <c r="Q35" s="305">
        <v>0.95</v>
      </c>
      <c r="R35" s="305"/>
      <c r="S35" s="305"/>
      <c r="T35" s="305"/>
      <c r="U35" s="968"/>
    </row>
    <row r="36" spans="2:21" ht="24" customHeight="1" x14ac:dyDescent="0.3">
      <c r="B36" s="920"/>
      <c r="C36" s="921"/>
      <c r="D36" s="921"/>
      <c r="E36" s="921"/>
      <c r="F36" s="921"/>
      <c r="G36" s="953"/>
      <c r="H36" s="38" t="s">
        <v>46</v>
      </c>
      <c r="I36" s="41" t="str">
        <f>IF(I$6&gt;$F$3,"",IF(I35="","OD",IF(I35="Blank","Blank",IF(I35="TBC","TBC",IF(I35="Undefined","Undefined",IF(I35="Missed","Missed",IF(I35="OD","OD",IF(I$16="OD","OD",IF((I35-I34)&gt;=0,"G",IF((I35-(I34*0.95))&gt;=0,"A","R"))))))))))</f>
        <v>G</v>
      </c>
      <c r="J36" s="41" t="str">
        <f t="shared" ref="J36" si="59">IF(J$6&gt;$F$3,"",IF(J35="","OD",IF(J35="Blank","Blank",IF(J35="TBC","TBC",IF(J35="Undefined","Undefined",IF(J35="Missed","Missed",IF(J35="OD","OD",IF(J$16="OD","OD",IF((J35-J34)&gt;=0,"G",IF((J35-(J34*0.95))&gt;=0,"A","R"))))))))))</f>
        <v>G</v>
      </c>
      <c r="K36" s="41" t="str">
        <f t="shared" ref="K36" si="60">IF(K$6&gt;$F$3,"",IF(K35="","OD",IF(K35="Blank","Blank",IF(K35="TBC","TBC",IF(K35="Undefined","Undefined",IF(K35="Missed","Missed",IF(K35="OD","OD",IF(K$16="OD","OD",IF((K35-K34)&gt;=0,"G",IF((K35-(K34*0.95))&gt;=0,"A","R"))))))))))</f>
        <v>G</v>
      </c>
      <c r="L36" s="41" t="str">
        <f t="shared" ref="L36" si="61">IF(L$6&gt;$F$3,"",IF(L35="","OD",IF(L35="Blank","Blank",IF(L35="TBC","TBC",IF(L35="Undefined","Undefined",IF(L35="Missed","Missed",IF(L35="OD","OD",IF(L$16="OD","OD",IF((L35-L34)&gt;=0,"G",IF((L35-(L34*0.95))&gt;=0,"A","R"))))))))))</f>
        <v>G</v>
      </c>
      <c r="M36" s="41" t="str">
        <f t="shared" ref="M36" si="62">IF(M$6&gt;$F$3,"",IF(M35="","OD",IF(M35="Blank","Blank",IF(M35="TBC","TBC",IF(M35="Undefined","Undefined",IF(M35="Missed","Missed",IF(M35="OD","OD",IF(M$16="OD","OD",IF((M35-M34)&gt;=0,"G",IF((M35-(M34*0.95))&gt;=0,"A","R"))))))))))</f>
        <v>R</v>
      </c>
      <c r="N36" s="41" t="str">
        <f t="shared" ref="N36" si="63">IF(N$6&gt;$F$3,"",IF(N35="","OD",IF(N35="Blank","Blank",IF(N35="TBC","TBC",IF(N35="Undefined","Undefined",IF(N35="Missed","Missed",IF(N35="OD","OD",IF(N$16="OD","OD",IF((N35-N34)&gt;=0,"G",IF((N35-(N34*0.95))&gt;=0,"A","R"))))))))))</f>
        <v>R</v>
      </c>
      <c r="O36" s="41" t="str">
        <f t="shared" ref="O36" si="64">IF(O$6&gt;$F$3,"",IF(O35="","OD",IF(O35="Blank","Blank",IF(O35="TBC","TBC",IF(O35="Undefined","Undefined",IF(O35="Missed","Missed",IF(O35="OD","OD",IF(O$16="OD","OD",IF((O35-O34)&gt;=0,"G",IF((O35-(O34*0.95))&gt;=0,"A","R"))))))))))</f>
        <v>R</v>
      </c>
      <c r="P36" s="41" t="str">
        <f t="shared" ref="P36" si="65">IF(P$6&gt;$F$3,"",IF(P35="","OD",IF(P35="Blank","Blank",IF(P35="TBC","TBC",IF(P35="Undefined","Undefined",IF(P35="Missed","Missed",IF(P35="OD","OD",IF(P$16="OD","OD",IF((P35-P34)&gt;=0,"G",IF((P35-(P34*0.95))&gt;=0,"A","R"))))))))))</f>
        <v>R</v>
      </c>
      <c r="Q36" s="41" t="str">
        <f t="shared" ref="Q36" si="66">IF(Q$6&gt;$F$3,"",IF(Q35="","OD",IF(Q35="Blank","Blank",IF(Q35="TBC","TBC",IF(Q35="Undefined","Undefined",IF(Q35="Missed","Missed",IF(Q35="OD","OD",IF(Q$16="OD","OD",IF((Q35-Q34)&gt;=0,"G",IF((Q35-(Q34*0.95))&gt;=0,"A","R"))))))))))</f>
        <v>A</v>
      </c>
      <c r="R36" s="41" t="str">
        <f t="shared" ref="R36" si="67">IF(R$6&gt;$F$3,"",IF(R35="","OD",IF(R35="Blank","Blank",IF(R35="TBC","TBC",IF(R35="Undefined","Undefined",IF(R35="Missed","Missed",IF(R35="OD","OD",IF(R$16="OD","OD",IF((R35-R34)&gt;=0,"G",IF((R35-(R34*0.95))&gt;=0,"A","R"))))))))))</f>
        <v/>
      </c>
      <c r="S36" s="41" t="str">
        <f t="shared" ref="S36" si="68">IF(S$6&gt;$F$3,"",IF(S35="","OD",IF(S35="Blank","Blank",IF(S35="TBC","TBC",IF(S35="Undefined","Undefined",IF(S35="Missed","Missed",IF(S35="OD","OD",IF(S$16="OD","OD",IF((S35-S34)&gt;=0,"G",IF((S35-(S34*0.95))&gt;=0,"A","R"))))))))))</f>
        <v/>
      </c>
      <c r="T36" s="41" t="str">
        <f t="shared" ref="T36" si="69">IF(T$6&gt;$F$3,"",IF(T35="","OD",IF(T35="Blank","Blank",IF(T35="TBC","TBC",IF(T35="Undefined","Undefined",IF(T35="Missed","Missed",IF(T35="OD","OD",IF(T$16="OD","OD",IF((T35-T34)&gt;=0,"G",IF((T35-(T34*0.95))&gt;=0,"A","R"))))))))))</f>
        <v/>
      </c>
      <c r="U36" s="107"/>
    </row>
    <row r="37" spans="2:21" x14ac:dyDescent="0.3">
      <c r="B37" s="46"/>
      <c r="C37" s="47"/>
    </row>
    <row r="38" spans="2:21" ht="15.6" x14ac:dyDescent="0.3">
      <c r="B38" s="1" t="s">
        <v>0</v>
      </c>
      <c r="C38" s="45" t="s">
        <v>1</v>
      </c>
    </row>
    <row r="39" spans="2:21" ht="15.6" x14ac:dyDescent="0.3">
      <c r="B39" s="4" t="s">
        <v>2</v>
      </c>
      <c r="C39" s="45" t="s">
        <v>3</v>
      </c>
    </row>
    <row r="40" spans="2:21" ht="15.6" x14ac:dyDescent="0.3">
      <c r="B40" s="5" t="s">
        <v>4</v>
      </c>
      <c r="C40" s="45" t="s">
        <v>5</v>
      </c>
    </row>
    <row r="41" spans="2:21" ht="24" customHeight="1" x14ac:dyDescent="0.3">
      <c r="B41" s="340" t="s">
        <v>35</v>
      </c>
      <c r="C41" s="13" t="s">
        <v>376</v>
      </c>
    </row>
    <row r="42" spans="2:21" x14ac:dyDescent="0.3">
      <c r="B42" s="341" t="s">
        <v>122</v>
      </c>
      <c r="C42" s="13" t="s">
        <v>377</v>
      </c>
    </row>
  </sheetData>
  <mergeCells count="59">
    <mergeCell ref="U7:U8"/>
    <mergeCell ref="C7:D7"/>
    <mergeCell ref="G7:G8"/>
    <mergeCell ref="G9:G11"/>
    <mergeCell ref="U9:U10"/>
    <mergeCell ref="F12:F14"/>
    <mergeCell ref="G12:G14"/>
    <mergeCell ref="U12:U13"/>
    <mergeCell ref="B9:B11"/>
    <mergeCell ref="C9:C11"/>
    <mergeCell ref="D9:D11"/>
    <mergeCell ref="E9:E11"/>
    <mergeCell ref="F9:F11"/>
    <mergeCell ref="B12:B14"/>
    <mergeCell ref="C12:C14"/>
    <mergeCell ref="D12:D14"/>
    <mergeCell ref="E12:E14"/>
    <mergeCell ref="G16:G18"/>
    <mergeCell ref="U16:U17"/>
    <mergeCell ref="B19:B21"/>
    <mergeCell ref="C19:C21"/>
    <mergeCell ref="D19:D21"/>
    <mergeCell ref="E19:E21"/>
    <mergeCell ref="F19:F21"/>
    <mergeCell ref="G19:G21"/>
    <mergeCell ref="U19:U20"/>
    <mergeCell ref="B16:B18"/>
    <mergeCell ref="C16:C18"/>
    <mergeCell ref="D16:D18"/>
    <mergeCell ref="E16:E18"/>
    <mergeCell ref="F16:F18"/>
    <mergeCell ref="G24:G26"/>
    <mergeCell ref="U24:U25"/>
    <mergeCell ref="B27:B29"/>
    <mergeCell ref="C27:C29"/>
    <mergeCell ref="D27:D29"/>
    <mergeCell ref="E27:E29"/>
    <mergeCell ref="F27:F29"/>
    <mergeCell ref="G27:G29"/>
    <mergeCell ref="U27:U28"/>
    <mergeCell ref="B24:B26"/>
    <mergeCell ref="C24:C26"/>
    <mergeCell ref="D24:D26"/>
    <mergeCell ref="E24:E26"/>
    <mergeCell ref="F24:F26"/>
    <mergeCell ref="G31:G33"/>
    <mergeCell ref="U31:U32"/>
    <mergeCell ref="B34:B36"/>
    <mergeCell ref="C34:C36"/>
    <mergeCell ref="D34:D36"/>
    <mergeCell ref="E34:E36"/>
    <mergeCell ref="F34:F36"/>
    <mergeCell ref="G34:G36"/>
    <mergeCell ref="U34:U35"/>
    <mergeCell ref="B31:B33"/>
    <mergeCell ref="C31:C33"/>
    <mergeCell ref="D31:D33"/>
    <mergeCell ref="E31:E33"/>
    <mergeCell ref="F31:F33"/>
  </mergeCells>
  <conditionalFormatting sqref="B42">
    <cfRule type="cellIs" dxfId="59" priority="85" operator="equal">
      <formula>"R"</formula>
    </cfRule>
    <cfRule type="cellIs" dxfId="58" priority="84" operator="equal">
      <formula>"A"</formula>
    </cfRule>
    <cfRule type="cellIs" dxfId="57" priority="83" operator="equal">
      <formula>"G"</formula>
    </cfRule>
    <cfRule type="cellIs" dxfId="56" priority="82" operator="equal">
      <formula>"OD"</formula>
    </cfRule>
    <cfRule type="cellIs" dxfId="55" priority="81" operator="equal">
      <formula>"TBC"</formula>
    </cfRule>
  </conditionalFormatting>
  <conditionalFormatting sqref="I11:T11">
    <cfRule type="cellIs" dxfId="54" priority="40" operator="equal">
      <formula>"R"</formula>
    </cfRule>
    <cfRule type="cellIs" dxfId="53" priority="39" operator="equal">
      <formula>"A"</formula>
    </cfRule>
    <cfRule type="cellIs" dxfId="52" priority="38" operator="equal">
      <formula>"G"</formula>
    </cfRule>
    <cfRule type="cellIs" dxfId="51" priority="37" operator="equal">
      <formula>"OD"</formula>
    </cfRule>
    <cfRule type="cellIs" dxfId="50" priority="36" operator="equal">
      <formula>"TBC"</formula>
    </cfRule>
  </conditionalFormatting>
  <conditionalFormatting sqref="I14:T14">
    <cfRule type="cellIs" dxfId="49" priority="26" operator="equal">
      <formula>"TBC"</formula>
    </cfRule>
    <cfRule type="cellIs" dxfId="48" priority="30" operator="equal">
      <formula>"R"</formula>
    </cfRule>
    <cfRule type="cellIs" dxfId="47" priority="29" operator="equal">
      <formula>"A"</formula>
    </cfRule>
    <cfRule type="cellIs" dxfId="46" priority="28" operator="equal">
      <formula>"G"</formula>
    </cfRule>
    <cfRule type="cellIs" dxfId="45" priority="27" operator="equal">
      <formula>"OD"</formula>
    </cfRule>
  </conditionalFormatting>
  <conditionalFormatting sqref="I18:T18">
    <cfRule type="cellIs" dxfId="44" priority="59" operator="equal">
      <formula>"A"</formula>
    </cfRule>
    <cfRule type="cellIs" dxfId="43" priority="56" operator="equal">
      <formula>"TBC"</formula>
    </cfRule>
    <cfRule type="cellIs" dxfId="42" priority="57" operator="equal">
      <formula>"OD"</formula>
    </cfRule>
    <cfRule type="cellIs" dxfId="41" priority="58" operator="equal">
      <formula>"G"</formula>
    </cfRule>
    <cfRule type="cellIs" dxfId="40" priority="60" operator="equal">
      <formula>"R"</formula>
    </cfRule>
  </conditionalFormatting>
  <conditionalFormatting sqref="I21:T21">
    <cfRule type="cellIs" dxfId="39" priority="20" operator="equal">
      <formula>"R"</formula>
    </cfRule>
    <cfRule type="cellIs" dxfId="38" priority="19" operator="equal">
      <formula>"A"</formula>
    </cfRule>
    <cfRule type="cellIs" dxfId="37" priority="18" operator="equal">
      <formula>"G"</formula>
    </cfRule>
    <cfRule type="cellIs" dxfId="36" priority="17" operator="equal">
      <formula>"OD"</formula>
    </cfRule>
    <cfRule type="cellIs" dxfId="35" priority="16" operator="equal">
      <formula>"TBC"</formula>
    </cfRule>
  </conditionalFormatting>
  <conditionalFormatting sqref="I26:T26">
    <cfRule type="cellIs" dxfId="34" priority="13" operator="equal">
      <formula>"G"</formula>
    </cfRule>
    <cfRule type="cellIs" dxfId="33" priority="11" operator="equal">
      <formula>"TBC"</formula>
    </cfRule>
    <cfRule type="cellIs" dxfId="32" priority="15" operator="equal">
      <formula>"R"</formula>
    </cfRule>
    <cfRule type="cellIs" dxfId="31" priority="14" operator="equal">
      <formula>"A"</formula>
    </cfRule>
    <cfRule type="cellIs" dxfId="30" priority="12" operator="equal">
      <formula>"OD"</formula>
    </cfRule>
  </conditionalFormatting>
  <conditionalFormatting sqref="I29:T29">
    <cfRule type="cellIs" dxfId="29" priority="6" operator="equal">
      <formula>"TBC"</formula>
    </cfRule>
    <cfRule type="cellIs" dxfId="28" priority="8" operator="equal">
      <formula>"G"</formula>
    </cfRule>
    <cfRule type="cellIs" dxfId="27" priority="9" operator="equal">
      <formula>"A"</formula>
    </cfRule>
    <cfRule type="cellIs" dxfId="26" priority="10" operator="equal">
      <formula>"R"</formula>
    </cfRule>
    <cfRule type="cellIs" dxfId="25" priority="7" operator="equal">
      <formula>"OD"</formula>
    </cfRule>
  </conditionalFormatting>
  <conditionalFormatting sqref="I33:T33">
    <cfRule type="cellIs" dxfId="24" priority="21" operator="equal">
      <formula>"TBC"</formula>
    </cfRule>
    <cfRule type="cellIs" dxfId="23" priority="25" operator="equal">
      <formula>"R"</formula>
    </cfRule>
    <cfRule type="cellIs" dxfId="22" priority="24" operator="equal">
      <formula>"A"</formula>
    </cfRule>
    <cfRule type="cellIs" dxfId="21" priority="23" operator="equal">
      <formula>"G"</formula>
    </cfRule>
    <cfRule type="cellIs" dxfId="20" priority="22" operator="equal">
      <formula>"OD"</formula>
    </cfRule>
  </conditionalFormatting>
  <conditionalFormatting sqref="I36:T36">
    <cfRule type="cellIs" dxfId="19" priority="2" operator="equal">
      <formula>"OD"</formula>
    </cfRule>
    <cfRule type="cellIs" dxfId="18" priority="3" operator="equal">
      <formula>"G"</formula>
    </cfRule>
    <cfRule type="cellIs" dxfId="17" priority="4" operator="equal">
      <formula>"A"</formula>
    </cfRule>
    <cfRule type="cellIs" dxfId="16" priority="5" operator="equal">
      <formula>"R"</formula>
    </cfRule>
    <cfRule type="cellIs" dxfId="15" priority="1" operator="equal">
      <formula>"TBC"</formula>
    </cfRule>
  </conditionalFormatting>
  <conditionalFormatting sqref="U16">
    <cfRule type="cellIs" dxfId="14" priority="89" operator="equal">
      <formula>"G"</formula>
    </cfRule>
    <cfRule type="cellIs" dxfId="13" priority="90" operator="equal">
      <formula>"A"</formula>
    </cfRule>
    <cfRule type="cellIs" dxfId="12" priority="91" operator="equal">
      <formula>"R"</formula>
    </cfRule>
  </conditionalFormatting>
  <conditionalFormatting sqref="U25">
    <cfRule type="cellIs" dxfId="11" priority="86" operator="equal">
      <formula>"G"</formula>
    </cfRule>
    <cfRule type="cellIs" dxfId="10" priority="87" operator="equal">
      <formula>"A"</formula>
    </cfRule>
    <cfRule type="cellIs" dxfId="9" priority="88" operator="equal">
      <formula>"R"</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BF84-AF8F-41C6-9848-44E12AFCCD68}">
  <sheetPr>
    <tabColor rgb="FFEE0000"/>
  </sheetPr>
  <dimension ref="A1"/>
  <sheetViews>
    <sheetView workbookViewId="0">
      <selection activeCell="P33" sqref="P33"/>
    </sheetView>
  </sheetViews>
  <sheetFormatPr defaultRowHeight="14.4" x14ac:dyDescent="0.3"/>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B7F9-49B9-46F1-94CD-417DD229D692}">
  <dimension ref="B2:F56"/>
  <sheetViews>
    <sheetView workbookViewId="0">
      <selection activeCell="F34" sqref="F34"/>
    </sheetView>
  </sheetViews>
  <sheetFormatPr defaultRowHeight="14.4" x14ac:dyDescent="0.3"/>
  <cols>
    <col min="3" max="3" width="13.88671875" customWidth="1"/>
  </cols>
  <sheetData>
    <row r="2" spans="2:6" x14ac:dyDescent="0.3">
      <c r="B2" s="15" t="s">
        <v>7</v>
      </c>
      <c r="C2" s="15" t="s">
        <v>41</v>
      </c>
      <c r="E2" s="15" t="s">
        <v>381</v>
      </c>
      <c r="F2" s="15" t="s">
        <v>382</v>
      </c>
    </row>
    <row r="3" spans="2:6" x14ac:dyDescent="0.3">
      <c r="B3" s="18">
        <v>1</v>
      </c>
      <c r="C3" s="344">
        <v>45660</v>
      </c>
      <c r="E3" s="18" t="s">
        <v>81</v>
      </c>
      <c r="F3" s="18">
        <v>1</v>
      </c>
    </row>
    <row r="4" spans="2:6" x14ac:dyDescent="0.3">
      <c r="B4" s="19">
        <f t="shared" ref="B4:B35" si="0">B3+1</f>
        <v>2</v>
      </c>
      <c r="C4" s="345">
        <f t="shared" ref="C4:C35" si="1">C3+7</f>
        <v>45667</v>
      </c>
      <c r="E4" s="19" t="s">
        <v>82</v>
      </c>
      <c r="F4" s="19">
        <v>2</v>
      </c>
    </row>
    <row r="5" spans="2:6" x14ac:dyDescent="0.3">
      <c r="B5" s="19">
        <f t="shared" si="0"/>
        <v>3</v>
      </c>
      <c r="C5" s="345">
        <f t="shared" si="1"/>
        <v>45674</v>
      </c>
      <c r="E5" s="19" t="s">
        <v>83</v>
      </c>
      <c r="F5" s="19">
        <v>3</v>
      </c>
    </row>
    <row r="6" spans="2:6" x14ac:dyDescent="0.3">
      <c r="B6" s="19">
        <f t="shared" si="0"/>
        <v>4</v>
      </c>
      <c r="C6" s="345">
        <f t="shared" si="1"/>
        <v>45681</v>
      </c>
      <c r="E6" s="19" t="s">
        <v>84</v>
      </c>
      <c r="F6" s="19">
        <v>4</v>
      </c>
    </row>
    <row r="7" spans="2:6" x14ac:dyDescent="0.3">
      <c r="B7" s="19">
        <f t="shared" si="0"/>
        <v>5</v>
      </c>
      <c r="C7" s="345">
        <f t="shared" si="1"/>
        <v>45688</v>
      </c>
      <c r="E7" s="19" t="s">
        <v>85</v>
      </c>
      <c r="F7" s="19">
        <v>5</v>
      </c>
    </row>
    <row r="8" spans="2:6" x14ac:dyDescent="0.3">
      <c r="B8" s="19">
        <f t="shared" si="0"/>
        <v>6</v>
      </c>
      <c r="C8" s="345">
        <f t="shared" si="1"/>
        <v>45695</v>
      </c>
      <c r="E8" s="19" t="s">
        <v>86</v>
      </c>
      <c r="F8" s="19">
        <v>6</v>
      </c>
    </row>
    <row r="9" spans="2:6" x14ac:dyDescent="0.3">
      <c r="B9" s="19">
        <f t="shared" si="0"/>
        <v>7</v>
      </c>
      <c r="C9" s="345">
        <f t="shared" si="1"/>
        <v>45702</v>
      </c>
      <c r="E9" s="19" t="s">
        <v>87</v>
      </c>
      <c r="F9" s="19">
        <v>7</v>
      </c>
    </row>
    <row r="10" spans="2:6" x14ac:dyDescent="0.3">
      <c r="B10" s="19">
        <f t="shared" si="0"/>
        <v>8</v>
      </c>
      <c r="C10" s="345">
        <f t="shared" si="1"/>
        <v>45709</v>
      </c>
      <c r="E10" s="19" t="s">
        <v>88</v>
      </c>
      <c r="F10" s="19">
        <v>8</v>
      </c>
    </row>
    <row r="11" spans="2:6" x14ac:dyDescent="0.3">
      <c r="B11" s="19">
        <f t="shared" si="0"/>
        <v>9</v>
      </c>
      <c r="C11" s="345">
        <f t="shared" si="1"/>
        <v>45716</v>
      </c>
      <c r="E11" s="19" t="s">
        <v>383</v>
      </c>
      <c r="F11" s="19">
        <v>9</v>
      </c>
    </row>
    <row r="12" spans="2:6" x14ac:dyDescent="0.3">
      <c r="B12" s="19">
        <f t="shared" si="0"/>
        <v>10</v>
      </c>
      <c r="C12" s="345">
        <f t="shared" si="1"/>
        <v>45723</v>
      </c>
      <c r="E12" s="19" t="s">
        <v>90</v>
      </c>
      <c r="F12" s="19">
        <v>10</v>
      </c>
    </row>
    <row r="13" spans="2:6" x14ac:dyDescent="0.3">
      <c r="B13" s="19">
        <f t="shared" si="0"/>
        <v>11</v>
      </c>
      <c r="C13" s="345">
        <f t="shared" si="1"/>
        <v>45730</v>
      </c>
      <c r="E13" s="19" t="s">
        <v>91</v>
      </c>
      <c r="F13" s="19">
        <v>11</v>
      </c>
    </row>
    <row r="14" spans="2:6" x14ac:dyDescent="0.3">
      <c r="B14" s="19">
        <f t="shared" si="0"/>
        <v>12</v>
      </c>
      <c r="C14" s="345">
        <f t="shared" si="1"/>
        <v>45737</v>
      </c>
      <c r="E14" s="19" t="s">
        <v>92</v>
      </c>
      <c r="F14" s="19">
        <v>12</v>
      </c>
    </row>
    <row r="15" spans="2:6" x14ac:dyDescent="0.3">
      <c r="B15" s="19">
        <f t="shared" si="0"/>
        <v>13</v>
      </c>
      <c r="C15" s="345">
        <f t="shared" si="1"/>
        <v>45744</v>
      </c>
    </row>
    <row r="16" spans="2:6" x14ac:dyDescent="0.3">
      <c r="B16" s="19">
        <f t="shared" si="0"/>
        <v>14</v>
      </c>
      <c r="C16" s="345">
        <f t="shared" si="1"/>
        <v>45751</v>
      </c>
    </row>
    <row r="17" spans="2:3" x14ac:dyDescent="0.3">
      <c r="B17" s="19">
        <f t="shared" si="0"/>
        <v>15</v>
      </c>
      <c r="C17" s="345">
        <f t="shared" si="1"/>
        <v>45758</v>
      </c>
    </row>
    <row r="18" spans="2:3" x14ac:dyDescent="0.3">
      <c r="B18" s="19">
        <f t="shared" si="0"/>
        <v>16</v>
      </c>
      <c r="C18" s="345">
        <f t="shared" si="1"/>
        <v>45765</v>
      </c>
    </row>
    <row r="19" spans="2:3" x14ac:dyDescent="0.3">
      <c r="B19" s="19">
        <f t="shared" si="0"/>
        <v>17</v>
      </c>
      <c r="C19" s="345">
        <f t="shared" si="1"/>
        <v>45772</v>
      </c>
    </row>
    <row r="20" spans="2:3" x14ac:dyDescent="0.3">
      <c r="B20" s="19">
        <f t="shared" si="0"/>
        <v>18</v>
      </c>
      <c r="C20" s="345">
        <f t="shared" si="1"/>
        <v>45779</v>
      </c>
    </row>
    <row r="21" spans="2:3" x14ac:dyDescent="0.3">
      <c r="B21" s="19">
        <f t="shared" si="0"/>
        <v>19</v>
      </c>
      <c r="C21" s="345">
        <f t="shared" si="1"/>
        <v>45786</v>
      </c>
    </row>
    <row r="22" spans="2:3" x14ac:dyDescent="0.3">
      <c r="B22" s="19">
        <f t="shared" si="0"/>
        <v>20</v>
      </c>
      <c r="C22" s="345">
        <f t="shared" si="1"/>
        <v>45793</v>
      </c>
    </row>
    <row r="23" spans="2:3" x14ac:dyDescent="0.3">
      <c r="B23" s="19">
        <f t="shared" si="0"/>
        <v>21</v>
      </c>
      <c r="C23" s="345">
        <f t="shared" si="1"/>
        <v>45800</v>
      </c>
    </row>
    <row r="24" spans="2:3" x14ac:dyDescent="0.3">
      <c r="B24" s="19">
        <f t="shared" si="0"/>
        <v>22</v>
      </c>
      <c r="C24" s="345">
        <f t="shared" si="1"/>
        <v>45807</v>
      </c>
    </row>
    <row r="25" spans="2:3" x14ac:dyDescent="0.3">
      <c r="B25" s="19">
        <f t="shared" si="0"/>
        <v>23</v>
      </c>
      <c r="C25" s="345">
        <f t="shared" si="1"/>
        <v>45814</v>
      </c>
    </row>
    <row r="26" spans="2:3" x14ac:dyDescent="0.3">
      <c r="B26" s="19">
        <f t="shared" si="0"/>
        <v>24</v>
      </c>
      <c r="C26" s="345">
        <f t="shared" si="1"/>
        <v>45821</v>
      </c>
    </row>
    <row r="27" spans="2:3" x14ac:dyDescent="0.3">
      <c r="B27" s="19">
        <f t="shared" si="0"/>
        <v>25</v>
      </c>
      <c r="C27" s="345">
        <f t="shared" si="1"/>
        <v>45828</v>
      </c>
    </row>
    <row r="28" spans="2:3" x14ac:dyDescent="0.3">
      <c r="B28" s="19">
        <f t="shared" si="0"/>
        <v>26</v>
      </c>
      <c r="C28" s="345">
        <f t="shared" si="1"/>
        <v>45835</v>
      </c>
    </row>
    <row r="29" spans="2:3" x14ac:dyDescent="0.3">
      <c r="B29" s="19">
        <f t="shared" si="0"/>
        <v>27</v>
      </c>
      <c r="C29" s="345">
        <f t="shared" si="1"/>
        <v>45842</v>
      </c>
    </row>
    <row r="30" spans="2:3" x14ac:dyDescent="0.3">
      <c r="B30" s="19">
        <f t="shared" si="0"/>
        <v>28</v>
      </c>
      <c r="C30" s="345">
        <f t="shared" si="1"/>
        <v>45849</v>
      </c>
    </row>
    <row r="31" spans="2:3" x14ac:dyDescent="0.3">
      <c r="B31" s="19">
        <f t="shared" si="0"/>
        <v>29</v>
      </c>
      <c r="C31" s="345">
        <f t="shared" si="1"/>
        <v>45856</v>
      </c>
    </row>
    <row r="32" spans="2:3" x14ac:dyDescent="0.3">
      <c r="B32" s="19">
        <f t="shared" si="0"/>
        <v>30</v>
      </c>
      <c r="C32" s="345">
        <f t="shared" si="1"/>
        <v>45863</v>
      </c>
    </row>
    <row r="33" spans="2:3" x14ac:dyDescent="0.3">
      <c r="B33" s="19">
        <f t="shared" si="0"/>
        <v>31</v>
      </c>
      <c r="C33" s="345">
        <f t="shared" si="1"/>
        <v>45870</v>
      </c>
    </row>
    <row r="34" spans="2:3" x14ac:dyDescent="0.3">
      <c r="B34" s="19">
        <f t="shared" si="0"/>
        <v>32</v>
      </c>
      <c r="C34" s="345">
        <f t="shared" si="1"/>
        <v>45877</v>
      </c>
    </row>
    <row r="35" spans="2:3" x14ac:dyDescent="0.3">
      <c r="B35" s="19">
        <f t="shared" si="0"/>
        <v>33</v>
      </c>
      <c r="C35" s="345">
        <f t="shared" si="1"/>
        <v>45884</v>
      </c>
    </row>
    <row r="36" spans="2:3" x14ac:dyDescent="0.3">
      <c r="B36" s="19">
        <f t="shared" ref="B36:B55" si="2">B35+1</f>
        <v>34</v>
      </c>
      <c r="C36" s="345">
        <f t="shared" ref="C36:C55" si="3">C35+7</f>
        <v>45891</v>
      </c>
    </row>
    <row r="37" spans="2:3" x14ac:dyDescent="0.3">
      <c r="B37" s="19">
        <f t="shared" si="2"/>
        <v>35</v>
      </c>
      <c r="C37" s="345">
        <f t="shared" si="3"/>
        <v>45898</v>
      </c>
    </row>
    <row r="38" spans="2:3" x14ac:dyDescent="0.3">
      <c r="B38" s="19">
        <f t="shared" si="2"/>
        <v>36</v>
      </c>
      <c r="C38" s="345">
        <f t="shared" si="3"/>
        <v>45905</v>
      </c>
    </row>
    <row r="39" spans="2:3" x14ac:dyDescent="0.3">
      <c r="B39" s="19">
        <f t="shared" si="2"/>
        <v>37</v>
      </c>
      <c r="C39" s="345">
        <f t="shared" si="3"/>
        <v>45912</v>
      </c>
    </row>
    <row r="40" spans="2:3" x14ac:dyDescent="0.3">
      <c r="B40" s="19">
        <f t="shared" si="2"/>
        <v>38</v>
      </c>
      <c r="C40" s="345">
        <f t="shared" si="3"/>
        <v>45919</v>
      </c>
    </row>
    <row r="41" spans="2:3" x14ac:dyDescent="0.3">
      <c r="B41" s="19">
        <f t="shared" si="2"/>
        <v>39</v>
      </c>
      <c r="C41" s="345">
        <f t="shared" si="3"/>
        <v>45926</v>
      </c>
    </row>
    <row r="42" spans="2:3" x14ac:dyDescent="0.3">
      <c r="B42" s="19">
        <f t="shared" si="2"/>
        <v>40</v>
      </c>
      <c r="C42" s="345">
        <f t="shared" si="3"/>
        <v>45933</v>
      </c>
    </row>
    <row r="43" spans="2:3" x14ac:dyDescent="0.3">
      <c r="B43" s="19">
        <f t="shared" si="2"/>
        <v>41</v>
      </c>
      <c r="C43" s="345">
        <f t="shared" si="3"/>
        <v>45940</v>
      </c>
    </row>
    <row r="44" spans="2:3" x14ac:dyDescent="0.3">
      <c r="B44" s="19">
        <f t="shared" si="2"/>
        <v>42</v>
      </c>
      <c r="C44" s="345">
        <f t="shared" si="3"/>
        <v>45947</v>
      </c>
    </row>
    <row r="45" spans="2:3" x14ac:dyDescent="0.3">
      <c r="B45" s="19">
        <f t="shared" si="2"/>
        <v>43</v>
      </c>
      <c r="C45" s="345">
        <f t="shared" si="3"/>
        <v>45954</v>
      </c>
    </row>
    <row r="46" spans="2:3" x14ac:dyDescent="0.3">
      <c r="B46" s="19">
        <f t="shared" si="2"/>
        <v>44</v>
      </c>
      <c r="C46" s="345">
        <f t="shared" si="3"/>
        <v>45961</v>
      </c>
    </row>
    <row r="47" spans="2:3" x14ac:dyDescent="0.3">
      <c r="B47" s="19">
        <f t="shared" si="2"/>
        <v>45</v>
      </c>
      <c r="C47" s="345">
        <f t="shared" si="3"/>
        <v>45968</v>
      </c>
    </row>
    <row r="48" spans="2:3" x14ac:dyDescent="0.3">
      <c r="B48" s="19">
        <f t="shared" si="2"/>
        <v>46</v>
      </c>
      <c r="C48" s="345">
        <f t="shared" si="3"/>
        <v>45975</v>
      </c>
    </row>
    <row r="49" spans="2:3" x14ac:dyDescent="0.3">
      <c r="B49" s="19">
        <f t="shared" si="2"/>
        <v>47</v>
      </c>
      <c r="C49" s="345">
        <f t="shared" si="3"/>
        <v>45982</v>
      </c>
    </row>
    <row r="50" spans="2:3" x14ac:dyDescent="0.3">
      <c r="B50" s="19">
        <f t="shared" si="2"/>
        <v>48</v>
      </c>
      <c r="C50" s="345">
        <f t="shared" si="3"/>
        <v>45989</v>
      </c>
    </row>
    <row r="51" spans="2:3" x14ac:dyDescent="0.3">
      <c r="B51" s="19">
        <f t="shared" si="2"/>
        <v>49</v>
      </c>
      <c r="C51" s="345">
        <f t="shared" si="3"/>
        <v>45996</v>
      </c>
    </row>
    <row r="52" spans="2:3" x14ac:dyDescent="0.3">
      <c r="B52" s="19">
        <f t="shared" si="2"/>
        <v>50</v>
      </c>
      <c r="C52" s="345">
        <f t="shared" si="3"/>
        <v>46003</v>
      </c>
    </row>
    <row r="53" spans="2:3" x14ac:dyDescent="0.3">
      <c r="B53" s="19">
        <f t="shared" si="2"/>
        <v>51</v>
      </c>
      <c r="C53" s="345">
        <f t="shared" si="3"/>
        <v>46010</v>
      </c>
    </row>
    <row r="54" spans="2:3" x14ac:dyDescent="0.3">
      <c r="B54" s="19">
        <f t="shared" si="2"/>
        <v>52</v>
      </c>
      <c r="C54" s="345">
        <f t="shared" si="3"/>
        <v>46017</v>
      </c>
    </row>
    <row r="55" spans="2:3" x14ac:dyDescent="0.3">
      <c r="B55" s="19">
        <f t="shared" si="2"/>
        <v>53</v>
      </c>
      <c r="C55" s="345">
        <f t="shared" si="3"/>
        <v>46024</v>
      </c>
    </row>
    <row r="56" spans="2:3" x14ac:dyDescent="0.3">
      <c r="B56" s="20" t="s">
        <v>34</v>
      </c>
      <c r="C56" s="26"/>
    </row>
  </sheetData>
  <phoneticPr fontId="36"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0D95-4502-43DA-AE23-443BAD278B61}">
  <sheetPr>
    <tabColor theme="5" tint="0.79998168889431442"/>
  </sheetPr>
  <dimension ref="B1:AA122"/>
  <sheetViews>
    <sheetView topLeftCell="A81" zoomScale="80" zoomScaleNormal="80" workbookViewId="0">
      <selection activeCell="V70" sqref="V70"/>
    </sheetView>
  </sheetViews>
  <sheetFormatPr defaultRowHeight="14.4" outlineLevelCol="1" x14ac:dyDescent="0.3"/>
  <cols>
    <col min="1" max="1" width="4.44140625" customWidth="1"/>
    <col min="2" max="2" width="19.6640625" customWidth="1"/>
    <col min="4" max="4" width="15.33203125" customWidth="1"/>
    <col min="5" max="5" width="55.21875" customWidth="1"/>
    <col min="6" max="6" width="13" bestFit="1" customWidth="1"/>
    <col min="7" max="7" width="21.33203125" customWidth="1"/>
    <col min="8" max="8" width="21.77734375" style="549" bestFit="1" customWidth="1"/>
    <col min="9" max="9" width="6.21875" customWidth="1"/>
    <col min="10" max="10" width="10.88671875" customWidth="1"/>
    <col min="11" max="13" width="8.6640625" customWidth="1"/>
    <col min="14" max="15" width="8.6640625" customWidth="1" outlineLevel="1"/>
    <col min="16" max="17" width="12.109375" customWidth="1" outlineLevel="1"/>
    <col min="18" max="18" width="11.77734375" customWidth="1" outlineLevel="1"/>
    <col min="19" max="19" width="9.5546875" customWidth="1" outlineLevel="1"/>
    <col min="20" max="20" width="12.77734375" customWidth="1"/>
    <col min="21" max="21" width="4.109375" customWidth="1"/>
    <col min="22" max="22" width="8.33203125" customWidth="1"/>
    <col min="23" max="23" width="4.6640625" customWidth="1"/>
    <col min="24" max="24" width="14.109375" customWidth="1"/>
    <col min="25" max="25" width="5.6640625" customWidth="1"/>
    <col min="26" max="26" width="12.109375" customWidth="1"/>
    <col min="27" max="27" width="88.88671875" bestFit="1" customWidth="1"/>
  </cols>
  <sheetData>
    <row r="1" spans="2:27" ht="21.6" thickBot="1" x14ac:dyDescent="0.45">
      <c r="B1" s="186" t="s">
        <v>199</v>
      </c>
      <c r="Z1" s="110" t="s">
        <v>149</v>
      </c>
      <c r="AA1" t="s">
        <v>270</v>
      </c>
    </row>
    <row r="2" spans="2:27" ht="18.600000000000001" thickBot="1" x14ac:dyDescent="0.4">
      <c r="G2" s="112"/>
      <c r="J2" s="237" t="s">
        <v>263</v>
      </c>
      <c r="K2" s="235" t="s">
        <v>262</v>
      </c>
      <c r="L2" s="235"/>
      <c r="M2" s="235"/>
      <c r="N2" s="235"/>
      <c r="O2" s="235"/>
      <c r="P2" s="235"/>
      <c r="Q2" s="235"/>
      <c r="R2" s="235"/>
      <c r="S2" s="235"/>
      <c r="T2" s="235"/>
      <c r="V2" s="236"/>
      <c r="Z2" s="154" t="s">
        <v>150</v>
      </c>
      <c r="AA2" t="s">
        <v>271</v>
      </c>
    </row>
    <row r="3" spans="2:27" x14ac:dyDescent="0.3">
      <c r="Z3" s="155" t="s">
        <v>151</v>
      </c>
      <c r="AA3" t="s">
        <v>272</v>
      </c>
    </row>
    <row r="4" spans="2:27" ht="15" thickBot="1" x14ac:dyDescent="0.35">
      <c r="Z4" s="2" t="s">
        <v>35</v>
      </c>
      <c r="AA4" s="2" t="s">
        <v>273</v>
      </c>
    </row>
    <row r="5" spans="2:27" ht="38.700000000000003" customHeight="1" thickBot="1" x14ac:dyDescent="0.35">
      <c r="B5" s="113" t="s">
        <v>125</v>
      </c>
      <c r="C5" s="113" t="s">
        <v>190</v>
      </c>
      <c r="D5" s="113" t="s">
        <v>38</v>
      </c>
      <c r="E5" s="113" t="s">
        <v>39</v>
      </c>
      <c r="F5" s="113" t="s">
        <v>140</v>
      </c>
      <c r="G5" s="166"/>
      <c r="J5" s="410" t="s">
        <v>504</v>
      </c>
      <c r="K5" s="171" t="s">
        <v>149</v>
      </c>
      <c r="L5" s="172" t="s">
        <v>150</v>
      </c>
      <c r="M5" s="173" t="s">
        <v>151</v>
      </c>
      <c r="N5" s="405" t="s">
        <v>196</v>
      </c>
      <c r="O5" s="405" t="s">
        <v>501</v>
      </c>
      <c r="P5" s="405" t="s">
        <v>497</v>
      </c>
      <c r="Q5" s="405" t="s">
        <v>155</v>
      </c>
      <c r="R5" s="405" t="s">
        <v>502</v>
      </c>
      <c r="S5" s="406" t="s">
        <v>195</v>
      </c>
      <c r="T5" s="404" t="s">
        <v>505</v>
      </c>
      <c r="V5" s="174" t="s">
        <v>152</v>
      </c>
      <c r="Z5" s="2" t="s">
        <v>122</v>
      </c>
      <c r="AA5" s="2" t="s">
        <v>274</v>
      </c>
    </row>
    <row r="6" spans="2:27" ht="29.4" thickBot="1" x14ac:dyDescent="0.35">
      <c r="G6" s="167" t="s">
        <v>225</v>
      </c>
      <c r="J6" s="184" t="s">
        <v>153</v>
      </c>
      <c r="K6" s="129"/>
      <c r="L6" s="129"/>
      <c r="M6" s="129"/>
      <c r="N6" s="129"/>
      <c r="O6" s="129"/>
      <c r="P6" s="129"/>
      <c r="Q6" s="129"/>
      <c r="R6" s="129"/>
      <c r="S6" s="130"/>
      <c r="T6" s="130"/>
      <c r="V6" s="184"/>
      <c r="X6" s="311" t="s">
        <v>352</v>
      </c>
      <c r="Z6" s="3" t="s">
        <v>182</v>
      </c>
      <c r="AA6" s="3" t="s">
        <v>183</v>
      </c>
    </row>
    <row r="7" spans="2:27" ht="15.6" x14ac:dyDescent="0.3">
      <c r="K7" t="s">
        <v>4</v>
      </c>
      <c r="L7" t="s">
        <v>2</v>
      </c>
      <c r="M7" t="s">
        <v>0</v>
      </c>
      <c r="N7" t="s">
        <v>122</v>
      </c>
      <c r="O7" t="s">
        <v>496</v>
      </c>
      <c r="P7" s="154" t="s">
        <v>182</v>
      </c>
      <c r="Q7" s="154" t="s">
        <v>155</v>
      </c>
      <c r="R7" t="s">
        <v>35</v>
      </c>
      <c r="S7" t="s">
        <v>194</v>
      </c>
      <c r="Z7" s="128" t="s">
        <v>194</v>
      </c>
      <c r="AA7" s="3" t="s">
        <v>275</v>
      </c>
    </row>
    <row r="8" spans="2:27" s="203" customFormat="1" ht="22.8" thickBot="1" x14ac:dyDescent="0.35">
      <c r="E8" s="348" t="s">
        <v>393</v>
      </c>
      <c r="H8" s="550"/>
      <c r="I8"/>
      <c r="N8" s="407" t="s">
        <v>500</v>
      </c>
      <c r="O8" s="203" t="s">
        <v>499</v>
      </c>
      <c r="P8" s="203" t="s">
        <v>497</v>
      </c>
      <c r="Q8" s="203" t="s">
        <v>497</v>
      </c>
      <c r="R8" s="203" t="s">
        <v>498</v>
      </c>
      <c r="S8" s="203" t="s">
        <v>195</v>
      </c>
      <c r="U8"/>
    </row>
    <row r="9" spans="2:27" ht="15" thickBot="1" x14ac:dyDescent="0.35">
      <c r="B9" s="185" t="s">
        <v>36</v>
      </c>
      <c r="C9" s="133" t="s">
        <v>24</v>
      </c>
      <c r="D9" s="134"/>
      <c r="E9" s="141" t="s">
        <v>189</v>
      </c>
      <c r="F9" s="141">
        <f>+EHS!$E$2</f>
        <v>42</v>
      </c>
      <c r="G9" s="241" t="s">
        <v>506</v>
      </c>
      <c r="J9" s="181" t="str">
        <f>+$B9</f>
        <v>EHS</v>
      </c>
      <c r="K9" s="181"/>
      <c r="L9" s="182"/>
      <c r="M9" s="182"/>
      <c r="N9" s="182"/>
      <c r="O9" s="182"/>
      <c r="P9" s="182"/>
      <c r="Q9" s="182"/>
      <c r="R9" s="182"/>
      <c r="S9" s="183"/>
      <c r="T9" s="183"/>
      <c r="V9" s="181"/>
      <c r="X9" t="s">
        <v>353</v>
      </c>
      <c r="AA9" s="403" t="s">
        <v>483</v>
      </c>
    </row>
    <row r="10" spans="2:27" x14ac:dyDescent="0.3">
      <c r="B10" s="917" t="s">
        <v>178</v>
      </c>
      <c r="C10" s="133" t="s">
        <v>336</v>
      </c>
      <c r="D10" s="142" t="s">
        <v>30</v>
      </c>
      <c r="E10" s="142" t="s">
        <v>42</v>
      </c>
      <c r="F10" s="143" t="s">
        <v>141</v>
      </c>
      <c r="G10" s="168" t="s">
        <v>305</v>
      </c>
      <c r="H10" s="551" t="s">
        <v>157</v>
      </c>
      <c r="J10" s="148">
        <f>COUNTA(EHS!$M$10:$BM$10)-COUNTBLANK(EHS!$M$10:$BM$10)</f>
        <v>42</v>
      </c>
      <c r="K10" s="150">
        <f>COUNTIFS(EHS!$M$10:$BM$10,K$7)</f>
        <v>34</v>
      </c>
      <c r="L10" s="151">
        <f>COUNTIFS(EHS!$M$10:$BM$10,L$7)</f>
        <v>0</v>
      </c>
      <c r="M10" s="152">
        <f>COUNTIFS(EHS!$M$10:$BM$10,M$7)</f>
        <v>7</v>
      </c>
      <c r="N10" s="134">
        <f>COUNTIFS(EHS!$M$10:$BM$10,N$7)</f>
        <v>1</v>
      </c>
      <c r="O10" s="134">
        <f>COUNTIFS(EHS!$M$10:$BM$10,O$7)</f>
        <v>0</v>
      </c>
      <c r="P10" s="134">
        <f>COUNTIFS(EHS!$M$10:$BM$10,P$7)</f>
        <v>0</v>
      </c>
      <c r="Q10" s="134">
        <f>COUNTIFS(EHS!$M$10:$BM$10,Q$7)</f>
        <v>0</v>
      </c>
      <c r="R10" s="134">
        <f>COUNTIFS(EHS!$M$10:$BM$10,R$7)</f>
        <v>0</v>
      </c>
      <c r="S10" s="135">
        <f>COUNTIFS(EHS!$M$10:$BM$10,S$7)</f>
        <v>0</v>
      </c>
      <c r="T10" s="135">
        <f>SUM(N10:S10)</f>
        <v>1</v>
      </c>
      <c r="V10" s="141" t="str">
        <f>IF(((J10)='KPI Linked Table for Report'!$C$1),"ok1","err1")&amp;IF((J10-SUM(K10:S10)=0),"ok2","err2")</f>
        <v>ok1ok2</v>
      </c>
      <c r="AA10" s="141"/>
    </row>
    <row r="11" spans="2:27" x14ac:dyDescent="0.3">
      <c r="B11" s="918"/>
      <c r="C11" s="136" t="s">
        <v>337</v>
      </c>
      <c r="D11" s="144" t="s">
        <v>33</v>
      </c>
      <c r="E11" s="144" t="s">
        <v>138</v>
      </c>
      <c r="F11" s="145" t="s">
        <v>142</v>
      </c>
      <c r="G11" s="169" t="s">
        <v>186</v>
      </c>
      <c r="H11" s="552" t="s">
        <v>158</v>
      </c>
      <c r="J11" s="148">
        <f>COUNTA(EHS!$M$13:$BM$13)-COUNTBLANK(EHS!$M$13:$BM$13)</f>
        <v>42</v>
      </c>
      <c r="K11" s="153">
        <f>COUNTIFS(EHS!$M$13:$BM$13,K$7)</f>
        <v>33</v>
      </c>
      <c r="L11" s="154">
        <f>COUNTIFS(EHS!$M$13:$BM$13,L$7)</f>
        <v>2</v>
      </c>
      <c r="M11" s="155">
        <f>COUNTIFS(EHS!$M$13:$BM$13,M$7)</f>
        <v>6</v>
      </c>
      <c r="N11">
        <f>COUNTIFS(EHS!$M$13:$BM$13,N$7)</f>
        <v>1</v>
      </c>
      <c r="O11">
        <f>COUNTIFS(EHS!$M$13:$BM$13,O$7)</f>
        <v>0</v>
      </c>
      <c r="P11">
        <f>COUNTIFS(EHS!$M$13:$BM$13,P$7)</f>
        <v>0</v>
      </c>
      <c r="Q11">
        <f>COUNTIFS(EHS!$M$13:$BM$13,Q$7)</f>
        <v>0</v>
      </c>
      <c r="R11">
        <f>COUNTIFS(EHS!$M$13:$BM$13,R$7)</f>
        <v>0</v>
      </c>
      <c r="S11" s="137">
        <f>COUNTIFS(EHS!$M$10:$BM$10,S$7)</f>
        <v>0</v>
      </c>
      <c r="T11" s="137">
        <f t="shared" ref="T11:T14" si="0">SUM(N11:S11)</f>
        <v>1</v>
      </c>
      <c r="V11" s="148" t="str">
        <f>IF(((J11)='KPI Linked Table for Report'!$C$1),"ok1","err1")&amp;IF((J11-SUM(K11:S11)=0),"ok2","err2")</f>
        <v>ok1ok2</v>
      </c>
      <c r="AA11" s="148"/>
    </row>
    <row r="12" spans="2:27" x14ac:dyDescent="0.3">
      <c r="B12" s="918"/>
      <c r="C12" s="136" t="s">
        <v>338</v>
      </c>
      <c r="D12" s="144" t="s">
        <v>32</v>
      </c>
      <c r="E12" s="144" t="s">
        <v>139</v>
      </c>
      <c r="F12" s="145" t="s">
        <v>144</v>
      </c>
      <c r="G12" s="169" t="s">
        <v>186</v>
      </c>
      <c r="H12" s="552" t="s">
        <v>156</v>
      </c>
      <c r="J12" s="148">
        <f>COUNTA(EHS!$M$16:$BM$16)-COUNTBLANK(EHS!$M$16:$BM$16)</f>
        <v>42</v>
      </c>
      <c r="K12" s="153">
        <f>COUNTIFS(EHS!$M$16:$BM$16,K$7)</f>
        <v>13</v>
      </c>
      <c r="L12" s="154">
        <f>COUNTIFS(EHS!$M$16:$BM$16,L$7)</f>
        <v>18</v>
      </c>
      <c r="M12" s="155">
        <f>COUNTIFS(EHS!$M$16:$BM$16,M$7)</f>
        <v>10</v>
      </c>
      <c r="N12">
        <f>COUNTIFS(EHS!$M$16:$BM$16,N$7)</f>
        <v>1</v>
      </c>
      <c r="O12">
        <f>COUNTIFS(EHS!$M$16:$BM$16,O$7)</f>
        <v>0</v>
      </c>
      <c r="P12">
        <f>COUNTIFS(EHS!$M$16:$BM$16,P$7)</f>
        <v>0</v>
      </c>
      <c r="Q12">
        <f>COUNTIFS(EHS!$M$16:$BM$16,Q$7)</f>
        <v>0</v>
      </c>
      <c r="R12">
        <f>COUNTIFS(EHS!$M$16:$BM$16,R$7)</f>
        <v>0</v>
      </c>
      <c r="S12" s="137">
        <f>COUNTIFS(EHS!$M$10:$BM$10,S$7)</f>
        <v>0</v>
      </c>
      <c r="T12" s="137">
        <f t="shared" si="0"/>
        <v>1</v>
      </c>
      <c r="V12" s="148" t="str">
        <f>IF(((J12)='KPI Linked Table for Report'!$C$1),"ok1","err1")&amp;IF((J12-SUM(K12:S12)=0),"ok2","err2")</f>
        <v>ok1ok2</v>
      </c>
      <c r="AA12" s="148"/>
    </row>
    <row r="13" spans="2:27" x14ac:dyDescent="0.3">
      <c r="B13" s="148"/>
      <c r="C13" s="136" t="s">
        <v>339</v>
      </c>
      <c r="D13" s="144" t="s">
        <v>31</v>
      </c>
      <c r="E13" s="144" t="s">
        <v>145</v>
      </c>
      <c r="F13" s="145" t="s">
        <v>147</v>
      </c>
      <c r="G13" s="169" t="s">
        <v>185</v>
      </c>
      <c r="H13" s="552" t="s">
        <v>155</v>
      </c>
      <c r="J13" s="148">
        <f>COUNTA(EHS!$M$19:$BM$19)-COUNTBLANK(EHS!$M$19:$BM$19)</f>
        <v>42</v>
      </c>
      <c r="K13" s="153">
        <f>COUNTIFS(EHS!$M$19:$BM$19,K$7)</f>
        <v>23</v>
      </c>
      <c r="L13" s="154">
        <f>COUNTIFS(EHS!$M$19:$BM$19,L$7)</f>
        <v>2</v>
      </c>
      <c r="M13" s="155">
        <f>COUNTIFS(EHS!$M$19:$BM$19,M$7)</f>
        <v>11</v>
      </c>
      <c r="N13">
        <f>COUNTIFS(EHS!$M$19:$BM$19,N$7)</f>
        <v>1</v>
      </c>
      <c r="O13">
        <f>COUNTIFS(EHS!$M$19:$BM$19,O$7)</f>
        <v>4</v>
      </c>
      <c r="P13">
        <f>COUNTIFS(EHS!$M$19:$BM$19,P$7)</f>
        <v>0</v>
      </c>
      <c r="Q13">
        <f>COUNTIFS(EHS!$M$19:$BM$19,Q$7)</f>
        <v>0</v>
      </c>
      <c r="R13">
        <f>COUNTIFS(EHS!$M$19:$BM$19,R$7)</f>
        <v>0</v>
      </c>
      <c r="S13" s="137">
        <f>COUNTIFS(EHS!$M$10:$BM$10,S$7)</f>
        <v>0</v>
      </c>
      <c r="T13" s="137">
        <f t="shared" ref="T13" si="1">SUM(N13:S13)</f>
        <v>5</v>
      </c>
      <c r="V13" s="148" t="str">
        <f>IF(((J13)='KPI Linked Table for Report'!$C$1),"ok1","err1")&amp;IF((J13-SUM(K13:S13)=0),"ok2","err2")</f>
        <v>ok1err2</v>
      </c>
      <c r="AA13" s="148" t="s">
        <v>471</v>
      </c>
    </row>
    <row r="14" spans="2:27" ht="15" thickBot="1" x14ac:dyDescent="0.35">
      <c r="B14" s="138"/>
      <c r="C14" s="138" t="s">
        <v>343</v>
      </c>
      <c r="D14" s="146" t="s">
        <v>31</v>
      </c>
      <c r="E14" s="146" t="s">
        <v>699</v>
      </c>
      <c r="F14" s="147" t="s">
        <v>147</v>
      </c>
      <c r="G14" s="170" t="s">
        <v>185</v>
      </c>
      <c r="H14" s="553" t="s">
        <v>155</v>
      </c>
      <c r="J14" s="149">
        <f>COUNTA(EHS!$M$22:$BM$22)-COUNTBLANK(EHS!$M$22:$BM$22)</f>
        <v>42</v>
      </c>
      <c r="K14" s="156">
        <f>COUNTIFS(EHS!$M$22:$BM$22,K$7)</f>
        <v>22</v>
      </c>
      <c r="L14" s="157">
        <f>COUNTIFS(EHS!$M$22:$BM$22,L$7)</f>
        <v>2</v>
      </c>
      <c r="M14" s="158">
        <f>COUNTIFS(EHS!$M$22:$BM$22,M$7)</f>
        <v>4</v>
      </c>
      <c r="N14" s="139">
        <f>COUNTIFS(EHS!$M$22:$BM$22,N$7)</f>
        <v>1</v>
      </c>
      <c r="O14" s="409">
        <f>COUNTIFS(EHS!$M$22:$BM$22,O$7)</f>
        <v>12</v>
      </c>
      <c r="P14" s="139">
        <f>COUNTIFS(EHS!$M$22:$BM$22,P$7)</f>
        <v>0</v>
      </c>
      <c r="Q14" s="139">
        <f>COUNTIFS(EHS!$M$22:$BM$22,Q$7)</f>
        <v>0</v>
      </c>
      <c r="R14" s="139">
        <f>COUNTIFS(EHS!$M$22:$BM$22,R$7)</f>
        <v>0</v>
      </c>
      <c r="S14" s="140">
        <f>COUNTIFS(EHS!$M$10:$BM$10,S$7)</f>
        <v>0</v>
      </c>
      <c r="T14" s="140">
        <f t="shared" si="0"/>
        <v>13</v>
      </c>
      <c r="V14" s="149" t="str">
        <f>IF(((J14)='KPI Linked Table for Report'!$C$1),"ok1","err1")&amp;IF((J14-SUM(K14:S14)=0),"ok2","err2")</f>
        <v>ok1err2</v>
      </c>
      <c r="AA14" s="149" t="s">
        <v>471</v>
      </c>
    </row>
    <row r="15" spans="2:27" ht="15" thickBot="1" x14ac:dyDescent="0.35">
      <c r="E15" s="349" t="s">
        <v>398</v>
      </c>
    </row>
    <row r="16" spans="2:27" ht="15" thickBot="1" x14ac:dyDescent="0.35">
      <c r="B16" s="180" t="s">
        <v>8</v>
      </c>
      <c r="C16" s="133" t="s">
        <v>645</v>
      </c>
      <c r="D16" s="134"/>
      <c r="E16" s="141" t="s">
        <v>189</v>
      </c>
      <c r="F16" s="141">
        <f>+Estimating!E2</f>
        <v>42</v>
      </c>
      <c r="G16" s="241" t="s">
        <v>506</v>
      </c>
      <c r="J16" s="181" t="str">
        <f>+$B16</f>
        <v>Estimating</v>
      </c>
      <c r="K16" s="181"/>
      <c r="L16" s="182"/>
      <c r="M16" s="182"/>
      <c r="N16" s="182"/>
      <c r="O16" s="182"/>
      <c r="P16" s="182"/>
      <c r="Q16" s="182"/>
      <c r="R16" s="182"/>
      <c r="S16" s="183"/>
      <c r="T16" s="183"/>
      <c r="V16" s="181"/>
      <c r="X16" t="s">
        <v>353</v>
      </c>
      <c r="AA16" s="403" t="s">
        <v>482</v>
      </c>
    </row>
    <row r="17" spans="2:27" x14ac:dyDescent="0.3">
      <c r="B17" s="917" t="s">
        <v>8</v>
      </c>
      <c r="C17" s="133" t="s">
        <v>336</v>
      </c>
      <c r="D17" s="142" t="s">
        <v>30</v>
      </c>
      <c r="E17" s="142" t="s">
        <v>430</v>
      </c>
      <c r="F17" s="143" t="s">
        <v>142</v>
      </c>
      <c r="G17" s="168" t="s">
        <v>186</v>
      </c>
      <c r="H17" s="551" t="s">
        <v>579</v>
      </c>
      <c r="J17" s="148">
        <f>COUNTA(Estimating!$M$10:$BM$10)-COUNTBLANK(Estimating!$M$10:$BM$10)</f>
        <v>42</v>
      </c>
      <c r="K17" s="150">
        <f>COUNTIFS(Estimating!$M$10:$BM$10,K$7)</f>
        <v>17</v>
      </c>
      <c r="L17" s="151">
        <f>COUNTIFS(Estimating!$M$10:$BM$10,L$7)</f>
        <v>6</v>
      </c>
      <c r="M17" s="152">
        <f>COUNTIFS(Estimating!$M$10:$BM$10,M$7)</f>
        <v>18</v>
      </c>
      <c r="N17" s="134">
        <f>COUNTIFS(Estimating!$M$10:$BM$10,N$7)</f>
        <v>1</v>
      </c>
      <c r="O17" s="134">
        <f>COUNTIFS(Estimating!$M$10:$BM$10,O$7)</f>
        <v>0</v>
      </c>
      <c r="P17" s="134">
        <f>COUNTIFS(Estimating!$M$10:$BM$10,P$7)</f>
        <v>0</v>
      </c>
      <c r="Q17" s="134">
        <f>COUNTIFS(Estimating!$M$10:$BM$10,Q$7)</f>
        <v>0</v>
      </c>
      <c r="R17" s="134">
        <f>COUNTIFS(Estimating!$M$10:$BM$10,R$7)</f>
        <v>0</v>
      </c>
      <c r="S17" s="135">
        <f>COUNTIFS(Estimating!$M$10:$BM$10,S$7)</f>
        <v>0</v>
      </c>
      <c r="T17" s="135">
        <f>COUNTIFS(Estimating!$M$10:$BM$10,T$7)</f>
        <v>0</v>
      </c>
      <c r="V17" s="141" t="str">
        <f>IF(((J17)='KPI Linked Table for Report'!$C$1),"ok1","err1")&amp;IF((J17-SUM(K17:S17)=0),"ok2","err2")</f>
        <v>ok1ok2</v>
      </c>
      <c r="AA17" s="141"/>
    </row>
    <row r="18" spans="2:27" x14ac:dyDescent="0.3">
      <c r="B18" s="918" t="s">
        <v>18</v>
      </c>
      <c r="C18" s="136" t="s">
        <v>337</v>
      </c>
      <c r="D18" s="144" t="s">
        <v>33</v>
      </c>
      <c r="E18" s="144" t="s">
        <v>431</v>
      </c>
      <c r="F18" s="145" t="s">
        <v>144</v>
      </c>
      <c r="G18" s="169" t="s">
        <v>186</v>
      </c>
      <c r="H18" s="552" t="s">
        <v>580</v>
      </c>
      <c r="J18" s="148">
        <f>COUNTA(Estimating!$M$13:$BM$13)-COUNTBLANK(Estimating!$M$13:$BM$13)</f>
        <v>42</v>
      </c>
      <c r="K18" s="153">
        <f>COUNTIFS(Estimating!$M$13:$BM$13,K$7)</f>
        <v>11</v>
      </c>
      <c r="L18" s="154">
        <f>COUNTIFS(Estimating!$M$13:$BM$13,L$7)</f>
        <v>6</v>
      </c>
      <c r="M18" s="155">
        <f>COUNTIFS(Estimating!$M$13:$BM$13,M$7)</f>
        <v>24</v>
      </c>
      <c r="N18">
        <f>COUNTIFS(Estimating!$M$10:$BM$10,N$7)</f>
        <v>1</v>
      </c>
      <c r="O18">
        <f>COUNTIFS(Estimating!$M$10:$BM$10,O$7)</f>
        <v>0</v>
      </c>
      <c r="P18">
        <f>COUNTIFS(Estimating!$M$10:$BM$10,P$7)</f>
        <v>0</v>
      </c>
      <c r="Q18">
        <f>COUNTIFS(Estimating!$M$10:$BM$10,Q$7)</f>
        <v>0</v>
      </c>
      <c r="R18">
        <f>COUNTIFS(Estimating!$M$13:$BM$13,R$7)</f>
        <v>0</v>
      </c>
      <c r="S18" s="137">
        <f>COUNTIFS(Estimating!$M$13:$BM$13,S$7)</f>
        <v>0</v>
      </c>
      <c r="T18" s="137">
        <f>COUNTIFS(Estimating!$M$13:$BM$13,T$7)</f>
        <v>0</v>
      </c>
      <c r="V18" s="148" t="str">
        <f>IF(((J18)='KPI Linked Table for Report'!$C$1),"ok1","err1")&amp;IF((J18-SUM(K18:S18)=0),"ok2","err2")</f>
        <v>ok1ok2</v>
      </c>
      <c r="AA18" s="148"/>
    </row>
    <row r="19" spans="2:27" x14ac:dyDescent="0.3">
      <c r="B19" s="918"/>
      <c r="C19" s="136" t="s">
        <v>338</v>
      </c>
      <c r="D19" s="144" t="s">
        <v>32</v>
      </c>
      <c r="E19" s="144" t="s">
        <v>564</v>
      </c>
      <c r="F19" s="145" t="s">
        <v>432</v>
      </c>
      <c r="G19" s="169" t="s">
        <v>185</v>
      </c>
      <c r="H19" s="552" t="s">
        <v>581</v>
      </c>
      <c r="J19" s="148">
        <f>COUNTA(Estimating!$M$16:$BM$16)-COUNTBLANK(Estimating!$M$16:$BM$16)</f>
        <v>42</v>
      </c>
      <c r="K19" s="153">
        <f>COUNTIFS(Estimating!$M$16:$BM$16,K$7)</f>
        <v>15</v>
      </c>
      <c r="L19" s="154">
        <f>COUNTIFS(Estimating!$M$16:$BM$16,L$7)</f>
        <v>4</v>
      </c>
      <c r="M19" s="155">
        <f>COUNTIFS(Estimating!$M$16:$BM$16,M$7)</f>
        <v>22</v>
      </c>
      <c r="N19">
        <f>COUNTIFS(Estimating!$M$10:$BM$10,N$7)</f>
        <v>1</v>
      </c>
      <c r="O19">
        <f>COUNTIFS(Estimating!$M$10:$BM$10,O$7)</f>
        <v>0</v>
      </c>
      <c r="P19">
        <f>COUNTIFS(Estimating!$M$10:$BM$10,P$7)</f>
        <v>0</v>
      </c>
      <c r="Q19">
        <f>COUNTIFS(Estimating!$M$10:$BM$10,Q$7)</f>
        <v>0</v>
      </c>
      <c r="R19">
        <f>COUNTIFS(Estimating!$M$16:$BM$16,R$7)</f>
        <v>0</v>
      </c>
      <c r="S19" s="137">
        <f>COUNTIFS(Estimating!$M$16:$BM$16,S$7)</f>
        <v>0</v>
      </c>
      <c r="T19" s="137">
        <f>COUNTIFS(Estimating!$M$16:$BM$16,T$7)</f>
        <v>0</v>
      </c>
      <c r="V19" s="148" t="str">
        <f>IF(((J19)='KPI Linked Table for Report'!$C$1),"ok1","err1")&amp;IF((J19-SUM(K19:S19)=0),"ok2","err2")</f>
        <v>ok1ok2</v>
      </c>
      <c r="AA19" s="148"/>
    </row>
    <row r="20" spans="2:27" ht="15" thickBot="1" x14ac:dyDescent="0.35">
      <c r="B20" s="138"/>
      <c r="C20" s="138" t="s">
        <v>339</v>
      </c>
      <c r="D20" s="146" t="s">
        <v>31</v>
      </c>
      <c r="E20" s="146" t="s">
        <v>433</v>
      </c>
      <c r="F20" s="147" t="s">
        <v>143</v>
      </c>
      <c r="G20" s="170" t="s">
        <v>186</v>
      </c>
      <c r="H20" s="553" t="s">
        <v>582</v>
      </c>
      <c r="J20" s="149">
        <f>COUNTA(Estimating!$M$19:$BM$19)-COUNTBLANK(Estimating!$M$19:$BM$19)</f>
        <v>42</v>
      </c>
      <c r="K20" s="156">
        <f>COUNTIFS(Estimating!$M$19:$BM$19,K$7)</f>
        <v>15</v>
      </c>
      <c r="L20" s="157">
        <f>COUNTIFS(Estimating!$M$19:$BM$19,L$7)</f>
        <v>2</v>
      </c>
      <c r="M20" s="158">
        <f>COUNTIFS(Estimating!$M$19:$BM$19,M$7)</f>
        <v>4</v>
      </c>
      <c r="N20" s="139">
        <f>COUNTIFS(Estimating!$M$10:$BM$10,N$7)</f>
        <v>1</v>
      </c>
      <c r="O20" s="139">
        <f>COUNTIFS(Estimating!$M$10:$BM$10,O$7)</f>
        <v>0</v>
      </c>
      <c r="P20" s="139">
        <f>COUNTIFS(Estimating!$M$10:$BM$10,P$7)</f>
        <v>0</v>
      </c>
      <c r="Q20" s="139">
        <f>COUNTIFS(Estimating!$M$10:$BM$10,Q$7)</f>
        <v>0</v>
      </c>
      <c r="R20" s="409">
        <f>COUNTIFS(Estimating!$M$19:$BM$19,R$7)</f>
        <v>20</v>
      </c>
      <c r="S20" s="140">
        <f>COUNTIFS(Estimating!$M$19:$BM$19,S$7)</f>
        <v>0</v>
      </c>
      <c r="T20" s="140">
        <f>COUNTIFS(Estimating!$M$19:$BM$19,T$7)</f>
        <v>0</v>
      </c>
      <c r="V20" s="149" t="str">
        <f>IF(((J20)='KPI Linked Table for Report'!$C$1),"ok1","err1")&amp;IF((J20-SUM(K20:S20)=0),"ok2","err2")</f>
        <v>ok1ok2</v>
      </c>
      <c r="AA20" s="149"/>
    </row>
    <row r="21" spans="2:27" ht="15" thickBot="1" x14ac:dyDescent="0.35">
      <c r="E21" s="349" t="s">
        <v>400</v>
      </c>
    </row>
    <row r="22" spans="2:27" ht="15" thickBot="1" x14ac:dyDescent="0.35">
      <c r="B22" s="185" t="s">
        <v>9</v>
      </c>
      <c r="C22" s="133" t="s">
        <v>19</v>
      </c>
      <c r="D22" s="134"/>
      <c r="E22" s="141" t="s">
        <v>189</v>
      </c>
      <c r="F22" s="141">
        <f>+SOP!$E$2</f>
        <v>42</v>
      </c>
      <c r="G22" s="241" t="s">
        <v>506</v>
      </c>
      <c r="J22" s="181" t="str">
        <f>+$B22</f>
        <v>SOP</v>
      </c>
      <c r="K22" s="181"/>
      <c r="L22" s="182"/>
      <c r="M22" s="182"/>
      <c r="N22" s="182"/>
      <c r="O22" s="182"/>
      <c r="P22" s="182"/>
      <c r="Q22" s="182"/>
      <c r="R22" s="182"/>
      <c r="S22" s="183"/>
      <c r="T22" s="183"/>
      <c r="V22" s="181"/>
      <c r="X22" t="s">
        <v>353</v>
      </c>
      <c r="AA22" s="403" t="s">
        <v>495</v>
      </c>
    </row>
    <row r="23" spans="2:27" x14ac:dyDescent="0.3">
      <c r="B23" s="917" t="s">
        <v>134</v>
      </c>
      <c r="C23" s="133" t="s">
        <v>336</v>
      </c>
      <c r="D23" s="142" t="s">
        <v>30</v>
      </c>
      <c r="E23" s="142" t="s">
        <v>208</v>
      </c>
      <c r="F23" s="143" t="s">
        <v>142</v>
      </c>
      <c r="G23" s="168" t="s">
        <v>186</v>
      </c>
      <c r="H23" s="551" t="s">
        <v>207</v>
      </c>
      <c r="J23" s="148">
        <f>COUNTA(SOP!$M$10:$BM$10)-COUNTBLANK(SOP!$M$10:$BM$10)</f>
        <v>42</v>
      </c>
      <c r="K23" s="150">
        <f>COUNTIFS(SOP!$M$10:$BM$10,K$7)</f>
        <v>16</v>
      </c>
      <c r="L23" s="151">
        <f>COUNTIFS(SOP!$M$10:$BM$10,L$7)</f>
        <v>4</v>
      </c>
      <c r="M23" s="152">
        <f>COUNTIFS(SOP!$M$10:$BM$10,M$7)</f>
        <v>18</v>
      </c>
      <c r="N23" s="134">
        <f>COUNTIFS(SOP!$M$10:$BM$10,N$7)</f>
        <v>1</v>
      </c>
      <c r="O23" s="134">
        <f>COUNTIFS(SOP!$M$10:$BM$10,O$7)</f>
        <v>3</v>
      </c>
      <c r="P23" s="134">
        <f>COUNTIFS(SOP!$M$10:$BM$10,P$7)</f>
        <v>0</v>
      </c>
      <c r="Q23" s="134">
        <f>COUNTIFS(SOP!$M$10:$BM$10,Q$7)</f>
        <v>0</v>
      </c>
      <c r="R23" s="134">
        <f>COUNTIFS(SOP!$M$10:$BM$10,R$7)</f>
        <v>0</v>
      </c>
      <c r="S23" s="135">
        <f>COUNTIFS(SOP!$M$10:$BM$10,S$7)</f>
        <v>0</v>
      </c>
      <c r="T23" s="135">
        <f>SUM(N23:S23)</f>
        <v>4</v>
      </c>
      <c r="V23" s="141" t="str">
        <f>IF(((J23)='KPI Linked Table for Report'!$C$1),"ok1","err1")&amp;IF((J23-SUM(K23:S23)=0),"ok2","err2")</f>
        <v>ok1ok2</v>
      </c>
      <c r="AA23" s="148" t="s">
        <v>470</v>
      </c>
    </row>
    <row r="24" spans="2:27" x14ac:dyDescent="0.3">
      <c r="B24" s="918" t="s">
        <v>19</v>
      </c>
      <c r="C24" s="136" t="s">
        <v>337</v>
      </c>
      <c r="D24" s="144" t="s">
        <v>33</v>
      </c>
      <c r="E24" s="144" t="s">
        <v>605</v>
      </c>
      <c r="F24" s="145" t="s">
        <v>144</v>
      </c>
      <c r="G24" s="169" t="s">
        <v>186</v>
      </c>
      <c r="H24" s="552" t="s">
        <v>608</v>
      </c>
      <c r="J24" s="148">
        <f>COUNTA(SOP!$M$13:$BM$13)-COUNTBLANK(SOP!$M$13:$BM$13)</f>
        <v>42</v>
      </c>
      <c r="K24" s="153">
        <f>COUNTIFS(SOP!$M$13:$BM$13,K$7)</f>
        <v>4</v>
      </c>
      <c r="L24" s="154">
        <f>COUNTIFS(SOP!$M$13:$BM$13,L$7)</f>
        <v>2</v>
      </c>
      <c r="M24" s="155">
        <f>COUNTIFS(SOP!$M$13:$BM$13,M$7)</f>
        <v>35</v>
      </c>
      <c r="N24">
        <f>COUNTIFS(SOP!$M$13:$BM$13,N$7)</f>
        <v>1</v>
      </c>
      <c r="O24">
        <f>COUNTIFS(SOP!$M$13:$BM$13,O$7)</f>
        <v>0</v>
      </c>
      <c r="P24">
        <f>COUNTIFS(SOP!$M$13:$BM$13,P$7)</f>
        <v>0</v>
      </c>
      <c r="Q24">
        <f>COUNTIFS(SOP!$M$13:$BM$13,Q$7)</f>
        <v>0</v>
      </c>
      <c r="R24">
        <f>COUNTIFS(SOP!$M$13:$BM$13,R$7)</f>
        <v>0</v>
      </c>
      <c r="S24" s="137">
        <f>COUNTIFS(SOP!$M$13:$BM$13,S$7)</f>
        <v>0</v>
      </c>
      <c r="T24" s="137">
        <f t="shared" ref="T24:T27" si="2">SUM(N24:S24)</f>
        <v>1</v>
      </c>
      <c r="V24" s="148" t="str">
        <f>IF(((J24)='KPI Linked Table for Report'!$C$1),"ok1","err1")&amp;IF((J24-SUM(K24:S24)=0),"ok2","err2")</f>
        <v>ok1ok2</v>
      </c>
      <c r="AA24" s="148" t="s">
        <v>611</v>
      </c>
    </row>
    <row r="25" spans="2:27" x14ac:dyDescent="0.3">
      <c r="B25" s="918"/>
      <c r="C25" s="136" t="s">
        <v>341</v>
      </c>
      <c r="D25" s="144" t="s">
        <v>33</v>
      </c>
      <c r="E25" s="144" t="s">
        <v>606</v>
      </c>
      <c r="F25" s="145" t="s">
        <v>144</v>
      </c>
      <c r="G25" s="169" t="s">
        <v>186</v>
      </c>
      <c r="H25" s="552" t="s">
        <v>607</v>
      </c>
      <c r="J25" s="148">
        <f>COUNTA(SOP!$M$16:$BM$16)-COUNTBLANK(SOP!$M$16:$BM$16)</f>
        <v>42</v>
      </c>
      <c r="K25" s="153">
        <f>COUNTIFS(SOP!$M$16:$BM$16,K$7)</f>
        <v>1</v>
      </c>
      <c r="L25" s="154">
        <f>COUNTIFS(SOP!$M$16:$BM$16,L$7)</f>
        <v>2</v>
      </c>
      <c r="M25" s="155">
        <f>COUNTIFS(SOP!$M$16:$BM$16,M$7)</f>
        <v>38</v>
      </c>
      <c r="N25">
        <f>COUNTIFS(SOP!$M$16:$BM$16,N$7)</f>
        <v>1</v>
      </c>
      <c r="O25">
        <f>COUNTIFS(SOP!$M$16:$BM$16,O$7)</f>
        <v>0</v>
      </c>
      <c r="P25">
        <f>COUNTIFS(SOP!$M$16:$BM$16,P$7)</f>
        <v>0</v>
      </c>
      <c r="Q25">
        <f>COUNTIFS(SOP!$M$16:$BM$16,Q$7)</f>
        <v>0</v>
      </c>
      <c r="R25">
        <f>COUNTIFS(SOP!$M$16:$BM$16,R$7)</f>
        <v>0</v>
      </c>
      <c r="S25" s="137">
        <f>COUNTIFS(SOP!$M$16:$BM$16,S$7)</f>
        <v>0</v>
      </c>
      <c r="T25" s="137">
        <f t="shared" ref="T25" si="3">SUM(N25:S25)</f>
        <v>1</v>
      </c>
      <c r="V25" s="148" t="str">
        <f>IF(((J25)='KPI Linked Table for Report'!$C$1),"ok1","err1")&amp;IF((J25-SUM(K25:S25)=0),"ok2","err2")</f>
        <v>ok1ok2</v>
      </c>
      <c r="AA25" s="148" t="s">
        <v>611</v>
      </c>
    </row>
    <row r="26" spans="2:27" x14ac:dyDescent="0.3">
      <c r="B26" s="918"/>
      <c r="C26" s="136" t="s">
        <v>338</v>
      </c>
      <c r="D26" s="144" t="s">
        <v>32</v>
      </c>
      <c r="E26" s="144" t="s">
        <v>209</v>
      </c>
      <c r="F26" s="145" t="s">
        <v>142</v>
      </c>
      <c r="G26" s="169" t="s">
        <v>305</v>
      </c>
      <c r="H26" s="552" t="s">
        <v>211</v>
      </c>
      <c r="J26" s="148">
        <f>COUNTA(SOP!$M$19:$BM$19)-COUNTBLANK(SOP!$M$19:$BM$19)</f>
        <v>42</v>
      </c>
      <c r="K26" s="153">
        <f>COUNTIFS(SOP!$M$19:$BM$19,K$7)</f>
        <v>6</v>
      </c>
      <c r="L26" s="154">
        <f>COUNTIFS(SOP!$M$19:$BM$19,L$7)</f>
        <v>0</v>
      </c>
      <c r="M26" s="155">
        <f>COUNTIFS(SOP!$M$19:$BM$19,M$7)</f>
        <v>32</v>
      </c>
      <c r="N26">
        <f>COUNTIFS(SOP!$M$19:$BM$19,N$7)</f>
        <v>1</v>
      </c>
      <c r="O26">
        <f>COUNTIFS(SOP!$M$19:$BM$19,O$7)</f>
        <v>3</v>
      </c>
      <c r="P26">
        <f>COUNTIFS(SOP!$M$19:$BM$19,P$7)</f>
        <v>0</v>
      </c>
      <c r="Q26">
        <f>COUNTIFS(SOP!$M$19:$BM$19,Q$7)</f>
        <v>0</v>
      </c>
      <c r="R26">
        <f>COUNTIFS(SOP!$M$19:$BM$19,R$7)</f>
        <v>0</v>
      </c>
      <c r="S26" s="137">
        <f>COUNTIFS(SOP!$M$19:$BM$19,S$7)</f>
        <v>0</v>
      </c>
      <c r="T26" s="137">
        <f t="shared" si="2"/>
        <v>4</v>
      </c>
      <c r="V26" s="148" t="str">
        <f>IF(((J26)='KPI Linked Table for Report'!$C$1),"ok1","err1")&amp;IF((J26-SUM(K26:S26)=0),"ok2","err2")</f>
        <v>ok1ok2</v>
      </c>
      <c r="AA26" s="148" t="s">
        <v>470</v>
      </c>
    </row>
    <row r="27" spans="2:27" ht="15" thickBot="1" x14ac:dyDescent="0.35">
      <c r="B27" s="138"/>
      <c r="C27" s="138" t="s">
        <v>339</v>
      </c>
      <c r="D27" s="146" t="s">
        <v>31</v>
      </c>
      <c r="E27" s="146" t="s">
        <v>210</v>
      </c>
      <c r="F27" s="147" t="s">
        <v>169</v>
      </c>
      <c r="G27" s="170" t="s">
        <v>186</v>
      </c>
      <c r="H27" s="553" t="s">
        <v>207</v>
      </c>
      <c r="J27" s="149">
        <f>COUNTA(SOP!$M$22:$BM$22)-COUNTBLANK(SOP!$M$22:$BM$22)</f>
        <v>42</v>
      </c>
      <c r="K27" s="156">
        <f>COUNTIFS(SOP!$M$22:$BM$22,K$7)</f>
        <v>22</v>
      </c>
      <c r="L27" s="157">
        <f>COUNTIFS(SOP!$M$22:$BM$22,L$7)</f>
        <v>0</v>
      </c>
      <c r="M27" s="158">
        <f>COUNTIFS(SOP!$M$22:$BM$22,M$7)</f>
        <v>16</v>
      </c>
      <c r="N27" s="139">
        <f>COUNTIFS(SOP!$M$22:$BM$22,N$7)</f>
        <v>1</v>
      </c>
      <c r="O27" s="139">
        <f>COUNTIFS(SOP!$M$22:$BM$22,O$7)</f>
        <v>3</v>
      </c>
      <c r="P27" s="139">
        <f>COUNTIFS(SOP!$M$22:$BM$22,P$7)</f>
        <v>0</v>
      </c>
      <c r="Q27" s="139">
        <f>COUNTIFS(SOP!$M$22:$BM$22,Q$7)</f>
        <v>0</v>
      </c>
      <c r="R27" s="139">
        <f>COUNTIFS(SOP!$M$22:$BM$22,R$7)</f>
        <v>0</v>
      </c>
      <c r="S27" s="140">
        <f>COUNTIFS(SOP!$M$22:$BM$22,S$7)</f>
        <v>0</v>
      </c>
      <c r="T27" s="140">
        <f t="shared" si="2"/>
        <v>4</v>
      </c>
      <c r="V27" s="149" t="str">
        <f>IF(((J27)='KPI Linked Table for Report'!$C$1),"ok1","err1")&amp;IF((J27-SUM(K27:S27)=0),"ok2","err2")</f>
        <v>ok1ok2</v>
      </c>
      <c r="AA27" s="149" t="s">
        <v>470</v>
      </c>
    </row>
    <row r="28" spans="2:27" ht="15" thickBot="1" x14ac:dyDescent="0.35">
      <c r="E28" s="350" t="s">
        <v>395</v>
      </c>
    </row>
    <row r="29" spans="2:27" ht="15" thickBot="1" x14ac:dyDescent="0.35">
      <c r="B29" s="180" t="s">
        <v>128</v>
      </c>
      <c r="C29" s="133" t="s">
        <v>20</v>
      </c>
      <c r="D29" s="134"/>
      <c r="E29" s="141" t="s">
        <v>189</v>
      </c>
      <c r="F29" s="141">
        <f>+Design!$E$2</f>
        <v>42</v>
      </c>
      <c r="G29" s="241" t="s">
        <v>506</v>
      </c>
      <c r="J29" s="181" t="str">
        <f>+$B29</f>
        <v>Design</v>
      </c>
      <c r="K29" s="181"/>
      <c r="L29" s="182"/>
      <c r="M29" s="182"/>
      <c r="N29" s="182"/>
      <c r="O29" s="182"/>
      <c r="P29" s="182"/>
      <c r="Q29" s="182"/>
      <c r="R29" s="182"/>
      <c r="S29" s="183"/>
      <c r="T29" s="183"/>
      <c r="V29" s="181"/>
      <c r="X29" t="s">
        <v>353</v>
      </c>
      <c r="AA29" s="403" t="s">
        <v>365</v>
      </c>
    </row>
    <row r="30" spans="2:27" x14ac:dyDescent="0.3">
      <c r="B30" s="917" t="s">
        <v>132</v>
      </c>
      <c r="C30" s="133" t="s">
        <v>336</v>
      </c>
      <c r="D30" s="142" t="s">
        <v>30</v>
      </c>
      <c r="E30" s="142" t="s">
        <v>213</v>
      </c>
      <c r="F30" s="143" t="s">
        <v>142</v>
      </c>
      <c r="G30" s="168" t="s">
        <v>186</v>
      </c>
      <c r="H30" s="551" t="s">
        <v>217</v>
      </c>
      <c r="J30" s="148">
        <f>COUNTA(Design!$M$10:$BM$10)-COUNTBLANK(Design!$M$10:$BM$10)</f>
        <v>42</v>
      </c>
      <c r="K30" s="150">
        <f>COUNTIFS(Design!$M$10:$BM$10,K$7)</f>
        <v>13</v>
      </c>
      <c r="L30" s="151">
        <f>COUNTIFS(Design!$M$10:$BM$10,L$7)</f>
        <v>1</v>
      </c>
      <c r="M30" s="152">
        <f>COUNTIFS(Design!$M$10:$BM$10,M$7)</f>
        <v>27</v>
      </c>
      <c r="N30" s="134">
        <f>COUNTIFS(Design!$M$10:$BM$10,N$7)</f>
        <v>1</v>
      </c>
      <c r="O30" s="134">
        <f>COUNTIFS(Design!$M$10:$BM$10,O$7)</f>
        <v>0</v>
      </c>
      <c r="P30" s="134">
        <f>COUNTIFS(Design!$M$10:$BM$10,P$7)</f>
        <v>0</v>
      </c>
      <c r="Q30" s="134">
        <f>COUNTIFS(Design!$M$10:$BM$10,Q$7)</f>
        <v>0</v>
      </c>
      <c r="R30" s="134">
        <f>COUNTIFS(Design!$M$10:$BM$10,R$7)</f>
        <v>0</v>
      </c>
      <c r="S30" s="135">
        <f>COUNTIFS(Design!$M$10:$BM$10,S$7)</f>
        <v>0</v>
      </c>
      <c r="T30" s="135">
        <f>COUNTIFS(Design!$M$10:$BM$10,T$7)</f>
        <v>0</v>
      </c>
      <c r="V30" s="141" t="str">
        <f>IF(((J30)='KPI Linked Table for Report'!$C$1),"ok1","err1")&amp;IF((J30-SUM(K30:S30)=0),"ok2","err2")</f>
        <v>ok1ok2</v>
      </c>
      <c r="AA30" s="141" t="s">
        <v>472</v>
      </c>
    </row>
    <row r="31" spans="2:27" x14ac:dyDescent="0.3">
      <c r="B31" s="918" t="s">
        <v>20</v>
      </c>
      <c r="C31" s="136" t="s">
        <v>337</v>
      </c>
      <c r="D31" s="144" t="s">
        <v>33</v>
      </c>
      <c r="E31" s="144" t="s">
        <v>214</v>
      </c>
      <c r="F31" s="145" t="s">
        <v>144</v>
      </c>
      <c r="G31" s="169" t="s">
        <v>186</v>
      </c>
      <c r="H31" s="552" t="s">
        <v>206</v>
      </c>
      <c r="J31" s="148">
        <f>COUNTA(Design!$M$13:$BM$13)-COUNTBLANK(Design!$M$13:$BM$13)</f>
        <v>42</v>
      </c>
      <c r="K31" s="153">
        <f>COUNTIFS(Design!$M$13:$BM$13,K$7)</f>
        <v>2</v>
      </c>
      <c r="L31" s="154">
        <f>COUNTIFS(Design!$M$13:$BM$13,L$7)</f>
        <v>1</v>
      </c>
      <c r="M31" s="155">
        <f>COUNTIFS(Design!$M$13:$BM$13,M$7)</f>
        <v>38</v>
      </c>
      <c r="N31">
        <f>COUNTIFS(Design!$M$13:$BM$13,N$7)</f>
        <v>1</v>
      </c>
      <c r="O31">
        <f>COUNTIFS(Design!$M$13:$BM$13,O$7)</f>
        <v>0</v>
      </c>
      <c r="P31">
        <f>COUNTIFS(Design!$M$13:$BM$13,P$7)</f>
        <v>0</v>
      </c>
      <c r="Q31">
        <f>COUNTIFS(Design!$M$13:$BM$13,Q$7)</f>
        <v>0</v>
      </c>
      <c r="R31">
        <f>COUNTIFS(Design!$M$13:$BM$13,R$7)</f>
        <v>0</v>
      </c>
      <c r="S31" s="137">
        <f>COUNTIFS(Design!$M$13:$BM$13,S$7)</f>
        <v>0</v>
      </c>
      <c r="T31" s="137">
        <f>COUNTIFS(Design!$M$13:$BM$13,T$7)</f>
        <v>0</v>
      </c>
      <c r="V31" s="148" t="str">
        <f>IF(((J31)='KPI Linked Table for Report'!$C$1),"ok1","err1")&amp;IF((J31-SUM(K31:S31)=0),"ok2","err2")</f>
        <v>ok1ok2</v>
      </c>
      <c r="AA31" s="148" t="s">
        <v>472</v>
      </c>
    </row>
    <row r="32" spans="2:27" x14ac:dyDescent="0.3">
      <c r="B32" s="918"/>
      <c r="C32" s="136" t="s">
        <v>338</v>
      </c>
      <c r="D32" s="144" t="s">
        <v>32</v>
      </c>
      <c r="E32" s="144" t="s">
        <v>215</v>
      </c>
      <c r="F32" s="145" t="s">
        <v>142</v>
      </c>
      <c r="G32" s="169" t="s">
        <v>305</v>
      </c>
      <c r="H32" s="552" t="s">
        <v>157</v>
      </c>
      <c r="J32" s="148">
        <f>COUNTA(Design!$M$16:$BM$16)-COUNTBLANK(Design!$M$16:$BM$16)</f>
        <v>42</v>
      </c>
      <c r="K32" s="153">
        <f>COUNTIFS(Design!$M$16:$BM$16,K$7)</f>
        <v>7</v>
      </c>
      <c r="L32" s="154">
        <f>COUNTIFS(Design!$M$16:$BM$16,L$7)</f>
        <v>0</v>
      </c>
      <c r="M32" s="155">
        <f>COUNTIFS(Design!$M$16:$BM$16,M$7)</f>
        <v>30</v>
      </c>
      <c r="N32">
        <f>COUNTIFS(Design!$M$16:$BM$16,N$7)</f>
        <v>1</v>
      </c>
      <c r="O32">
        <f>COUNTIFS(Design!$M$16:$BM$16,O$7)</f>
        <v>0</v>
      </c>
      <c r="P32">
        <f>COUNTIFS(Design!$M$16:$BM$16,P$7)</f>
        <v>0</v>
      </c>
      <c r="Q32">
        <f>COUNTIFS(Design!$M$16:$BM$16,Q$7)</f>
        <v>0</v>
      </c>
      <c r="R32">
        <f>COUNTIFS(Design!$M$16:$BM$16,R$7)</f>
        <v>0</v>
      </c>
      <c r="S32" s="137">
        <f>COUNTIFS(Design!$M$16:$BM$16,S$7)</f>
        <v>4</v>
      </c>
      <c r="T32" s="137">
        <f>COUNTIFS(Design!$M$16:$BM$16,T$7)</f>
        <v>0</v>
      </c>
      <c r="V32" s="148" t="str">
        <f>IF(((J32)='KPI Linked Table for Report'!$C$1),"ok1","err1")&amp;IF((J32-SUM(K32:S32)=0),"ok2","err2")</f>
        <v>ok1ok2</v>
      </c>
      <c r="AA32" s="148" t="s">
        <v>472</v>
      </c>
    </row>
    <row r="33" spans="2:27" ht="15" thickBot="1" x14ac:dyDescent="0.35">
      <c r="B33" s="138"/>
      <c r="C33" s="138" t="s">
        <v>339</v>
      </c>
      <c r="D33" s="146" t="s">
        <v>31</v>
      </c>
      <c r="E33" s="146" t="s">
        <v>533</v>
      </c>
      <c r="F33" s="147" t="s">
        <v>169</v>
      </c>
      <c r="G33" s="170" t="s">
        <v>186</v>
      </c>
      <c r="H33" s="553" t="s">
        <v>216</v>
      </c>
      <c r="J33" s="149">
        <f>COUNTA(Design!$M$19:$BM$19)-COUNTBLANK(Design!$M$19:$BM$19)</f>
        <v>42</v>
      </c>
      <c r="K33" s="156">
        <f>COUNTIFS(Design!$M$19:$BM$19,K$7)</f>
        <v>19</v>
      </c>
      <c r="L33" s="157">
        <f>COUNTIFS(Design!$M$19:$BM$19,L$7)</f>
        <v>2</v>
      </c>
      <c r="M33" s="158">
        <f>COUNTIFS(Design!$M$19:$BM$19,M$7)</f>
        <v>20</v>
      </c>
      <c r="N33" s="139">
        <f>COUNTIFS(Design!$M$19:$BM$19,N$7)</f>
        <v>1</v>
      </c>
      <c r="O33" s="139">
        <f>COUNTIFS(Design!$M$19:$BM$19,O$7)</f>
        <v>0</v>
      </c>
      <c r="P33" s="139">
        <f>COUNTIFS(Design!$M$19:$BM$19,P$7)</f>
        <v>0</v>
      </c>
      <c r="Q33" s="139">
        <f>COUNTIFS(Design!$M$19:$BM$19,Q$7)</f>
        <v>0</v>
      </c>
      <c r="R33" s="139">
        <f>COUNTIFS(Design!$M$19:$BM$19,R$7)</f>
        <v>0</v>
      </c>
      <c r="S33" s="140">
        <f>COUNTIFS(Design!$M$19:$BM$19,S$7)</f>
        <v>0</v>
      </c>
      <c r="T33" s="140">
        <f>COUNTIFS(Design!$M$19:$BM$19,T$7)</f>
        <v>0</v>
      </c>
      <c r="V33" s="149" t="str">
        <f>IF(((J33)='KPI Linked Table for Report'!$C$1),"ok1","err1")&amp;IF((J33-SUM(K33:S33)=0),"ok2","err2")</f>
        <v>ok1ok2</v>
      </c>
      <c r="AA33" s="149" t="s">
        <v>503</v>
      </c>
    </row>
    <row r="34" spans="2:27" ht="15" thickBot="1" x14ac:dyDescent="0.35">
      <c r="E34" s="349"/>
    </row>
    <row r="35" spans="2:27" ht="15" thickBot="1" x14ac:dyDescent="0.35">
      <c r="B35" s="180" t="s">
        <v>129</v>
      </c>
      <c r="C35" s="133" t="s">
        <v>21</v>
      </c>
      <c r="D35" s="134"/>
      <c r="E35" s="141" t="s">
        <v>189</v>
      </c>
      <c r="F35" s="141">
        <f>+'Product Design'!E2</f>
        <v>42</v>
      </c>
      <c r="G35" s="241" t="s">
        <v>506</v>
      </c>
      <c r="J35" s="181" t="str">
        <f>+$B35</f>
        <v>Product Design</v>
      </c>
      <c r="K35" s="181"/>
      <c r="L35" s="182"/>
      <c r="M35" s="182"/>
      <c r="N35" s="182"/>
      <c r="O35" s="182"/>
      <c r="P35" s="182"/>
      <c r="Q35" s="182"/>
      <c r="R35" s="182"/>
      <c r="S35" s="183"/>
      <c r="T35" s="183"/>
      <c r="V35" s="181"/>
      <c r="X35" t="s">
        <v>353</v>
      </c>
      <c r="AA35" s="403"/>
    </row>
    <row r="36" spans="2:27" x14ac:dyDescent="0.3">
      <c r="B36" s="917" t="s">
        <v>162</v>
      </c>
      <c r="C36" s="133" t="s">
        <v>336</v>
      </c>
      <c r="D36" s="142" t="s">
        <v>30</v>
      </c>
      <c r="E36" s="142" t="s">
        <v>228</v>
      </c>
      <c r="F36" s="143" t="s">
        <v>142</v>
      </c>
      <c r="G36" s="168" t="s">
        <v>186</v>
      </c>
      <c r="H36" s="551" t="s">
        <v>229</v>
      </c>
      <c r="J36" s="148">
        <f>COUNTA('Product Design'!$M$10:$BM$10)-COUNTBLANK('Product Design'!$M$10:$BM$10)</f>
        <v>42</v>
      </c>
      <c r="K36" s="150">
        <f>COUNTIFS('Product Design'!$M$10:$BM$10,K$7)</f>
        <v>18</v>
      </c>
      <c r="L36" s="151">
        <f>COUNTIFS('Product Design'!$M$10:$BM$10,L$7)</f>
        <v>1</v>
      </c>
      <c r="M36" s="152">
        <f>COUNTIFS('Product Design'!$M$10:$BM$10,M$7)</f>
        <v>20</v>
      </c>
      <c r="N36" s="134">
        <f>COUNTIFS('Product Design'!$M$10:$BM$10,N$7)</f>
        <v>1</v>
      </c>
      <c r="O36" s="134">
        <f>COUNTIFS('Product Design'!$M$10:$BM$10,O$7)</f>
        <v>0</v>
      </c>
      <c r="P36" s="134">
        <f>COUNTIFS('Product Design'!$M$10:$BM$10,P$7)</f>
        <v>0</v>
      </c>
      <c r="Q36" s="134">
        <f>COUNTIFS('Product Design'!$M$10:$BM$10,Q$7)</f>
        <v>0</v>
      </c>
      <c r="R36" s="134">
        <f>COUNTIFS('Product Design'!$M$10:$BM$10,R$7)</f>
        <v>0</v>
      </c>
      <c r="S36" s="135">
        <f>COUNTIFS('Product Design'!$M$10:$BM$10,S$7)</f>
        <v>2</v>
      </c>
      <c r="T36" s="135">
        <f>COUNTIFS('Product Design'!$M$10:$BM$10,T$7)</f>
        <v>0</v>
      </c>
      <c r="V36" s="141" t="str">
        <f>IF(((J36)='KPI Linked Table for Report'!$C$1),"ok1","err1")&amp;IF((J36-SUM(K36:S36)=0),"ok2","err2")</f>
        <v>ok1ok2</v>
      </c>
      <c r="AA36" s="141" t="s">
        <v>474</v>
      </c>
    </row>
    <row r="37" spans="2:27" x14ac:dyDescent="0.3">
      <c r="B37" s="918" t="s">
        <v>21</v>
      </c>
      <c r="C37" s="136" t="s">
        <v>337</v>
      </c>
      <c r="D37" s="144" t="s">
        <v>33</v>
      </c>
      <c r="E37" s="144" t="s">
        <v>226</v>
      </c>
      <c r="F37" s="145" t="s">
        <v>144</v>
      </c>
      <c r="G37" s="169" t="s">
        <v>186</v>
      </c>
      <c r="H37" s="552" t="s">
        <v>230</v>
      </c>
      <c r="J37" s="148">
        <f>COUNTA('Product Design'!$M$13:$BM$13)-COUNTBLANK('Product Design'!$M$13:$BM$13)</f>
        <v>42</v>
      </c>
      <c r="K37" s="153">
        <f>COUNTIFS('Product Design'!$M$13:$BM$13,K$7)</f>
        <v>15</v>
      </c>
      <c r="L37" s="154">
        <f>COUNTIFS('Product Design'!$M$13:$BM$13,L$7)</f>
        <v>3</v>
      </c>
      <c r="M37" s="155">
        <f>COUNTIFS('Product Design'!$M$13:$BM$13,M$7)</f>
        <v>21</v>
      </c>
      <c r="N37">
        <f>COUNTIFS('Product Design'!$M$13:$BM$13,N$7)</f>
        <v>1</v>
      </c>
      <c r="O37">
        <f>COUNTIFS('Product Design'!$M$13:$BM$13,O$7)</f>
        <v>0</v>
      </c>
      <c r="P37">
        <f>COUNTIFS('Product Design'!$M$13:$BM$13,P$7)</f>
        <v>0</v>
      </c>
      <c r="Q37">
        <f>COUNTIFS('Product Design'!$M$13:$BM$13,Q$7)</f>
        <v>0</v>
      </c>
      <c r="R37">
        <f>COUNTIFS('Product Design'!$M$13:$BM$13,R$7)</f>
        <v>0</v>
      </c>
      <c r="S37" s="137">
        <f>COUNTIFS('Product Design'!$M$13:$BM$13,S$7)</f>
        <v>2</v>
      </c>
      <c r="T37" s="137">
        <f>COUNTIFS('Product Design'!$M$13:$BM$13,T$7)</f>
        <v>0</v>
      </c>
      <c r="V37" s="148" t="str">
        <f>IF(((J37)='KPI Linked Table for Report'!$C$1),"ok1","err1")&amp;IF((J37-SUM(K37:S37)=0),"ok2","err2")</f>
        <v>ok1ok2</v>
      </c>
      <c r="AA37" s="148" t="s">
        <v>474</v>
      </c>
    </row>
    <row r="38" spans="2:27" x14ac:dyDescent="0.3">
      <c r="B38" s="918"/>
      <c r="C38" s="136" t="s">
        <v>341</v>
      </c>
      <c r="D38" s="144" t="s">
        <v>33</v>
      </c>
      <c r="E38" s="144" t="s">
        <v>227</v>
      </c>
      <c r="F38" s="145" t="s">
        <v>146</v>
      </c>
      <c r="G38" s="169" t="s">
        <v>185</v>
      </c>
      <c r="H38" s="552" t="s">
        <v>231</v>
      </c>
      <c r="J38" s="148">
        <f>COUNTA('Product Design'!$M$16:$BM$16)-COUNTBLANK('Product Design'!$M$16:$BM$16)</f>
        <v>42</v>
      </c>
      <c r="K38" s="153">
        <f>COUNTIFS('Product Design'!$M$16:$BM$16,K$7)</f>
        <v>19</v>
      </c>
      <c r="L38" s="154">
        <f>COUNTIFS('Product Design'!$M$16:$BM$16,L$7)</f>
        <v>3</v>
      </c>
      <c r="M38" s="155">
        <f>COUNTIFS('Product Design'!$M$16:$BM$16,M$7)</f>
        <v>17</v>
      </c>
      <c r="N38">
        <f>COUNTIFS('Product Design'!$M$16:$BM$16,N$7)</f>
        <v>1</v>
      </c>
      <c r="O38">
        <f>COUNTIFS('Product Design'!$M$16:$BM$16,O$7)</f>
        <v>0</v>
      </c>
      <c r="P38">
        <f>COUNTIFS('Product Design'!$M$16:$BM$16,P$7)</f>
        <v>0</v>
      </c>
      <c r="Q38">
        <f>COUNTIFS('Product Design'!$M$16:$BM$16,Q$7)</f>
        <v>0</v>
      </c>
      <c r="R38">
        <f>COUNTIFS('Product Design'!$M$16:$BM$16,R$7)</f>
        <v>0</v>
      </c>
      <c r="S38" s="137">
        <f>COUNTIFS('Product Design'!$M$16:$BM$16,S$7)</f>
        <v>2</v>
      </c>
      <c r="T38" s="137">
        <f>COUNTIFS('Product Design'!$M$16:$BM$16,T$7)</f>
        <v>0</v>
      </c>
      <c r="V38" s="148" t="str">
        <f>IF(((J38)='KPI Linked Table for Report'!$C$1),"ok1","err1")&amp;IF((J38-SUM(K38:S38)=0),"ok2","err2")</f>
        <v>ok1ok2</v>
      </c>
      <c r="AA38" s="148" t="s">
        <v>474</v>
      </c>
    </row>
    <row r="39" spans="2:27" x14ac:dyDescent="0.3">
      <c r="B39" s="918"/>
      <c r="C39" s="136" t="s">
        <v>338</v>
      </c>
      <c r="D39" s="144" t="s">
        <v>32</v>
      </c>
      <c r="E39" s="144" t="s">
        <v>440</v>
      </c>
      <c r="F39" s="145" t="s">
        <v>142</v>
      </c>
      <c r="G39" s="169" t="s">
        <v>185</v>
      </c>
      <c r="H39" s="552" t="s">
        <v>222</v>
      </c>
      <c r="J39" s="148">
        <f>COUNTA('Product Design'!$M$19:$BM$19)-COUNTBLANK('Product Design'!$M$19:$BM$19)</f>
        <v>42</v>
      </c>
      <c r="K39" s="153">
        <f>COUNTIFS('Product Design'!$M$19:$BM$19,K$7)</f>
        <v>33</v>
      </c>
      <c r="L39" s="154">
        <f>COUNTIFS('Product Design'!$M$19:$BM$19,L$7)</f>
        <v>0</v>
      </c>
      <c r="M39" s="155">
        <f>COUNTIFS('Product Design'!$M$19:$BM$19,M$7)</f>
        <v>6</v>
      </c>
      <c r="N39">
        <f>COUNTIFS('Product Design'!$M$19:$BM$19,N$7)</f>
        <v>1</v>
      </c>
      <c r="O39">
        <f>COUNTIFS('Product Design'!$M$19:$BM$19,O$7)</f>
        <v>0</v>
      </c>
      <c r="P39">
        <f>COUNTIFS('Product Design'!$M$19:$BM$19,P$7)</f>
        <v>0</v>
      </c>
      <c r="Q39">
        <f>COUNTIFS('Product Design'!$M$19:$BM$19,Q$7)</f>
        <v>0</v>
      </c>
      <c r="R39">
        <f>COUNTIFS('Product Design'!$M$19:$BM$19,R$7)</f>
        <v>0</v>
      </c>
      <c r="S39" s="137">
        <f>COUNTIFS('Product Design'!$M$19:$BM$19,S$7)</f>
        <v>2</v>
      </c>
      <c r="T39" s="137">
        <f>COUNTIFS('Product Design'!$M$19:$BM$19,T$7)</f>
        <v>0</v>
      </c>
      <c r="V39" s="148" t="str">
        <f>IF(((J39)='KPI Linked Table for Report'!$C$1),"ok1","err1")&amp;IF((J39-SUM(K39:S39)=0),"ok2","err2")</f>
        <v>ok1ok2</v>
      </c>
      <c r="AA39" s="148" t="s">
        <v>474</v>
      </c>
    </row>
    <row r="40" spans="2:27" ht="15" thickBot="1" x14ac:dyDescent="0.35">
      <c r="B40" s="138"/>
      <c r="C40" s="138" t="s">
        <v>339</v>
      </c>
      <c r="D40" s="146" t="s">
        <v>31</v>
      </c>
      <c r="E40" s="146" t="s">
        <v>245</v>
      </c>
      <c r="F40" s="147" t="s">
        <v>182</v>
      </c>
      <c r="G40" s="188" t="s">
        <v>182</v>
      </c>
      <c r="H40" s="553" t="s">
        <v>182</v>
      </c>
      <c r="J40" s="149">
        <f>COUNTA('Product Design'!$M$22:$BM$22)-COUNTBLANK('Product Design'!$M$22:$BM$22)</f>
        <v>42</v>
      </c>
      <c r="K40" s="156">
        <f>COUNTIFS('Product Design'!$M$22:$BM$22,K$7)</f>
        <v>0</v>
      </c>
      <c r="L40" s="157">
        <f>COUNTIFS('Product Design'!$M$22:$BM$22,L$7)</f>
        <v>0</v>
      </c>
      <c r="M40" s="158">
        <f>COUNTIFS('Product Design'!$M$22:$BM$22,M$7)</f>
        <v>0</v>
      </c>
      <c r="N40" s="139">
        <f>COUNTIFS('Product Design'!$M$22:$BM$22,N$7)</f>
        <v>1</v>
      </c>
      <c r="O40" s="139">
        <f>COUNTIFS('Product Design'!$M$22:$BM$22,O$7)</f>
        <v>0</v>
      </c>
      <c r="P40" s="139">
        <f>+COUNTIFS('Product Design'!$M$22:$BM$22,$P$7)</f>
        <v>41</v>
      </c>
      <c r="Q40" s="139">
        <f>+COUNTIFS('Product Design'!$M$22:$BM$22,$Q$7)</f>
        <v>0</v>
      </c>
      <c r="R40" s="139">
        <f>COUNTIFS('Product Design'!$M$22:$BM$22,R$7)</f>
        <v>0</v>
      </c>
      <c r="S40" s="140">
        <f>COUNTIFS('Product Design'!$M$22:$BM$22,S$7)</f>
        <v>0</v>
      </c>
      <c r="T40" s="140">
        <f>COUNTIFS('Product Design'!$M$22:$BM$22,T$7)</f>
        <v>0</v>
      </c>
      <c r="V40" s="149" t="str">
        <f>IF(((J40)='KPI Linked Table for Report'!$C$1),"ok1","err1")&amp;IF((J40-SUM(K40:S40)=0),"ok2","err2")</f>
        <v>ok1ok2</v>
      </c>
      <c r="AA40" s="149" t="s">
        <v>475</v>
      </c>
    </row>
    <row r="41" spans="2:27" ht="15" thickBot="1" x14ac:dyDescent="0.35">
      <c r="E41" s="350"/>
    </row>
    <row r="42" spans="2:27" ht="15" thickBot="1" x14ac:dyDescent="0.35">
      <c r="B42" s="180" t="s">
        <v>130</v>
      </c>
      <c r="C42" s="133" t="s">
        <v>21</v>
      </c>
      <c r="D42" s="134"/>
      <c r="E42" s="141" t="s">
        <v>189</v>
      </c>
      <c r="F42" s="141">
        <f>+'Product Eng - MB'!E2</f>
        <v>42</v>
      </c>
      <c r="G42" s="241" t="s">
        <v>506</v>
      </c>
      <c r="J42" s="181" t="str">
        <f>+$B42</f>
        <v>Product Eng - MB</v>
      </c>
      <c r="K42" s="181"/>
      <c r="L42" s="182"/>
      <c r="M42" s="182"/>
      <c r="N42" s="182"/>
      <c r="O42" s="182"/>
      <c r="P42" s="182"/>
      <c r="Q42" s="182"/>
      <c r="R42" s="182"/>
      <c r="S42" s="183"/>
      <c r="T42" s="183"/>
      <c r="V42" s="181"/>
      <c r="X42" t="s">
        <v>353</v>
      </c>
      <c r="AA42" s="403"/>
    </row>
    <row r="43" spans="2:27" x14ac:dyDescent="0.3">
      <c r="B43" s="917" t="s">
        <v>161</v>
      </c>
      <c r="C43" s="133" t="s">
        <v>336</v>
      </c>
      <c r="D43" s="142" t="s">
        <v>30</v>
      </c>
      <c r="E43" s="142" t="s">
        <v>233</v>
      </c>
      <c r="F43" s="143" t="s">
        <v>144</v>
      </c>
      <c r="G43" s="168" t="s">
        <v>186</v>
      </c>
      <c r="H43" s="551" t="s">
        <v>236</v>
      </c>
      <c r="J43" s="148">
        <f>COUNTA('Product Eng - MB'!$M$10:$BM$10)-COUNTBLANK('Product Eng - MB'!$M$10:$BM$10)</f>
        <v>42</v>
      </c>
      <c r="K43" s="150">
        <f>COUNTIFS('Product Eng - MB'!$M$10:$BM$10,K$7)</f>
        <v>27</v>
      </c>
      <c r="L43" s="151">
        <f>COUNTIFS('Product Eng - MB'!$M$10:$BM$10,L$7)</f>
        <v>1</v>
      </c>
      <c r="M43" s="152">
        <f>COUNTIFS('Product Eng - MB'!$M$10:$BM$10,M$7)</f>
        <v>12</v>
      </c>
      <c r="N43" s="134">
        <f>COUNTIFS('Product Eng - MB'!$M$10:$BM$10,N$7)</f>
        <v>1</v>
      </c>
      <c r="O43" s="134">
        <f>COUNTIFS('Product Eng - MB'!$M$10:$BM$10,O$7)</f>
        <v>0</v>
      </c>
      <c r="P43" s="134">
        <f>COUNTIFS('Product Eng - MB'!$M$10:$BM$10,P$7)</f>
        <v>0</v>
      </c>
      <c r="Q43" s="134">
        <f>COUNTIFS('Product Eng - MB'!$M$10:$BM$10,Q$7)</f>
        <v>0</v>
      </c>
      <c r="R43" s="134">
        <f>COUNTIFS('Product Eng - MB'!$M$10:$BM$10,R$7)</f>
        <v>0</v>
      </c>
      <c r="S43" s="135">
        <f>COUNTIFS('Product Eng - MB'!$M$10:$BM$10,S$7)</f>
        <v>1</v>
      </c>
      <c r="T43" s="135">
        <f>COUNTIFS('Product Eng - MB'!$M$10:$BM$10,T$7)</f>
        <v>0</v>
      </c>
      <c r="V43" s="141" t="str">
        <f>IF(((J43)='KPI Linked Table for Report'!$C$1),"ok1","err1")&amp;IF((J43-SUM(K43:S43)=0),"ok2","err2")</f>
        <v>ok1ok2</v>
      </c>
      <c r="AA43" s="141" t="s">
        <v>474</v>
      </c>
    </row>
    <row r="44" spans="2:27" x14ac:dyDescent="0.3">
      <c r="B44" s="918" t="s">
        <v>21</v>
      </c>
      <c r="C44" s="136" t="s">
        <v>337</v>
      </c>
      <c r="D44" s="144" t="s">
        <v>33</v>
      </c>
      <c r="E44" s="144" t="s">
        <v>234</v>
      </c>
      <c r="F44" s="145" t="s">
        <v>146</v>
      </c>
      <c r="G44" s="169" t="s">
        <v>186</v>
      </c>
      <c r="H44" s="552" t="s">
        <v>237</v>
      </c>
      <c r="J44" s="148">
        <f>COUNTA('Product Eng - MB'!$M$13:$BM$13)-COUNTBLANK('Product Eng - MB'!$M$13:$BM$13)</f>
        <v>42</v>
      </c>
      <c r="K44" s="153">
        <f>COUNTIFS('Product Eng - MB'!$M$13:$BM$13,K$7)</f>
        <v>34</v>
      </c>
      <c r="L44" s="154">
        <f>COUNTIFS('Product Eng - MB'!$M$13:$BM$13,L$7)</f>
        <v>0</v>
      </c>
      <c r="M44" s="155">
        <f>COUNTIFS('Product Eng - MB'!$M$13:$BM$13,M$7)</f>
        <v>6</v>
      </c>
      <c r="N44">
        <f>COUNTIFS('Product Eng - MB'!$M$13:$BM$13,N$7)</f>
        <v>1</v>
      </c>
      <c r="O44">
        <f>COUNTIFS('Product Eng - MB'!$M$13:$BM$13,O$7)</f>
        <v>0</v>
      </c>
      <c r="P44">
        <f>COUNTIFS('Product Eng - MB'!$M$13:$BM$13,P$7)</f>
        <v>0</v>
      </c>
      <c r="Q44">
        <f>COUNTIFS('Product Eng - MB'!$M$13:$BM$13,Q$7)</f>
        <v>0</v>
      </c>
      <c r="R44">
        <f>COUNTIFS('Product Eng - MB'!$M$13:$BM$13,R$7)</f>
        <v>0</v>
      </c>
      <c r="S44" s="137">
        <f>COUNTIFS('Product Eng - MB'!$M$13:$BM$13,S$7)</f>
        <v>1</v>
      </c>
      <c r="T44" s="137">
        <f>COUNTIFS('Product Eng - MB'!$M$13:$BM$13,T$7)</f>
        <v>0</v>
      </c>
      <c r="V44" s="148" t="str">
        <f>IF(((J44)='KPI Linked Table for Report'!$C$1),"ok1","err1")&amp;IF((J44-SUM(K44:S44)=0),"ok2","err2")</f>
        <v>ok1ok2</v>
      </c>
      <c r="AA44" s="148" t="s">
        <v>476</v>
      </c>
    </row>
    <row r="45" spans="2:27" x14ac:dyDescent="0.3">
      <c r="B45" s="918"/>
      <c r="C45" s="136" t="s">
        <v>341</v>
      </c>
      <c r="D45" s="144" t="s">
        <v>33</v>
      </c>
      <c r="E45" s="144" t="s">
        <v>235</v>
      </c>
      <c r="F45" s="145" t="s">
        <v>146</v>
      </c>
      <c r="G45" s="169" t="s">
        <v>185</v>
      </c>
      <c r="H45" s="552" t="s">
        <v>238</v>
      </c>
      <c r="J45" s="148">
        <f>COUNTA('Product Eng - MB'!$M$16:$BM$16)-COUNTBLANK('Product Eng - MB'!$M$16:$BM$16)</f>
        <v>42</v>
      </c>
      <c r="K45" s="153">
        <f>COUNTIFS('Product Eng - MB'!$M$16:$BM$16,K$7)</f>
        <v>16</v>
      </c>
      <c r="L45" s="154">
        <f>COUNTIFS('Product Eng - MB'!$M$16:$BM$16,L$7)</f>
        <v>0</v>
      </c>
      <c r="M45" s="155">
        <f>COUNTIFS('Product Eng - MB'!$M$16:$BM$16,M$7)</f>
        <v>24</v>
      </c>
      <c r="N45">
        <f>COUNTIFS('Product Eng - MB'!$M$16:$BM$16,N$7)</f>
        <v>1</v>
      </c>
      <c r="O45">
        <f>COUNTIFS('Product Eng - MB'!$M$16:$BM$16,O$7)</f>
        <v>0</v>
      </c>
      <c r="P45">
        <f>COUNTIFS('Product Eng - MB'!$M$16:$BM$16,P$7)</f>
        <v>0</v>
      </c>
      <c r="Q45">
        <f>COUNTIFS('Product Eng - MB'!$M$16:$BM$16,Q$7)</f>
        <v>0</v>
      </c>
      <c r="R45">
        <f>COUNTIFS('Product Eng - MB'!$M$16:$BM$16,R$7)</f>
        <v>0</v>
      </c>
      <c r="S45" s="137">
        <f>COUNTIFS('Product Eng - MB'!$M$16:$BM$16,S$7)</f>
        <v>1</v>
      </c>
      <c r="T45" s="137">
        <f>COUNTIFS('Product Eng - MB'!$M$16:$BM$16,T$7)</f>
        <v>0</v>
      </c>
      <c r="V45" s="148" t="str">
        <f>IF(((J45)='KPI Linked Table for Report'!$C$1),"ok1","err1")&amp;IF((J45-SUM(K45:S45)=0),"ok2","err2")</f>
        <v>ok1ok2</v>
      </c>
      <c r="AA45" s="148" t="s">
        <v>474</v>
      </c>
    </row>
    <row r="46" spans="2:27" x14ac:dyDescent="0.3">
      <c r="B46" s="918"/>
      <c r="C46" s="136" t="s">
        <v>338</v>
      </c>
      <c r="D46" s="144" t="s">
        <v>32</v>
      </c>
      <c r="E46" s="144" t="s">
        <v>551</v>
      </c>
      <c r="F46" s="145" t="s">
        <v>144</v>
      </c>
      <c r="G46" s="169" t="s">
        <v>185</v>
      </c>
      <c r="H46" s="552" t="s">
        <v>550</v>
      </c>
      <c r="J46" s="148">
        <f>COUNTA('Product Eng - MB'!$M$19:$BM$19)-COUNTBLANK('Product Eng - MB'!$M$19:$BM$19)</f>
        <v>42</v>
      </c>
      <c r="K46" s="153">
        <f>COUNTIFS('Product Eng - MB'!$M$19:$BM$19,K$7)</f>
        <v>22</v>
      </c>
      <c r="L46" s="154">
        <f>COUNTIFS('Product Eng - MB'!$M$19:$BM$19,L$7)</f>
        <v>0</v>
      </c>
      <c r="M46" s="155">
        <f>COUNTIFS('Product Eng - MB'!$M$19:$BM$19,M$7)</f>
        <v>4</v>
      </c>
      <c r="N46">
        <f>COUNTIFS('Product Eng - MB'!$M$19:$BM$19,N$7)</f>
        <v>1</v>
      </c>
      <c r="O46" s="340">
        <f>COUNTIFS('Product Eng - MB'!$M$19:$BM$19,O$7)</f>
        <v>14</v>
      </c>
      <c r="P46">
        <f>COUNTIFS('Product Eng - MB'!$M$19:$BM$19,P$7)</f>
        <v>0</v>
      </c>
      <c r="Q46">
        <f>COUNTIFS('Product Eng - MB'!$M$19:$BM$19,Q$7)</f>
        <v>0</v>
      </c>
      <c r="R46">
        <f>COUNTIFS('Product Eng - MB'!$M$19:$BM$19,R$7)</f>
        <v>0</v>
      </c>
      <c r="S46" s="137">
        <f>COUNTIFS('Product Eng - MB'!$M$19:$BM$19,S$7)</f>
        <v>1</v>
      </c>
      <c r="T46" s="137">
        <f>COUNTIFS('Product Eng - MB'!$M$19:$BM$19,T$7)</f>
        <v>0</v>
      </c>
      <c r="V46" s="148" t="str">
        <f>IF(((J46)='KPI Linked Table for Report'!$C$1),"ok1","err1")&amp;IF((J46-SUM(K46:S46)=0),"ok2","err2")</f>
        <v>ok1ok2</v>
      </c>
      <c r="AA46" s="148" t="s">
        <v>475</v>
      </c>
    </row>
    <row r="47" spans="2:27" ht="15" thickBot="1" x14ac:dyDescent="0.35">
      <c r="B47" s="138"/>
      <c r="C47" s="138" t="s">
        <v>339</v>
      </c>
      <c r="D47" s="146" t="s">
        <v>31</v>
      </c>
      <c r="E47" s="146" t="s">
        <v>534</v>
      </c>
      <c r="F47" s="147" t="s">
        <v>595</v>
      </c>
      <c r="G47" s="170" t="s">
        <v>185</v>
      </c>
      <c r="H47" s="553" t="s">
        <v>552</v>
      </c>
      <c r="J47" s="149">
        <f>COUNTA('Product Eng - MB'!$M$22:$BM$22)-COUNTBLANK('Product Eng - MB'!$M$22:$BM$22)</f>
        <v>42</v>
      </c>
      <c r="K47" s="156">
        <f>COUNTIFS('Product Eng - MB'!$M$22:$BM$22,K$7)</f>
        <v>30</v>
      </c>
      <c r="L47" s="157">
        <f>COUNTIFS('Product Eng - MB'!$M$22:$BM$22,L$7)</f>
        <v>0</v>
      </c>
      <c r="M47" s="158">
        <f>COUNTIFS('Product Eng - MB'!$M$22:$BM$22,M$7)</f>
        <v>10</v>
      </c>
      <c r="N47" s="139">
        <f>COUNTIFS('Product Eng - MB'!$M$22:$BM$22,N$7)</f>
        <v>1</v>
      </c>
      <c r="O47" s="139">
        <f>COUNTIFS('Product Eng - MB'!$M$22:$BM$22,O$7)</f>
        <v>0</v>
      </c>
      <c r="P47" s="139">
        <f>COUNTIFS('Product Eng - MB'!$M$22:$BM$22,P$7)</f>
        <v>0</v>
      </c>
      <c r="Q47" s="139">
        <f>COUNTIFS('Product Eng - MB'!$M$22:$BM$22,Q$7)</f>
        <v>0</v>
      </c>
      <c r="R47" s="139">
        <f>COUNTIFS('Product Eng - MB'!$M$22:$BM$22,R$7)</f>
        <v>0</v>
      </c>
      <c r="S47" s="140">
        <f>COUNTIFS('Product Eng - MB'!$M$22:$BM$22,S$7)</f>
        <v>1</v>
      </c>
      <c r="T47" s="140">
        <f>COUNTIFS('Product Eng - MB'!$M$22:$BM$22,T$7)</f>
        <v>0</v>
      </c>
      <c r="V47" s="149" t="str">
        <f>IF(((J47)='KPI Linked Table for Report'!$C$1),"ok1","err1")&amp;IF((J47-SUM(K47:S47)=0),"ok2","err2")</f>
        <v>ok1ok2</v>
      </c>
      <c r="Z47" s="395" t="s">
        <v>245</v>
      </c>
      <c r="AA47" s="149" t="s">
        <v>474</v>
      </c>
    </row>
    <row r="48" spans="2:27" ht="15" thickBot="1" x14ac:dyDescent="0.35">
      <c r="E48" s="350"/>
    </row>
    <row r="49" spans="2:27" ht="15" thickBot="1" x14ac:dyDescent="0.35">
      <c r="B49" s="180" t="s">
        <v>131</v>
      </c>
      <c r="C49" s="133" t="s">
        <v>21</v>
      </c>
      <c r="D49" s="134"/>
      <c r="E49" s="141" t="s">
        <v>189</v>
      </c>
      <c r="F49" s="141">
        <f>+'Product Eng - BE'!E2</f>
        <v>42</v>
      </c>
      <c r="G49" s="241" t="s">
        <v>506</v>
      </c>
      <c r="J49" s="181" t="str">
        <f>+$B49</f>
        <v>Product Eng - BE</v>
      </c>
      <c r="K49" s="181"/>
      <c r="L49" s="182"/>
      <c r="M49" s="182"/>
      <c r="N49" s="182"/>
      <c r="O49" s="182"/>
      <c r="P49" s="182"/>
      <c r="Q49" s="182"/>
      <c r="R49" s="182"/>
      <c r="S49" s="183"/>
      <c r="T49" s="183"/>
      <c r="V49" s="181"/>
      <c r="X49" t="s">
        <v>353</v>
      </c>
      <c r="AA49" s="403"/>
    </row>
    <row r="50" spans="2:27" x14ac:dyDescent="0.3">
      <c r="B50" s="917" t="s">
        <v>160</v>
      </c>
      <c r="C50" s="133" t="s">
        <v>336</v>
      </c>
      <c r="D50" s="142" t="s">
        <v>30</v>
      </c>
      <c r="E50" s="142" t="s">
        <v>233</v>
      </c>
      <c r="F50" s="143" t="s">
        <v>144</v>
      </c>
      <c r="G50" s="168" t="s">
        <v>186</v>
      </c>
      <c r="H50" s="551" t="s">
        <v>236</v>
      </c>
      <c r="J50" s="148">
        <f>COUNTA('Product Eng - BE'!$M$10:$BM$10)-COUNTBLANK('Product Eng - BE'!$M$10:$BM$10)</f>
        <v>42</v>
      </c>
      <c r="K50" s="150">
        <f>COUNTIFS('Product Eng - BE'!$M$10:$BM$10,K$7)</f>
        <v>21</v>
      </c>
      <c r="L50" s="151">
        <f>COUNTIFS('Product Eng - BE'!$M$10:$BM$10,L$7)</f>
        <v>3</v>
      </c>
      <c r="M50" s="152">
        <f>COUNTIFS('Product Eng - BE'!$M$10:$BM$10,M$7)</f>
        <v>16</v>
      </c>
      <c r="N50" s="134">
        <f>COUNTIFS('Product Eng - BE'!$M$10:$BM$10,N$7)</f>
        <v>1</v>
      </c>
      <c r="O50" s="134">
        <f>COUNTIFS('Product Eng - BE'!$M$10:$BM$10,O$7)</f>
        <v>0</v>
      </c>
      <c r="P50" s="134">
        <f>COUNTIFS('Product Eng - BE'!$M$10:$BM$10,P$7)</f>
        <v>0</v>
      </c>
      <c r="Q50" s="134">
        <f>COUNTIFS('Product Eng - BE'!$M$10:$BM$10,Q$7)</f>
        <v>0</v>
      </c>
      <c r="R50" s="134">
        <f>COUNTIFS('Product Eng - BE'!$M$10:$BM$10,R$7)</f>
        <v>0</v>
      </c>
      <c r="S50" s="135">
        <f>COUNTIFS('Product Eng - BE'!$M$10:$BM$10,S$7)</f>
        <v>1</v>
      </c>
      <c r="T50" s="135">
        <f>COUNTIFS('Product Eng - BE'!$M$10:$BM$10,T$7)</f>
        <v>0</v>
      </c>
      <c r="V50" s="141" t="str">
        <f>IF(((J50)='KPI Linked Table for Report'!$C$1),"ok1","err1")&amp;IF((J50-SUM(K50:S50)=0),"ok2","err2")</f>
        <v>ok1ok2</v>
      </c>
      <c r="AA50" s="141"/>
    </row>
    <row r="51" spans="2:27" x14ac:dyDescent="0.3">
      <c r="B51" s="918" t="s">
        <v>21</v>
      </c>
      <c r="C51" s="136" t="s">
        <v>337</v>
      </c>
      <c r="D51" s="144" t="s">
        <v>33</v>
      </c>
      <c r="E51" s="144" t="s">
        <v>234</v>
      </c>
      <c r="F51" s="145" t="s">
        <v>146</v>
      </c>
      <c r="G51" s="169" t="s">
        <v>185</v>
      </c>
      <c r="H51" s="552" t="s">
        <v>237</v>
      </c>
      <c r="J51" s="148">
        <f>COUNTA('Product Eng - BE'!$M$13:$BM$13)-COUNTBLANK('Product Eng - BE'!$M$13:$BM$13)</f>
        <v>42</v>
      </c>
      <c r="K51" s="153">
        <f>COUNTIFS('Product Eng - BE'!$M$13:$BM$13,K$7)</f>
        <v>29</v>
      </c>
      <c r="L51" s="154">
        <f>COUNTIFS('Product Eng - BE'!$M$13:$BM$13,L$7)</f>
        <v>0</v>
      </c>
      <c r="M51" s="155">
        <f>COUNTIFS('Product Eng - BE'!$M$13:$BM$13,M$7)</f>
        <v>11</v>
      </c>
      <c r="N51">
        <f>COUNTIFS('Product Eng - BE'!$M$13:$BM$13,N$7)</f>
        <v>1</v>
      </c>
      <c r="O51">
        <f>COUNTIFS('Product Eng - BE'!$M$13:$BM$13,O$7)</f>
        <v>0</v>
      </c>
      <c r="P51">
        <f>COUNTIFS('Product Eng - BE'!$M$13:$BM$13,P$7)</f>
        <v>0</v>
      </c>
      <c r="Q51">
        <f>COUNTIFS('Product Eng - BE'!$M$13:$BM$13,Q$7)</f>
        <v>0</v>
      </c>
      <c r="R51">
        <f>COUNTIFS('Product Eng - BE'!$M$13:$BM$13,R$7)</f>
        <v>0</v>
      </c>
      <c r="S51" s="137">
        <f>COUNTIFS('Product Eng - BE'!$M$13:$BM$13,S$7)</f>
        <v>1</v>
      </c>
      <c r="T51" s="137">
        <f>COUNTIFS('Product Eng - BE'!$M$13:$BM$13,T$7)</f>
        <v>0</v>
      </c>
      <c r="V51" s="148" t="str">
        <f>IF(((J51)='KPI Linked Table for Report'!$C$1),"ok1","err1")&amp;IF((J51-SUM(K51:S51)=0),"ok2","err2")</f>
        <v>ok1ok2</v>
      </c>
      <c r="AA51" s="148"/>
    </row>
    <row r="52" spans="2:27" x14ac:dyDescent="0.3">
      <c r="B52" s="918"/>
      <c r="C52" s="136" t="s">
        <v>341</v>
      </c>
      <c r="D52" s="144" t="s">
        <v>33</v>
      </c>
      <c r="E52" s="144" t="s">
        <v>235</v>
      </c>
      <c r="F52" s="145" t="s">
        <v>146</v>
      </c>
      <c r="G52" s="169" t="s">
        <v>185</v>
      </c>
      <c r="H52" s="552" t="s">
        <v>238</v>
      </c>
      <c r="J52" s="148">
        <f>COUNTA('Product Eng - BE'!$M$16:$BM$16)-COUNTBLANK('Product Eng - BE'!$M$16:$BM$16)</f>
        <v>42</v>
      </c>
      <c r="K52" s="153">
        <f>COUNTIFS('Product Eng - BE'!$M$16:$BM$16,K$7)</f>
        <v>1</v>
      </c>
      <c r="L52" s="154">
        <f>COUNTIFS('Product Eng - BE'!$M$16:$BM$16,L$7)</f>
        <v>0</v>
      </c>
      <c r="M52" s="155">
        <f>COUNTIFS('Product Eng - BE'!$M$16:$BM$16,M$7)</f>
        <v>39</v>
      </c>
      <c r="N52">
        <f>COUNTIFS('Product Eng - BE'!$M$16:$BM$16,N$7)</f>
        <v>1</v>
      </c>
      <c r="O52">
        <f>COUNTIFS('Product Eng - BE'!$M$16:$BM$16,O$7)</f>
        <v>0</v>
      </c>
      <c r="P52">
        <f>COUNTIFS('Product Eng - BE'!$M$16:$BM$16,P$7)</f>
        <v>0</v>
      </c>
      <c r="Q52">
        <f>COUNTIFS('Product Eng - BE'!$M$16:$BM$16,Q$7)</f>
        <v>0</v>
      </c>
      <c r="R52">
        <f>COUNTIFS('Product Eng - BE'!$M$16:$BM$16,R$7)</f>
        <v>0</v>
      </c>
      <c r="S52" s="137">
        <f>COUNTIFS('Product Eng - BE'!$M$16:$BM$16,S$7)</f>
        <v>1</v>
      </c>
      <c r="T52" s="137">
        <f>COUNTIFS('Product Eng - BE'!$M$16:$BM$16,T$7)</f>
        <v>0</v>
      </c>
      <c r="V52" s="148" t="str">
        <f>IF(((J52)='KPI Linked Table for Report'!$C$1),"ok1","err1")&amp;IF((J52-SUM(K52:S52)=0),"ok2","err2")</f>
        <v>ok1ok2</v>
      </c>
      <c r="AA52" s="148"/>
    </row>
    <row r="53" spans="2:27" x14ac:dyDescent="0.3">
      <c r="B53" s="918"/>
      <c r="C53" s="136" t="s">
        <v>338</v>
      </c>
      <c r="D53" s="144" t="s">
        <v>32</v>
      </c>
      <c r="E53" s="144" t="s">
        <v>551</v>
      </c>
      <c r="F53" s="145" t="s">
        <v>144</v>
      </c>
      <c r="G53" s="169" t="s">
        <v>185</v>
      </c>
      <c r="H53" s="552" t="s">
        <v>550</v>
      </c>
      <c r="J53" s="148">
        <f>COUNTA('Product Eng - BE'!$M$19:$BM$19)-COUNTBLANK('Product Eng - BE'!$M$19:$BM$19)</f>
        <v>42</v>
      </c>
      <c r="K53" s="153">
        <f>COUNTIFS('Product Eng - BE'!$M$19:$BM$19,K$7)</f>
        <v>3</v>
      </c>
      <c r="L53" s="154">
        <f>COUNTIFS('Product Eng - BE'!$M$19:$BM$19,L$7)</f>
        <v>0</v>
      </c>
      <c r="M53" s="155">
        <f>COUNTIFS('Product Eng - BE'!$M$19:$BM$19,M$7)</f>
        <v>24</v>
      </c>
      <c r="N53">
        <f>COUNTIFS('Product Eng - BE'!$M$19:$BM$19,N$7)</f>
        <v>1</v>
      </c>
      <c r="O53">
        <f>COUNTIFS('Product Eng - BE'!$M$19:$BM$19,O$7)</f>
        <v>13</v>
      </c>
      <c r="P53">
        <f>COUNTIFS('Product Eng - BE'!$M$19:$BM$19,P$7)</f>
        <v>0</v>
      </c>
      <c r="Q53">
        <f>COUNTIFS('Product Eng - BE'!$M$19:$BM$19,Q$7)</f>
        <v>0</v>
      </c>
      <c r="R53">
        <f>COUNTIFS('Product Eng - BE'!$M$19:$BM$19,R$7)</f>
        <v>0</v>
      </c>
      <c r="S53" s="137">
        <f>COUNTIFS('Product Eng - BE'!$M$19:$BM$19,S$7)</f>
        <v>1</v>
      </c>
      <c r="T53" s="137">
        <f>COUNTIFS('Product Eng - BE'!$M$19:$BM$19,T$7)</f>
        <v>0</v>
      </c>
      <c r="V53" s="148" t="str">
        <f>IF(((J53)='KPI Linked Table for Report'!$C$1),"ok1","err1")&amp;IF((J53-SUM(K53:S53)=0),"ok2","err2")</f>
        <v>ok1ok2</v>
      </c>
      <c r="AA53" s="148"/>
    </row>
    <row r="54" spans="2:27" ht="15" thickBot="1" x14ac:dyDescent="0.35">
      <c r="B54" s="138"/>
      <c r="C54" s="138" t="s">
        <v>339</v>
      </c>
      <c r="D54" s="146" t="s">
        <v>31</v>
      </c>
      <c r="E54" s="146" t="s">
        <v>534</v>
      </c>
      <c r="F54" s="147" t="s">
        <v>169</v>
      </c>
      <c r="G54" s="170" t="s">
        <v>185</v>
      </c>
      <c r="H54" s="553" t="s">
        <v>553</v>
      </c>
      <c r="J54" s="149">
        <f>COUNTA('Product Eng - BE'!$M$22:$BM$22)-COUNTBLANK('Product Eng - BE'!$M$22:$BM$22)</f>
        <v>42</v>
      </c>
      <c r="K54" s="156">
        <f>COUNTIFS('Product Eng - BE'!$M$22:$BM$22,K$7)</f>
        <v>20</v>
      </c>
      <c r="L54" s="157">
        <f>COUNTIFS('Product Eng - BE'!$M$22:$BM$22,L$7)</f>
        <v>0</v>
      </c>
      <c r="M54" s="158">
        <f>COUNTIFS('Product Eng - BE'!$M$22:$BM$22,M$7)</f>
        <v>20</v>
      </c>
      <c r="N54" s="139">
        <f>COUNTIFS('Product Eng - BE'!$M$22:$BM$22,N$7)</f>
        <v>1</v>
      </c>
      <c r="O54" s="139">
        <f>COUNTIFS('Product Eng - BE'!$M$22:$BM$22,O$7)</f>
        <v>0</v>
      </c>
      <c r="P54" s="139">
        <f>COUNTIFS('Product Eng - BE'!$M$22:$BM$22,P$7)</f>
        <v>0</v>
      </c>
      <c r="Q54" s="139">
        <f>COUNTIFS('Product Eng - BE'!$M$22:$BM$22,Q$7)</f>
        <v>0</v>
      </c>
      <c r="R54" s="139">
        <f>COUNTIFS('Product Eng - BE'!$M$22:$BM$22,R$7)</f>
        <v>0</v>
      </c>
      <c r="S54" s="140">
        <f>COUNTIFS('Product Eng - BE'!$M$22:$BM$22,S$7)</f>
        <v>1</v>
      </c>
      <c r="T54" s="140">
        <f>COUNTIFS('Product Eng - BE'!$M$22:$BM$22,T$7)</f>
        <v>0</v>
      </c>
      <c r="V54" s="149" t="str">
        <f>IF(((J54)='KPI Linked Table for Report'!$C$1),"ok1","err1")&amp;IF((J54-SUM(K54:S54)=0),"ok2","err2")</f>
        <v>ok1ok2</v>
      </c>
      <c r="AA54" s="149" t="s">
        <v>422</v>
      </c>
    </row>
    <row r="55" spans="2:27" ht="15" thickBot="1" x14ac:dyDescent="0.35">
      <c r="E55" s="349" t="s">
        <v>396</v>
      </c>
    </row>
    <row r="56" spans="2:27" ht="15" thickBot="1" x14ac:dyDescent="0.35">
      <c r="B56" s="180" t="s">
        <v>197</v>
      </c>
      <c r="C56" s="133" t="s">
        <v>643</v>
      </c>
      <c r="D56" s="134"/>
      <c r="E56" s="141" t="s">
        <v>189</v>
      </c>
      <c r="F56" s="141">
        <f>+'Bridgend Manuf'!E2</f>
        <v>42</v>
      </c>
      <c r="G56" s="241" t="s">
        <v>506</v>
      </c>
      <c r="J56" s="181" t="str">
        <f>+$B56</f>
        <v>Bridgend Manuf</v>
      </c>
      <c r="K56" s="181"/>
      <c r="L56" s="182"/>
      <c r="M56" s="182"/>
      <c r="N56" s="182"/>
      <c r="O56" s="182"/>
      <c r="P56" s="182"/>
      <c r="Q56" s="182"/>
      <c r="R56" s="182"/>
      <c r="S56" s="183"/>
      <c r="T56" s="183"/>
      <c r="V56" s="181"/>
      <c r="X56" t="s">
        <v>353</v>
      </c>
      <c r="AA56" s="403"/>
    </row>
    <row r="57" spans="2:27" x14ac:dyDescent="0.3">
      <c r="B57" s="917" t="s">
        <v>164</v>
      </c>
      <c r="C57" s="133" t="s">
        <v>336</v>
      </c>
      <c r="D57" s="142" t="s">
        <v>30</v>
      </c>
      <c r="E57" s="142" t="s">
        <v>97</v>
      </c>
      <c r="F57" s="143" t="s">
        <v>169</v>
      </c>
      <c r="G57" s="168" t="s">
        <v>186</v>
      </c>
      <c r="H57" s="551" t="s">
        <v>219</v>
      </c>
      <c r="J57" s="148">
        <f>COUNTA('Bridgend Manuf'!$M$10:$BM$10)-COUNTBLANK('Bridgend Manuf'!$M$10:$BM$10)</f>
        <v>42</v>
      </c>
      <c r="K57" s="150">
        <f>COUNTIFS('Bridgend Manuf'!$M$10:$BM$10,K$7)</f>
        <v>20</v>
      </c>
      <c r="L57" s="151">
        <f>COUNTIFS('Bridgend Manuf'!$M$10:$BM$10,L$7)</f>
        <v>3</v>
      </c>
      <c r="M57" s="152">
        <f>COUNTIFS('Bridgend Manuf'!$M$10:$BM$10,M$7)</f>
        <v>15</v>
      </c>
      <c r="N57" s="134">
        <f>COUNTIFS('Bridgend Manuf'!$M$10:$BM$10,N$7)</f>
        <v>1</v>
      </c>
      <c r="O57" s="134">
        <f>COUNTIFS('Bridgend Manuf'!$M$10:$BM$10,O$7)</f>
        <v>0</v>
      </c>
      <c r="P57" s="134">
        <f>COUNTIFS('Bridgend Manuf'!$M$10:$BM$10,P$7)</f>
        <v>0</v>
      </c>
      <c r="Q57" s="134">
        <f>COUNTIFS('Bridgend Manuf'!$M$10:$BM$10,Q$7)</f>
        <v>0</v>
      </c>
      <c r="R57" s="134">
        <f>COUNTIFS('Bridgend Manuf'!$M$10:$BM$10,R$7)</f>
        <v>0</v>
      </c>
      <c r="S57" s="135">
        <f>COUNTIFS('Bridgend Manuf'!$M$10:$BM$10,S$7)</f>
        <v>3</v>
      </c>
      <c r="T57" s="135">
        <f>COUNTIFS('Bridgend Manuf'!$M$10:$BM$10,T$7)</f>
        <v>0</v>
      </c>
      <c r="V57" s="141" t="str">
        <f>IF(((J57)='KPI Linked Table for Report'!$C$1),"ok1","err1")&amp;IF((J57-SUM(K57:S57)=0),"ok2","err2")</f>
        <v>ok1ok2</v>
      </c>
      <c r="AA57" s="141" t="s">
        <v>472</v>
      </c>
    </row>
    <row r="58" spans="2:27" x14ac:dyDescent="0.3">
      <c r="B58" s="918" t="s">
        <v>120</v>
      </c>
      <c r="C58" s="136" t="s">
        <v>337</v>
      </c>
      <c r="D58" s="144" t="s">
        <v>33</v>
      </c>
      <c r="E58" s="144" t="s">
        <v>218</v>
      </c>
      <c r="F58" s="145" t="s">
        <v>144</v>
      </c>
      <c r="G58" s="169" t="s">
        <v>186</v>
      </c>
      <c r="H58" s="552" t="s">
        <v>156</v>
      </c>
      <c r="J58" s="148">
        <f>COUNTA('Bridgend Manuf'!$M$13:$BM$13)-COUNTBLANK('Bridgend Manuf'!$M$13:$BM$13)</f>
        <v>42</v>
      </c>
      <c r="K58" s="153">
        <f>COUNTIFS('Bridgend Manuf'!$M$13:$BM$13,K$7)</f>
        <v>14</v>
      </c>
      <c r="L58" s="154">
        <f>COUNTIFS('Bridgend Manuf'!$M$13:$BM$13,L$7)</f>
        <v>17</v>
      </c>
      <c r="M58" s="155">
        <f>COUNTIFS('Bridgend Manuf'!$M$13:$BM$13,M$7)</f>
        <v>7</v>
      </c>
      <c r="N58">
        <f>COUNTIFS('Bridgend Manuf'!$M$13:$BM$13,N$7)</f>
        <v>1</v>
      </c>
      <c r="O58">
        <f>COUNTIFS('Bridgend Manuf'!$M$13:$BM$13,O$7)</f>
        <v>0</v>
      </c>
      <c r="P58">
        <f>COUNTIFS('Bridgend Manuf'!$M$13:$BM$13,P$7)</f>
        <v>0</v>
      </c>
      <c r="Q58">
        <f>COUNTIFS('Bridgend Manuf'!$M$13:$BM$13,Q$7)</f>
        <v>0</v>
      </c>
      <c r="R58">
        <f>COUNTIFS('Bridgend Manuf'!$M$13:$BM$13,R$7)</f>
        <v>0</v>
      </c>
      <c r="S58" s="137">
        <f>COUNTIFS('Bridgend Manuf'!$M$13:$BM$13,S$7)</f>
        <v>3</v>
      </c>
      <c r="T58" s="137">
        <f>COUNTIFS('Bridgend Manuf'!$M$13:$BM$13,T$7)</f>
        <v>0</v>
      </c>
      <c r="V58" s="148" t="str">
        <f>IF(((J58)='KPI Linked Table for Report'!$C$1),"ok1","err1")&amp;IF((J58-SUM(K58:S58)=0),"ok2","err2")</f>
        <v>ok1ok2</v>
      </c>
      <c r="AA58" s="148" t="s">
        <v>472</v>
      </c>
    </row>
    <row r="59" spans="2:27" x14ac:dyDescent="0.3">
      <c r="B59" s="918"/>
      <c r="C59" s="136" t="s">
        <v>338</v>
      </c>
      <c r="D59" s="144" t="s">
        <v>32</v>
      </c>
      <c r="E59" s="144" t="s">
        <v>209</v>
      </c>
      <c r="F59" s="145" t="s">
        <v>142</v>
      </c>
      <c r="G59" s="169" t="s">
        <v>185</v>
      </c>
      <c r="H59" s="552" t="s">
        <v>220</v>
      </c>
      <c r="J59" s="148">
        <f>COUNTA('Bridgend Manuf'!$M$16:$BM$16)-COUNTBLANK('Bridgend Manuf'!$M$16:$BM$16)</f>
        <v>42</v>
      </c>
      <c r="K59" s="153">
        <f>COUNTIFS('Bridgend Manuf'!$M$16:$BM$16,K$7)</f>
        <v>30</v>
      </c>
      <c r="L59" s="154">
        <f>COUNTIFS('Bridgend Manuf'!$M$16:$BM$16,L$7)</f>
        <v>0</v>
      </c>
      <c r="M59" s="155">
        <f>COUNTIFS('Bridgend Manuf'!$M$16:$BM$16,M$7)</f>
        <v>8</v>
      </c>
      <c r="N59">
        <f>COUNTIFS('Bridgend Manuf'!$M$16:$BM$16,N$7)</f>
        <v>1</v>
      </c>
      <c r="O59">
        <f>COUNTIFS('Bridgend Manuf'!$M$16:$BM$16,O$7)</f>
        <v>0</v>
      </c>
      <c r="P59">
        <f>COUNTIFS('Bridgend Manuf'!$M$16:$BM$16,P$7)</f>
        <v>0</v>
      </c>
      <c r="Q59">
        <f>COUNTIFS('Bridgend Manuf'!$M$16:$BM$16,Q$7)</f>
        <v>0</v>
      </c>
      <c r="R59">
        <f>COUNTIFS('Bridgend Manuf'!$M$16:$BM$16,R$7)</f>
        <v>0</v>
      </c>
      <c r="S59" s="137">
        <f>COUNTIFS('Bridgend Manuf'!$M$16:$BM$16,S$7)</f>
        <v>3</v>
      </c>
      <c r="T59" s="137">
        <f>COUNTIFS('Bridgend Manuf'!$M$16:$BM$16,T$7)</f>
        <v>0</v>
      </c>
      <c r="V59" s="148" t="str">
        <f>IF(((J59)='KPI Linked Table for Report'!$C$1),"ok1","err1")&amp;IF((J59-SUM(K59:S59)=0),"ok2","err2")</f>
        <v>ok1ok2</v>
      </c>
      <c r="AA59" s="148" t="s">
        <v>472</v>
      </c>
    </row>
    <row r="60" spans="2:27" ht="15" thickBot="1" x14ac:dyDescent="0.35">
      <c r="B60" s="138"/>
      <c r="C60" s="138" t="s">
        <v>339</v>
      </c>
      <c r="D60" s="146" t="s">
        <v>31</v>
      </c>
      <c r="E60" s="146" t="s">
        <v>437</v>
      </c>
      <c r="F60" s="147" t="s">
        <v>169</v>
      </c>
      <c r="G60" s="170" t="s">
        <v>186</v>
      </c>
      <c r="H60" s="553" t="s">
        <v>221</v>
      </c>
      <c r="J60" s="149">
        <f>COUNTA('Bridgend Manuf'!$M$19:$BM$19)-COUNTBLANK('Bridgend Manuf'!$M$19:$BM$19)</f>
        <v>42</v>
      </c>
      <c r="K60" s="156">
        <f>COUNTIFS('Bridgend Manuf'!$M$19:$BM$19,K$7)</f>
        <v>29</v>
      </c>
      <c r="L60" s="157">
        <f>COUNTIFS('Bridgend Manuf'!$M$19:$BM$19,L$7)</f>
        <v>0</v>
      </c>
      <c r="M60" s="158">
        <f>COUNTIFS('Bridgend Manuf'!$M$19:$BM$19,M$7)</f>
        <v>9</v>
      </c>
      <c r="N60" s="139">
        <f>COUNTIFS('Bridgend Manuf'!$M$19:$BM$19,N$7)</f>
        <v>1</v>
      </c>
      <c r="O60" s="139">
        <f>COUNTIFS('Bridgend Manuf'!$M$19:$BM$19,O$7)</f>
        <v>0</v>
      </c>
      <c r="P60" s="139">
        <f>COUNTIFS('Bridgend Manuf'!$M$19:$BM$19,P$7)</f>
        <v>0</v>
      </c>
      <c r="Q60" s="139">
        <f>COUNTIFS('Bridgend Manuf'!$M$19:$BM$19,Q$7)</f>
        <v>0</v>
      </c>
      <c r="R60" s="139">
        <f>COUNTIFS('Bridgend Manuf'!$M$19:$BM$19,R$7)</f>
        <v>0</v>
      </c>
      <c r="S60" s="140">
        <f>COUNTIFS('Bridgend Manuf'!$M$19:$BM$19,S$7)</f>
        <v>3</v>
      </c>
      <c r="T60" s="140">
        <f>COUNTIFS('Bridgend Manuf'!$M$19:$BM$19,T$7)</f>
        <v>0</v>
      </c>
      <c r="V60" s="149" t="str">
        <f>IF(((J60)='KPI Linked Table for Report'!$C$1),"ok1","err1")&amp;IF((J60-SUM(K60:S60)=0),"ok2","err2")</f>
        <v>ok1ok2</v>
      </c>
      <c r="AA60" s="149" t="s">
        <v>472</v>
      </c>
    </row>
    <row r="61" spans="2:27" ht="15" thickBot="1" x14ac:dyDescent="0.35">
      <c r="E61" s="349" t="s">
        <v>426</v>
      </c>
    </row>
    <row r="62" spans="2:27" ht="15" thickBot="1" x14ac:dyDescent="0.35">
      <c r="B62" s="180" t="s">
        <v>198</v>
      </c>
      <c r="C62" s="133" t="s">
        <v>23</v>
      </c>
      <c r="D62" s="134"/>
      <c r="E62" s="141" t="s">
        <v>189</v>
      </c>
      <c r="F62" s="141">
        <f>+'Maybole Manuf'!E2</f>
        <v>42</v>
      </c>
      <c r="G62" s="241" t="s">
        <v>506</v>
      </c>
      <c r="J62" s="181" t="str">
        <f>+$B62</f>
        <v>Maybole Manuf</v>
      </c>
      <c r="K62" s="181"/>
      <c r="L62" s="182"/>
      <c r="M62" s="182"/>
      <c r="N62" s="182"/>
      <c r="O62" s="182"/>
      <c r="P62" s="182"/>
      <c r="Q62" s="182"/>
      <c r="R62" s="182"/>
      <c r="S62" s="183"/>
      <c r="T62" s="183"/>
      <c r="V62" s="181"/>
      <c r="X62" t="s">
        <v>353</v>
      </c>
      <c r="AA62" s="403" t="s">
        <v>413</v>
      </c>
    </row>
    <row r="63" spans="2:27" x14ac:dyDescent="0.3">
      <c r="B63" s="917" t="s">
        <v>163</v>
      </c>
      <c r="C63" s="133" t="s">
        <v>336</v>
      </c>
      <c r="D63" s="142" t="s">
        <v>30</v>
      </c>
      <c r="E63" s="142" t="s">
        <v>97</v>
      </c>
      <c r="F63" s="143" t="s">
        <v>169</v>
      </c>
      <c r="G63" s="168" t="s">
        <v>186</v>
      </c>
      <c r="H63" s="551" t="s">
        <v>425</v>
      </c>
      <c r="J63" s="148">
        <f>COUNTA('Maybole Manuf'!$M$10:$BM$10)-COUNTBLANK('Maybole Manuf'!$M$10:$BM$10)</f>
        <v>42</v>
      </c>
      <c r="K63" s="150">
        <f>COUNTIFS('Maybole Manuf'!$M$10:$BM$10,K$7)</f>
        <v>8</v>
      </c>
      <c r="L63" s="151">
        <f>COUNTIFS('Maybole Manuf'!$M$10:$BM$10,L$7)</f>
        <v>4</v>
      </c>
      <c r="M63" s="152">
        <f>COUNTIFS('Maybole Manuf'!$M$10:$BM$10,M$7)</f>
        <v>17</v>
      </c>
      <c r="N63" s="134">
        <f>COUNTIFS('Maybole Manuf'!$M$10:$BM$10,N$7)</f>
        <v>1</v>
      </c>
      <c r="O63" s="408">
        <f>COUNTIFS('Maybole Manuf'!$M$10:$BM$10,O$7)</f>
        <v>0</v>
      </c>
      <c r="P63" s="134">
        <f>COUNTIFS('Maybole Manuf'!$M$10:$BM$10,P$7)</f>
        <v>0</v>
      </c>
      <c r="Q63" s="134">
        <f>COUNTIFS('Maybole Manuf'!$M$10:$BM$10,Q$7)</f>
        <v>0</v>
      </c>
      <c r="R63" s="134">
        <f>COUNTIFS('Maybole Manuf'!$M$10:$BM$10,R$7)</f>
        <v>12</v>
      </c>
      <c r="S63" s="135">
        <f>COUNTIFS('Maybole Manuf'!$M$10:$BM$10,S$7)</f>
        <v>0</v>
      </c>
      <c r="T63" s="135">
        <f>COUNTIFS('Maybole Manuf'!$M$10:$BM$10,T$7)</f>
        <v>0</v>
      </c>
      <c r="V63" s="141" t="str">
        <f>IF(((J63)='KPI Linked Table for Report'!$C$1),"ok1","err1")&amp;IF((J63-SUM(K63:S63)=0),"ok2","err2")</f>
        <v>ok1ok2</v>
      </c>
      <c r="AA63" s="141" t="s">
        <v>473</v>
      </c>
    </row>
    <row r="64" spans="2:27" x14ac:dyDescent="0.3">
      <c r="B64" s="918" t="s">
        <v>23</v>
      </c>
      <c r="C64" s="136" t="s">
        <v>337</v>
      </c>
      <c r="D64" s="144" t="s">
        <v>33</v>
      </c>
      <c r="E64" s="144" t="s">
        <v>218</v>
      </c>
      <c r="F64" s="145" t="s">
        <v>144</v>
      </c>
      <c r="G64" s="169" t="s">
        <v>186</v>
      </c>
      <c r="H64" s="554" t="s">
        <v>156</v>
      </c>
      <c r="J64" s="148">
        <f>COUNTA('Maybole Manuf'!$M$13:$BM$13)-COUNTBLANK('Maybole Manuf'!$M$13:$BM$13)</f>
        <v>42</v>
      </c>
      <c r="K64" s="153">
        <f>COUNTIFS('Maybole Manuf'!$M$13:$BM$13,K$7)</f>
        <v>7</v>
      </c>
      <c r="L64" s="154">
        <f>COUNTIFS('Maybole Manuf'!$M$13:$BM$13,L$7)</f>
        <v>9</v>
      </c>
      <c r="M64" s="155">
        <f>COUNTIFS('Maybole Manuf'!$M$13:$BM$13,M$7)</f>
        <v>13</v>
      </c>
      <c r="N64">
        <f>COUNTIFS('Maybole Manuf'!$M$13:$BM$13,N$7)</f>
        <v>1</v>
      </c>
      <c r="O64" s="340">
        <f>COUNTIFS('Maybole Manuf'!$M$13:$BM$13,O$7)</f>
        <v>0</v>
      </c>
      <c r="P64">
        <f>COUNTIFS('Maybole Manuf'!$M$13:$BM$13,P$7)</f>
        <v>0</v>
      </c>
      <c r="Q64">
        <f>COUNTIFS('Maybole Manuf'!$M$13:$BM$13,Q$7)</f>
        <v>0</v>
      </c>
      <c r="R64">
        <f>COUNTIFS('Maybole Manuf'!$M$13:$BM$13,R$7)</f>
        <v>12</v>
      </c>
      <c r="S64" s="137">
        <f>COUNTIFS('Maybole Manuf'!$M$13:$BM$13,S$7)</f>
        <v>0</v>
      </c>
      <c r="T64" s="137">
        <f>COUNTIFS('Maybole Manuf'!$M$13:$BM$13,T$7)</f>
        <v>0</v>
      </c>
      <c r="V64" s="148" t="str">
        <f>IF(((J64)='KPI Linked Table for Report'!$C$1),"ok1","err1")&amp;IF((J64-SUM(K64:S64)=0),"ok2","err2")</f>
        <v>ok1ok2</v>
      </c>
      <c r="AA64" s="148" t="s">
        <v>473</v>
      </c>
    </row>
    <row r="65" spans="2:27" x14ac:dyDescent="0.3">
      <c r="B65" s="918"/>
      <c r="C65" s="136" t="s">
        <v>338</v>
      </c>
      <c r="D65" s="144" t="s">
        <v>32</v>
      </c>
      <c r="E65" s="144" t="s">
        <v>209</v>
      </c>
      <c r="F65" s="145" t="s">
        <v>142</v>
      </c>
      <c r="G65" s="169" t="s">
        <v>185</v>
      </c>
      <c r="H65" s="552" t="s">
        <v>423</v>
      </c>
      <c r="J65" s="148">
        <f>COUNTA('Maybole Manuf'!$M$16:$BM$16)-COUNTBLANK('Maybole Manuf'!$M$16:$BM$16)</f>
        <v>42</v>
      </c>
      <c r="K65" s="153">
        <f>COUNTIFS('Maybole Manuf'!$M$16:$BM$16,K$7)</f>
        <v>18</v>
      </c>
      <c r="L65" s="154">
        <f>COUNTIFS('Maybole Manuf'!$M$16:$BM$16,L$7)</f>
        <v>0</v>
      </c>
      <c r="M65" s="155">
        <f>COUNTIFS('Maybole Manuf'!$M$16:$BM$16,M$7)</f>
        <v>11</v>
      </c>
      <c r="N65">
        <f>COUNTIFS('Maybole Manuf'!$M$16:$BM$16,N$7)</f>
        <v>1</v>
      </c>
      <c r="O65" s="340">
        <f>COUNTIFS('Maybole Manuf'!$M$16:$BM$16,O$7)</f>
        <v>0</v>
      </c>
      <c r="P65">
        <f>COUNTIFS('Maybole Manuf'!$M$16:$BM$16,P$7)</f>
        <v>0</v>
      </c>
      <c r="Q65">
        <f>COUNTIFS('Maybole Manuf'!$M$16:$BM$16,Q$7)</f>
        <v>0</v>
      </c>
      <c r="R65">
        <f>COUNTIFS('Maybole Manuf'!$M$16:$BM$16,R$7)</f>
        <v>12</v>
      </c>
      <c r="S65" s="137">
        <f>COUNTIFS('Maybole Manuf'!$M$16:$BM$16,S$7)</f>
        <v>0</v>
      </c>
      <c r="T65" s="137">
        <f>COUNTIFS('Maybole Manuf'!$M$16:$BM$16,T$7)</f>
        <v>0</v>
      </c>
      <c r="V65" s="148" t="str">
        <f>IF(((J65)='KPI Linked Table for Report'!$C$1),"ok1","err1")&amp;IF((J65-SUM(K65:S65)=0),"ok2","err2")</f>
        <v>ok1ok2</v>
      </c>
      <c r="AA65" s="148" t="s">
        <v>473</v>
      </c>
    </row>
    <row r="66" spans="2:27" ht="15" thickBot="1" x14ac:dyDescent="0.35">
      <c r="B66" s="138"/>
      <c r="C66" s="138" t="s">
        <v>339</v>
      </c>
      <c r="D66" s="146" t="s">
        <v>31</v>
      </c>
      <c r="E66" s="146" t="s">
        <v>436</v>
      </c>
      <c r="F66" s="147" t="s">
        <v>169</v>
      </c>
      <c r="G66" s="170" t="s">
        <v>186</v>
      </c>
      <c r="H66" s="553" t="s">
        <v>424</v>
      </c>
      <c r="J66" s="149">
        <f>COUNTA('Maybole Manuf'!$M$19:$BM$19)-COUNTBLANK('Maybole Manuf'!$M$19:$BM$19)</f>
        <v>42</v>
      </c>
      <c r="K66" s="156">
        <f>COUNTIFS('Maybole Manuf'!$M$19:$BM$19,K$7)</f>
        <v>8</v>
      </c>
      <c r="L66" s="157">
        <f>COUNTIFS('Maybole Manuf'!$M$19:$BM$19,L$7)</f>
        <v>4</v>
      </c>
      <c r="M66" s="158">
        <f>COUNTIFS('Maybole Manuf'!$M$19:$BM$19,M$7)</f>
        <v>17</v>
      </c>
      <c r="N66" s="139">
        <f>COUNTIFS('Maybole Manuf'!$M$19:$BM$19,N$7)</f>
        <v>1</v>
      </c>
      <c r="O66" s="409">
        <f>COUNTIFS('Maybole Manuf'!$M$19:$BM$19,O$7)</f>
        <v>0</v>
      </c>
      <c r="P66" s="139">
        <f>COUNTIFS('Maybole Manuf'!$M$19:$BM$19,P$7)</f>
        <v>0</v>
      </c>
      <c r="Q66" s="139">
        <f>COUNTIFS('Maybole Manuf'!$M$19:$BM$19,Q$7)</f>
        <v>0</v>
      </c>
      <c r="R66" s="139">
        <f>COUNTIFS('Maybole Manuf'!$M$19:$BM$19,R$7)</f>
        <v>12</v>
      </c>
      <c r="S66" s="140">
        <f>COUNTIFS('Maybole Manuf'!$M$19:$BM$19,S$7)</f>
        <v>0</v>
      </c>
      <c r="T66" s="140">
        <f>COUNTIFS('Maybole Manuf'!$M$19:$BM$19,T$7)</f>
        <v>0</v>
      </c>
      <c r="V66" s="149" t="str">
        <f>IF(((J66)='KPI Linked Table for Report'!$C$1),"ok1","err1")&amp;IF((J66-SUM(K66:S66)=0),"ok2","err2")</f>
        <v>ok1ok2</v>
      </c>
      <c r="AA66" s="149" t="s">
        <v>473</v>
      </c>
    </row>
    <row r="67" spans="2:27" ht="15" thickBot="1" x14ac:dyDescent="0.35"/>
    <row r="68" spans="2:27" ht="15" thickBot="1" x14ac:dyDescent="0.35">
      <c r="B68" s="180" t="s">
        <v>11</v>
      </c>
      <c r="C68" s="133" t="s">
        <v>643</v>
      </c>
      <c r="D68" s="134"/>
      <c r="E68" s="141" t="s">
        <v>189</v>
      </c>
      <c r="F68" s="141">
        <f>+Logistics!E2</f>
        <v>42</v>
      </c>
      <c r="G68" s="241" t="s">
        <v>506</v>
      </c>
      <c r="J68" s="181" t="str">
        <f>+$B68</f>
        <v>Logistics</v>
      </c>
      <c r="K68" s="181"/>
      <c r="L68" s="182"/>
      <c r="M68" s="182"/>
      <c r="N68" s="182"/>
      <c r="O68" s="182"/>
      <c r="P68" s="182"/>
      <c r="Q68" s="182"/>
      <c r="R68" s="182"/>
      <c r="S68" s="183"/>
      <c r="T68" s="183"/>
      <c r="V68" s="181"/>
      <c r="X68" t="s">
        <v>353</v>
      </c>
      <c r="AA68" s="403"/>
    </row>
    <row r="69" spans="2:27" x14ac:dyDescent="0.3">
      <c r="B69" s="917" t="s">
        <v>11</v>
      </c>
      <c r="C69" s="133" t="s">
        <v>336</v>
      </c>
      <c r="D69" s="142" t="s">
        <v>30</v>
      </c>
      <c r="E69" s="142" t="s">
        <v>427</v>
      </c>
      <c r="F69" s="143" t="s">
        <v>169</v>
      </c>
      <c r="G69" s="168" t="s">
        <v>186</v>
      </c>
      <c r="H69" s="551" t="s">
        <v>429</v>
      </c>
      <c r="J69" s="148">
        <f>COUNTA(Logistics!$M$10:$BM$10)-COUNTBLANK(Logistics!$M$10:$BM$10)</f>
        <v>42</v>
      </c>
      <c r="K69" s="150">
        <f>COUNTIFS(Logistics!$M$10:$BM$10,K$7)</f>
        <v>3</v>
      </c>
      <c r="L69" s="151">
        <f>COUNTIFS(Logistics!$M$10:$BM$10,L$7)</f>
        <v>0</v>
      </c>
      <c r="M69" s="152">
        <f>COUNTIFS(Logistics!$M$10:$BM$10,M$7)</f>
        <v>4</v>
      </c>
      <c r="N69" s="134">
        <f>COUNTIFS(Logistics!$M$10:$BM$10,N$7)</f>
        <v>1</v>
      </c>
      <c r="O69" s="134">
        <f>COUNTIFS(Logistics!$M$10:$BM$10,O$7)</f>
        <v>0</v>
      </c>
      <c r="P69" s="134">
        <f>COUNTIFS(Logistics!$M$10:$BM$10,P$7)</f>
        <v>0</v>
      </c>
      <c r="Q69" s="134">
        <f>COUNTIFS(Logistics!$M$10:$BM$10,Q$7)</f>
        <v>0</v>
      </c>
      <c r="R69" s="134">
        <f>COUNTIFS(Logistics!$M$10:$BM$10,R$7)</f>
        <v>12</v>
      </c>
      <c r="S69" s="135">
        <f>COUNTIFS(Logistics!$M$10:$BM$10,S$7)</f>
        <v>22</v>
      </c>
      <c r="T69" s="135">
        <f>COUNTIFS(Logistics!$M$10:$BM$10,T$7)</f>
        <v>0</v>
      </c>
      <c r="V69" s="141" t="str">
        <f>IF(((J69)='KPI Linked Table for Report'!$C$1),"ok1","err1")&amp;IF((J69-SUM(K69:S69)=0),"ok2","err2")</f>
        <v>ok1ok2</v>
      </c>
      <c r="AA69" s="141"/>
    </row>
    <row r="70" spans="2:27" x14ac:dyDescent="0.3">
      <c r="B70" s="918" t="s">
        <v>18</v>
      </c>
      <c r="C70" s="136" t="s">
        <v>337</v>
      </c>
      <c r="D70" s="144" t="s">
        <v>33</v>
      </c>
      <c r="E70" s="144" t="s">
        <v>428</v>
      </c>
      <c r="F70" s="145" t="s">
        <v>144</v>
      </c>
      <c r="G70" s="169" t="s">
        <v>186</v>
      </c>
      <c r="H70" s="554">
        <v>0.95</v>
      </c>
      <c r="J70" s="148">
        <f>COUNTA(Logistics!$M$13:$BM$13)-COUNTBLANK(Logistics!$M$13:$BM$13)</f>
        <v>42</v>
      </c>
      <c r="K70" s="153">
        <f>COUNTIFS(Logistics!$M$13:$BM$13,K$7)</f>
        <v>0</v>
      </c>
      <c r="L70" s="154">
        <f>COUNTIFS(Logistics!$M$13:$BM$13,L$7)</f>
        <v>3</v>
      </c>
      <c r="M70" s="155">
        <f>COUNTIFS(Logistics!$M$13:$BM$13,M$7)</f>
        <v>4</v>
      </c>
      <c r="N70">
        <f>COUNTIFS(Logistics!$M$13:$BM$13,N$7)</f>
        <v>1</v>
      </c>
      <c r="O70">
        <f>COUNTIFS(Logistics!$M$13:$BM$13,O$7)</f>
        <v>0</v>
      </c>
      <c r="P70">
        <f>COUNTIFS(Logistics!$M$13:$BM$13,P$7)</f>
        <v>0</v>
      </c>
      <c r="Q70">
        <f>COUNTIFS(Logistics!$M$13:$BM$13,Q$7)</f>
        <v>0</v>
      </c>
      <c r="R70">
        <f>COUNTIFS(Logistics!$M$13:$BM$13,R$7)</f>
        <v>12</v>
      </c>
      <c r="S70" s="137">
        <f>COUNTIFS(Logistics!$M$13:$BM$13,S$7)</f>
        <v>22</v>
      </c>
      <c r="T70" s="137">
        <f>COUNTIFS(Logistics!$M$13:$BM$13,T$7)</f>
        <v>0</v>
      </c>
      <c r="V70" s="148" t="str">
        <f>IF(((J70)='KPI Linked Table for Report'!$C$1),"ok1","err1")&amp;IF((J70-SUM(K70:S70)=0),"ok2","err2")</f>
        <v>ok1ok2</v>
      </c>
      <c r="AA70" s="148"/>
    </row>
    <row r="71" spans="2:27" x14ac:dyDescent="0.3">
      <c r="B71" s="918"/>
      <c r="C71" s="136" t="s">
        <v>338</v>
      </c>
      <c r="D71" s="144" t="s">
        <v>32</v>
      </c>
      <c r="E71" s="144" t="s">
        <v>703</v>
      </c>
      <c r="F71" s="145" t="s">
        <v>142</v>
      </c>
      <c r="G71" s="169" t="s">
        <v>185</v>
      </c>
      <c r="H71" s="779">
        <v>1</v>
      </c>
      <c r="J71" s="148">
        <f>COUNTA(Logistics!$M$16:$BM$16)-COUNTBLANK(Logistics!$M$16:$BM$16)</f>
        <v>42</v>
      </c>
      <c r="K71" s="153">
        <f>COUNTIFS(Logistics!$M$16:$BM$16,K$7)</f>
        <v>3</v>
      </c>
      <c r="L71" s="154">
        <f>COUNTIFS(Logistics!$M$16:$BM$16,L$7)</f>
        <v>0</v>
      </c>
      <c r="M71" s="155">
        <f>COUNTIFS(Logistics!$M$16:$BM$16,M$7)</f>
        <v>0</v>
      </c>
      <c r="N71">
        <f>COUNTIFS(Logistics!$M$16:$BM$16,N$7)</f>
        <v>1</v>
      </c>
      <c r="O71">
        <f>COUNTIFS(Logistics!$M$16:$BM$16,O$7)</f>
        <v>34</v>
      </c>
      <c r="P71">
        <f>COUNTIFS(Logistics!$M$16:$BM$16,P$7)</f>
        <v>0</v>
      </c>
      <c r="Q71">
        <f>COUNTIFS(Logistics!$M$16:$BM$16,Q$7)</f>
        <v>0</v>
      </c>
      <c r="R71">
        <f>COUNTIFS(Logistics!$M$16:$BM$16,R$7)</f>
        <v>0</v>
      </c>
      <c r="S71" s="137">
        <f>COUNTIFS(Logistics!$M$16:$BM$16,S$7)</f>
        <v>4</v>
      </c>
      <c r="T71" s="137">
        <f>COUNTIFS(Logistics!$M$16:$BM$16,T$7)</f>
        <v>0</v>
      </c>
      <c r="V71" s="148" t="str">
        <f>IF(((J71)='KPI Linked Table for Report'!$C$1),"ok1","err1")&amp;IF((J71-SUM(K71:S71)=0),"ok2","err2")</f>
        <v>ok1ok2</v>
      </c>
      <c r="AA71" s="148"/>
    </row>
    <row r="72" spans="2:27" ht="15" thickBot="1" x14ac:dyDescent="0.35">
      <c r="B72" s="138"/>
      <c r="C72" s="138" t="s">
        <v>339</v>
      </c>
      <c r="D72" s="146" t="s">
        <v>31</v>
      </c>
      <c r="E72" s="146" t="s">
        <v>417</v>
      </c>
      <c r="F72" s="147" t="s">
        <v>169</v>
      </c>
      <c r="G72" s="170" t="s">
        <v>185</v>
      </c>
      <c r="H72" s="553" t="s">
        <v>182</v>
      </c>
      <c r="J72" s="149">
        <f>COUNTA(Logistics!$M$19:$BM$19)-COUNTBLANK(Logistics!$M$19:$BM$19)</f>
        <v>42</v>
      </c>
      <c r="K72" s="156">
        <f>COUNTIFS(Logistics!$M$19:$BM$19,K$7)</f>
        <v>0</v>
      </c>
      <c r="L72" s="157">
        <f>COUNTIFS(Logistics!$M$19:$BM$19,L$7)</f>
        <v>0</v>
      </c>
      <c r="M72" s="158">
        <f>COUNTIFS(Logistics!$M$19:$BM$19,M$7)</f>
        <v>0</v>
      </c>
      <c r="N72" s="139">
        <f>COUNTIFS(Logistics!$M$19:$BM$19,N$7)</f>
        <v>1</v>
      </c>
      <c r="O72" s="139">
        <f>COUNTIFS(Logistics!$M$19:$BM$19,O$7)</f>
        <v>0</v>
      </c>
      <c r="P72" s="139">
        <f>COUNTIFS(Logistics!$M$19:$BM$19,P$7)</f>
        <v>30</v>
      </c>
      <c r="Q72" s="139">
        <f>COUNTIFS(Logistics!$M$19:$BM$19,Q$7)</f>
        <v>0</v>
      </c>
      <c r="R72" s="139">
        <f>COUNTIFS(Logistics!$M$19:$BM$19,R$7)</f>
        <v>0</v>
      </c>
      <c r="S72" s="140">
        <f>COUNTIFS(Logistics!$M$19:$BM$19,S$7)</f>
        <v>11</v>
      </c>
      <c r="T72" s="140">
        <f>COUNTIFS(Logistics!$M$19:$BM$19,T$7)</f>
        <v>0</v>
      </c>
      <c r="V72" s="149" t="str">
        <f>IF(((J72)='KPI Linked Table for Report'!$C$1),"ok1","err1")&amp;IF((J72-SUM(K72:S72)=0),"ok2","err2")</f>
        <v>ok1ok2</v>
      </c>
      <c r="AA72" s="149"/>
    </row>
    <row r="73" spans="2:27" ht="15" thickBot="1" x14ac:dyDescent="0.35">
      <c r="E73" s="349" t="s">
        <v>399</v>
      </c>
    </row>
    <row r="74" spans="2:27" ht="15" thickBot="1" x14ac:dyDescent="0.35">
      <c r="B74" s="180" t="s">
        <v>12</v>
      </c>
      <c r="C74" s="133" t="s">
        <v>643</v>
      </c>
      <c r="D74" s="134"/>
      <c r="E74" s="179" t="s">
        <v>344</v>
      </c>
      <c r="F74" s="179">
        <f>+Engineering!F3</f>
        <v>9</v>
      </c>
      <c r="G74" s="241" t="s">
        <v>507</v>
      </c>
      <c r="J74" s="181" t="str">
        <f>+$B74</f>
        <v>Engineering</v>
      </c>
      <c r="K74" s="181"/>
      <c r="L74" s="182"/>
      <c r="M74" s="182"/>
      <c r="N74" s="182"/>
      <c r="O74" s="182"/>
      <c r="P74" s="182"/>
      <c r="Q74" s="182"/>
      <c r="R74" s="182"/>
      <c r="S74" s="183"/>
      <c r="T74" s="183"/>
      <c r="V74" s="181"/>
      <c r="X74" t="s">
        <v>353</v>
      </c>
      <c r="AA74" s="403"/>
    </row>
    <row r="75" spans="2:27" x14ac:dyDescent="0.3">
      <c r="B75" s="420" t="s">
        <v>12</v>
      </c>
      <c r="C75" s="133" t="s">
        <v>336</v>
      </c>
      <c r="D75" s="142" t="s">
        <v>30</v>
      </c>
      <c r="E75" s="142" t="s">
        <v>535</v>
      </c>
      <c r="F75" s="143" t="s">
        <v>146</v>
      </c>
      <c r="G75" s="168" t="s">
        <v>185</v>
      </c>
      <c r="H75" s="551" t="s">
        <v>554</v>
      </c>
      <c r="J75" s="148">
        <f>COUNTA(Engineering!$M$10:$X$10)-COUNTBLANK(Engineering!$M$10:$X$10)</f>
        <v>9</v>
      </c>
      <c r="K75" s="150">
        <f>COUNTIFS(Engineering!$M$10:$X$10,K$7)</f>
        <v>2</v>
      </c>
      <c r="L75" s="151">
        <f>COUNTIFS(Engineering!$M$10:$X$10,L$7)</f>
        <v>0</v>
      </c>
      <c r="M75" s="152">
        <f>COUNTIFS(Engineering!$M$10:$X$10,M$7)</f>
        <v>1</v>
      </c>
      <c r="N75" s="134">
        <f>COUNTIFS(Engineering!$M$10:$X$10,N$7)</f>
        <v>0</v>
      </c>
      <c r="O75" s="134">
        <f>COUNTIFS(Engineering!$M$10:$X$10,O$7)</f>
        <v>0</v>
      </c>
      <c r="P75" s="134">
        <f>COUNTIFS(Engineering!$M$10:$X$10,P$7)</f>
        <v>0</v>
      </c>
      <c r="Q75" s="134">
        <f>COUNTIFS(Engineering!$M$10:$X$10,Q$7)</f>
        <v>0</v>
      </c>
      <c r="R75" s="134">
        <f>COUNTIFS(Engineering!$M$10:$X$10,R$7)</f>
        <v>3</v>
      </c>
      <c r="S75" s="135">
        <f>COUNTIFS(Engineering!$M$10:$X$10,S$7)</f>
        <v>3</v>
      </c>
      <c r="T75" s="135">
        <f>COUNTIFS(Engineering!$M$10:$X$10,T$7)</f>
        <v>0</v>
      </c>
      <c r="V75" s="141" t="str">
        <f>IF(((J75)='KPI Linked Table for Report'!$C$2),"ok1","err1")&amp;IF((J75-SUM(K75:S75)=0),"ok2","err2")</f>
        <v>ok1ok2</v>
      </c>
      <c r="AA75" s="141"/>
    </row>
    <row r="76" spans="2:27" x14ac:dyDescent="0.3">
      <c r="B76" s="421"/>
      <c r="C76" s="136" t="s">
        <v>337</v>
      </c>
      <c r="D76" s="144" t="s">
        <v>33</v>
      </c>
      <c r="E76" s="144" t="s">
        <v>536</v>
      </c>
      <c r="F76" s="145" t="s">
        <v>58</v>
      </c>
      <c r="G76" s="169" t="s">
        <v>186</v>
      </c>
      <c r="H76" s="552" t="s">
        <v>554</v>
      </c>
      <c r="J76" s="148">
        <f>COUNTA(Engineering!$M$13:$X$13)-COUNTBLANK(Engineering!$M$13:$X$13)</f>
        <v>9</v>
      </c>
      <c r="K76" s="153">
        <f>COUNTIFS(Engineering!$M$13:$X$13,K$7)</f>
        <v>1</v>
      </c>
      <c r="L76" s="154">
        <f>COUNTIFS(Engineering!$M$13:$X$13,L$7)</f>
        <v>0</v>
      </c>
      <c r="M76" s="155">
        <f>COUNTIFS(Engineering!$M$13:$X$13,M$7)</f>
        <v>2</v>
      </c>
      <c r="N76">
        <f>COUNTIFS(Engineering!$M$13:$X$13,N$7)</f>
        <v>0</v>
      </c>
      <c r="O76">
        <f>COUNTIFS(Engineering!$M$13:$X$13,O$7)</f>
        <v>0</v>
      </c>
      <c r="P76">
        <f>COUNTIFS(Engineering!$M$13:$X$13,P$7)</f>
        <v>0</v>
      </c>
      <c r="Q76">
        <f>COUNTIFS(Engineering!$M$13:$X$13,Q$7)</f>
        <v>0</v>
      </c>
      <c r="R76">
        <f>COUNTIFS(Engineering!$M$13:$X$13,R$7)</f>
        <v>3</v>
      </c>
      <c r="S76" s="137">
        <f>COUNTIFS(Engineering!$M$13:$X$13,S$7)</f>
        <v>3</v>
      </c>
      <c r="T76" s="137">
        <f>COUNTIFS(Engineering!$M$13:$X$13,T$7)</f>
        <v>0</v>
      </c>
      <c r="V76" s="148" t="str">
        <f>IF(((J76)='KPI Linked Table for Report'!$C$2),"ok1","err1")&amp;IF((J76-SUM(K76:S76)=0),"ok2","err2")</f>
        <v>ok1ok2</v>
      </c>
      <c r="AA76" s="148"/>
    </row>
    <row r="77" spans="2:27" ht="15" thickBot="1" x14ac:dyDescent="0.35">
      <c r="B77" s="136"/>
      <c r="C77" s="136" t="s">
        <v>339</v>
      </c>
      <c r="D77" s="144" t="s">
        <v>31</v>
      </c>
      <c r="E77" s="144" t="s">
        <v>517</v>
      </c>
      <c r="F77" s="145" t="s">
        <v>169</v>
      </c>
      <c r="G77" s="169" t="s">
        <v>185</v>
      </c>
      <c r="H77" s="552" t="s">
        <v>554</v>
      </c>
      <c r="J77" s="148">
        <f>COUNTA(Engineering!$M$16:$X$16)-COUNTBLANK(Engineering!$M$16:$X$16)</f>
        <v>9</v>
      </c>
      <c r="K77" s="153">
        <f>COUNTIFS(Engineering!$M$16:$X$16,K$7)</f>
        <v>2</v>
      </c>
      <c r="L77" s="154">
        <f>COUNTIFS(Engineering!$M$16:$X$16,L$7)</f>
        <v>1</v>
      </c>
      <c r="M77" s="155">
        <f>COUNTIFS(Engineering!$M$16:$X$16,M$7)</f>
        <v>3</v>
      </c>
      <c r="N77">
        <f>COUNTIFS(Engineering!$M$16:$X$16,N$7)</f>
        <v>0</v>
      </c>
      <c r="O77">
        <f>COUNTIFS(Engineering!$M$16:$X$16,O$7)</f>
        <v>0</v>
      </c>
      <c r="P77">
        <f>COUNTIFS(Engineering!$M$16:$X$16,P$7)</f>
        <v>0</v>
      </c>
      <c r="Q77">
        <f>COUNTIFS(Engineering!$M$16:$X$16,Q$7)</f>
        <v>0</v>
      </c>
      <c r="R77">
        <f>COUNTIFS(Engineering!$M$16:$X$16,R$7)</f>
        <v>0</v>
      </c>
      <c r="S77" s="137">
        <f>COUNTIFS(Engineering!$M$16:$X$16,S$7)</f>
        <v>3</v>
      </c>
      <c r="T77" s="137">
        <f>COUNTIFS(Engineering!$M$16:$X$16,T$7)</f>
        <v>0</v>
      </c>
      <c r="V77" s="148" t="str">
        <f>IF(((J77)='KPI Linked Table for Report'!$C$2),"ok1","err1")&amp;IF((J77-SUM(K77:S77)=0),"ok2","err2")</f>
        <v>ok1ok2</v>
      </c>
      <c r="X77" t="s">
        <v>155</v>
      </c>
      <c r="AA77" s="149"/>
    </row>
    <row r="78" spans="2:27" ht="15" thickBot="1" x14ac:dyDescent="0.35">
      <c r="B78" s="180" t="str">
        <f>+B74</f>
        <v>Engineering</v>
      </c>
      <c r="C78" s="133" t="str">
        <f>+C74</f>
        <v>Garin Bowen</v>
      </c>
      <c r="D78" s="134"/>
      <c r="E78" s="141" t="s">
        <v>189</v>
      </c>
      <c r="F78" s="141">
        <f>+Finance!$E$2</f>
        <v>42</v>
      </c>
      <c r="G78" s="700" t="s">
        <v>506</v>
      </c>
      <c r="H78" s="674"/>
      <c r="J78" s="181" t="str">
        <f>+$B78</f>
        <v>Engineering</v>
      </c>
      <c r="K78" s="181"/>
      <c r="L78" s="182"/>
      <c r="M78" s="182"/>
      <c r="N78" s="182"/>
      <c r="O78" s="182"/>
      <c r="P78" s="182"/>
      <c r="Q78" s="182"/>
      <c r="R78" s="182"/>
      <c r="S78" s="183"/>
      <c r="T78" s="183"/>
      <c r="V78" s="181"/>
      <c r="X78" s="313" t="s">
        <v>468</v>
      </c>
      <c r="AA78" s="403"/>
    </row>
    <row r="79" spans="2:27" x14ac:dyDescent="0.3">
      <c r="B79" s="420"/>
      <c r="C79" s="133" t="s">
        <v>338</v>
      </c>
      <c r="D79" s="142" t="s">
        <v>32</v>
      </c>
      <c r="E79" s="142" t="s">
        <v>663</v>
      </c>
      <c r="F79" s="143" t="s">
        <v>146</v>
      </c>
      <c r="G79" s="168" t="s">
        <v>185</v>
      </c>
      <c r="H79" s="551" t="s">
        <v>554</v>
      </c>
      <c r="J79" s="141">
        <f>COUNTA(Engineering!$M$26:$BM$26)-COUNTBLANK(Engineering!$M$26:$BM$26)</f>
        <v>42</v>
      </c>
      <c r="K79" s="150">
        <f>COUNTIFS(Engineering!$M$26:$BM$26,K$7)</f>
        <v>7</v>
      </c>
      <c r="L79" s="151">
        <f>COUNTIFS(Engineering!$M$26:$BM$26,L$7)</f>
        <v>6</v>
      </c>
      <c r="M79" s="152">
        <f>COUNTIFS(Engineering!$M$26:$BM$26,M$7)</f>
        <v>3</v>
      </c>
      <c r="N79" s="134">
        <f>COUNTIFS(Engineering!$M$26:$BM$26,N$7)</f>
        <v>1</v>
      </c>
      <c r="O79" s="134">
        <f>COUNTIFS(Engineering!$M$26:$BM$26,O$7)</f>
        <v>15</v>
      </c>
      <c r="P79" s="134">
        <f>COUNTIFS(Engineering!$M$26:$BM$26,P$7)</f>
        <v>0</v>
      </c>
      <c r="Q79" s="134">
        <f>COUNTIFS(Engineering!$M$26:$BM$26,Q$7)</f>
        <v>0</v>
      </c>
      <c r="R79" s="134">
        <f>COUNTIFS(Engineering!$M$26:$BM$26,R$7)</f>
        <v>3</v>
      </c>
      <c r="S79" s="135">
        <f>COUNTIFS(Engineering!$M$26:$BM$26,S$7)</f>
        <v>7</v>
      </c>
      <c r="T79" s="135">
        <f>COUNTIFS(Engineering!$M$26:$BM$26,T$7)</f>
        <v>0</v>
      </c>
      <c r="V79" s="141" t="str">
        <f>IF(((J79)='KPI Linked Table for Report'!$C$1),"ok1","err1")&amp;IF((J79-SUM(K79:S79)=0),"ok2","err2")</f>
        <v>ok1ok2</v>
      </c>
      <c r="X79" t="s">
        <v>155</v>
      </c>
      <c r="AA79" s="141"/>
    </row>
    <row r="80" spans="2:27" ht="15" thickBot="1" x14ac:dyDescent="0.35">
      <c r="B80" s="421"/>
      <c r="C80" s="136" t="s">
        <v>342</v>
      </c>
      <c r="D80" s="144" t="s">
        <v>32</v>
      </c>
      <c r="E80" s="144" t="s">
        <v>688</v>
      </c>
      <c r="F80" s="145" t="s">
        <v>146</v>
      </c>
      <c r="G80" s="169" t="s">
        <v>185</v>
      </c>
      <c r="H80" s="552" t="s">
        <v>554</v>
      </c>
      <c r="J80" s="148">
        <f>COUNTA(Engineering!$M$29:$BM$29)-COUNTBLANK(Engineering!$M$29:$BM$29)</f>
        <v>42</v>
      </c>
      <c r="K80" s="153">
        <f>COUNTIFS(Engineering!$M$29:$BM$29,K$7)</f>
        <v>5</v>
      </c>
      <c r="L80" s="154">
        <f>COUNTIFS(Engineering!$M$29:$BM$29,L$7)</f>
        <v>1</v>
      </c>
      <c r="M80" s="155">
        <f>COUNTIFS(Engineering!$M$29:$BM$29,M$7)</f>
        <v>5</v>
      </c>
      <c r="N80">
        <f>COUNTIFS(Engineering!$M$29:$BM$29,N$7)</f>
        <v>1</v>
      </c>
      <c r="O80">
        <f>COUNTIFS(Engineering!$M$29:$BM$29,O$7)</f>
        <v>16</v>
      </c>
      <c r="P80">
        <f>COUNTIFS(Engineering!$M$29:$BM$29,P$7)</f>
        <v>0</v>
      </c>
      <c r="Q80">
        <f>COUNTIFS(Engineering!$M$29:$BM$29,Q$7)</f>
        <v>0</v>
      </c>
      <c r="R80">
        <f>COUNTIFS(Engineering!$M$29:$BM$29,R$7)</f>
        <v>0</v>
      </c>
      <c r="S80" s="137">
        <f>COUNTIFS(Engineering!$M$29:$BM$29,S$7)</f>
        <v>14</v>
      </c>
      <c r="T80" s="137">
        <f>COUNTIFS(Engineering!$M$29:$BM$29,T$7)</f>
        <v>0</v>
      </c>
      <c r="V80" s="148" t="str">
        <f>IF(((J80)='KPI Linked Table for Report'!$C$1),"ok1","err1")&amp;IF((J80-SUM(K80:S80)=0),"ok2","err2")</f>
        <v>ok1ok2</v>
      </c>
      <c r="X80" t="s">
        <v>155</v>
      </c>
      <c r="AA80" s="149"/>
    </row>
    <row r="81" spans="2:27" ht="15" thickBot="1" x14ac:dyDescent="0.35">
      <c r="B81" s="422"/>
      <c r="C81" s="138" t="s">
        <v>705</v>
      </c>
      <c r="D81" s="146" t="s">
        <v>32</v>
      </c>
      <c r="E81" s="146" t="s">
        <v>701</v>
      </c>
      <c r="F81" s="147" t="s">
        <v>146</v>
      </c>
      <c r="G81" s="170" t="s">
        <v>185</v>
      </c>
      <c r="H81" s="553" t="s">
        <v>554</v>
      </c>
      <c r="J81" s="149">
        <f>COUNTA(Engineering!$M$32:$BM$32)-COUNTBLANK(Engineering!$M$32:$BM$32)</f>
        <v>42</v>
      </c>
      <c r="K81" s="156">
        <f>COUNTIFS(Engineering!$M$32:$BM$32,K$7)</f>
        <v>3</v>
      </c>
      <c r="L81" s="157">
        <f>COUNTIFS(Engineering!$M$32:$BM$32,L$7)</f>
        <v>0</v>
      </c>
      <c r="M81" s="158">
        <f>COUNTIFS(Engineering!$M$32:$BM$32,M$7)</f>
        <v>0</v>
      </c>
      <c r="N81" s="139">
        <f>COUNTIFS(Engineering!$M$32:$BM$32,N$7)</f>
        <v>1</v>
      </c>
      <c r="O81" s="139">
        <f>COUNTIFS(Engineering!$M$32:$BM$32,O$7)</f>
        <v>34</v>
      </c>
      <c r="P81" s="139">
        <f>COUNTIFS(Engineering!$M$32:$BM$32,P$7)</f>
        <v>0</v>
      </c>
      <c r="Q81" s="139">
        <f>COUNTIFS(Engineering!$M$32:$BM$32,Q$7)</f>
        <v>0</v>
      </c>
      <c r="R81" s="139">
        <f>COUNTIFS(Engineering!$M$32:$BM$32,R$7)</f>
        <v>0</v>
      </c>
      <c r="S81" s="140">
        <f>COUNTIFS(Engineering!$M$32:$BM$32,S$7)</f>
        <v>4</v>
      </c>
      <c r="T81" s="140">
        <f>COUNTIFS(Engineering!$M$32:$BM$32,T$7)</f>
        <v>0</v>
      </c>
      <c r="V81" s="148" t="str">
        <f>IF(((J81)='KPI Linked Table for Report'!$C$1),"ok1","err1")&amp;IF((J81-SUM(K81:S81)=0),"ok2","err2")</f>
        <v>ok1ok2</v>
      </c>
      <c r="X81" t="s">
        <v>155</v>
      </c>
      <c r="AA81" s="149"/>
    </row>
    <row r="82" spans="2:27" ht="15" thickBot="1" x14ac:dyDescent="0.35"/>
    <row r="83" spans="2:27" ht="15" thickBot="1" x14ac:dyDescent="0.35">
      <c r="B83" s="180" t="s">
        <v>656</v>
      </c>
      <c r="C83" s="133" t="s">
        <v>23</v>
      </c>
      <c r="D83" s="134"/>
      <c r="E83" s="141"/>
      <c r="F83" s="141">
        <f>+'Quality MB'!E2</f>
        <v>42</v>
      </c>
      <c r="G83" s="241" t="s">
        <v>506</v>
      </c>
      <c r="J83" s="181" t="str">
        <f>+$B83</f>
        <v>Quality Maybole</v>
      </c>
      <c r="K83" s="181"/>
      <c r="L83" s="182"/>
      <c r="M83" s="182"/>
      <c r="N83" s="182"/>
      <c r="O83" s="182"/>
      <c r="P83" s="182"/>
      <c r="Q83" s="182"/>
      <c r="R83" s="182"/>
      <c r="S83" s="183"/>
      <c r="T83" s="183"/>
      <c r="V83" s="181"/>
      <c r="X83" t="s">
        <v>353</v>
      </c>
      <c r="AA83" s="403"/>
    </row>
    <row r="84" spans="2:27" x14ac:dyDescent="0.3">
      <c r="B84" s="917" t="s">
        <v>656</v>
      </c>
      <c r="C84" s="133" t="s">
        <v>336</v>
      </c>
      <c r="D84" s="142" t="s">
        <v>30</v>
      </c>
      <c r="E84" s="142" t="s">
        <v>576</v>
      </c>
      <c r="F84" s="143" t="s">
        <v>142</v>
      </c>
      <c r="G84" s="168" t="s">
        <v>186</v>
      </c>
      <c r="H84" s="551">
        <v>21</v>
      </c>
      <c r="J84" s="148">
        <f>COUNTA('Quality MB'!$M$10:$BM$10)-COUNTBLANK('Quality MB'!$M$10:$BM$10)</f>
        <v>42</v>
      </c>
      <c r="K84" s="150">
        <f>COUNTIFS('Quality MB'!$M$10:$BM$10,K$7)</f>
        <v>23</v>
      </c>
      <c r="L84" s="151">
        <f>COUNTIFS('Quality MB'!$M$10:$BM$10,L$7)</f>
        <v>0</v>
      </c>
      <c r="M84" s="152">
        <f>COUNTIFS('Quality MB'!$M$10:$BM$10,M$7)</f>
        <v>6</v>
      </c>
      <c r="N84" s="134">
        <f>COUNTIFS('Quality MB'!$M$10:$BM$10,N$7)</f>
        <v>1</v>
      </c>
      <c r="O84" s="134">
        <f>COUNTIFS('Quality MB'!$M$10:$BM$10,O$7)</f>
        <v>0</v>
      </c>
      <c r="P84" s="134">
        <f>COUNTIFS('Quality MB'!$M$10:$BM$10,P$7)</f>
        <v>0</v>
      </c>
      <c r="Q84" s="134">
        <f>COUNTIFS('Quality MB'!$M$10:$BM$10,Q$7)</f>
        <v>0</v>
      </c>
      <c r="R84" s="134">
        <f>COUNTIFS('Quality MB'!$M$10:$BM$10,R$7)</f>
        <v>12</v>
      </c>
      <c r="S84" s="135">
        <f>COUNTIFS('Quality MB'!$M$10:$BM$10,S$7)</f>
        <v>0</v>
      </c>
      <c r="T84" s="135">
        <f>COUNTIFS('Quality MB'!$M$10:$BM$10,T$7)</f>
        <v>0</v>
      </c>
      <c r="V84" s="141" t="str">
        <f>IF(((J84)='KPI Linked Table for Report'!$C$1),"ok1","err1")&amp;IF((J84-SUM(K84:S84)=0),"ok2","err2")</f>
        <v>ok1ok2</v>
      </c>
      <c r="AA84" s="141"/>
    </row>
    <row r="85" spans="2:27" x14ac:dyDescent="0.3">
      <c r="B85" s="918" t="s">
        <v>18</v>
      </c>
      <c r="C85" s="136" t="s">
        <v>337</v>
      </c>
      <c r="D85" s="144" t="s">
        <v>33</v>
      </c>
      <c r="E85" s="144" t="s">
        <v>577</v>
      </c>
      <c r="F85" s="145" t="s">
        <v>169</v>
      </c>
      <c r="G85" s="169" t="s">
        <v>185</v>
      </c>
      <c r="H85" s="552" t="s">
        <v>555</v>
      </c>
      <c r="J85" s="148">
        <f>COUNTA('Quality MB'!$M$13:$BM$13)-COUNTBLANK('Quality MB'!$M$13:$BM$13)</f>
        <v>42</v>
      </c>
      <c r="K85" s="153">
        <f>COUNTIFS('Quality MB'!$M$13:$BM$13,K$7)</f>
        <v>21</v>
      </c>
      <c r="L85" s="154">
        <f>COUNTIFS('Quality MB'!$M$13:$BM$13,L$7)</f>
        <v>0</v>
      </c>
      <c r="M85" s="155">
        <f>COUNTIFS('Quality MB'!$M$13:$BM$13,M$7)</f>
        <v>8</v>
      </c>
      <c r="N85">
        <f>COUNTIFS('Quality MB'!$M$13:$BM$13,N$7)</f>
        <v>1</v>
      </c>
      <c r="O85">
        <f>COUNTIFS('Quality MB'!$M$13:$BM$13,O$7)</f>
        <v>0</v>
      </c>
      <c r="P85">
        <f>COUNTIFS('Quality MB'!$M$13:$BM$13,P$7)</f>
        <v>0</v>
      </c>
      <c r="Q85">
        <f>COUNTIFS('Quality MB'!$M$13:$BM$13,Q$7)</f>
        <v>0</v>
      </c>
      <c r="R85">
        <f>COUNTIFS('Quality MB'!$M$13:$BM$13,R$7)</f>
        <v>12</v>
      </c>
      <c r="S85" s="137">
        <f>COUNTIFS('Quality MB'!$M$13:$BM$13,S$7)</f>
        <v>0</v>
      </c>
      <c r="T85" s="137">
        <f>COUNTIFS('Quality MB'!$M$13:$BM$13,T$7)</f>
        <v>0</v>
      </c>
      <c r="V85" s="148" t="str">
        <f>IF(((J85)='KPI Linked Table for Report'!$C$1),"ok1","err1")&amp;IF((J85-SUM(K85:S85)=0),"ok2","err2")</f>
        <v>ok1ok2</v>
      </c>
      <c r="AA85" s="148"/>
    </row>
    <row r="86" spans="2:27" x14ac:dyDescent="0.3">
      <c r="B86" s="918"/>
      <c r="C86" s="136" t="s">
        <v>338</v>
      </c>
      <c r="D86" s="144" t="s">
        <v>32</v>
      </c>
      <c r="E86" s="144" t="s">
        <v>545</v>
      </c>
      <c r="F86" s="145" t="s">
        <v>142</v>
      </c>
      <c r="G86" s="169" t="s">
        <v>185</v>
      </c>
      <c r="H86" s="552">
        <v>1</v>
      </c>
      <c r="J86" s="148">
        <f>COUNTA('Quality MB'!$M$16:$BM$16)-COUNTBLANK('Quality MB'!$M$16:$BM$16)</f>
        <v>42</v>
      </c>
      <c r="K86" s="153">
        <f>COUNTIFS('Quality MB'!$M$16:$BM$16,K$7)</f>
        <v>23</v>
      </c>
      <c r="L86" s="154">
        <f>COUNTIFS('Quality MB'!$M$16:$BM$16,L$7)</f>
        <v>0</v>
      </c>
      <c r="M86" s="155">
        <f>COUNTIFS('Quality MB'!$M$16:$BM$16,M$7)</f>
        <v>6</v>
      </c>
      <c r="N86">
        <f>COUNTIFS('Quality MB'!$M$16:$BM$16,N$7)</f>
        <v>1</v>
      </c>
      <c r="O86">
        <f>COUNTIFS('Quality MB'!$M$16:$BM$16,O$7)</f>
        <v>0</v>
      </c>
      <c r="P86">
        <f>COUNTIFS('Quality MB'!$M$16:$BM$16,P$7)</f>
        <v>0</v>
      </c>
      <c r="Q86">
        <f>COUNTIFS('Quality MB'!$M$16:$BM$16,Q$7)</f>
        <v>0</v>
      </c>
      <c r="R86">
        <f>COUNTIFS('Quality MB'!$M$16:$BM$16,R$7)</f>
        <v>12</v>
      </c>
      <c r="S86" s="137">
        <f>COUNTIFS('Quality MB'!$M$16:$BM$16,S$7)</f>
        <v>0</v>
      </c>
      <c r="T86" s="137">
        <f>COUNTIFS('Quality MB'!$M$16:$BM$16,T$7)</f>
        <v>0</v>
      </c>
      <c r="V86" s="148" t="str">
        <f>IF(((J86)='KPI Linked Table for Report'!$C$1),"ok1","err1")&amp;IF((J86-SUM(K86:S86)=0),"ok2","err2")</f>
        <v>ok1ok2</v>
      </c>
      <c r="AA86" s="148"/>
    </row>
    <row r="87" spans="2:27" ht="15" thickBot="1" x14ac:dyDescent="0.35">
      <c r="B87" s="138"/>
      <c r="C87" s="138" t="s">
        <v>339</v>
      </c>
      <c r="D87" s="146" t="s">
        <v>31</v>
      </c>
      <c r="E87" s="146" t="s">
        <v>546</v>
      </c>
      <c r="F87" s="147" t="s">
        <v>169</v>
      </c>
      <c r="G87" s="170" t="s">
        <v>185</v>
      </c>
      <c r="H87" s="553">
        <v>654</v>
      </c>
      <c r="J87" s="149">
        <f>COUNTA('Quality MB'!$M$19:$BM$19)-COUNTBLANK('Quality MB'!$M$19:$BM$19)</f>
        <v>42</v>
      </c>
      <c r="K87" s="156">
        <f>COUNTIFS('Quality MB'!$M$19:$BM$19,K$7)</f>
        <v>26</v>
      </c>
      <c r="L87" s="157">
        <f>COUNTIFS('Quality MB'!$M$19:$BM$19,L$7)</f>
        <v>0</v>
      </c>
      <c r="M87" s="158">
        <f>COUNTIFS('Quality MB'!$M$19:$BM$19,M$7)</f>
        <v>3</v>
      </c>
      <c r="N87" s="139">
        <f>COUNTIFS('Quality MB'!$M$19:$BM$19,N$7)</f>
        <v>1</v>
      </c>
      <c r="O87" s="139">
        <f>COUNTIFS('Quality MB'!$M$19:$BM$19,O$7)</f>
        <v>0</v>
      </c>
      <c r="P87" s="139">
        <f>COUNTIFS('Quality MB'!$M$19:$BM$19,P$7)</f>
        <v>0</v>
      </c>
      <c r="Q87" s="139">
        <f>COUNTIFS('Quality MB'!$M$19:$BM$19,Q$7)</f>
        <v>0</v>
      </c>
      <c r="R87" s="139">
        <f>COUNTIFS('Quality MB'!$M$19:$BM$19,R$7)</f>
        <v>12</v>
      </c>
      <c r="S87" s="140">
        <f>COUNTIFS('Quality MB'!$M$19:$BM$19,S$7)</f>
        <v>0</v>
      </c>
      <c r="T87" s="140">
        <f>COUNTIFS('Quality MB'!$M$19:$BM$19,T$7)</f>
        <v>0</v>
      </c>
      <c r="V87" s="149" t="str">
        <f>IF(((J87)='KPI Linked Table for Report'!$C$1),"ok1","err1")&amp;IF((J87-SUM(K87:S87)=0),"ok2","err2")</f>
        <v>ok1ok2</v>
      </c>
      <c r="AA87" s="149"/>
    </row>
    <row r="88" spans="2:27" ht="15" thickBot="1" x14ac:dyDescent="0.35">
      <c r="E88" s="350" t="s">
        <v>397</v>
      </c>
    </row>
    <row r="89" spans="2:27" ht="15" thickBot="1" x14ac:dyDescent="0.35">
      <c r="B89" s="180" t="s">
        <v>15</v>
      </c>
      <c r="C89" s="133" t="s">
        <v>27</v>
      </c>
      <c r="D89" s="134"/>
      <c r="E89" s="141" t="s">
        <v>189</v>
      </c>
      <c r="F89" s="141">
        <f>+Procurement!E2</f>
        <v>42</v>
      </c>
      <c r="G89" s="241" t="s">
        <v>506</v>
      </c>
      <c r="J89" s="181" t="str">
        <f>+$B89</f>
        <v>Procurement</v>
      </c>
      <c r="K89" s="181"/>
      <c r="L89" s="182"/>
      <c r="M89" s="182"/>
      <c r="N89" s="182"/>
      <c r="O89" s="182"/>
      <c r="P89" s="182"/>
      <c r="Q89" s="182"/>
      <c r="R89" s="182"/>
      <c r="S89" s="183"/>
      <c r="T89" s="183"/>
      <c r="V89" s="181"/>
      <c r="X89" t="s">
        <v>353</v>
      </c>
      <c r="AA89" s="403"/>
    </row>
    <row r="90" spans="2:27" x14ac:dyDescent="0.3">
      <c r="B90" s="917" t="s">
        <v>15</v>
      </c>
      <c r="C90" s="133" t="s">
        <v>336</v>
      </c>
      <c r="D90" s="142" t="s">
        <v>30</v>
      </c>
      <c r="E90" s="142" t="s">
        <v>366</v>
      </c>
      <c r="F90" s="143" t="s">
        <v>368</v>
      </c>
      <c r="G90" s="168" t="s">
        <v>186</v>
      </c>
      <c r="H90" s="551">
        <v>4</v>
      </c>
      <c r="J90" s="148">
        <f>COUNTA(Procurement!$M$10:$BM$10)-COUNTBLANK(Procurement!$M$10:$BM$10)</f>
        <v>42</v>
      </c>
      <c r="K90" s="150">
        <f>COUNTIFS(Procurement!$M$10:$BM$10,K$7)</f>
        <v>4</v>
      </c>
      <c r="L90" s="151">
        <f>COUNTIFS(Procurement!$M$10:$BM$10,L$7)</f>
        <v>3</v>
      </c>
      <c r="M90" s="152">
        <f>COUNTIFS(Procurement!$M$10:$BM$10,M$7)</f>
        <v>24</v>
      </c>
      <c r="N90" s="134">
        <f>COUNTIFS(Procurement!$M$10:$BM$10,N$7)</f>
        <v>1</v>
      </c>
      <c r="O90" s="134">
        <f>COUNTIFS(Procurement!$M$10:$BM$10,O$7)</f>
        <v>0</v>
      </c>
      <c r="P90" s="134">
        <f>COUNTIFS(Procurement!$M$10:$BM$10,P$7)</f>
        <v>0</v>
      </c>
      <c r="Q90" s="134">
        <f>COUNTIFS(Procurement!$M$10:$BM$10,Q$7)</f>
        <v>0</v>
      </c>
      <c r="R90" s="134">
        <f>COUNTIFS(Procurement!$M$10:$BM$10,R$7)</f>
        <v>10</v>
      </c>
      <c r="S90" s="135">
        <f>COUNTIFS(Procurement!$M$10:$BM$10,S$7)</f>
        <v>0</v>
      </c>
      <c r="T90" s="135">
        <f>COUNTIFS(Procurement!$M$10:$BM$10,T$7)</f>
        <v>0</v>
      </c>
      <c r="V90" s="141" t="str">
        <f>IF(((J90)='KPI Linked Table for Report'!$C$1),"ok1","err1")&amp;IF((J90-SUM(K90:S90)=0),"ok2","err2")</f>
        <v>ok1ok2</v>
      </c>
      <c r="AA90" s="141"/>
    </row>
    <row r="91" spans="2:27" x14ac:dyDescent="0.3">
      <c r="B91" s="918" t="s">
        <v>18</v>
      </c>
      <c r="C91" s="136" t="s">
        <v>337</v>
      </c>
      <c r="D91" s="144" t="s">
        <v>33</v>
      </c>
      <c r="E91" s="144" t="s">
        <v>349</v>
      </c>
      <c r="F91" s="145" t="s">
        <v>144</v>
      </c>
      <c r="G91" s="169" t="s">
        <v>186</v>
      </c>
      <c r="H91" s="554">
        <v>0.95</v>
      </c>
      <c r="J91" s="148">
        <f>COUNTA(Procurement!$M$13:$BM$13)-COUNTBLANK(Procurement!$M$13:$BM$13)</f>
        <v>42</v>
      </c>
      <c r="K91" s="153">
        <f>COUNTIFS(Procurement!$M$13:$BM$13,K$7)</f>
        <v>0</v>
      </c>
      <c r="L91" s="154">
        <f>COUNTIFS(Procurement!$M$13:$BM$13,L$7)</f>
        <v>31</v>
      </c>
      <c r="M91" s="155">
        <f>COUNTIFS(Procurement!$M$13:$BM$13,M$7)</f>
        <v>0</v>
      </c>
      <c r="N91">
        <f>COUNTIFS(Procurement!$M$13:$BM$13,N$7)</f>
        <v>1</v>
      </c>
      <c r="O91">
        <f>COUNTIFS(Procurement!$M$13:$BM$13,O$7)</f>
        <v>0</v>
      </c>
      <c r="P91">
        <f>COUNTIFS(Procurement!$M$13:$BM$13,P$7)</f>
        <v>0</v>
      </c>
      <c r="Q91">
        <f>COUNTIFS(Procurement!$M$13:$BM$13,Q$7)</f>
        <v>0</v>
      </c>
      <c r="R91">
        <f>COUNTIFS(Procurement!$M$13:$BM$13,R$7)</f>
        <v>10</v>
      </c>
      <c r="S91" s="137">
        <f>COUNTIFS(Procurement!$M$13:$BM$13,S$7)</f>
        <v>0</v>
      </c>
      <c r="T91" s="137">
        <f>COUNTIFS(Procurement!$M$13:$BM$13,T$7)</f>
        <v>0</v>
      </c>
      <c r="V91" s="148" t="str">
        <f>IF(((J91)='KPI Linked Table for Report'!$C$1),"ok1","err1")&amp;IF((J91-SUM(K91:S91)=0),"ok2","err2")</f>
        <v>ok1ok2</v>
      </c>
      <c r="AA91" s="148"/>
    </row>
    <row r="92" spans="2:27" x14ac:dyDescent="0.3">
      <c r="B92" s="918"/>
      <c r="C92" s="136" t="s">
        <v>338</v>
      </c>
      <c r="D92" s="144" t="s">
        <v>32</v>
      </c>
      <c r="E92" s="144" t="s">
        <v>350</v>
      </c>
      <c r="F92" s="145" t="s">
        <v>142</v>
      </c>
      <c r="G92" s="169" t="s">
        <v>185</v>
      </c>
      <c r="H92" s="552" t="s">
        <v>295</v>
      </c>
      <c r="J92" s="148">
        <f>COUNTA(Procurement!$M$16:$BM$16)-COUNTBLANK(Procurement!$M$16:$BM$16)</f>
        <v>42</v>
      </c>
      <c r="K92" s="153">
        <f>COUNTIFS(Procurement!$M$16:$BM$16,K$7)</f>
        <v>30</v>
      </c>
      <c r="L92" s="154">
        <f>COUNTIFS(Procurement!$M$16:$BM$16,L$7)</f>
        <v>0</v>
      </c>
      <c r="M92" s="155">
        <f>COUNTIFS(Procurement!$M$16:$BM$16,M$7)</f>
        <v>1</v>
      </c>
      <c r="N92">
        <f>COUNTIFS(Procurement!$M$16:$BM$16,N$7)</f>
        <v>1</v>
      </c>
      <c r="O92">
        <f>COUNTIFS(Procurement!$M$16:$BM$16,O$7)</f>
        <v>0</v>
      </c>
      <c r="P92">
        <f>COUNTIFS(Procurement!$M$16:$BM$16,P$7)</f>
        <v>0</v>
      </c>
      <c r="Q92">
        <f>COUNTIFS(Procurement!$M$16:$BM$16,Q$7)</f>
        <v>0</v>
      </c>
      <c r="R92">
        <f>COUNTIFS(Procurement!$M$16:$BM$16,R$7)</f>
        <v>10</v>
      </c>
      <c r="S92" s="137">
        <f>COUNTIFS(Procurement!$M$16:$BM$16,S$7)</f>
        <v>0</v>
      </c>
      <c r="T92" s="137">
        <f>COUNTIFS(Procurement!$M$16:$BM$16,T$7)</f>
        <v>0</v>
      </c>
      <c r="V92" s="148" t="str">
        <f>IF(((J92)='KPI Linked Table for Report'!$C$1),"ok1","err1")&amp;IF((J92-SUM(K92:S92)=0),"ok2","err2")</f>
        <v>ok1ok2</v>
      </c>
      <c r="AA92" s="148"/>
    </row>
    <row r="93" spans="2:27" ht="15" thickBot="1" x14ac:dyDescent="0.35">
      <c r="B93" s="138"/>
      <c r="C93" s="138" t="s">
        <v>339</v>
      </c>
      <c r="D93" s="146" t="s">
        <v>31</v>
      </c>
      <c r="E93" s="146" t="s">
        <v>434</v>
      </c>
      <c r="F93" s="147" t="s">
        <v>169</v>
      </c>
      <c r="G93" s="170" t="s">
        <v>186</v>
      </c>
      <c r="H93" s="553">
        <v>500</v>
      </c>
      <c r="J93" s="149">
        <f>COUNTA(Procurement!$M$19:$BM$19)-COUNTBLANK(Procurement!$M$19:$BM$19)</f>
        <v>42</v>
      </c>
      <c r="K93" s="156">
        <f>COUNTIFS(Procurement!$M$19:$BM$19,K$7)</f>
        <v>31</v>
      </c>
      <c r="L93" s="157">
        <f>COUNTIFS(Procurement!$M$19:$BM$19,L$7)</f>
        <v>0</v>
      </c>
      <c r="M93" s="158">
        <f>COUNTIFS(Procurement!$M$19:$BM$19,M$7)</f>
        <v>0</v>
      </c>
      <c r="N93" s="139">
        <f>COUNTIFS(Procurement!$M$19:$BM$19,N$7)</f>
        <v>1</v>
      </c>
      <c r="O93" s="139">
        <f>COUNTIFS(Procurement!$M$19:$BM$19,O$7)</f>
        <v>0</v>
      </c>
      <c r="P93" s="139">
        <f>COUNTIFS(Procurement!$M$19:$BM$19,P$7)</f>
        <v>0</v>
      </c>
      <c r="Q93" s="139">
        <f>COUNTIFS(Procurement!$M$19:$BM$19,Q$7)</f>
        <v>0</v>
      </c>
      <c r="R93" s="139">
        <f>COUNTIFS(Procurement!$M$19:$BM$19,R$7)</f>
        <v>10</v>
      </c>
      <c r="S93" s="140">
        <f>COUNTIFS(Procurement!$M$19:$BM$19,S$7)</f>
        <v>0</v>
      </c>
      <c r="T93" s="140">
        <f>COUNTIFS(Procurement!$M$19:$BM$19,T$7)</f>
        <v>0</v>
      </c>
      <c r="V93" s="149" t="str">
        <f>IF(((J93)='KPI Linked Table for Report'!$C$1),"ok1","err1")&amp;IF((J93-SUM(K93:S93)=0),"ok2","err2")</f>
        <v>ok1ok2</v>
      </c>
      <c r="AA93" s="149"/>
    </row>
    <row r="94" spans="2:27" ht="15" thickBot="1" x14ac:dyDescent="0.35">
      <c r="E94" s="349" t="s">
        <v>394</v>
      </c>
    </row>
    <row r="95" spans="2:27" ht="15" thickBot="1" x14ac:dyDescent="0.35">
      <c r="B95" s="185" t="s">
        <v>17</v>
      </c>
      <c r="C95" s="133" t="s">
        <v>119</v>
      </c>
      <c r="D95" s="134"/>
      <c r="E95" s="141" t="s">
        <v>189</v>
      </c>
      <c r="F95" s="141">
        <f>+IT!E2</f>
        <v>42</v>
      </c>
      <c r="G95" s="241" t="s">
        <v>506</v>
      </c>
      <c r="J95" s="181" t="str">
        <f>+$B95</f>
        <v>IT</v>
      </c>
      <c r="K95" s="181"/>
      <c r="L95" s="182"/>
      <c r="M95" s="182"/>
      <c r="N95" s="182"/>
      <c r="O95" s="182"/>
      <c r="P95" s="182"/>
      <c r="Q95" s="182"/>
      <c r="R95" s="182"/>
      <c r="S95" s="183"/>
      <c r="T95" s="183"/>
      <c r="V95" s="181"/>
      <c r="X95" s="313" t="s">
        <v>468</v>
      </c>
      <c r="AA95" s="403" t="s">
        <v>485</v>
      </c>
    </row>
    <row r="96" spans="2:27" x14ac:dyDescent="0.3">
      <c r="B96" s="917" t="s">
        <v>127</v>
      </c>
      <c r="C96" s="133" t="s">
        <v>336</v>
      </c>
      <c r="D96" s="142" t="s">
        <v>30</v>
      </c>
      <c r="E96" s="142" t="s">
        <v>51</v>
      </c>
      <c r="F96" s="240" t="s">
        <v>182</v>
      </c>
      <c r="G96" s="177" t="s">
        <v>182</v>
      </c>
      <c r="H96" s="555" t="s">
        <v>182</v>
      </c>
      <c r="J96" s="148">
        <f>COUNTA(IT!$M$10:$BM$10)-COUNTBLANK(IT!$M$10:$BM$10)</f>
        <v>42</v>
      </c>
      <c r="K96" s="150">
        <f>COUNTIFS(IT!$M$10:$BM$10,K$7)</f>
        <v>0</v>
      </c>
      <c r="L96" s="151">
        <f>COUNTIFS(IT!$M$10:$BM$10,L$7)</f>
        <v>0</v>
      </c>
      <c r="M96" s="152">
        <f>COUNTIFS(IT!$M$10:$BM$10,M$7)</f>
        <v>0</v>
      </c>
      <c r="N96" s="134">
        <f>COUNTIFS(IT!$M$10:$BM$10,N$7)</f>
        <v>1</v>
      </c>
      <c r="O96" s="134">
        <f>COUNTIFS(IT!$M$10:$BM$10,O$7)</f>
        <v>0</v>
      </c>
      <c r="P96" s="134">
        <f>COUNTIFS(IT!$M$10:$BM$10,P$7)</f>
        <v>41</v>
      </c>
      <c r="Q96" s="134">
        <f>COUNTIFS(IT!$M$10:$BM$10,Q$7)</f>
        <v>0</v>
      </c>
      <c r="R96" s="408">
        <f>COUNTIFS(IT!$M$10:$BM$10,R$7)</f>
        <v>0</v>
      </c>
      <c r="S96" s="135">
        <f>COUNTIFS(IT!$M$10:$BM$10,S$7)</f>
        <v>0</v>
      </c>
      <c r="T96" s="135">
        <f>SUM(N96:S96)</f>
        <v>42</v>
      </c>
      <c r="V96" s="141" t="str">
        <f>IF(((J96)='KPI Linked Table for Report'!$C$1),"ok1","err1")&amp;IF((J96-SUM(K96:S96)=0),"ok2","err2")</f>
        <v>ok1ok2</v>
      </c>
      <c r="AA96" s="141" t="s">
        <v>469</v>
      </c>
    </row>
    <row r="97" spans="2:27" x14ac:dyDescent="0.3">
      <c r="B97" s="918"/>
      <c r="C97" s="136" t="s">
        <v>337</v>
      </c>
      <c r="D97" s="144" t="s">
        <v>33</v>
      </c>
      <c r="E97" s="144" t="s">
        <v>633</v>
      </c>
      <c r="F97" s="145" t="s">
        <v>144</v>
      </c>
      <c r="G97" s="169" t="s">
        <v>186</v>
      </c>
      <c r="H97" s="552" t="s">
        <v>156</v>
      </c>
      <c r="J97" s="148">
        <f>COUNTA(IT!$M$13:$BM$13)-COUNTBLANK(IT!$M$13:$BM$13)</f>
        <v>42</v>
      </c>
      <c r="K97" s="153">
        <f>COUNTIFS(IT!$M$13:$BM$13,K$7)</f>
        <v>15</v>
      </c>
      <c r="L97" s="154">
        <f>COUNTIFS(IT!$M$13:$BM$13,L$7)</f>
        <v>1</v>
      </c>
      <c r="M97" s="155">
        <f>COUNTIFS(IT!$M$13:$BM$13,M$7)</f>
        <v>1</v>
      </c>
      <c r="N97">
        <f>COUNTIFS(IT!$M$13:$BM$13,N$7)</f>
        <v>1</v>
      </c>
      <c r="O97">
        <f>COUNTIFS(IT!$M$13:$BM$13,O$7)</f>
        <v>0</v>
      </c>
      <c r="P97">
        <f>COUNTIFS(IT!$M$13:$BM$13,P$7)</f>
        <v>0</v>
      </c>
      <c r="Q97">
        <f>COUNTIFS(IT!$M$13:$BM$13,Q$7)</f>
        <v>0</v>
      </c>
      <c r="R97" s="340">
        <f>COUNTIFS(IT!$M$13:$BM$13,R$7)</f>
        <v>21</v>
      </c>
      <c r="S97" s="137">
        <f>COUNTIFS(IT!$M$13:$BM$13,S$7)</f>
        <v>3</v>
      </c>
      <c r="T97" s="137">
        <f t="shared" ref="T97:T99" si="4">SUM(N97:S97)</f>
        <v>25</v>
      </c>
      <c r="V97" s="148" t="str">
        <f>IF(((J97)='KPI Linked Table for Report'!$C$1),"ok1","err1")&amp;IF((J97-SUM(K97:S97)=0),"ok2","err2")</f>
        <v>ok1ok2</v>
      </c>
      <c r="AA97" s="148" t="s">
        <v>469</v>
      </c>
    </row>
    <row r="98" spans="2:27" x14ac:dyDescent="0.3">
      <c r="B98" s="918"/>
      <c r="C98" s="136" t="s">
        <v>338</v>
      </c>
      <c r="D98" s="144" t="s">
        <v>32</v>
      </c>
      <c r="E98" s="144" t="s">
        <v>624</v>
      </c>
      <c r="F98" s="145" t="s">
        <v>144</v>
      </c>
      <c r="G98" s="169" t="s">
        <v>186</v>
      </c>
      <c r="H98" s="552" t="s">
        <v>634</v>
      </c>
      <c r="J98" s="148">
        <f>COUNTA(IT!$M$16:$BM$16)-COUNTBLANK(IT!$M$16:$BM$16)</f>
        <v>42</v>
      </c>
      <c r="K98" s="153">
        <f>COUNTIFS(IT!$M$16:$BM$16,K$7)</f>
        <v>17</v>
      </c>
      <c r="L98" s="154">
        <f>COUNTIFS(IT!$M$16:$BM$16,L$7)</f>
        <v>0</v>
      </c>
      <c r="M98" s="155">
        <f>COUNTIFS(IT!$M$16:$BM$16,M$7)</f>
        <v>0</v>
      </c>
      <c r="N98">
        <f>COUNTIFS(IT!$M$16:$BM$16,N$7)</f>
        <v>1</v>
      </c>
      <c r="O98">
        <f>COUNTIFS(IT!$M$16:$BM$16,O$7)</f>
        <v>0</v>
      </c>
      <c r="P98">
        <f>COUNTIFS(IT!$M$16:$BM$16,P$7)</f>
        <v>0</v>
      </c>
      <c r="Q98">
        <f>COUNTIFS(IT!$M$16:$BM$16,Q$7)</f>
        <v>0</v>
      </c>
      <c r="R98" s="340">
        <f>COUNTIFS(IT!$M$16:$BM$16,R$7)</f>
        <v>21</v>
      </c>
      <c r="S98" s="137">
        <f>COUNTIFS(IT!$M$16:$BM$16,S$7)</f>
        <v>3</v>
      </c>
      <c r="T98" s="137">
        <f t="shared" si="4"/>
        <v>25</v>
      </c>
      <c r="V98" s="148" t="str">
        <f>IF(((J98)='KPI Linked Table for Report'!$C$1),"ok1","err1")&amp;IF((J98-SUM(K98:S98)=0),"ok2","err2")</f>
        <v>ok1ok2</v>
      </c>
      <c r="AA98" s="148" t="s">
        <v>469</v>
      </c>
    </row>
    <row r="99" spans="2:27" ht="15" thickBot="1" x14ac:dyDescent="0.35">
      <c r="B99" s="138"/>
      <c r="C99" s="138" t="s">
        <v>339</v>
      </c>
      <c r="D99" s="146" t="s">
        <v>31</v>
      </c>
      <c r="E99" s="146" t="s">
        <v>50</v>
      </c>
      <c r="F99" s="147" t="s">
        <v>143</v>
      </c>
      <c r="G99" s="170" t="s">
        <v>305</v>
      </c>
      <c r="H99" s="553" t="s">
        <v>157</v>
      </c>
      <c r="J99" s="149">
        <f>COUNTA(IT!$M$19:$BM$19)-COUNTBLANK(IT!$M$19:$BM$19)</f>
        <v>42</v>
      </c>
      <c r="K99" s="156">
        <f>COUNTIFS(IT!$M$19:$BM$19,K$7)</f>
        <v>9</v>
      </c>
      <c r="L99" s="157">
        <f>COUNTIFS(IT!$M$19:$BM$19,L$7)</f>
        <v>0</v>
      </c>
      <c r="M99" s="158">
        <f>COUNTIFS(IT!$M$19:$BM$19,M$7)</f>
        <v>14</v>
      </c>
      <c r="N99" s="139">
        <f>COUNTIFS(IT!$M$19:$BM$19,N$7)</f>
        <v>1</v>
      </c>
      <c r="O99" s="139">
        <f>COUNTIFS(IT!$M$19:$BM$19,O$7)</f>
        <v>0</v>
      </c>
      <c r="P99" s="139">
        <f>COUNTIFS(IT!$M$19:$BM$19,P$7)</f>
        <v>0</v>
      </c>
      <c r="Q99" s="139">
        <f>COUNTIFS(IT!$M$19:$BM$19,Q$7)</f>
        <v>0</v>
      </c>
      <c r="R99" s="139">
        <f>COUNTIFS(IT!$M$19:$BM$19,R$7)</f>
        <v>15</v>
      </c>
      <c r="S99" s="140">
        <f>COUNTIFS(IT!$M$19:$BM$19,S$7)</f>
        <v>3</v>
      </c>
      <c r="T99" s="140">
        <f t="shared" si="4"/>
        <v>19</v>
      </c>
      <c r="V99" s="149" t="str">
        <f>IF(((J99)='KPI Linked Table for Report'!$C$1),"ok1","err1")&amp;IF((J99-SUM(K99:S99)=0),"ok2","err2")</f>
        <v>ok1ok2</v>
      </c>
      <c r="AA99" s="149" t="s">
        <v>484</v>
      </c>
    </row>
    <row r="100" spans="2:27" ht="15" thickBot="1" x14ac:dyDescent="0.35">
      <c r="E100" s="349" t="s">
        <v>400</v>
      </c>
    </row>
    <row r="101" spans="2:27" ht="15" thickBot="1" x14ac:dyDescent="0.35">
      <c r="B101" s="185" t="s">
        <v>13</v>
      </c>
      <c r="C101" s="133" t="s">
        <v>133</v>
      </c>
      <c r="D101" s="134"/>
      <c r="E101" s="141" t="s">
        <v>189</v>
      </c>
      <c r="F101" s="141">
        <f>+Marketing!$E$2</f>
        <v>42</v>
      </c>
      <c r="G101" s="241" t="s">
        <v>506</v>
      </c>
      <c r="J101" s="181" t="str">
        <f>+$B101</f>
        <v>Marketing</v>
      </c>
      <c r="K101" s="181"/>
      <c r="L101" s="182"/>
      <c r="M101" s="182"/>
      <c r="N101" s="182"/>
      <c r="O101" s="182"/>
      <c r="P101" s="182"/>
      <c r="Q101" s="182"/>
      <c r="R101" s="182"/>
      <c r="S101" s="183"/>
      <c r="T101" s="183"/>
      <c r="V101" s="181"/>
      <c r="X101" t="s">
        <v>353</v>
      </c>
      <c r="AA101" s="403" t="s">
        <v>486</v>
      </c>
    </row>
    <row r="102" spans="2:27" x14ac:dyDescent="0.3">
      <c r="B102" s="917" t="s">
        <v>13</v>
      </c>
      <c r="C102" s="133" t="s">
        <v>336</v>
      </c>
      <c r="D102" s="142" t="s">
        <v>30</v>
      </c>
      <c r="E102" s="142" t="s">
        <v>201</v>
      </c>
      <c r="F102" s="143" t="s">
        <v>142</v>
      </c>
      <c r="G102" s="168" t="s">
        <v>186</v>
      </c>
      <c r="H102" s="551" t="s">
        <v>205</v>
      </c>
      <c r="J102" s="148">
        <f>COUNTA(Marketing!$M$10:$BM$10)-COUNTBLANK(Marketing!$M$10:$BM$10)</f>
        <v>42</v>
      </c>
      <c r="K102" s="150">
        <f>COUNTIFS(Marketing!$M$10:$BM$10,K$7)</f>
        <v>41</v>
      </c>
      <c r="L102" s="151">
        <f>COUNTIFS(Marketing!$M$10:$BM$10,L$7)</f>
        <v>0</v>
      </c>
      <c r="M102" s="152">
        <f>COUNTIFS(Marketing!$M$10:$BM$10,M$7)</f>
        <v>0</v>
      </c>
      <c r="N102" s="134">
        <f>COUNTIFS(Marketing!$M$10:$BM$10,N$7)</f>
        <v>1</v>
      </c>
      <c r="O102" s="134">
        <f>COUNTIFS(Marketing!$M$10:$BM$10,O$7)</f>
        <v>0</v>
      </c>
      <c r="P102" s="134">
        <f>COUNTIFS(Marketing!$M$10:$BM$10,P$7)</f>
        <v>0</v>
      </c>
      <c r="Q102" s="134">
        <f>COUNTIFS(Marketing!$M$10:$BM$10,Q$7)</f>
        <v>0</v>
      </c>
      <c r="R102" s="134">
        <f>COUNTIFS(Marketing!$M$10:$BM$10,R$7)</f>
        <v>0</v>
      </c>
      <c r="S102" s="135">
        <f>COUNTIFS(Marketing!$M$10:$BM$10,S$7)</f>
        <v>0</v>
      </c>
      <c r="T102" s="135">
        <f>SUM(N102:S102)</f>
        <v>1</v>
      </c>
      <c r="V102" s="141" t="str">
        <f>IF(((J102)='KPI Linked Table for Report'!$C$1),"ok1","err1")&amp;IF((J102-SUM(K102:S102)=0),"ok2","err2")</f>
        <v>ok1ok2</v>
      </c>
      <c r="AA102" s="148"/>
    </row>
    <row r="103" spans="2:27" x14ac:dyDescent="0.3">
      <c r="B103" s="918" t="s">
        <v>133</v>
      </c>
      <c r="C103" s="136" t="s">
        <v>337</v>
      </c>
      <c r="D103" s="144" t="s">
        <v>33</v>
      </c>
      <c r="E103" s="144" t="s">
        <v>202</v>
      </c>
      <c r="F103" s="145" t="s">
        <v>144</v>
      </c>
      <c r="G103" s="169" t="s">
        <v>186</v>
      </c>
      <c r="H103" s="552" t="s">
        <v>206</v>
      </c>
      <c r="J103" s="148">
        <f>COUNTA(Marketing!$M$13:$BM$13)-COUNTBLANK(Marketing!$M$13:$BM$13)</f>
        <v>42</v>
      </c>
      <c r="K103" s="153">
        <f>COUNTIFS(Marketing!$M$13:$BM$13,K$7)</f>
        <v>26</v>
      </c>
      <c r="L103" s="154">
        <f>COUNTIFS(Marketing!$M$13:$BM$13,L$7)</f>
        <v>0</v>
      </c>
      <c r="M103" s="155">
        <f>COUNTIFS(Marketing!$M$13:$BM$13,M$7)</f>
        <v>15</v>
      </c>
      <c r="N103">
        <f>COUNTIFS(Marketing!$M$13:$BM$13,N$7)</f>
        <v>1</v>
      </c>
      <c r="O103">
        <f>COUNTIFS(Marketing!$M$13:$BM$13,O$7)</f>
        <v>0</v>
      </c>
      <c r="P103">
        <f>COUNTIFS(Marketing!$M$13:$BM$13,P$7)</f>
        <v>0</v>
      </c>
      <c r="Q103">
        <f>COUNTIFS(Marketing!$M$13:$BM$13,Q$7)</f>
        <v>0</v>
      </c>
      <c r="R103">
        <f>COUNTIFS(Marketing!$M$13:$BM$13,R$7)</f>
        <v>0</v>
      </c>
      <c r="S103" s="137">
        <f>COUNTIFS(Marketing!$M$13:$BM$13,S$7)</f>
        <v>0</v>
      </c>
      <c r="T103" s="137">
        <f t="shared" ref="T103:T105" si="5">SUM(N103:S103)</f>
        <v>1</v>
      </c>
      <c r="V103" s="148" t="str">
        <f>IF(((J103)='KPI Linked Table for Report'!$C$1),"ok1","err1")&amp;IF((J103-SUM(K103:S103)=0),"ok2","err2")</f>
        <v>ok1ok2</v>
      </c>
      <c r="AA103" s="148"/>
    </row>
    <row r="104" spans="2:27" x14ac:dyDescent="0.3">
      <c r="B104" s="918"/>
      <c r="C104" s="136" t="s">
        <v>338</v>
      </c>
      <c r="D104" s="144" t="s">
        <v>32</v>
      </c>
      <c r="E104" s="144" t="s">
        <v>203</v>
      </c>
      <c r="F104" s="145" t="s">
        <v>142</v>
      </c>
      <c r="G104" s="169" t="s">
        <v>305</v>
      </c>
      <c r="H104" s="552" t="s">
        <v>157</v>
      </c>
      <c r="J104" s="148">
        <f>COUNTA(Marketing!$M$16:$BM$16)-COUNTBLANK(Marketing!$M$16:$BM$16)</f>
        <v>42</v>
      </c>
      <c r="K104" s="153">
        <f>COUNTIFS(Marketing!$M$16:$BM$16,K$7)</f>
        <v>23</v>
      </c>
      <c r="L104" s="154">
        <f>COUNTIFS(Marketing!$M$16:$BM$16,L$7)</f>
        <v>0</v>
      </c>
      <c r="M104" s="155">
        <f>COUNTIFS(Marketing!$M$16:$BM$16,M$7)</f>
        <v>18</v>
      </c>
      <c r="N104">
        <f>COUNTIFS(Marketing!$M$16:$BM$16,N$7)</f>
        <v>1</v>
      </c>
      <c r="O104">
        <f>COUNTIFS(Marketing!$M$16:$BM$16,O$7)</f>
        <v>0</v>
      </c>
      <c r="P104">
        <f>COUNTIFS(Marketing!$M$16:$BM$16,P$7)</f>
        <v>0</v>
      </c>
      <c r="Q104">
        <f>COUNTIFS(Marketing!$M$16:$BM$16,Q$7)</f>
        <v>0</v>
      </c>
      <c r="R104">
        <f>COUNTIFS(Marketing!$M$16:$BM$16,R$7)</f>
        <v>0</v>
      </c>
      <c r="S104" s="137">
        <f>COUNTIFS(Marketing!$M$16:$BM$16,S$7)</f>
        <v>0</v>
      </c>
      <c r="T104" s="137">
        <f t="shared" si="5"/>
        <v>1</v>
      </c>
      <c r="V104" s="148" t="str">
        <f>IF(((J104)='KPI Linked Table for Report'!$C$1),"ok1","err1")&amp;IF((J104-SUM(K104:S104)=0),"ok2","err2")</f>
        <v>ok1ok2</v>
      </c>
      <c r="AA104" s="148"/>
    </row>
    <row r="105" spans="2:27" ht="15" thickBot="1" x14ac:dyDescent="0.35">
      <c r="B105" s="138"/>
      <c r="C105" s="138" t="s">
        <v>339</v>
      </c>
      <c r="D105" s="146" t="s">
        <v>31</v>
      </c>
      <c r="E105" s="146" t="s">
        <v>204</v>
      </c>
      <c r="F105" s="147" t="s">
        <v>169</v>
      </c>
      <c r="G105" s="170" t="s">
        <v>185</v>
      </c>
      <c r="H105" s="553" t="s">
        <v>207</v>
      </c>
      <c r="J105" s="149">
        <f>COUNTA(Marketing!$M$19:$BM$19)-COUNTBLANK(Marketing!$M$19:$BM$19)</f>
        <v>42</v>
      </c>
      <c r="K105" s="156">
        <f>COUNTIFS(Marketing!$M$19:$BM$19,K$7)</f>
        <v>41</v>
      </c>
      <c r="L105" s="157">
        <f>COUNTIFS(Marketing!$M$19:$BM$19,L$7)</f>
        <v>0</v>
      </c>
      <c r="M105" s="158">
        <f>COUNTIFS(Marketing!$M$19:$BM$19,M$7)</f>
        <v>0</v>
      </c>
      <c r="N105" s="139">
        <f>COUNTIFS(Marketing!$M$19:$BM$19,N$7)</f>
        <v>1</v>
      </c>
      <c r="O105" s="139">
        <f>COUNTIFS(Marketing!$M$19:$BM$19,O$7)</f>
        <v>0</v>
      </c>
      <c r="P105" s="139">
        <f>COUNTIFS(Marketing!$M$19:$BM$19,P$7)</f>
        <v>0</v>
      </c>
      <c r="Q105" s="139">
        <f>COUNTIFS(Marketing!$M$19:$BM$19,Q$7)</f>
        <v>0</v>
      </c>
      <c r="R105" s="139">
        <f>COUNTIFS(Marketing!$M$19:$BM$19,R$7)</f>
        <v>0</v>
      </c>
      <c r="S105" s="140">
        <f>COUNTIFS(Marketing!$M$19:$BM$19,S$7)</f>
        <v>0</v>
      </c>
      <c r="T105" s="140">
        <f t="shared" si="5"/>
        <v>1</v>
      </c>
      <c r="V105" s="149" t="str">
        <f>IF(((J105)='KPI Linked Table for Report'!$C$1),"ok1","err1")&amp;IF((J105-SUM(K105:S105)=0),"ok2","err2")</f>
        <v>ok1ok2</v>
      </c>
      <c r="AA105" s="149"/>
    </row>
    <row r="106" spans="2:27" ht="15" thickBot="1" x14ac:dyDescent="0.35">
      <c r="E106" s="349"/>
    </row>
    <row r="107" spans="2:27" ht="15" thickBot="1" x14ac:dyDescent="0.35">
      <c r="B107" s="180" t="s">
        <v>14</v>
      </c>
      <c r="C107" s="133" t="s">
        <v>26</v>
      </c>
      <c r="D107" s="134"/>
      <c r="E107" s="141" t="s">
        <v>189</v>
      </c>
      <c r="F107" s="141">
        <f>+Finance!$E$2</f>
        <v>42</v>
      </c>
      <c r="G107" s="241" t="s">
        <v>506</v>
      </c>
      <c r="J107" s="181" t="str">
        <f>+$B107</f>
        <v>Finance</v>
      </c>
      <c r="K107" s="181"/>
      <c r="L107" s="182"/>
      <c r="M107" s="182"/>
      <c r="N107" s="182"/>
      <c r="O107" s="182"/>
      <c r="P107" s="182"/>
      <c r="Q107" s="182"/>
      <c r="R107" s="182"/>
      <c r="S107" s="183"/>
      <c r="T107" s="183"/>
      <c r="V107" s="181"/>
      <c r="X107" s="313" t="s">
        <v>468</v>
      </c>
      <c r="AA107" s="403"/>
    </row>
    <row r="108" spans="2:27" ht="15" thickBot="1" x14ac:dyDescent="0.35">
      <c r="B108" s="414" t="s">
        <v>14</v>
      </c>
      <c r="C108" s="411" t="s">
        <v>336</v>
      </c>
      <c r="D108" s="415" t="s">
        <v>30</v>
      </c>
      <c r="E108" s="415" t="s">
        <v>223</v>
      </c>
      <c r="F108" s="416" t="s">
        <v>142</v>
      </c>
      <c r="G108" s="417" t="s">
        <v>186</v>
      </c>
      <c r="H108" s="556" t="s">
        <v>232</v>
      </c>
      <c r="J108" s="148">
        <f>COUNTA(Finance!$M$10:$BM$10)-COUNTBLANK(Finance!$M$10:$BM$10)</f>
        <v>42</v>
      </c>
      <c r="K108" s="150">
        <f>COUNTIFS(Finance!$M$10:$BM$10,K$7)</f>
        <v>33</v>
      </c>
      <c r="L108" s="151">
        <f>COUNTIFS(Finance!$M$10:$BM$10,L$7)</f>
        <v>2</v>
      </c>
      <c r="M108" s="152">
        <f>COUNTIFS(Finance!$M$10:$BM$10,M$7)</f>
        <v>7</v>
      </c>
      <c r="N108" s="134">
        <f>COUNTIFS(Finance!$M$10:$BM$10,N$7)</f>
        <v>0</v>
      </c>
      <c r="O108" s="134">
        <f>COUNTIFS(Finance!$M$10:$BM$10,O$7)</f>
        <v>0</v>
      </c>
      <c r="P108" s="134">
        <f>COUNTIFS(Finance!$M$10:$BM$10,P$7)</f>
        <v>0</v>
      </c>
      <c r="Q108" s="134">
        <f>COUNTIFS(Finance!$M$10:$BM$10,Q$7)</f>
        <v>0</v>
      </c>
      <c r="R108" s="134">
        <f>COUNTIFS(Finance!$M$10:$BM$10,R$7)</f>
        <v>0</v>
      </c>
      <c r="S108" s="135">
        <f>COUNTIFS(Finance!$M$10:$BM$10,S$7)</f>
        <v>0</v>
      </c>
      <c r="T108" s="135">
        <f>COUNTIFS(Finance!$M$10:$BM$10,T$7)</f>
        <v>0</v>
      </c>
      <c r="V108" s="141" t="str">
        <f>IF(((J108)='KPI Linked Table for Report'!$C$1),"ok1","err1")&amp;IF((J108-SUM(K108:S108)=0),"ok2","err2")</f>
        <v>ok1ok2</v>
      </c>
      <c r="AA108" s="141"/>
    </row>
    <row r="109" spans="2:27" ht="15" thickBot="1" x14ac:dyDescent="0.35">
      <c r="B109" s="412" t="s">
        <v>14</v>
      </c>
      <c r="C109" s="136" t="s">
        <v>26</v>
      </c>
      <c r="E109" s="148" t="s">
        <v>344</v>
      </c>
      <c r="F109" s="148">
        <f>+Finance!$F$14</f>
        <v>9</v>
      </c>
      <c r="G109" s="413" t="s">
        <v>507</v>
      </c>
      <c r="J109" s="181" t="str">
        <f>+$B109</f>
        <v>Finance</v>
      </c>
      <c r="K109" s="181"/>
      <c r="L109" s="182"/>
      <c r="M109" s="182"/>
      <c r="N109" s="182"/>
      <c r="O109" s="182"/>
      <c r="P109" s="182"/>
      <c r="Q109" s="182"/>
      <c r="R109" s="182"/>
      <c r="S109" s="183"/>
      <c r="T109" s="183"/>
      <c r="V109" s="181"/>
      <c r="X109" s="313" t="s">
        <v>468</v>
      </c>
      <c r="AA109" s="403"/>
    </row>
    <row r="110" spans="2:27" x14ac:dyDescent="0.3">
      <c r="B110" s="917"/>
      <c r="C110" s="133" t="s">
        <v>337</v>
      </c>
      <c r="D110" s="142" t="s">
        <v>33</v>
      </c>
      <c r="E110" s="142" t="s">
        <v>547</v>
      </c>
      <c r="F110" s="143" t="s">
        <v>146</v>
      </c>
      <c r="G110" s="168" t="s">
        <v>185</v>
      </c>
      <c r="H110" s="551" t="s">
        <v>232</v>
      </c>
      <c r="J110" s="148">
        <f>COUNTA(Finance!$M$21:$X$21)-COUNTBLANK(Finance!$M$21:$X$21)</f>
        <v>9</v>
      </c>
      <c r="K110" s="153">
        <f>COUNTIFS(Finance!$M$21:$X$21,K$7)</f>
        <v>7</v>
      </c>
      <c r="L110" s="154">
        <f>COUNTIFS(Finance!$M$21:$X$21,L$7)</f>
        <v>0</v>
      </c>
      <c r="M110" s="155">
        <f>COUNTIFS(Finance!$M$21:$X$21,M$7)</f>
        <v>2</v>
      </c>
      <c r="N110">
        <f>COUNTIFS(Finance!$M$21:$X$21,N$7)</f>
        <v>0</v>
      </c>
      <c r="O110">
        <f>COUNTIFS(Finance!$M$21:$X$21,O$7)</f>
        <v>0</v>
      </c>
      <c r="P110">
        <f>COUNTIFS(Finance!$M$21:$X$21,P$7)</f>
        <v>0</v>
      </c>
      <c r="Q110">
        <f>COUNTIFS(Finance!$M$21:$X$21,Q$7)</f>
        <v>0</v>
      </c>
      <c r="R110">
        <f>COUNTIFS(Finance!$M$21:$X$21,R$7)</f>
        <v>0</v>
      </c>
      <c r="S110" s="137">
        <f>COUNTIFS(Finance!$M$21:$X$21,S$7)</f>
        <v>0</v>
      </c>
      <c r="T110" s="137">
        <f>COUNTIFS(Finance!$M$21:$X$21,T$7)</f>
        <v>0</v>
      </c>
      <c r="V110" s="148" t="str">
        <f>IF(((J110)='KPI Linked Table for Report'!$C$2),"ok1","err1")&amp;IF((J110-SUM(K110:S110)=0),"ok2","err2")</f>
        <v>ok1ok2</v>
      </c>
      <c r="AA110" s="148"/>
    </row>
    <row r="111" spans="2:27" x14ac:dyDescent="0.3">
      <c r="B111" s="918"/>
      <c r="C111" s="136" t="s">
        <v>341</v>
      </c>
      <c r="D111" s="144" t="s">
        <v>33</v>
      </c>
      <c r="E111" s="144" t="s">
        <v>224</v>
      </c>
      <c r="F111" s="145" t="s">
        <v>146</v>
      </c>
      <c r="G111" s="169" t="s">
        <v>185</v>
      </c>
      <c r="H111" s="552" t="s">
        <v>232</v>
      </c>
      <c r="J111" s="148">
        <f>COUNTA(Finance!$M$24:$X$24)-COUNTBLANK(Finance!$M$24:$X$24)</f>
        <v>9</v>
      </c>
      <c r="K111" s="153">
        <f>COUNTIFS(Finance!$M$24:$X$24,K$7)</f>
        <v>9</v>
      </c>
      <c r="L111" s="154">
        <f>COUNTIFS(Finance!$M$24:$X$24,L$7)</f>
        <v>0</v>
      </c>
      <c r="M111" s="155">
        <f>COUNTIFS(Finance!$M$24:$X$24,M$7)</f>
        <v>0</v>
      </c>
      <c r="N111">
        <f>COUNTIFS(Finance!$M$24:$X$24,N$7)</f>
        <v>0</v>
      </c>
      <c r="O111">
        <f>COUNTIFS(Finance!$M$24:$X$24,O$7)</f>
        <v>0</v>
      </c>
      <c r="P111">
        <f>COUNTIFS(Finance!$M$24:$X$24,P$7)</f>
        <v>0</v>
      </c>
      <c r="Q111">
        <f>COUNTIFS(Finance!$M$24:$X$24,Q$7)</f>
        <v>0</v>
      </c>
      <c r="R111">
        <f>COUNTIFS(Finance!$M$24:$X$24,R$7)</f>
        <v>0</v>
      </c>
      <c r="S111" s="137">
        <f>COUNTIFS(Finance!$M$24:$X$24,S$7)</f>
        <v>0</v>
      </c>
      <c r="T111" s="137">
        <f>COUNTIFS(Finance!$M$24:$X$24,T$7)</f>
        <v>0</v>
      </c>
      <c r="V111" s="148" t="str">
        <f>IF(((J111)='KPI Linked Table for Report'!$C$2),"ok1","err1")&amp;IF((J111-SUM(K111:S111)=0),"ok2","err2")</f>
        <v>ok1ok2</v>
      </c>
      <c r="AA111" s="148"/>
    </row>
    <row r="112" spans="2:27" ht="15" thickBot="1" x14ac:dyDescent="0.35">
      <c r="B112" s="138"/>
      <c r="C112" s="138" t="s">
        <v>339</v>
      </c>
      <c r="D112" s="146" t="s">
        <v>31</v>
      </c>
      <c r="E112" s="146" t="s">
        <v>244</v>
      </c>
      <c r="F112" s="147" t="s">
        <v>169</v>
      </c>
      <c r="G112" s="170" t="s">
        <v>186</v>
      </c>
      <c r="H112" s="553" t="s">
        <v>232</v>
      </c>
      <c r="J112" s="149">
        <f>COUNTA(Finance!$M$27:$X$27)-COUNTBLANK(Finance!$M$27:$X$27)</f>
        <v>9</v>
      </c>
      <c r="K112" s="156">
        <f>COUNTIFS(Finance!$M$27:$X$27,K$7)</f>
        <v>2</v>
      </c>
      <c r="L112" s="157">
        <f>COUNTIFS(Finance!$M$27:$X$27,L$7)</f>
        <v>1</v>
      </c>
      <c r="M112" s="158">
        <f>COUNTIFS(Finance!$M$27:$X$27,M$7)</f>
        <v>6</v>
      </c>
      <c r="N112" s="139">
        <f>COUNTIFS(Finance!$M$27:$X$27,N$7)</f>
        <v>0</v>
      </c>
      <c r="O112" s="139">
        <f>COUNTIFS(Finance!$M$27:$X$27,O$7)</f>
        <v>0</v>
      </c>
      <c r="P112" s="139">
        <f>COUNTIFS(Finance!$M$27:$X$27,P$7)</f>
        <v>0</v>
      </c>
      <c r="Q112" s="139">
        <f>COUNTIFS(Finance!$M$27:$X$27,Q$7)</f>
        <v>0</v>
      </c>
      <c r="R112" s="139">
        <f>COUNTIFS(Finance!$M$27:$X$27,R$7)</f>
        <v>0</v>
      </c>
      <c r="S112" s="140">
        <f>COUNTIFS(Finance!$M$27:$X$27,S$7)</f>
        <v>0</v>
      </c>
      <c r="T112" s="140">
        <f>COUNTIFS(Finance!$M$27:$X$27,T$7)</f>
        <v>0</v>
      </c>
      <c r="V112" s="149" t="str">
        <f>IF(((J112)='KPI Linked Table for Report'!$C$2),"ok1","err1")&amp;IF((J112-SUM(K112:S112)=0),"ok2","err2")</f>
        <v>ok1ok2</v>
      </c>
      <c r="AA112" s="149"/>
    </row>
    <row r="113" spans="2:27" ht="15" thickBot="1" x14ac:dyDescent="0.35">
      <c r="E113" s="349" t="s">
        <v>400</v>
      </c>
    </row>
    <row r="114" spans="2:27" ht="15" thickBot="1" x14ac:dyDescent="0.35">
      <c r="B114" s="185" t="s">
        <v>16</v>
      </c>
      <c r="C114" s="133" t="s">
        <v>28</v>
      </c>
      <c r="D114" s="134"/>
      <c r="E114" s="308" t="s">
        <v>344</v>
      </c>
      <c r="F114" s="141">
        <f>+'HR mthly'!F1</f>
        <v>9</v>
      </c>
      <c r="G114" s="241" t="s">
        <v>212</v>
      </c>
      <c r="H114" s="557"/>
      <c r="J114" s="181" t="str">
        <f>+$B114</f>
        <v>HR</v>
      </c>
      <c r="K114" s="181"/>
      <c r="L114" s="182"/>
      <c r="M114" s="182"/>
      <c r="N114" s="182"/>
      <c r="O114" s="182"/>
      <c r="P114" s="182"/>
      <c r="Q114" s="182"/>
      <c r="R114" s="182"/>
      <c r="S114" s="183"/>
      <c r="T114" s="183"/>
      <c r="V114" s="181"/>
      <c r="X114" t="s">
        <v>353</v>
      </c>
      <c r="AA114" s="403"/>
    </row>
    <row r="115" spans="2:27" x14ac:dyDescent="0.3">
      <c r="B115" s="917" t="s">
        <v>135</v>
      </c>
      <c r="C115" s="133" t="s">
        <v>336</v>
      </c>
      <c r="D115" s="142" t="s">
        <v>30</v>
      </c>
      <c r="E115" s="142" t="s">
        <v>539</v>
      </c>
      <c r="F115" s="143" t="s">
        <v>144</v>
      </c>
      <c r="G115" s="168" t="s">
        <v>185</v>
      </c>
      <c r="H115" s="558">
        <v>0.12</v>
      </c>
      <c r="J115" s="148">
        <f>COUNTA('HR mthly'!$I$11:$T$11)-COUNTBLANK('HR mthly'!$I$11:$T$11)</f>
        <v>9</v>
      </c>
      <c r="K115" s="150">
        <f>COUNTIFS('HR mthly'!$I$11:$T$11,K$7)</f>
        <v>9</v>
      </c>
      <c r="L115" s="151">
        <f>COUNTIFS('HR mthly'!$I$11:$T$11,L$7)</f>
        <v>0</v>
      </c>
      <c r="M115" s="152">
        <f>COUNTIFS('HR mthly'!$I$11:$T$11,M$7)</f>
        <v>0</v>
      </c>
      <c r="N115" s="134">
        <f>COUNTIFS('HR mthly'!$I$11:$T$11,N$7)</f>
        <v>0</v>
      </c>
      <c r="O115" s="134">
        <f>COUNTIFS('HR mthly'!$I$11:$T$11,O$7)</f>
        <v>0</v>
      </c>
      <c r="P115" s="134">
        <f>COUNTIFS('HR mthly'!$I$11:$T$11,P$7)</f>
        <v>0</v>
      </c>
      <c r="Q115" s="134">
        <f>COUNTIFS('HR mthly'!$I$11:$T$11,Q$7)</f>
        <v>0</v>
      </c>
      <c r="R115" s="134">
        <f>COUNTIFS('HR mthly'!$I$11:$T$11,R$7)</f>
        <v>0</v>
      </c>
      <c r="S115" s="135">
        <f>COUNTIFS('HR mthly'!$I$11:$T$11,S$7)</f>
        <v>0</v>
      </c>
      <c r="T115" s="135">
        <f>COUNTIFS('HR mthly'!$I$11:$T$11,T$7)</f>
        <v>0</v>
      </c>
      <c r="V115" s="141" t="str">
        <f>IF(((J115)='KPI Linked Table for Report'!$C$2),"ok1","err1")&amp;IF((J115-SUM(K115:S115)=0),"ok2","err2")</f>
        <v>ok1ok2</v>
      </c>
      <c r="AA115" s="141"/>
    </row>
    <row r="116" spans="2:27" x14ac:dyDescent="0.3">
      <c r="B116" s="918"/>
      <c r="C116" s="136" t="s">
        <v>340</v>
      </c>
      <c r="D116" s="144" t="s">
        <v>30</v>
      </c>
      <c r="E116" s="144" t="s">
        <v>540</v>
      </c>
      <c r="F116" s="145" t="s">
        <v>144</v>
      </c>
      <c r="G116" s="169" t="s">
        <v>185</v>
      </c>
      <c r="H116" s="554">
        <v>0.03</v>
      </c>
      <c r="J116" s="148">
        <f>COUNTA('HR mthly'!$I$11:$T$11)-COUNTBLANK('HR mthly'!$I$11:$T$11)</f>
        <v>9</v>
      </c>
      <c r="K116" s="153">
        <f>COUNTIFS('HR mthly'!$I$11:$T$11,K$7)</f>
        <v>9</v>
      </c>
      <c r="L116" s="154">
        <f>COUNTIFS('HR mthly'!$I$11:$T$11,L$7)</f>
        <v>0</v>
      </c>
      <c r="M116" s="155">
        <f>COUNTIFS('HR mthly'!$I$11:$T$11,M$7)</f>
        <v>0</v>
      </c>
      <c r="N116">
        <f>COUNTIFS('HR mthly'!$I$11:$T$11,N$7)</f>
        <v>0</v>
      </c>
      <c r="O116">
        <f>COUNTIFS('HR mthly'!$I$11:$T$11,O$7)</f>
        <v>0</v>
      </c>
      <c r="P116">
        <f>COUNTIFS('HR mthly'!$I$11:$T$11,P$7)</f>
        <v>0</v>
      </c>
      <c r="Q116">
        <f>COUNTIFS('HR mthly'!$I$11:$T$11,Q$7)</f>
        <v>0</v>
      </c>
      <c r="R116">
        <f>COUNTIFS('HR mthly'!$I$11:$T$11,R$7)</f>
        <v>0</v>
      </c>
      <c r="S116" s="137">
        <f>COUNTIFS('HR mthly'!$I$11:$T$11,S$7)</f>
        <v>0</v>
      </c>
      <c r="T116" s="137">
        <f>COUNTIFS('HR mthly'!$I$11:$T$11,T$7)</f>
        <v>0</v>
      </c>
      <c r="V116" s="148" t="str">
        <f>IF(((J116)='KPI Linked Table for Report'!$C$2),"ok1","err1")&amp;IF((J116-SUM(K116:S116)=0),"ok2","err2")</f>
        <v>ok1ok2</v>
      </c>
      <c r="AA116" s="148"/>
    </row>
    <row r="117" spans="2:27" x14ac:dyDescent="0.3">
      <c r="B117" s="918" t="s">
        <v>28</v>
      </c>
      <c r="C117" s="136" t="s">
        <v>337</v>
      </c>
      <c r="D117" s="144" t="s">
        <v>33</v>
      </c>
      <c r="E117" s="144" t="s">
        <v>541</v>
      </c>
      <c r="F117" s="145" t="s">
        <v>144</v>
      </c>
      <c r="G117" s="169" t="s">
        <v>186</v>
      </c>
      <c r="H117" s="554">
        <v>1</v>
      </c>
      <c r="J117" s="148">
        <f>COUNTA('HR mthly'!$I$11:$T$11)-COUNTBLANK('HR mthly'!$I$11:$T$11)</f>
        <v>9</v>
      </c>
      <c r="K117" s="153">
        <f>COUNTIFS('HR mthly'!$I$11:$T$11,K$7)</f>
        <v>9</v>
      </c>
      <c r="L117" s="154">
        <f>COUNTIFS('HR mthly'!$I$11:$T$11,L$7)</f>
        <v>0</v>
      </c>
      <c r="M117" s="155">
        <f>COUNTIFS('HR mthly'!$I$11:$T$11,M$7)</f>
        <v>0</v>
      </c>
      <c r="N117">
        <f>COUNTIFS('HR mthly'!$I$11:$T$11,N$7)</f>
        <v>0</v>
      </c>
      <c r="O117">
        <f>COUNTIFS('HR mthly'!$I$11:$T$11,O$7)</f>
        <v>0</v>
      </c>
      <c r="P117">
        <f>COUNTIFS('HR mthly'!$I$11:$T$11,P$7)</f>
        <v>0</v>
      </c>
      <c r="Q117">
        <f>COUNTIFS('HR mthly'!$I$11:$T$11,Q$7)</f>
        <v>0</v>
      </c>
      <c r="R117">
        <f>COUNTIFS('HR mthly'!$I$11:$T$11,R$7)</f>
        <v>0</v>
      </c>
      <c r="S117" s="137">
        <f>COUNTIFS('HR mthly'!$I$11:$T$11,S$7)</f>
        <v>0</v>
      </c>
      <c r="T117" s="137">
        <f>COUNTIFS('HR mthly'!$I$11:$T$11,T$7)</f>
        <v>0</v>
      </c>
      <c r="V117" s="148" t="str">
        <f>IF(((J117)='KPI Linked Table for Report'!$C$2),"ok1","err1")&amp;IF((J117-SUM(K117:S117)=0),"ok2","err2")</f>
        <v>ok1ok2</v>
      </c>
      <c r="AA117" s="148"/>
    </row>
    <row r="118" spans="2:27" x14ac:dyDescent="0.3">
      <c r="B118" s="918"/>
      <c r="C118" s="136" t="s">
        <v>341</v>
      </c>
      <c r="D118" s="144" t="s">
        <v>33</v>
      </c>
      <c r="E118" s="144" t="s">
        <v>542</v>
      </c>
      <c r="F118" s="145" t="s">
        <v>144</v>
      </c>
      <c r="G118" s="169" t="s">
        <v>186</v>
      </c>
      <c r="H118" s="554">
        <v>0.8</v>
      </c>
      <c r="J118" s="148">
        <f>COUNTA('HR mthly'!$I$11:$T$11)-COUNTBLANK('HR mthly'!$I$11:$T$11)</f>
        <v>9</v>
      </c>
      <c r="K118" s="153">
        <f>COUNTIFS('HR mthly'!$I$11:$T$11,K$7)</f>
        <v>9</v>
      </c>
      <c r="L118" s="154">
        <f>COUNTIFS('HR mthly'!$I$11:$T$11,L$7)</f>
        <v>0</v>
      </c>
      <c r="M118" s="155">
        <f>COUNTIFS('HR mthly'!$I$11:$T$11,M$7)</f>
        <v>0</v>
      </c>
      <c r="N118">
        <f>COUNTIFS('HR mthly'!$I$11:$T$11,N$7)</f>
        <v>0</v>
      </c>
      <c r="O118">
        <f>COUNTIFS('HR mthly'!$I$11:$T$11,O$7)</f>
        <v>0</v>
      </c>
      <c r="P118">
        <f>COUNTIFS('HR mthly'!$I$11:$T$11,P$7)</f>
        <v>0</v>
      </c>
      <c r="Q118">
        <f>COUNTIFS('HR mthly'!$I$11:$T$11,Q$7)</f>
        <v>0</v>
      </c>
      <c r="R118">
        <f>COUNTIFS('HR mthly'!$I$11:$T$11,R$7)</f>
        <v>0</v>
      </c>
      <c r="S118" s="137">
        <f>COUNTIFS('HR mthly'!$I$11:$T$11,S$7)</f>
        <v>0</v>
      </c>
      <c r="T118" s="137">
        <f>COUNTIFS('HR mthly'!$I$11:$T$11,T$7)</f>
        <v>0</v>
      </c>
      <c r="V118" s="148" t="str">
        <f>IF(((J118)='KPI Linked Table for Report'!$C$2),"ok1","err1")&amp;IF((J118-SUM(K118:S118)=0),"ok2","err2")</f>
        <v>ok1ok2</v>
      </c>
      <c r="AA118" s="148"/>
    </row>
    <row r="119" spans="2:27" x14ac:dyDescent="0.3">
      <c r="B119" s="918"/>
      <c r="C119" s="136" t="s">
        <v>338</v>
      </c>
      <c r="D119" s="144" t="s">
        <v>32</v>
      </c>
      <c r="E119" s="144" t="s">
        <v>348</v>
      </c>
      <c r="F119" s="145" t="s">
        <v>144</v>
      </c>
      <c r="G119" s="169" t="s">
        <v>186</v>
      </c>
      <c r="H119" s="554">
        <v>0.7</v>
      </c>
      <c r="J119" s="148">
        <f>COUNTA('HR mthly'!$I$11:$T$11)-COUNTBLANK('HR mthly'!$I$11:$T$11)</f>
        <v>9</v>
      </c>
      <c r="K119" s="153">
        <f>COUNTIFS('HR mthly'!$I$11:$T$11,K$7)</f>
        <v>9</v>
      </c>
      <c r="L119" s="154">
        <f>COUNTIFS('HR mthly'!$I$11:$T$11,L$7)</f>
        <v>0</v>
      </c>
      <c r="M119" s="155">
        <f>COUNTIFS('HR mthly'!$I$11:$T$11,M$7)</f>
        <v>0</v>
      </c>
      <c r="N119">
        <f>COUNTIFS('HR mthly'!$I$11:$T$11,N$7)</f>
        <v>0</v>
      </c>
      <c r="O119">
        <f>COUNTIFS('HR mthly'!$I$11:$T$11,O$7)</f>
        <v>0</v>
      </c>
      <c r="P119">
        <f>COUNTIFS('HR mthly'!$I$11:$T$11,P$7)</f>
        <v>0</v>
      </c>
      <c r="Q119">
        <f>COUNTIFS('HR mthly'!$I$11:$T$11,Q$7)</f>
        <v>0</v>
      </c>
      <c r="R119">
        <f>COUNTIFS('HR mthly'!$I$11:$T$11,R$7)</f>
        <v>0</v>
      </c>
      <c r="S119" s="137">
        <f>COUNTIFS('HR mthly'!$I$11:$T$11,S$7)</f>
        <v>0</v>
      </c>
      <c r="T119" s="137">
        <f>COUNTIFS('HR mthly'!$I$11:$T$11,T$7)</f>
        <v>0</v>
      </c>
      <c r="V119" s="148" t="str">
        <f>IF(((J119)='KPI Linked Table for Report'!$C$2),"ok1","err1")&amp;IF((J119-SUM(K119:S119)=0),"ok2","err2")</f>
        <v>ok1ok2</v>
      </c>
      <c r="AA119" s="148"/>
    </row>
    <row r="120" spans="2:27" x14ac:dyDescent="0.3">
      <c r="B120" s="307"/>
      <c r="C120" s="136" t="s">
        <v>342</v>
      </c>
      <c r="D120" s="144" t="s">
        <v>32</v>
      </c>
      <c r="E120" s="144" t="s">
        <v>345</v>
      </c>
      <c r="F120" s="145" t="s">
        <v>346</v>
      </c>
      <c r="G120" s="169" t="s">
        <v>186</v>
      </c>
      <c r="H120" s="552">
        <v>3</v>
      </c>
      <c r="J120" s="148">
        <f>COUNTA('HR mthly'!$I$11:$T$11)-COUNTBLANK('HR mthly'!$I$11:$T$11)</f>
        <v>9</v>
      </c>
      <c r="K120" s="153">
        <f>COUNTIFS('HR mthly'!$I$11:$T$11,K$7)</f>
        <v>9</v>
      </c>
      <c r="L120" s="154">
        <f>COUNTIFS('HR mthly'!$I$11:$T$11,L$7)</f>
        <v>0</v>
      </c>
      <c r="M120" s="155">
        <f>COUNTIFS('HR mthly'!$I$11:$T$11,M$7)</f>
        <v>0</v>
      </c>
      <c r="N120">
        <f>COUNTIFS('HR mthly'!$I$11:$T$11,N$7)</f>
        <v>0</v>
      </c>
      <c r="O120">
        <f>COUNTIFS('HR mthly'!$I$11:$T$11,O$7)</f>
        <v>0</v>
      </c>
      <c r="P120">
        <f>COUNTIFS('HR mthly'!$I$11:$T$11,P$7)</f>
        <v>0</v>
      </c>
      <c r="Q120">
        <f>COUNTIFS('HR mthly'!$I$11:$T$11,Q$7)</f>
        <v>0</v>
      </c>
      <c r="R120">
        <f>COUNTIFS('HR mthly'!$I$11:$T$11,R$7)</f>
        <v>0</v>
      </c>
      <c r="S120" s="137">
        <f>COUNTIFS('HR mthly'!$I$11:$T$11,S$7)</f>
        <v>0</v>
      </c>
      <c r="T120" s="137">
        <f>COUNTIFS('HR mthly'!$I$11:$T$11,T$7)</f>
        <v>0</v>
      </c>
      <c r="V120" s="148" t="str">
        <f>IF(((J120)='KPI Linked Table for Report'!$C$2),"ok1","err1")&amp;IF((J120-SUM(K120:S120)=0),"ok2","err2")</f>
        <v>ok1ok2</v>
      </c>
      <c r="AA120" s="148"/>
    </row>
    <row r="121" spans="2:27" x14ac:dyDescent="0.3">
      <c r="B121" s="307"/>
      <c r="C121" s="136" t="s">
        <v>339</v>
      </c>
      <c r="D121" s="144" t="s">
        <v>31</v>
      </c>
      <c r="E121" s="144" t="s">
        <v>544</v>
      </c>
      <c r="F121" s="145" t="s">
        <v>142</v>
      </c>
      <c r="G121" s="169" t="s">
        <v>185</v>
      </c>
      <c r="H121" s="552">
        <v>706</v>
      </c>
      <c r="J121" s="148">
        <f>COUNTA('HR mthly'!$I$11:$T$11)-COUNTBLANK('HR mthly'!$I$11:$T$11)</f>
        <v>9</v>
      </c>
      <c r="K121" s="153">
        <f>COUNTIFS('HR mthly'!$I$11:$T$11,K$7)</f>
        <v>9</v>
      </c>
      <c r="L121" s="154">
        <f>COUNTIFS('HR mthly'!$I$11:$T$11,L$7)</f>
        <v>0</v>
      </c>
      <c r="M121" s="155">
        <f>COUNTIFS('HR mthly'!$I$11:$T$11,M$7)</f>
        <v>0</v>
      </c>
      <c r="N121">
        <f>COUNTIFS('HR mthly'!$I$11:$T$11,N$7)</f>
        <v>0</v>
      </c>
      <c r="O121">
        <f>COUNTIFS('HR mthly'!$I$11:$T$11,O$7)</f>
        <v>0</v>
      </c>
      <c r="P121">
        <f>COUNTIFS('HR mthly'!$I$11:$T$11,P$7)</f>
        <v>0</v>
      </c>
      <c r="Q121">
        <f>COUNTIFS('HR mthly'!$I$11:$T$11,Q$7)</f>
        <v>0</v>
      </c>
      <c r="R121">
        <f>COUNTIFS('HR mthly'!$I$11:$T$11,R$7)</f>
        <v>0</v>
      </c>
      <c r="S121" s="137">
        <f>COUNTIFS('HR mthly'!$I$11:$T$11,S$7)</f>
        <v>0</v>
      </c>
      <c r="T121" s="137">
        <f>COUNTIFS('HR mthly'!$I$11:$T$11,T$7)</f>
        <v>0</v>
      </c>
      <c r="V121" s="148" t="str">
        <f>IF(((J121)='KPI Linked Table for Report'!$C$2),"ok1","err1")&amp;IF((J121-SUM(K121:S121)=0),"ok2","err2")</f>
        <v>ok1ok2</v>
      </c>
      <c r="AA121" s="148"/>
    </row>
    <row r="122" spans="2:27" ht="15" thickBot="1" x14ac:dyDescent="0.35">
      <c r="B122" s="138"/>
      <c r="C122" s="138" t="s">
        <v>343</v>
      </c>
      <c r="D122" s="146" t="s">
        <v>31</v>
      </c>
      <c r="E122" s="146" t="s">
        <v>543</v>
      </c>
      <c r="F122" s="147" t="s">
        <v>144</v>
      </c>
      <c r="G122" s="170" t="s">
        <v>186</v>
      </c>
      <c r="H122" s="559">
        <v>1</v>
      </c>
      <c r="J122" s="149">
        <f>COUNTA('HR mthly'!$I$11:$T$11)-COUNTBLANK('HR mthly'!$I$11:$T$11)</f>
        <v>9</v>
      </c>
      <c r="K122" s="156">
        <f>COUNTIFS('HR mthly'!$I$11:$T$11,K$7)</f>
        <v>9</v>
      </c>
      <c r="L122" s="157">
        <f>COUNTIFS('HR mthly'!$I$11:$T$11,L$7)</f>
        <v>0</v>
      </c>
      <c r="M122" s="158">
        <f>COUNTIFS('HR mthly'!$I$11:$T$11,M$7)</f>
        <v>0</v>
      </c>
      <c r="N122" s="139">
        <f>COUNTIFS('HR mthly'!$I$11:$T$11,N$7)</f>
        <v>0</v>
      </c>
      <c r="O122" s="139">
        <f>COUNTIFS('HR mthly'!$I$11:$T$11,O$7)</f>
        <v>0</v>
      </c>
      <c r="P122" s="139">
        <f>COUNTIFS('HR mthly'!$I$11:$T$11,P$7)</f>
        <v>0</v>
      </c>
      <c r="Q122" s="139">
        <f>COUNTIFS('HR mthly'!$I$11:$T$11,Q$7)</f>
        <v>0</v>
      </c>
      <c r="R122" s="139">
        <f>COUNTIFS('HR mthly'!$I$11:$T$11,R$7)</f>
        <v>0</v>
      </c>
      <c r="S122" s="140">
        <f>COUNTIFS('HR mthly'!$I$11:$T$11,S$7)</f>
        <v>0</v>
      </c>
      <c r="T122" s="140">
        <f>COUNTIFS('HR mthly'!$I$11:$T$11,T$7)</f>
        <v>0</v>
      </c>
      <c r="V122" s="149" t="str">
        <f>IF(((J122)='KPI Linked Table for Report'!$C$2),"ok1","err1")&amp;IF((J122-SUM(K122:S122)=0),"ok2","err2")</f>
        <v>ok1ok2</v>
      </c>
      <c r="AA122" s="149"/>
    </row>
  </sheetData>
  <mergeCells count="16">
    <mergeCell ref="B10:B12"/>
    <mergeCell ref="B96:B98"/>
    <mergeCell ref="B102:B104"/>
    <mergeCell ref="B23:B26"/>
    <mergeCell ref="B17:B19"/>
    <mergeCell ref="B115:B119"/>
    <mergeCell ref="B30:B32"/>
    <mergeCell ref="B57:B59"/>
    <mergeCell ref="B63:B65"/>
    <mergeCell ref="B36:B39"/>
    <mergeCell ref="B43:B46"/>
    <mergeCell ref="B110:B111"/>
    <mergeCell ref="B69:B71"/>
    <mergeCell ref="B84:B86"/>
    <mergeCell ref="B90:B92"/>
    <mergeCell ref="B50:B53"/>
  </mergeCells>
  <conditionalFormatting sqref="F1:F2 H1:H113 F5:F124 H115:H124 F137:F1048576 H137:H1048576">
    <cfRule type="containsText" dxfId="8" priority="39" operator="containsText" text="Undefined">
      <formula>NOT(ISERROR(SEARCH("Undefined",F1)))</formula>
    </cfRule>
  </conditionalFormatting>
  <conditionalFormatting sqref="S9:S130">
    <cfRule type="cellIs" dxfId="7" priority="62" operator="greaterThan">
      <formula>0</formula>
    </cfRule>
  </conditionalFormatting>
  <conditionalFormatting sqref="V1:V1048576">
    <cfRule type="containsText" dxfId="6" priority="1" operator="containsText" text="err">
      <formula>NOT(ISERROR(SEARCH("err",V1)))</formula>
    </cfRule>
  </conditionalFormatting>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F380-7ED4-48FD-8FF6-8E0005E93AEC}">
  <sheetPr>
    <tabColor theme="7"/>
  </sheetPr>
  <dimension ref="A1:X431"/>
  <sheetViews>
    <sheetView workbookViewId="0">
      <selection activeCell="D3" sqref="D3"/>
    </sheetView>
  </sheetViews>
  <sheetFormatPr defaultColWidth="9.33203125" defaultRowHeight="42.45" customHeight="1" x14ac:dyDescent="0.3"/>
  <cols>
    <col min="2" max="2" width="11.33203125" style="3" customWidth="1"/>
    <col min="3" max="3" width="16.33203125" style="3" customWidth="1"/>
    <col min="4" max="15" width="17" style="3" customWidth="1"/>
    <col min="16" max="16" width="18.6640625" style="3" customWidth="1"/>
    <col min="17" max="19" width="17" style="3" customWidth="1"/>
    <col min="20" max="20" width="9.33203125" style="3"/>
    <col min="21" max="22" width="17" style="3" customWidth="1"/>
    <col min="23" max="23" width="8.44140625" style="3" customWidth="1"/>
    <col min="24" max="24" width="10.77734375" style="3" customWidth="1"/>
    <col min="25" max="58" width="8.44140625" style="3" customWidth="1"/>
    <col min="59" max="59" width="7.6640625" style="3" customWidth="1"/>
    <col min="60" max="60" width="11.5546875" style="3" bestFit="1" customWidth="1"/>
    <col min="61" max="61" width="9.6640625" style="3" bestFit="1" customWidth="1"/>
    <col min="62" max="62" width="21.6640625" style="3" bestFit="1" customWidth="1"/>
    <col min="63" max="63" width="14.6640625" style="3" bestFit="1" customWidth="1"/>
    <col min="64" max="16384" width="9.33203125" style="3"/>
  </cols>
  <sheetData>
    <row r="1" spans="2:24" ht="42.45" customHeight="1" x14ac:dyDescent="0.3">
      <c r="D1" s="2"/>
      <c r="F1" s="2"/>
      <c r="G1" s="2"/>
      <c r="H1" s="2"/>
      <c r="I1" s="2"/>
      <c r="J1" s="2"/>
      <c r="K1" s="2"/>
      <c r="L1" s="2"/>
      <c r="Q1" s="2"/>
      <c r="R1" s="2"/>
      <c r="S1" s="2"/>
    </row>
    <row r="2" spans="2:24" ht="15.6" x14ac:dyDescent="0.3">
      <c r="B2" s="1" t="s">
        <v>0</v>
      </c>
      <c r="C2" s="2" t="s">
        <v>1</v>
      </c>
      <c r="D2" s="2"/>
      <c r="F2" s="2"/>
      <c r="G2" s="2" t="s">
        <v>179</v>
      </c>
      <c r="H2" s="2"/>
      <c r="I2" s="2"/>
      <c r="J2" s="2"/>
      <c r="K2" s="2"/>
      <c r="L2" s="2"/>
      <c r="Q2" s="2" t="s">
        <v>35</v>
      </c>
      <c r="R2" s="2"/>
      <c r="S2" s="2" t="s">
        <v>411</v>
      </c>
    </row>
    <row r="3" spans="2:24" ht="15.6" x14ac:dyDescent="0.3">
      <c r="B3" s="4" t="s">
        <v>2</v>
      </c>
      <c r="C3" s="2" t="s">
        <v>3</v>
      </c>
      <c r="D3" s="2"/>
      <c r="F3" s="2"/>
      <c r="G3" s="2" t="s">
        <v>181</v>
      </c>
      <c r="H3" s="2"/>
      <c r="I3" s="2"/>
      <c r="J3" s="2"/>
      <c r="K3" s="2"/>
      <c r="L3" s="2"/>
      <c r="Q3" s="2" t="s">
        <v>180</v>
      </c>
      <c r="R3" s="2"/>
      <c r="S3" s="2" t="s">
        <v>412</v>
      </c>
    </row>
    <row r="4" spans="2:24" ht="15.6" x14ac:dyDescent="0.3">
      <c r="B4" s="5" t="s">
        <v>4</v>
      </c>
      <c r="C4" s="2" t="s">
        <v>5</v>
      </c>
      <c r="E4" s="3" t="s">
        <v>562</v>
      </c>
      <c r="G4" s="3" t="s">
        <v>183</v>
      </c>
      <c r="Q4" s="3" t="s">
        <v>182</v>
      </c>
    </row>
    <row r="5" spans="2:24" ht="15.6" x14ac:dyDescent="0.3">
      <c r="G5" s="3" t="s">
        <v>184</v>
      </c>
      <c r="Q5" s="128" t="s">
        <v>182</v>
      </c>
      <c r="U5" s="3" t="s">
        <v>410</v>
      </c>
    </row>
    <row r="6" spans="2:24" ht="14.4" customHeight="1" x14ac:dyDescent="0.3">
      <c r="U6" s="3" t="s">
        <v>177</v>
      </c>
      <c r="V6" s="3" t="s">
        <v>177</v>
      </c>
    </row>
    <row r="7" spans="2:24" ht="42.45" customHeight="1" x14ac:dyDescent="0.45">
      <c r="B7" s="975" t="s">
        <v>6</v>
      </c>
      <c r="C7" s="975"/>
      <c r="D7" s="591" t="s">
        <v>569</v>
      </c>
      <c r="E7" s="591" t="s">
        <v>570</v>
      </c>
      <c r="F7" s="591" t="s">
        <v>356</v>
      </c>
      <c r="G7" s="591" t="s">
        <v>356</v>
      </c>
      <c r="H7" s="591" t="s">
        <v>357</v>
      </c>
      <c r="I7" s="591" t="s">
        <v>357</v>
      </c>
      <c r="J7" s="591" t="s">
        <v>357</v>
      </c>
      <c r="K7" s="591" t="s">
        <v>357</v>
      </c>
      <c r="L7" s="591" t="s">
        <v>357</v>
      </c>
      <c r="M7" s="591" t="s">
        <v>357</v>
      </c>
      <c r="N7" s="591" t="s">
        <v>357</v>
      </c>
      <c r="O7" s="591" t="s">
        <v>574</v>
      </c>
      <c r="P7" s="591" t="s">
        <v>571</v>
      </c>
      <c r="Q7" s="591" t="s">
        <v>572</v>
      </c>
      <c r="R7" s="591" t="s">
        <v>573</v>
      </c>
      <c r="S7" s="591" t="s">
        <v>571</v>
      </c>
      <c r="U7" s="591" t="s">
        <v>569</v>
      </c>
      <c r="V7" s="591" t="s">
        <v>569</v>
      </c>
      <c r="X7" s="591" t="s">
        <v>575</v>
      </c>
    </row>
    <row r="8" spans="2:24" ht="12" customHeight="1" x14ac:dyDescent="0.3">
      <c r="U8" s="8" t="s">
        <v>81</v>
      </c>
      <c r="V8" s="8" t="s">
        <v>81</v>
      </c>
    </row>
    <row r="9" spans="2:24" ht="60.45" customHeight="1" x14ac:dyDescent="0.3">
      <c r="B9" s="976" t="s">
        <v>34</v>
      </c>
      <c r="C9" s="977"/>
      <c r="D9" s="12" t="s">
        <v>36</v>
      </c>
      <c r="E9" s="12" t="s">
        <v>8</v>
      </c>
      <c r="F9" s="12" t="s">
        <v>9</v>
      </c>
      <c r="G9" s="12" t="s">
        <v>10</v>
      </c>
      <c r="H9" s="12" t="s">
        <v>129</v>
      </c>
      <c r="I9" s="12" t="s">
        <v>137</v>
      </c>
      <c r="J9" s="12" t="s">
        <v>136</v>
      </c>
      <c r="K9" s="12" t="s">
        <v>176</v>
      </c>
      <c r="L9" s="12" t="s">
        <v>175</v>
      </c>
      <c r="M9" s="12" t="s">
        <v>11</v>
      </c>
      <c r="N9" s="12" t="s">
        <v>12</v>
      </c>
      <c r="O9" s="12" t="s">
        <v>657</v>
      </c>
      <c r="P9" s="12" t="s">
        <v>15</v>
      </c>
      <c r="Q9" s="12" t="s">
        <v>17</v>
      </c>
      <c r="R9" s="12" t="s">
        <v>13</v>
      </c>
      <c r="S9" s="12" t="s">
        <v>14</v>
      </c>
      <c r="U9" s="12" t="s">
        <v>16</v>
      </c>
      <c r="V9" s="12" t="s">
        <v>16</v>
      </c>
    </row>
    <row r="10" spans="2:24" ht="42.45" customHeight="1" x14ac:dyDescent="0.3">
      <c r="B10" s="978"/>
      <c r="C10" s="979"/>
      <c r="D10" s="10" t="s">
        <v>268</v>
      </c>
      <c r="E10" s="9" t="s">
        <v>645</v>
      </c>
      <c r="F10" s="10" t="s">
        <v>19</v>
      </c>
      <c r="G10" s="10" t="s">
        <v>20</v>
      </c>
      <c r="H10" s="10" t="s">
        <v>267</v>
      </c>
      <c r="I10" s="10" t="s">
        <v>267</v>
      </c>
      <c r="J10" s="10" t="s">
        <v>267</v>
      </c>
      <c r="K10" s="10" t="s">
        <v>643</v>
      </c>
      <c r="L10" s="10" t="s">
        <v>23</v>
      </c>
      <c r="M10" s="108" t="s">
        <v>23</v>
      </c>
      <c r="N10" s="10" t="s">
        <v>643</v>
      </c>
      <c r="O10" s="108" t="s">
        <v>658</v>
      </c>
      <c r="P10" s="108" t="s">
        <v>269</v>
      </c>
      <c r="Q10" s="10" t="s">
        <v>266</v>
      </c>
      <c r="R10" s="10" t="s">
        <v>265</v>
      </c>
      <c r="S10" s="108" t="s">
        <v>26</v>
      </c>
      <c r="U10" s="10" t="s">
        <v>28</v>
      </c>
      <c r="V10" s="10" t="s">
        <v>28</v>
      </c>
    </row>
    <row r="11" spans="2:24" ht="42.45" customHeight="1" x14ac:dyDescent="0.3">
      <c r="B11" s="972" t="s">
        <v>30</v>
      </c>
      <c r="C11" s="972"/>
      <c r="D11" s="11"/>
      <c r="E11" s="11"/>
      <c r="F11" s="11"/>
      <c r="G11" s="11"/>
      <c r="H11" s="11"/>
      <c r="I11" s="11"/>
      <c r="J11" s="11"/>
      <c r="K11" s="11"/>
      <c r="L11" s="11"/>
      <c r="M11" s="11"/>
      <c r="N11" s="11"/>
      <c r="O11" s="11"/>
      <c r="P11" s="11"/>
      <c r="Q11" s="11"/>
      <c r="R11" s="11"/>
      <c r="S11" s="11">
        <f>_xlfn.XLOOKUP($B10,Finance!$M$6:$BM$6,Finance!$M$10:$BM$10,0)</f>
        <v>0</v>
      </c>
      <c r="U11" s="11"/>
      <c r="V11" s="11"/>
    </row>
    <row r="12" spans="2:24" ht="42.45" customHeight="1" x14ac:dyDescent="0.3">
      <c r="B12" s="972" t="s">
        <v>172</v>
      </c>
      <c r="C12" s="972"/>
      <c r="D12" s="11"/>
      <c r="E12" s="11"/>
      <c r="F12" s="11"/>
      <c r="G12" s="11"/>
      <c r="H12" s="11"/>
      <c r="I12" s="11"/>
      <c r="J12" s="11"/>
      <c r="K12" s="11"/>
      <c r="L12" s="11"/>
      <c r="M12" s="11"/>
      <c r="N12" s="11"/>
      <c r="O12" s="11"/>
      <c r="P12" s="11"/>
      <c r="Q12" s="11"/>
      <c r="R12" s="11"/>
      <c r="S12" s="11">
        <f>_xlfn.XLOOKUP($T10,Finance!$M$16:$X$16,Finance!$M$21:$X$21,0)</f>
        <v>0</v>
      </c>
      <c r="U12" s="11"/>
      <c r="V12" s="11"/>
    </row>
    <row r="13" spans="2:24" ht="42.45" customHeight="1" x14ac:dyDescent="0.3">
      <c r="B13" s="972" t="s">
        <v>173</v>
      </c>
      <c r="C13" s="972"/>
      <c r="D13" s="11" t="s">
        <v>174</v>
      </c>
      <c r="E13" s="11" t="s">
        <v>174</v>
      </c>
      <c r="F13" s="11" t="s">
        <v>174</v>
      </c>
      <c r="G13" s="11" t="s">
        <v>174</v>
      </c>
      <c r="H13" s="11" t="s">
        <v>174</v>
      </c>
      <c r="I13" s="11" t="s">
        <v>174</v>
      </c>
      <c r="J13" s="11" t="s">
        <v>174</v>
      </c>
      <c r="K13" s="11" t="s">
        <v>174</v>
      </c>
      <c r="L13" s="11" t="s">
        <v>174</v>
      </c>
      <c r="M13" s="11" t="s">
        <v>174</v>
      </c>
      <c r="N13" s="11" t="s">
        <v>174</v>
      </c>
      <c r="O13" s="11" t="s">
        <v>174</v>
      </c>
      <c r="P13" s="11" t="s">
        <v>174</v>
      </c>
      <c r="Q13" s="11" t="s">
        <v>174</v>
      </c>
      <c r="R13" s="11" t="s">
        <v>174</v>
      </c>
      <c r="S13" s="11" t="s">
        <v>174</v>
      </c>
      <c r="U13" s="11" t="s">
        <v>174</v>
      </c>
      <c r="V13" s="11" t="s">
        <v>174</v>
      </c>
    </row>
    <row r="14" spans="2:24" ht="42.45" customHeight="1" x14ac:dyDescent="0.3">
      <c r="B14" s="972" t="s">
        <v>31</v>
      </c>
      <c r="C14" s="972"/>
      <c r="D14" s="11"/>
      <c r="E14" s="11"/>
      <c r="F14" s="11"/>
      <c r="G14" s="11"/>
      <c r="H14" s="11"/>
      <c r="I14" s="11"/>
      <c r="J14" s="11"/>
      <c r="K14" s="11"/>
      <c r="L14" s="11"/>
      <c r="M14" s="11"/>
      <c r="N14" s="11"/>
      <c r="O14" s="11"/>
      <c r="P14" s="11"/>
      <c r="Q14" s="11"/>
      <c r="R14" s="11"/>
      <c r="S14" s="11">
        <f>_xlfn.XLOOKUP($T10,Finance!$M$16:$X$16,Finance!$M$24:$X$24,0)</f>
        <v>0</v>
      </c>
      <c r="U14" s="11"/>
      <c r="V14" s="11"/>
    </row>
    <row r="15" spans="2:24" ht="42.45" customHeight="1" x14ac:dyDescent="0.3">
      <c r="B15" s="972" t="s">
        <v>32</v>
      </c>
      <c r="C15" s="972"/>
      <c r="D15" s="11"/>
      <c r="E15" s="11"/>
      <c r="F15" s="11"/>
      <c r="G15" s="11"/>
      <c r="H15" s="11"/>
      <c r="I15" s="11"/>
      <c r="J15" s="11"/>
      <c r="K15" s="11"/>
      <c r="L15" s="11"/>
      <c r="M15" s="11"/>
      <c r="N15" s="11"/>
      <c r="O15" s="11"/>
      <c r="P15" s="11"/>
      <c r="Q15" s="11"/>
      <c r="R15" s="11"/>
      <c r="S15" s="11">
        <f>_xlfn.XLOOKUP($T10,Finance!$M$16:$X$16,Finance!$M$27:$X$27,0)</f>
        <v>0</v>
      </c>
      <c r="U15" s="11"/>
      <c r="V15" s="11"/>
    </row>
    <row r="17" spans="2:22" ht="42.45" customHeight="1" x14ac:dyDescent="0.3">
      <c r="B17" s="973" t="s">
        <v>7</v>
      </c>
      <c r="C17" s="974"/>
      <c r="D17" s="6" t="str">
        <f>+D$9</f>
        <v>EHS</v>
      </c>
      <c r="E17" s="6" t="str">
        <f>+E$9</f>
        <v>Estimating</v>
      </c>
      <c r="F17" s="6" t="str">
        <f t="shared" ref="F17:R17" si="0">+F$9</f>
        <v>SOP</v>
      </c>
      <c r="G17" s="6" t="str">
        <f>+G$9</f>
        <v>Design and R&amp;D</v>
      </c>
      <c r="H17" s="6" t="str">
        <f t="shared" si="0"/>
        <v>Product Design</v>
      </c>
      <c r="I17" s="6" t="str">
        <f t="shared" si="0"/>
        <v>Product Engineering Bridgend</v>
      </c>
      <c r="J17" s="6" t="str">
        <f t="shared" si="0"/>
        <v>Product Engineering Maybole</v>
      </c>
      <c r="K17" s="6" t="str">
        <f t="shared" si="0"/>
        <v>Bridgend
Manuf</v>
      </c>
      <c r="L17" s="6" t="str">
        <f t="shared" si="0"/>
        <v>Maybole
Manuf</v>
      </c>
      <c r="M17" s="6" t="str">
        <f>+M$9</f>
        <v>Logistics</v>
      </c>
      <c r="N17" s="6" t="str">
        <f>+N$9</f>
        <v>Engineering</v>
      </c>
      <c r="O17" s="6" t="str">
        <f>+O$9</f>
        <v>Quality
Maybole</v>
      </c>
      <c r="P17" s="6" t="str">
        <f>+P$9</f>
        <v>Procurement</v>
      </c>
      <c r="Q17" s="6" t="str">
        <f>+Q$9</f>
        <v>IT</v>
      </c>
      <c r="R17" s="6" t="str">
        <f t="shared" si="0"/>
        <v>Marketing</v>
      </c>
      <c r="S17" s="6" t="str">
        <f>+S$9</f>
        <v>Finance</v>
      </c>
      <c r="T17" s="7" t="s">
        <v>409</v>
      </c>
      <c r="U17" s="6" t="str">
        <f>+U$9</f>
        <v>HR</v>
      </c>
      <c r="V17" s="6" t="str">
        <f>+V$9</f>
        <v>HR</v>
      </c>
    </row>
    <row r="18" spans="2:22" ht="42.45" customHeight="1" x14ac:dyDescent="0.3">
      <c r="B18" s="7">
        <v>2</v>
      </c>
      <c r="C18" s="8">
        <v>45667</v>
      </c>
      <c r="D18" s="10" t="str">
        <f>+D$10</f>
        <v>Neil 
Laing</v>
      </c>
      <c r="E18" s="9" t="str">
        <f>+E$10</f>
        <v>Julian Sparrow</v>
      </c>
      <c r="F18" s="10" t="str">
        <f t="shared" ref="F18:R18" si="1">+F$10</f>
        <v>Sam Westwood</v>
      </c>
      <c r="G18" s="10" t="str">
        <f>+G$10</f>
        <v>Andrew Skitt</v>
      </c>
      <c r="H18" s="10" t="str">
        <f t="shared" si="1"/>
        <v>Paul 
Dolan</v>
      </c>
      <c r="I18" s="10" t="str">
        <f t="shared" si="1"/>
        <v>Paul 
Dolan</v>
      </c>
      <c r="J18" s="10" t="str">
        <f t="shared" si="1"/>
        <v>Paul 
Dolan</v>
      </c>
      <c r="K18" s="10" t="str">
        <f t="shared" si="1"/>
        <v>Garin Bowen</v>
      </c>
      <c r="L18" s="10" t="str">
        <f t="shared" si="1"/>
        <v>Scott McMillan</v>
      </c>
      <c r="M18" s="10" t="str">
        <f>+M$10</f>
        <v>Scott McMillan</v>
      </c>
      <c r="N18" s="10" t="str">
        <f>+N$10</f>
        <v>Garin Bowen</v>
      </c>
      <c r="O18" s="10" t="str">
        <f>+O$10</f>
        <v>Scott McMIllan</v>
      </c>
      <c r="P18" s="10" t="str">
        <f>+P$10</f>
        <v>Matt 
Pope</v>
      </c>
      <c r="Q18" s="10" t="str">
        <f>+Q$10</f>
        <v>Rhian 
Owen</v>
      </c>
      <c r="R18" s="10" t="str">
        <f t="shared" si="1"/>
        <v>Katherine 
Sanganee</v>
      </c>
      <c r="S18" s="10" t="str">
        <f>+S$10</f>
        <v>Gethin Davies</v>
      </c>
      <c r="T18" s="7">
        <v>1</v>
      </c>
      <c r="U18" s="10" t="str">
        <f>+U$10</f>
        <v>Bethan Grant</v>
      </c>
      <c r="V18" s="10" t="str">
        <f>+V$10</f>
        <v>Bethan Grant</v>
      </c>
    </row>
    <row r="19" spans="2:22" ht="42.45" customHeight="1" x14ac:dyDescent="0.3">
      <c r="B19" s="971" t="s">
        <v>30</v>
      </c>
      <c r="C19" s="971"/>
      <c r="D19" s="11" t="str">
        <f>_xlfn.XLOOKUP($B18,EHS!$M$6:$BM$6,EHS!$M$10:$BM$10,0)</f>
        <v>G</v>
      </c>
      <c r="E19" s="127" t="str">
        <f>_xlfn.XLOOKUP($B18,Estimating!$M$6:$BM$6,Estimating!$M$10:$BM$10,0)</f>
        <v>R</v>
      </c>
      <c r="F19" s="11" t="str">
        <f>_xlfn.XLOOKUP($B18,SOP!$M$6:$BM$6,SOP!$M$10:$BM$10,0)</f>
        <v>Missed</v>
      </c>
      <c r="G19" s="11" t="str">
        <f>_xlfn.XLOOKUP($B18,Design!$M$6:$BM$6,Design!$M$10:$BM$10,0)</f>
        <v>R</v>
      </c>
      <c r="H19" s="11" t="str">
        <f>_xlfn.XLOOKUP($B18,'Product Design'!$M$6:$BM$6,'Product Design'!$M$10:$BM$10,0)</f>
        <v>R</v>
      </c>
      <c r="I19" s="11" t="str">
        <f>_xlfn.XLOOKUP($B18,'Product Eng - BE'!$M$6:$BM$6,'Product Eng - BE'!$M$10:$BM$10,0)</f>
        <v>R</v>
      </c>
      <c r="J19" s="11" t="str">
        <f>_xlfn.XLOOKUP($B18,'Product Eng - MB'!$M$6:$BM$6,'Product Eng - MB'!$M$10:$BM$10,0)</f>
        <v>R</v>
      </c>
      <c r="K19" s="11" t="str">
        <f>_xlfn.XLOOKUP($B18,'Bridgend Manuf'!$M$6:$BM$6,'Bridgend Manuf'!$M$10:$BM$10,0)</f>
        <v>A</v>
      </c>
      <c r="L19" s="11" t="str">
        <f>_xlfn.XLOOKUP($B18,'Maybole Manuf'!$M$6:$BM$6,'Maybole Manuf'!$M$10:$BM$10,0)</f>
        <v>TBC</v>
      </c>
      <c r="M19" s="127" t="str">
        <f>_xlfn.XLOOKUP($B18,Logistics!$M$6:$BM$6,Logistics!$M$10:$BM$10,0)</f>
        <v>TBC</v>
      </c>
      <c r="N19" s="127" t="str">
        <f>_xlfn.XLOOKUP($B18,Engineering!$M$22:$BM$22,Engineering!$M$26:$BM$26,0)</f>
        <v>Missed</v>
      </c>
      <c r="O19" s="127" t="str">
        <f>_xlfn.XLOOKUP($B18,'Quality MB'!$M$6:$BM$6,'Quality MB'!$M$10:$BM$10,0)</f>
        <v>TBC</v>
      </c>
      <c r="P19" s="127" t="str">
        <f>_xlfn.XLOOKUP($B18,Procurement!$M$6:$BM$6,Procurement!$M$10:$BM$10,0)</f>
        <v>TBC</v>
      </c>
      <c r="Q19" s="11" t="str">
        <f>_xlfn.XLOOKUP($B18,IT!$M$6:$BM$6,IT!$M$10:$BM$10,0)</f>
        <v>Undefined</v>
      </c>
      <c r="R19" s="11" t="str">
        <f>_xlfn.XLOOKUP($B18,Marketing!$M$6:$BM$6,Marketing!$M$10:$BM$10,0)</f>
        <v>G</v>
      </c>
      <c r="S19" s="11" t="str">
        <f>_xlfn.XLOOKUP($B18,Finance!$M$6:$BM$6,Finance!$M$10:$BM$10,0)</f>
        <v>R</v>
      </c>
      <c r="U19" s="127" t="str">
        <f>_xlfn.XLOOKUP($T18,'HR mthly'!$I$6:$BM$6,'HR mthly'!$I$11:$BM$11,0)</f>
        <v>G</v>
      </c>
      <c r="V19" s="127" t="str">
        <f>_xlfn.XLOOKUP($T18,'HR mthly'!$I$6:$BM$6,'HR mthly'!$I$14:$BM$14,0)</f>
        <v>G</v>
      </c>
    </row>
    <row r="20" spans="2:22" ht="42.45" customHeight="1" x14ac:dyDescent="0.3">
      <c r="B20" s="971" t="s">
        <v>172</v>
      </c>
      <c r="C20" s="971"/>
      <c r="D20" s="11" t="str">
        <f>_xlfn.XLOOKUP($B18,EHS!$M$6:$BM$6,EHS!$M$13:$BM$13,0)</f>
        <v>A</v>
      </c>
      <c r="E20" s="127" t="str">
        <f>_xlfn.XLOOKUP($B18,Estimating!$M$6:$BM$6,Estimating!$M$13:$BM$13,0)</f>
        <v>G</v>
      </c>
      <c r="F20" s="11" t="str">
        <f>_xlfn.XLOOKUP($B18,SOP!$M$6:$BM$6,SOP!$M$13:$BM$13,0)</f>
        <v>A</v>
      </c>
      <c r="G20" s="11" t="str">
        <f>_xlfn.XLOOKUP($B18,Design!$M$6:$BM$6,Design!$M$13:$BM$13,0)</f>
        <v>R</v>
      </c>
      <c r="H20" s="11" t="str">
        <f>_xlfn.XLOOKUP($B18,'Product Design'!$M$6:$BM$6,'Product Design'!$M$13:$BM$13,0)</f>
        <v>G</v>
      </c>
      <c r="I20" s="11" t="str">
        <f>_xlfn.XLOOKUP($B18,'Product Eng - BE'!$M$6:$BM$6,'Product Eng - BE'!$M$13:$BM$13,0)</f>
        <v>R</v>
      </c>
      <c r="J20" s="11" t="str">
        <f>_xlfn.XLOOKUP($B18,'Product Eng - MB'!$M$6:$BM$6,'Product Eng - MB'!$M$13:$BM$13,0)</f>
        <v>R</v>
      </c>
      <c r="K20" s="11" t="str">
        <f>_xlfn.XLOOKUP($B18,'Bridgend Manuf'!$M$6:$BM$6,'Bridgend Manuf'!$M$13:$BM$13,0)</f>
        <v>A</v>
      </c>
      <c r="L20" s="11" t="str">
        <f>_xlfn.XLOOKUP($B18,'Maybole Manuf'!$M$6:$BM$6,'Maybole Manuf'!$M$13:$BM$13,0)</f>
        <v>TBC</v>
      </c>
      <c r="M20" s="127" t="str">
        <f>_xlfn.XLOOKUP($B18,Logistics!$M$6:$BM$6,Logistics!$M$13:$BM$13,0)</f>
        <v>TBC</v>
      </c>
      <c r="N20" s="127" t="e">
        <f>_xlfn.XLOOKUP($B18,Engineering!$M$22:$BM$22,Engineering!#REF!,0)</f>
        <v>#REF!</v>
      </c>
      <c r="O20" s="127" t="str">
        <f>_xlfn.XLOOKUP($B18,'Quality MB'!$M$6:$BM$6,'Quality MB'!$M$13:$BM$13,0)</f>
        <v>TBC</v>
      </c>
      <c r="P20" s="127" t="str">
        <f>_xlfn.XLOOKUP($B18,Procurement!$M$6:$BM$6,Procurement!$M$13:$BM$13,0)</f>
        <v>TBC</v>
      </c>
      <c r="Q20" s="11" t="str">
        <f>_xlfn.XLOOKUP($B18,IT!$M$6:$BM$6,IT!$M$13:$BM$13,0)</f>
        <v>TBC</v>
      </c>
      <c r="R20" s="11" t="str">
        <f>_xlfn.XLOOKUP($B18,Marketing!$M$6:$BM$6,Marketing!$M$13:$BM$13,0)</f>
        <v>G</v>
      </c>
      <c r="S20" s="11" t="str">
        <f>_xlfn.XLOOKUP($T18,Finance!$M$16:$X$16,Finance!$M$21:$X$21,0)</f>
        <v>G</v>
      </c>
      <c r="U20" s="127" t="str">
        <f>_xlfn.XLOOKUP($T18,'HR mthly'!$I$6:$BM$6,'HR mthly'!$I$18:$BM$18,0)</f>
        <v>R</v>
      </c>
      <c r="V20" s="127" t="str">
        <f>_xlfn.XLOOKUP($T18,'HR mthly'!$I$6:$BM$6,'HR mthly'!$I$21:$BM$21,0)</f>
        <v>R</v>
      </c>
    </row>
    <row r="21" spans="2:22" ht="42.45" customHeight="1" x14ac:dyDescent="0.3">
      <c r="B21" s="971" t="s">
        <v>173</v>
      </c>
      <c r="C21" s="971"/>
      <c r="D21" s="11" t="s">
        <v>174</v>
      </c>
      <c r="E21" s="11" t="s">
        <v>174</v>
      </c>
      <c r="F21" s="11" t="str">
        <f>_xlfn.XLOOKUP($B18,SOP!$M$6:$BM$6,SOP!$M$16:$BM$16,0)</f>
        <v>R</v>
      </c>
      <c r="G21" s="11" t="s">
        <v>174</v>
      </c>
      <c r="H21" s="11" t="str">
        <f>_xlfn.XLOOKUP($B18,'Product Design'!$M$6:$BM$6,'Product Design'!$M$16:$BM$16,0)</f>
        <v>R</v>
      </c>
      <c r="I21" s="11" t="str">
        <f>_xlfn.XLOOKUP($B18,'Product Eng - BE'!$M$6:$BM$6,'Product Eng - BE'!$M$16:$BM$16,0)</f>
        <v>R</v>
      </c>
      <c r="J21" s="11" t="str">
        <f>_xlfn.XLOOKUP($B18,'Product Eng - MB'!$M$6:$BM$6,'Product Eng - MB'!$M$16:$BM$16,0)</f>
        <v>R</v>
      </c>
      <c r="K21" s="11" t="s">
        <v>174</v>
      </c>
      <c r="L21" s="11" t="s">
        <v>174</v>
      </c>
      <c r="M21" s="11" t="s">
        <v>174</v>
      </c>
      <c r="N21" s="11" t="s">
        <v>174</v>
      </c>
      <c r="O21" s="11" t="s">
        <v>174</v>
      </c>
      <c r="P21" s="11" t="s">
        <v>174</v>
      </c>
      <c r="Q21" s="11" t="s">
        <v>174</v>
      </c>
      <c r="R21" s="11" t="s">
        <v>174</v>
      </c>
      <c r="S21" s="11" t="s">
        <v>174</v>
      </c>
      <c r="U21" s="11" t="s">
        <v>174</v>
      </c>
      <c r="V21" s="11" t="s">
        <v>174</v>
      </c>
    </row>
    <row r="22" spans="2:22" ht="42.45" customHeight="1" x14ac:dyDescent="0.3">
      <c r="B22" s="971" t="s">
        <v>32</v>
      </c>
      <c r="C22" s="971"/>
      <c r="D22" s="11" t="str">
        <f>_xlfn.XLOOKUP($B18,EHS!$M$6:$BM$6,EHS!$M$16:$BM$16,0)</f>
        <v>G</v>
      </c>
      <c r="E22" s="127" t="str">
        <f>_xlfn.XLOOKUP($B18,Estimating!$M$6:$BM$6,Estimating!$M$16:$BM$16,0)</f>
        <v>R</v>
      </c>
      <c r="F22" s="11" t="str">
        <f>_xlfn.XLOOKUP($B18,SOP!$M$6:$BM$6,SOP!$M$19:$BM$19,0)</f>
        <v>Missed</v>
      </c>
      <c r="G22" s="11" t="str">
        <f>_xlfn.XLOOKUP($B18,Design!$M$6:$BM$6,Design!$M$16:$BM$16,0)</f>
        <v>R</v>
      </c>
      <c r="H22" s="11" t="str">
        <f>_xlfn.XLOOKUP($B18,'Product Design'!$M$6:$BM$6,'Product Design'!$M$19:$BM$19,0)</f>
        <v>G</v>
      </c>
      <c r="I22" s="11" t="str">
        <f>_xlfn.XLOOKUP($B18,'Product Eng - BE'!$M$6:$BM$6,'Product Eng - BE'!$M$19:$BM$19,0)</f>
        <v>Missed</v>
      </c>
      <c r="J22" s="11" t="str">
        <f>_xlfn.XLOOKUP($B18,'Product Eng - MB'!$M$6:$BM$6,'Product Eng - MB'!$M$19:$BM$19,0)</f>
        <v>Missed</v>
      </c>
      <c r="K22" s="11" t="str">
        <f>_xlfn.XLOOKUP($B18,'Bridgend Manuf'!$M$6:$BM$6,'Bridgend Manuf'!$M$16:$BM$16,0)</f>
        <v>G</v>
      </c>
      <c r="L22" s="11" t="str">
        <f>_xlfn.XLOOKUP($B18,'Maybole Manuf'!$M$6:$BM$6,'Maybole Manuf'!$M$16:$BM$16,0)</f>
        <v>TBC</v>
      </c>
      <c r="M22" s="127" t="str">
        <f>_xlfn.XLOOKUP($B18,Logistics!$M$6:$BM$6,Logistics!$M$16:$BM$16,0)</f>
        <v>Missed</v>
      </c>
      <c r="N22" s="127" t="e">
        <f>_xlfn.XLOOKUP($B18,Engineering!$M$22:$BM$22,Engineering!#REF!,0)</f>
        <v>#REF!</v>
      </c>
      <c r="O22" s="127" t="str">
        <f>_xlfn.XLOOKUP($B18,'Quality MB'!$M$6:$BM$6,'Quality MB'!$M$16:$BM$16,0)</f>
        <v>TBC</v>
      </c>
      <c r="P22" s="127" t="str">
        <f>_xlfn.XLOOKUP($B18,Procurement!$M$6:$BM$6,Procurement!$M$16:$BM$16,0)</f>
        <v>TBC</v>
      </c>
      <c r="Q22" s="11" t="str">
        <f>_xlfn.XLOOKUP($B18,IT!$M$6:$BM$6,IT!$M$16:$BM$16,0)</f>
        <v>TBC</v>
      </c>
      <c r="R22" s="11" t="str">
        <f>_xlfn.XLOOKUP($B18,Marketing!$M$6:$BM$6,Marketing!$M$16:$BM$16,0)</f>
        <v>R</v>
      </c>
      <c r="S22" s="11" t="str">
        <f>_xlfn.XLOOKUP($T18,Finance!$M$16:$X$16,Finance!$M$24:$X$24,0)</f>
        <v>G</v>
      </c>
      <c r="U22" s="127" t="str">
        <f>_xlfn.XLOOKUP($T18,'HR mthly'!$I$6:$BM$6,'HR mthly'!$I$26:$BM$26,0)</f>
        <v>R</v>
      </c>
      <c r="V22" s="127" t="str">
        <f>_xlfn.XLOOKUP($T18,'HR mthly'!$I$6:$BM$6,'HR mthly'!$I$29:$BM$29,0)</f>
        <v>R</v>
      </c>
    </row>
    <row r="23" spans="2:22" ht="42.45" customHeight="1" x14ac:dyDescent="0.3">
      <c r="B23" s="971" t="s">
        <v>31</v>
      </c>
      <c r="C23" s="971"/>
      <c r="D23" s="11" t="str">
        <f>_xlfn.XLOOKUP($B18,EHS!$M$6:$BM$6,EHS!$M$19:$BM$19,0)</f>
        <v>Missed</v>
      </c>
      <c r="E23" s="127" t="str">
        <f>_xlfn.XLOOKUP($B18,Estimating!$M$6:$BM$6,Estimating!$M$19:$BM$19,0)</f>
        <v>TBC</v>
      </c>
      <c r="F23" s="11" t="str">
        <f>_xlfn.XLOOKUP($B18,SOP!$M$6:$BM$6,SOP!$M$22:$BM$22,0)</f>
        <v>Missed</v>
      </c>
      <c r="G23" s="11" t="str">
        <f>_xlfn.XLOOKUP($B18,Design!$M$6:$BM$6,Design!$M$19:$BM$19,0)</f>
        <v>R</v>
      </c>
      <c r="H23" s="11" t="str">
        <f>_xlfn.XLOOKUP($B18,'Product Design'!$M$6:$BM$6,'Product Design'!$M$22:$BM$22,0)</f>
        <v>Undefined</v>
      </c>
      <c r="I23" s="11" t="str">
        <f>_xlfn.XLOOKUP($B18,'Product Eng - BE'!$M$6:$BM$6,'Product Eng - BE'!$M$22:$BM$22,0)</f>
        <v>R</v>
      </c>
      <c r="J23" s="11" t="str">
        <f>_xlfn.XLOOKUP($B18,'Product Eng - MB'!$M$6:$BM$6,'Product Eng - MB'!$M$22:$BM$22,0)</f>
        <v>R</v>
      </c>
      <c r="K23" s="11" t="str">
        <f>_xlfn.XLOOKUP($B18,'Bridgend Manuf'!$M$6:$BM$6,'Bridgend Manuf'!$M$19:$BM$19,0)</f>
        <v>R</v>
      </c>
      <c r="L23" s="11" t="str">
        <f>_xlfn.XLOOKUP($B18,'Maybole Manuf'!$M$6:$BM$6,'Maybole Manuf'!$M$19:$BM$19,0)</f>
        <v>TBC</v>
      </c>
      <c r="M23" s="127" t="str">
        <f>_xlfn.XLOOKUP($B18,Logistics!$M$6:$BM$6,Logistics!$M$19:$BM$19,0)</f>
        <v>Undefined</v>
      </c>
      <c r="N23" s="127" t="e">
        <f>_xlfn.XLOOKUP($B18,Engineering!$M$22:$BM$22,Engineering!#REF!,0)</f>
        <v>#REF!</v>
      </c>
      <c r="O23" s="127" t="str">
        <f>_xlfn.XLOOKUP($B18,'Quality MB'!$M$6:$BM$6,'Quality MB'!$M$19:$BM$19,0)</f>
        <v>TBC</v>
      </c>
      <c r="P23" s="127" t="str">
        <f>_xlfn.XLOOKUP($B18,Procurement!$M$6:$BM$6,Procurement!$M$19:$BM$19,0)</f>
        <v>TBC</v>
      </c>
      <c r="Q23" s="11" t="str">
        <f>_xlfn.XLOOKUP($B18,IT!$M$6:$BM$6,IT!$M$19:$BM$19,0)</f>
        <v>R</v>
      </c>
      <c r="R23" s="11" t="str">
        <f>_xlfn.XLOOKUP($B18,Marketing!$M$6:$BM$6,Marketing!$M$19:$BM$19,0)</f>
        <v>G</v>
      </c>
      <c r="S23" s="11" t="str">
        <f>_xlfn.XLOOKUP($T18,Finance!$M$16:$X$16,Finance!$M$27:$X$27,0)</f>
        <v>G</v>
      </c>
      <c r="U23" s="127" t="str">
        <f>_xlfn.XLOOKUP($T18,'HR mthly'!$I$6:$BM$6,'HR mthly'!$I$33:$BM$33,0)</f>
        <v>G</v>
      </c>
      <c r="V23" s="127" t="str">
        <f>_xlfn.XLOOKUP($T18,'HR mthly'!$I$6:$BM$6,'HR mthly'!$I$36:$BM$36,0)</f>
        <v>G</v>
      </c>
    </row>
    <row r="25" spans="2:22" ht="42.45" customHeight="1" x14ac:dyDescent="0.3">
      <c r="B25" s="973" t="s">
        <v>7</v>
      </c>
      <c r="C25" s="974"/>
      <c r="D25" s="6" t="str">
        <f>+D$9</f>
        <v>EHS</v>
      </c>
      <c r="E25" s="6" t="str">
        <f>+E$9</f>
        <v>Estimating</v>
      </c>
      <c r="F25" s="6" t="str">
        <f t="shared" ref="F25:R25" si="2">+F$9</f>
        <v>SOP</v>
      </c>
      <c r="G25" s="6" t="str">
        <f>+G$9</f>
        <v>Design and R&amp;D</v>
      </c>
      <c r="H25" s="6" t="str">
        <f t="shared" si="2"/>
        <v>Product Design</v>
      </c>
      <c r="I25" s="6" t="str">
        <f t="shared" si="2"/>
        <v>Product Engineering Bridgend</v>
      </c>
      <c r="J25" s="6" t="str">
        <f t="shared" si="2"/>
        <v>Product Engineering Maybole</v>
      </c>
      <c r="K25" s="6" t="str">
        <f t="shared" si="2"/>
        <v>Bridgend
Manuf</v>
      </c>
      <c r="L25" s="6" t="str">
        <f t="shared" si="2"/>
        <v>Maybole
Manuf</v>
      </c>
      <c r="M25" s="6" t="str">
        <f>+M$9</f>
        <v>Logistics</v>
      </c>
      <c r="N25" s="6" t="str">
        <f>+N$9</f>
        <v>Engineering</v>
      </c>
      <c r="O25" s="6" t="str">
        <f>+O$9</f>
        <v>Quality
Maybole</v>
      </c>
      <c r="P25" s="6" t="str">
        <f>+P$9</f>
        <v>Procurement</v>
      </c>
      <c r="Q25" s="6" t="str">
        <f>+Q$9</f>
        <v>IT</v>
      </c>
      <c r="R25" s="6" t="str">
        <f t="shared" si="2"/>
        <v>Marketing</v>
      </c>
      <c r="S25" s="6" t="str">
        <f>+S$9</f>
        <v>Finance</v>
      </c>
      <c r="T25" s="7" t="s">
        <v>409</v>
      </c>
      <c r="U25" s="6" t="str">
        <f>+U$9</f>
        <v>HR</v>
      </c>
      <c r="V25" s="6" t="str">
        <f>+V$9</f>
        <v>HR</v>
      </c>
    </row>
    <row r="26" spans="2:22" ht="42.45" customHeight="1" x14ac:dyDescent="0.3">
      <c r="B26" s="7">
        <f>B18+1</f>
        <v>3</v>
      </c>
      <c r="C26" s="8">
        <f>C18+7</f>
        <v>45674</v>
      </c>
      <c r="D26" s="10" t="str">
        <f>+D$10</f>
        <v>Neil 
Laing</v>
      </c>
      <c r="E26" s="9" t="str">
        <f>+E$10</f>
        <v>Julian Sparrow</v>
      </c>
      <c r="F26" s="10" t="str">
        <f t="shared" ref="F26:R26" si="3">+F$10</f>
        <v>Sam Westwood</v>
      </c>
      <c r="G26" s="10" t="str">
        <f>+G$10</f>
        <v>Andrew Skitt</v>
      </c>
      <c r="H26" s="10" t="str">
        <f t="shared" si="3"/>
        <v>Paul 
Dolan</v>
      </c>
      <c r="I26" s="10" t="str">
        <f t="shared" si="3"/>
        <v>Paul 
Dolan</v>
      </c>
      <c r="J26" s="10" t="str">
        <f t="shared" si="3"/>
        <v>Paul 
Dolan</v>
      </c>
      <c r="K26" s="10" t="str">
        <f t="shared" si="3"/>
        <v>Garin Bowen</v>
      </c>
      <c r="L26" s="10" t="str">
        <f t="shared" si="3"/>
        <v>Scott McMillan</v>
      </c>
      <c r="M26" s="10" t="str">
        <f>+M$10</f>
        <v>Scott McMillan</v>
      </c>
      <c r="N26" s="10" t="str">
        <f>+N$10</f>
        <v>Garin Bowen</v>
      </c>
      <c r="O26" s="10" t="str">
        <f>+O$10</f>
        <v>Scott McMIllan</v>
      </c>
      <c r="P26" s="10" t="str">
        <f>+P$10</f>
        <v>Matt 
Pope</v>
      </c>
      <c r="Q26" s="10" t="str">
        <f>+Q$10</f>
        <v>Rhian 
Owen</v>
      </c>
      <c r="R26" s="10" t="str">
        <f t="shared" si="3"/>
        <v>Katherine 
Sanganee</v>
      </c>
      <c r="S26" s="10" t="str">
        <f>+S$10</f>
        <v>Gethin Davies</v>
      </c>
      <c r="T26" s="7">
        <v>1</v>
      </c>
      <c r="U26" s="10" t="str">
        <f>+U$10</f>
        <v>Bethan Grant</v>
      </c>
      <c r="V26" s="10" t="str">
        <f>+V$10</f>
        <v>Bethan Grant</v>
      </c>
    </row>
    <row r="27" spans="2:22" ht="42.45" customHeight="1" x14ac:dyDescent="0.3">
      <c r="B27" s="971" t="s">
        <v>30</v>
      </c>
      <c r="C27" s="971"/>
      <c r="D27" s="11" t="str">
        <f>_xlfn.XLOOKUP($B26,EHS!$M$6:$BM$6,EHS!$M$10:$BM$10,0)</f>
        <v>G</v>
      </c>
      <c r="E27" s="127" t="str">
        <f>_xlfn.XLOOKUP($B26,Estimating!$M$6:$BM$6,Estimating!$M$10:$BM$10,0)</f>
        <v>G</v>
      </c>
      <c r="F27" s="11" t="str">
        <f>_xlfn.XLOOKUP($B26,SOP!$M$6:$BM$6,SOP!$M$10:$BM$10,0)</f>
        <v>Missed</v>
      </c>
      <c r="G27" s="11" t="str">
        <f>_xlfn.XLOOKUP($B26,Design!$M$6:$BM$6,Design!$M$10:$BM$10,0)</f>
        <v>R</v>
      </c>
      <c r="H27" s="11" t="str">
        <f>_xlfn.XLOOKUP($B26,'Product Design'!$M$6:$BM$6,'Product Design'!$M$10:$BM$10,0)</f>
        <v>R</v>
      </c>
      <c r="I27" s="11" t="str">
        <f>_xlfn.XLOOKUP($B26,'Product Eng - BE'!$M$6:$BM$6,'Product Eng - BE'!$M$10:$BM$10,0)</f>
        <v>G</v>
      </c>
      <c r="J27" s="11" t="str">
        <f>_xlfn.XLOOKUP($B26,'Product Eng - MB'!$M$6:$BM$6,'Product Eng - MB'!$M$10:$BM$10,0)</f>
        <v>G</v>
      </c>
      <c r="K27" s="11" t="str">
        <f>_xlfn.XLOOKUP($B26,'Bridgend Manuf'!$M$6:$BM$6,'Bridgend Manuf'!$M$10:$BM$10,0)</f>
        <v>G</v>
      </c>
      <c r="L27" s="11" t="str">
        <f>_xlfn.XLOOKUP($B26,'Maybole Manuf'!$M$6:$BM$6,'Maybole Manuf'!$M$10:$BM$10,0)</f>
        <v>TBC</v>
      </c>
      <c r="M27" s="127" t="str">
        <f>_xlfn.XLOOKUP($B26,Logistics!$M$6:$BM$6,Logistics!$M$10:$BM$10,0)</f>
        <v>TBC</v>
      </c>
      <c r="N27" s="127" t="str">
        <f>_xlfn.XLOOKUP($B26,Engineering!$M$22:$BM$22,Engineering!$M$26:$BM$26,0)</f>
        <v>Missed</v>
      </c>
      <c r="O27" s="127" t="str">
        <f>_xlfn.XLOOKUP($B26,'Quality MB'!$M$6:$BM$6,'Quality MB'!$M$10:$BM$10,0)</f>
        <v>TBC</v>
      </c>
      <c r="P27" s="127" t="str">
        <f>_xlfn.XLOOKUP($B26,Procurement!$M$6:$BM$6,Procurement!$M$10:$BM$10,0)</f>
        <v>TBC</v>
      </c>
      <c r="Q27" s="11" t="str">
        <f>_xlfn.XLOOKUP($B26,IT!$M$6:$BM$6,IT!$M$10:$BM$10,0)</f>
        <v>Undefined</v>
      </c>
      <c r="R27" s="11" t="str">
        <f>_xlfn.XLOOKUP($B26,Marketing!$M$6:$BM$6,Marketing!$M$10:$BM$10,0)</f>
        <v>G</v>
      </c>
      <c r="S27" s="11" t="str">
        <f>_xlfn.XLOOKUP($B26,Finance!$M$6:$BM$6,Finance!$M$10:$BM$10,0)</f>
        <v>A</v>
      </c>
      <c r="U27" s="127" t="str">
        <f>_xlfn.XLOOKUP($T26,'HR mthly'!$I$6:$BM$6,'HR mthly'!$I$11:$BM$11,0)</f>
        <v>G</v>
      </c>
      <c r="V27" s="127" t="str">
        <f>_xlfn.XLOOKUP($T26,'HR mthly'!$I$6:$BM$6,'HR mthly'!$I$14:$BM$14,0)</f>
        <v>G</v>
      </c>
    </row>
    <row r="28" spans="2:22" ht="42.45" customHeight="1" x14ac:dyDescent="0.3">
      <c r="B28" s="971" t="s">
        <v>172</v>
      </c>
      <c r="C28" s="971"/>
      <c r="D28" s="11" t="str">
        <f>_xlfn.XLOOKUP($B26,EHS!$M$6:$BM$6,EHS!$M$13:$BM$13,0)</f>
        <v>G</v>
      </c>
      <c r="E28" s="127" t="str">
        <f>_xlfn.XLOOKUP($B26,Estimating!$M$6:$BM$6,Estimating!$M$13:$BM$13,0)</f>
        <v>G</v>
      </c>
      <c r="F28" s="11" t="str">
        <f>_xlfn.XLOOKUP($B26,SOP!$M$6:$BM$6,SOP!$M$13:$BM$13,0)</f>
        <v>G</v>
      </c>
      <c r="G28" s="11" t="str">
        <f>_xlfn.XLOOKUP($B26,Design!$M$6:$BM$6,Design!$M$13:$BM$13,0)</f>
        <v>G</v>
      </c>
      <c r="H28" s="11" t="str">
        <f>_xlfn.XLOOKUP($B26,'Product Design'!$M$6:$BM$6,'Product Design'!$M$13:$BM$13,0)</f>
        <v>G</v>
      </c>
      <c r="I28" s="11" t="str">
        <f>_xlfn.XLOOKUP($B26,'Product Eng - BE'!$M$6:$BM$6,'Product Eng - BE'!$M$13:$BM$13,0)</f>
        <v>G</v>
      </c>
      <c r="J28" s="11" t="str">
        <f>_xlfn.XLOOKUP($B26,'Product Eng - MB'!$M$6:$BM$6,'Product Eng - MB'!$M$13:$BM$13,0)</f>
        <v>R</v>
      </c>
      <c r="K28" s="11" t="str">
        <f>_xlfn.XLOOKUP($B26,'Bridgend Manuf'!$M$6:$BM$6,'Bridgend Manuf'!$M$13:$BM$13,0)</f>
        <v>G</v>
      </c>
      <c r="L28" s="11" t="str">
        <f>_xlfn.XLOOKUP($B26,'Maybole Manuf'!$M$6:$BM$6,'Maybole Manuf'!$M$13:$BM$13,0)</f>
        <v>TBC</v>
      </c>
      <c r="M28" s="127" t="str">
        <f>_xlfn.XLOOKUP($B26,Logistics!$M$6:$BM$6,Logistics!$M$13:$BM$13,0)</f>
        <v>TBC</v>
      </c>
      <c r="N28" s="127" t="e">
        <f>_xlfn.XLOOKUP($B26,Engineering!$M$22:$BM$22,Engineering!#REF!,0)</f>
        <v>#REF!</v>
      </c>
      <c r="O28" s="127" t="str">
        <f>_xlfn.XLOOKUP($B26,'Quality MB'!$M$6:$BM$6,'Quality MB'!$M$13:$BM$13,0)</f>
        <v>TBC</v>
      </c>
      <c r="P28" s="127" t="str">
        <f>_xlfn.XLOOKUP($B26,Procurement!$M$6:$BM$6,Procurement!$M$13:$BM$13,0)</f>
        <v>TBC</v>
      </c>
      <c r="Q28" s="11" t="str">
        <f>_xlfn.XLOOKUP($B26,IT!$M$6:$BM$6,IT!$M$13:$BM$13,0)</f>
        <v>TBC</v>
      </c>
      <c r="R28" s="11" t="str">
        <f>_xlfn.XLOOKUP($B26,Marketing!$M$6:$BM$6,Marketing!$M$13:$BM$13,0)</f>
        <v>R</v>
      </c>
      <c r="S28" s="11" t="str">
        <f>_xlfn.XLOOKUP($T26,Finance!$M$16:$X$16,Finance!$M$21:$X$21,0)</f>
        <v>G</v>
      </c>
      <c r="U28" s="127" t="str">
        <f>_xlfn.XLOOKUP($T26,'HR mthly'!$I$6:$BM$6,'HR mthly'!$I$18:$BM$18,0)</f>
        <v>R</v>
      </c>
      <c r="V28" s="127" t="str">
        <f>_xlfn.XLOOKUP($T26,'HR mthly'!$I$6:$BM$6,'HR mthly'!$I$21:$BM$21,0)</f>
        <v>R</v>
      </c>
    </row>
    <row r="29" spans="2:22" ht="42.45" customHeight="1" x14ac:dyDescent="0.3">
      <c r="B29" s="971" t="s">
        <v>173</v>
      </c>
      <c r="C29" s="971"/>
      <c r="D29" s="11" t="s">
        <v>174</v>
      </c>
      <c r="E29" s="11" t="s">
        <v>174</v>
      </c>
      <c r="F29" s="11" t="str">
        <f>_xlfn.XLOOKUP($B26,SOP!$M$6:$BM$6,SOP!$M$16:$BM$16,0)</f>
        <v>R</v>
      </c>
      <c r="G29" s="11" t="s">
        <v>174</v>
      </c>
      <c r="H29" s="11" t="str">
        <f>_xlfn.XLOOKUP($B26,'Product Design'!$M$6:$BM$6,'Product Design'!$M$16:$BM$16,0)</f>
        <v>G</v>
      </c>
      <c r="I29" s="11" t="str">
        <f>_xlfn.XLOOKUP($B26,'Product Eng - BE'!$M$6:$BM$6,'Product Eng - BE'!$M$16:$BM$16,0)</f>
        <v>G</v>
      </c>
      <c r="J29" s="11" t="str">
        <f>_xlfn.XLOOKUP($B26,'Product Eng - MB'!$M$6:$BM$6,'Product Eng - MB'!$M$16:$BM$16,0)</f>
        <v>R</v>
      </c>
      <c r="K29" s="11" t="s">
        <v>174</v>
      </c>
      <c r="L29" s="11" t="s">
        <v>174</v>
      </c>
      <c r="M29" s="11" t="s">
        <v>174</v>
      </c>
      <c r="N29" s="11" t="s">
        <v>174</v>
      </c>
      <c r="O29" s="11" t="s">
        <v>174</v>
      </c>
      <c r="P29" s="11" t="s">
        <v>174</v>
      </c>
      <c r="Q29" s="11" t="s">
        <v>174</v>
      </c>
      <c r="R29" s="11" t="s">
        <v>174</v>
      </c>
      <c r="S29" s="11" t="s">
        <v>174</v>
      </c>
      <c r="U29" s="11" t="s">
        <v>174</v>
      </c>
      <c r="V29" s="11" t="s">
        <v>174</v>
      </c>
    </row>
    <row r="30" spans="2:22" ht="42.45" customHeight="1" x14ac:dyDescent="0.3">
      <c r="B30" s="971" t="s">
        <v>32</v>
      </c>
      <c r="C30" s="971"/>
      <c r="D30" s="11" t="str">
        <f>_xlfn.XLOOKUP($B26,EHS!$M$6:$BM$6,EHS!$M$16:$BM$16,0)</f>
        <v>G</v>
      </c>
      <c r="E30" s="127" t="str">
        <f>_xlfn.XLOOKUP($B26,Estimating!$M$6:$BM$6,Estimating!$M$16:$BM$16,0)</f>
        <v>G</v>
      </c>
      <c r="F30" s="11" t="str">
        <f>_xlfn.XLOOKUP($B26,SOP!$M$6:$BM$6,SOP!$M$19:$BM$19,0)</f>
        <v>Missed</v>
      </c>
      <c r="G30" s="11" t="str">
        <f>_xlfn.XLOOKUP($B26,Design!$M$6:$BM$6,Design!$M$16:$BM$16,0)</f>
        <v>R</v>
      </c>
      <c r="H30" s="11" t="str">
        <f>_xlfn.XLOOKUP($B26,'Product Design'!$M$6:$BM$6,'Product Design'!$M$19:$BM$19,0)</f>
        <v>G</v>
      </c>
      <c r="I30" s="11" t="str">
        <f>_xlfn.XLOOKUP($B26,'Product Eng - BE'!$M$6:$BM$6,'Product Eng - BE'!$M$19:$BM$19,0)</f>
        <v>Missed</v>
      </c>
      <c r="J30" s="11" t="str">
        <f>_xlfn.XLOOKUP($B26,'Product Eng - MB'!$M$6:$BM$6,'Product Eng - MB'!$M$19:$BM$19,0)</f>
        <v>Missed</v>
      </c>
      <c r="K30" s="11" t="str">
        <f>_xlfn.XLOOKUP($B26,'Bridgend Manuf'!$M$6:$BM$6,'Bridgend Manuf'!$M$16:$BM$16,0)</f>
        <v>R</v>
      </c>
      <c r="L30" s="11" t="str">
        <f>_xlfn.XLOOKUP($B26,'Maybole Manuf'!$M$6:$BM$6,'Maybole Manuf'!$M$16:$BM$16,0)</f>
        <v>TBC</v>
      </c>
      <c r="M30" s="127" t="str">
        <f>_xlfn.XLOOKUP($B26,Logistics!$M$6:$BM$6,Logistics!$M$16:$BM$16,0)</f>
        <v>Missed</v>
      </c>
      <c r="N30" s="127" t="e">
        <f>_xlfn.XLOOKUP($B26,Engineering!$M$22:$BM$22,Engineering!#REF!,0)</f>
        <v>#REF!</v>
      </c>
      <c r="O30" s="127" t="str">
        <f>_xlfn.XLOOKUP($B26,'Quality MB'!$M$6:$BM$6,'Quality MB'!$M$16:$BM$16,0)</f>
        <v>TBC</v>
      </c>
      <c r="P30" s="127" t="str">
        <f>_xlfn.XLOOKUP($B26,Procurement!$M$6:$BM$6,Procurement!$M$16:$BM$16,0)</f>
        <v>TBC</v>
      </c>
      <c r="Q30" s="11" t="str">
        <f>_xlfn.XLOOKUP($B26,IT!$M$6:$BM$6,IT!$M$16:$BM$16,0)</f>
        <v>TBC</v>
      </c>
      <c r="R30" s="11" t="str">
        <f>_xlfn.XLOOKUP($B26,Marketing!$M$6:$BM$6,Marketing!$M$16:$BM$16,0)</f>
        <v>R</v>
      </c>
      <c r="S30" s="11" t="str">
        <f>_xlfn.XLOOKUP($T26,Finance!$M$16:$X$16,Finance!$M$24:$X$24,0)</f>
        <v>G</v>
      </c>
      <c r="U30" s="127" t="str">
        <f>_xlfn.XLOOKUP($T26,'HR mthly'!$I$6:$BM$6,'HR mthly'!$I$26:$BM$26,0)</f>
        <v>R</v>
      </c>
      <c r="V30" s="127" t="str">
        <f>_xlfn.XLOOKUP($T26,'HR mthly'!$I$6:$BM$6,'HR mthly'!$I$29:$BM$29,0)</f>
        <v>R</v>
      </c>
    </row>
    <row r="31" spans="2:22" ht="42.45" customHeight="1" x14ac:dyDescent="0.3">
      <c r="B31" s="971" t="s">
        <v>31</v>
      </c>
      <c r="C31" s="971"/>
      <c r="D31" s="11" t="str">
        <f>_xlfn.XLOOKUP($B26,EHS!$M$6:$BM$6,EHS!$M$19:$BM$19,0)</f>
        <v>Missed</v>
      </c>
      <c r="E31" s="127" t="str">
        <f>_xlfn.XLOOKUP($B26,Estimating!$M$6:$BM$6,Estimating!$M$19:$BM$19,0)</f>
        <v>TBC</v>
      </c>
      <c r="F31" s="11" t="str">
        <f>_xlfn.XLOOKUP($B26,SOP!$M$6:$BM$6,SOP!$M$22:$BM$22,0)</f>
        <v>Missed</v>
      </c>
      <c r="G31" s="11" t="str">
        <f>_xlfn.XLOOKUP($B26,Design!$M$6:$BM$6,Design!$M$19:$BM$19,0)</f>
        <v>R</v>
      </c>
      <c r="H31" s="11" t="str">
        <f>_xlfn.XLOOKUP($B26,'Product Design'!$M$6:$BM$6,'Product Design'!$M$22:$BM$22,0)</f>
        <v>Undefined</v>
      </c>
      <c r="I31" s="11" t="str">
        <f>_xlfn.XLOOKUP($B26,'Product Eng - BE'!$M$6:$BM$6,'Product Eng - BE'!$M$22:$BM$22,0)</f>
        <v>G</v>
      </c>
      <c r="J31" s="11" t="str">
        <f>_xlfn.XLOOKUP($B26,'Product Eng - MB'!$M$6:$BM$6,'Product Eng - MB'!$M$22:$BM$22,0)</f>
        <v>G</v>
      </c>
      <c r="K31" s="11" t="str">
        <f>_xlfn.XLOOKUP($B26,'Bridgend Manuf'!$M$6:$BM$6,'Bridgend Manuf'!$M$19:$BM$19,0)</f>
        <v>G</v>
      </c>
      <c r="L31" s="11" t="str">
        <f>_xlfn.XLOOKUP($B26,'Maybole Manuf'!$M$6:$BM$6,'Maybole Manuf'!$M$19:$BM$19,0)</f>
        <v>TBC</v>
      </c>
      <c r="M31" s="127" t="str">
        <f>_xlfn.XLOOKUP($B26,Logistics!$M$6:$BM$6,Logistics!$M$19:$BM$19,0)</f>
        <v>Undefined</v>
      </c>
      <c r="N31" s="127" t="e">
        <f>_xlfn.XLOOKUP($B26,Engineering!$M$22:$BM$22,Engineering!#REF!,0)</f>
        <v>#REF!</v>
      </c>
      <c r="O31" s="127" t="str">
        <f>_xlfn.XLOOKUP($B26,'Quality MB'!$M$6:$BM$6,'Quality MB'!$M$19:$BM$19,0)</f>
        <v>TBC</v>
      </c>
      <c r="P31" s="127" t="str">
        <f>_xlfn.XLOOKUP($B26,Procurement!$M$6:$BM$6,Procurement!$M$19:$BM$19,0)</f>
        <v>TBC</v>
      </c>
      <c r="Q31" s="11" t="str">
        <f>_xlfn.XLOOKUP($B26,IT!$M$6:$BM$6,IT!$M$19:$BM$19,0)</f>
        <v>G</v>
      </c>
      <c r="R31" s="11" t="str">
        <f>_xlfn.XLOOKUP($B26,Marketing!$M$6:$BM$6,Marketing!$M$19:$BM$19,0)</f>
        <v>G</v>
      </c>
      <c r="S31" s="11" t="str">
        <f>_xlfn.XLOOKUP($T26,Finance!$M$16:$X$16,Finance!$M$27:$X$27,0)</f>
        <v>G</v>
      </c>
      <c r="U31" s="127" t="str">
        <f>_xlfn.XLOOKUP($T26,'HR mthly'!$I$6:$BM$6,'HR mthly'!$I$33:$BM$33,0)</f>
        <v>G</v>
      </c>
      <c r="V31" s="127" t="str">
        <f>_xlfn.XLOOKUP($T26,'HR mthly'!$I$6:$BM$6,'HR mthly'!$I$36:$BM$36,0)</f>
        <v>G</v>
      </c>
    </row>
    <row r="33" spans="2:24" ht="42.45" customHeight="1" x14ac:dyDescent="0.3">
      <c r="B33" s="973" t="s">
        <v>7</v>
      </c>
      <c r="C33" s="974"/>
      <c r="D33" s="6" t="str">
        <f>+D$9</f>
        <v>EHS</v>
      </c>
      <c r="E33" s="6" t="str">
        <f>+E$9</f>
        <v>Estimating</v>
      </c>
      <c r="F33" s="6" t="str">
        <f t="shared" ref="F33:R33" si="4">+F$9</f>
        <v>SOP</v>
      </c>
      <c r="G33" s="6" t="str">
        <f>+G$9</f>
        <v>Design and R&amp;D</v>
      </c>
      <c r="H33" s="6" t="str">
        <f t="shared" si="4"/>
        <v>Product Design</v>
      </c>
      <c r="I33" s="6" t="str">
        <f t="shared" si="4"/>
        <v>Product Engineering Bridgend</v>
      </c>
      <c r="J33" s="6" t="str">
        <f t="shared" si="4"/>
        <v>Product Engineering Maybole</v>
      </c>
      <c r="K33" s="6" t="str">
        <f t="shared" si="4"/>
        <v>Bridgend
Manuf</v>
      </c>
      <c r="L33" s="6" t="str">
        <f t="shared" si="4"/>
        <v>Maybole
Manuf</v>
      </c>
      <c r="M33" s="6" t="str">
        <f>+M$9</f>
        <v>Logistics</v>
      </c>
      <c r="N33" s="6" t="str">
        <f>+N$9</f>
        <v>Engineering</v>
      </c>
      <c r="O33" s="6" t="str">
        <f>+O$9</f>
        <v>Quality
Maybole</v>
      </c>
      <c r="P33" s="6" t="str">
        <f>+P$9</f>
        <v>Procurement</v>
      </c>
      <c r="Q33" s="6" t="str">
        <f>+Q$9</f>
        <v>IT</v>
      </c>
      <c r="R33" s="6" t="str">
        <f t="shared" si="4"/>
        <v>Marketing</v>
      </c>
      <c r="S33" s="6" t="str">
        <f>+S$9</f>
        <v>Finance</v>
      </c>
      <c r="T33" s="7" t="s">
        <v>409</v>
      </c>
      <c r="U33" s="6" t="str">
        <f>+U$9</f>
        <v>HR</v>
      </c>
      <c r="V33" s="6" t="str">
        <f>+V$9</f>
        <v>HR</v>
      </c>
    </row>
    <row r="34" spans="2:24" ht="42.45" customHeight="1" x14ac:dyDescent="0.3">
      <c r="B34" s="7">
        <f>B26+1</f>
        <v>4</v>
      </c>
      <c r="C34" s="8">
        <f>C26+7</f>
        <v>45681</v>
      </c>
      <c r="D34" s="10" t="str">
        <f>+D$10</f>
        <v>Neil 
Laing</v>
      </c>
      <c r="E34" s="9" t="str">
        <f>+E$10</f>
        <v>Julian Sparrow</v>
      </c>
      <c r="F34" s="10" t="str">
        <f t="shared" ref="F34:R34" si="5">+F$10</f>
        <v>Sam Westwood</v>
      </c>
      <c r="G34" s="10" t="str">
        <f>+G$10</f>
        <v>Andrew Skitt</v>
      </c>
      <c r="H34" s="10" t="str">
        <f t="shared" si="5"/>
        <v>Paul 
Dolan</v>
      </c>
      <c r="I34" s="10" t="str">
        <f t="shared" si="5"/>
        <v>Paul 
Dolan</v>
      </c>
      <c r="J34" s="10" t="str">
        <f t="shared" si="5"/>
        <v>Paul 
Dolan</v>
      </c>
      <c r="K34" s="10" t="str">
        <f t="shared" si="5"/>
        <v>Garin Bowen</v>
      </c>
      <c r="L34" s="10" t="str">
        <f t="shared" si="5"/>
        <v>Scott McMillan</v>
      </c>
      <c r="M34" s="10" t="str">
        <f>+M$10</f>
        <v>Scott McMillan</v>
      </c>
      <c r="N34" s="10" t="str">
        <f>+N$10</f>
        <v>Garin Bowen</v>
      </c>
      <c r="O34" s="10" t="str">
        <f>+O$10</f>
        <v>Scott McMIllan</v>
      </c>
      <c r="P34" s="10" t="str">
        <f>+P$10</f>
        <v>Matt 
Pope</v>
      </c>
      <c r="Q34" s="10" t="str">
        <f>+Q$10</f>
        <v>Rhian 
Owen</v>
      </c>
      <c r="R34" s="10" t="str">
        <f t="shared" si="5"/>
        <v>Katherine 
Sanganee</v>
      </c>
      <c r="S34" s="10" t="str">
        <f>+S$10</f>
        <v>Gethin Davies</v>
      </c>
      <c r="T34" s="7">
        <v>1</v>
      </c>
      <c r="U34" s="10" t="str">
        <f>+U$10</f>
        <v>Bethan Grant</v>
      </c>
      <c r="V34" s="10" t="str">
        <f>+V$10</f>
        <v>Bethan Grant</v>
      </c>
    </row>
    <row r="35" spans="2:24" ht="42.45" customHeight="1" x14ac:dyDescent="0.3">
      <c r="B35" s="971" t="s">
        <v>30</v>
      </c>
      <c r="C35" s="971"/>
      <c r="D35" s="11" t="str">
        <f>_xlfn.XLOOKUP($B34,EHS!$M$6:$BM$6,EHS!$M$10:$BM$10,0)</f>
        <v>G</v>
      </c>
      <c r="E35" s="127" t="str">
        <f>_xlfn.XLOOKUP($B34,Estimating!$M$6:$BM$6,Estimating!$M$10:$BM$10,0)</f>
        <v>R</v>
      </c>
      <c r="F35" s="11" t="str">
        <f>_xlfn.XLOOKUP($B34,SOP!$M$6:$BM$6,SOP!$M$10:$BM$10,0)</f>
        <v>Missed</v>
      </c>
      <c r="G35" s="11" t="str">
        <f>_xlfn.XLOOKUP($B34,Design!$M$6:$BM$6,Design!$M$10:$BM$10,0)</f>
        <v>R</v>
      </c>
      <c r="H35" s="11" t="str">
        <f>_xlfn.XLOOKUP($B34,'Product Design'!$M$6:$BM$6,'Product Design'!$M$10:$BM$10,0)</f>
        <v>G</v>
      </c>
      <c r="I35" s="11" t="str">
        <f>_xlfn.XLOOKUP($B34,'Product Eng - BE'!$M$6:$BM$6,'Product Eng - BE'!$M$10:$BM$10,0)</f>
        <v>R</v>
      </c>
      <c r="J35" s="11" t="str">
        <f>_xlfn.XLOOKUP($B34,'Product Eng - MB'!$M$6:$BM$6,'Product Eng - MB'!$M$10:$BM$10,0)</f>
        <v>G</v>
      </c>
      <c r="K35" s="11" t="str">
        <f>_xlfn.XLOOKUP($B34,'Bridgend Manuf'!$M$6:$BM$6,'Bridgend Manuf'!$M$10:$BM$10,0)</f>
        <v>G</v>
      </c>
      <c r="L35" s="11" t="str">
        <f>_xlfn.XLOOKUP($B34,'Maybole Manuf'!$M$6:$BM$6,'Maybole Manuf'!$M$10:$BM$10,0)</f>
        <v>TBC</v>
      </c>
      <c r="M35" s="127" t="str">
        <f>_xlfn.XLOOKUP($B34,Logistics!$M$6:$BM$6,Logistics!$M$10:$BM$10,0)</f>
        <v>TBC</v>
      </c>
      <c r="N35" s="127" t="str">
        <f>_xlfn.XLOOKUP($B34,Engineering!$M$22:$BM$22,Engineering!$M$26:$BM$26,0)</f>
        <v>Missed</v>
      </c>
      <c r="O35" s="127" t="str">
        <f>_xlfn.XLOOKUP($B34,'Quality MB'!$M$6:$BM$6,'Quality MB'!$M$10:$BM$10,0)</f>
        <v>TBC</v>
      </c>
      <c r="P35" s="127" t="str">
        <f>_xlfn.XLOOKUP($B34,Procurement!$M$6:$BM$6,Procurement!$M$10:$BM$10,0)</f>
        <v>TBC</v>
      </c>
      <c r="Q35" s="11" t="str">
        <f>_xlfn.XLOOKUP($B34,IT!$M$6:$BM$6,IT!$M$10:$BM$10,0)</f>
        <v>Undefined</v>
      </c>
      <c r="R35" s="11" t="str">
        <f>_xlfn.XLOOKUP($B34,Marketing!$M$6:$BM$6,Marketing!$M$10:$BM$10,0)</f>
        <v>G</v>
      </c>
      <c r="S35" s="11" t="str">
        <f>_xlfn.XLOOKUP($B34,Finance!$M$6:$BM$6,Finance!$M$10:$BM$10,0)</f>
        <v>G</v>
      </c>
      <c r="U35" s="127" t="str">
        <f>_xlfn.XLOOKUP($T34,'HR mthly'!$I$6:$BM$6,'HR mthly'!$I$11:$BM$11,0)</f>
        <v>G</v>
      </c>
      <c r="V35" s="127" t="str">
        <f>_xlfn.XLOOKUP($T34,'HR mthly'!$I$6:$BM$6,'HR mthly'!$I$14:$BM$14,0)</f>
        <v>G</v>
      </c>
    </row>
    <row r="36" spans="2:24" ht="42.45" customHeight="1" x14ac:dyDescent="0.3">
      <c r="B36" s="971" t="s">
        <v>172</v>
      </c>
      <c r="C36" s="971"/>
      <c r="D36" s="11" t="str">
        <f>_xlfn.XLOOKUP($B34,EHS!$M$6:$BM$6,EHS!$M$13:$BM$13,0)</f>
        <v>G</v>
      </c>
      <c r="E36" s="127" t="str">
        <f>_xlfn.XLOOKUP($B34,Estimating!$M$6:$BM$6,Estimating!$M$13:$BM$13,0)</f>
        <v>R</v>
      </c>
      <c r="F36" s="11" t="str">
        <f>_xlfn.XLOOKUP($B34,SOP!$M$6:$BM$6,SOP!$M$13:$BM$13,0)</f>
        <v>R</v>
      </c>
      <c r="G36" s="11" t="str">
        <f>_xlfn.XLOOKUP($B34,Design!$M$6:$BM$6,Design!$M$13:$BM$13,0)</f>
        <v>R</v>
      </c>
      <c r="H36" s="11" t="str">
        <f>_xlfn.XLOOKUP($B34,'Product Design'!$M$6:$BM$6,'Product Design'!$M$13:$BM$13,0)</f>
        <v>R</v>
      </c>
      <c r="I36" s="11" t="str">
        <f>_xlfn.XLOOKUP($B34,'Product Eng - BE'!$M$6:$BM$6,'Product Eng - BE'!$M$13:$BM$13,0)</f>
        <v>R</v>
      </c>
      <c r="J36" s="11" t="str">
        <f>_xlfn.XLOOKUP($B34,'Product Eng - MB'!$M$6:$BM$6,'Product Eng - MB'!$M$13:$BM$13,0)</f>
        <v>R</v>
      </c>
      <c r="K36" s="11" t="str">
        <f>_xlfn.XLOOKUP($B34,'Bridgend Manuf'!$M$6:$BM$6,'Bridgend Manuf'!$M$13:$BM$13,0)</f>
        <v>R</v>
      </c>
      <c r="L36" s="11" t="str">
        <f>_xlfn.XLOOKUP($B34,'Maybole Manuf'!$M$6:$BM$6,'Maybole Manuf'!$M$13:$BM$13,0)</f>
        <v>TBC</v>
      </c>
      <c r="M36" s="127" t="str">
        <f>_xlfn.XLOOKUP($B34,Logistics!$M$6:$BM$6,Logistics!$M$13:$BM$13,0)</f>
        <v>TBC</v>
      </c>
      <c r="N36" s="127" t="e">
        <f>_xlfn.XLOOKUP($B34,Engineering!$M$22:$BM$22,Engineering!#REF!,0)</f>
        <v>#REF!</v>
      </c>
      <c r="O36" s="127" t="str">
        <f>_xlfn.XLOOKUP($B34,'Quality MB'!$M$6:$BM$6,'Quality MB'!$M$13:$BM$13,0)</f>
        <v>TBC</v>
      </c>
      <c r="P36" s="127" t="str">
        <f>_xlfn.XLOOKUP($B34,Procurement!$M$6:$BM$6,Procurement!$M$13:$BM$13,0)</f>
        <v>TBC</v>
      </c>
      <c r="Q36" s="11" t="str">
        <f>_xlfn.XLOOKUP($B34,IT!$M$6:$BM$6,IT!$M$13:$BM$13,0)</f>
        <v>TBC</v>
      </c>
      <c r="R36" s="11" t="str">
        <f>_xlfn.XLOOKUP($B34,Marketing!$M$6:$BM$6,Marketing!$M$13:$BM$13,0)</f>
        <v>G</v>
      </c>
      <c r="S36" s="11" t="str">
        <f>_xlfn.XLOOKUP($T34,Finance!$M$16:$X$16,Finance!$M$21:$X$21,0)</f>
        <v>G</v>
      </c>
      <c r="U36" s="127" t="str">
        <f>_xlfn.XLOOKUP($T34,'HR mthly'!$I$6:$BM$6,'HR mthly'!$I$18:$BM$18,0)</f>
        <v>R</v>
      </c>
      <c r="V36" s="127" t="str">
        <f>_xlfn.XLOOKUP($T34,'HR mthly'!$I$6:$BM$6,'HR mthly'!$I$21:$BM$21,0)</f>
        <v>R</v>
      </c>
    </row>
    <row r="37" spans="2:24" ht="42.45" customHeight="1" x14ac:dyDescent="0.3">
      <c r="B37" s="971" t="s">
        <v>173</v>
      </c>
      <c r="C37" s="971"/>
      <c r="D37" s="11" t="s">
        <v>174</v>
      </c>
      <c r="E37" s="11" t="s">
        <v>174</v>
      </c>
      <c r="F37" s="11" t="str">
        <f>_xlfn.XLOOKUP($B34,SOP!$M$6:$BM$6,SOP!$M$16:$BM$16,0)</f>
        <v>R</v>
      </c>
      <c r="G37" s="11" t="s">
        <v>174</v>
      </c>
      <c r="H37" s="11" t="str">
        <f>_xlfn.XLOOKUP($B34,'Product Design'!$M$6:$BM$6,'Product Design'!$M$16:$BM$16,0)</f>
        <v>R</v>
      </c>
      <c r="I37" s="11" t="str">
        <f>_xlfn.XLOOKUP($B34,'Product Eng - BE'!$M$6:$BM$6,'Product Eng - BE'!$M$16:$BM$16,0)</f>
        <v>R</v>
      </c>
      <c r="J37" s="11" t="str">
        <f>_xlfn.XLOOKUP($B34,'Product Eng - MB'!$M$6:$BM$6,'Product Eng - MB'!$M$16:$BM$16,0)</f>
        <v>R</v>
      </c>
      <c r="K37" s="11" t="s">
        <v>174</v>
      </c>
      <c r="L37" s="11" t="s">
        <v>174</v>
      </c>
      <c r="M37" s="11" t="s">
        <v>174</v>
      </c>
      <c r="N37" s="11" t="s">
        <v>174</v>
      </c>
      <c r="O37" s="11" t="s">
        <v>174</v>
      </c>
      <c r="P37" s="11" t="s">
        <v>174</v>
      </c>
      <c r="Q37" s="11" t="s">
        <v>174</v>
      </c>
      <c r="R37" s="11" t="s">
        <v>174</v>
      </c>
      <c r="S37" s="11" t="s">
        <v>174</v>
      </c>
      <c r="U37" s="11" t="s">
        <v>174</v>
      </c>
      <c r="V37" s="11" t="s">
        <v>174</v>
      </c>
    </row>
    <row r="38" spans="2:24" ht="42.45" customHeight="1" x14ac:dyDescent="0.3">
      <c r="B38" s="971" t="s">
        <v>32</v>
      </c>
      <c r="C38" s="971"/>
      <c r="D38" s="11" t="str">
        <f>_xlfn.XLOOKUP($B34,EHS!$M$6:$BM$6,EHS!$M$16:$BM$16,0)</f>
        <v>G</v>
      </c>
      <c r="E38" s="127" t="str">
        <f>_xlfn.XLOOKUP($B34,Estimating!$M$6:$BM$6,Estimating!$M$16:$BM$16,0)</f>
        <v>R</v>
      </c>
      <c r="F38" s="11" t="str">
        <f>_xlfn.XLOOKUP($B34,SOP!$M$6:$BM$6,SOP!$M$19:$BM$19,0)</f>
        <v>Missed</v>
      </c>
      <c r="G38" s="11" t="str">
        <f>_xlfn.XLOOKUP($B34,Design!$M$6:$BM$6,Design!$M$16:$BM$16,0)</f>
        <v>R</v>
      </c>
      <c r="H38" s="11" t="str">
        <f>_xlfn.XLOOKUP($B34,'Product Design'!$M$6:$BM$6,'Product Design'!$M$19:$BM$19,0)</f>
        <v>G</v>
      </c>
      <c r="I38" s="11" t="str">
        <f>_xlfn.XLOOKUP($B34,'Product Eng - BE'!$M$6:$BM$6,'Product Eng - BE'!$M$19:$BM$19,0)</f>
        <v>Missed</v>
      </c>
      <c r="J38" s="11" t="str">
        <f>_xlfn.XLOOKUP($B34,'Product Eng - MB'!$M$6:$BM$6,'Product Eng - MB'!$M$19:$BM$19,0)</f>
        <v>Missed</v>
      </c>
      <c r="K38" s="11" t="str">
        <f>_xlfn.XLOOKUP($B34,'Bridgend Manuf'!$M$6:$BM$6,'Bridgend Manuf'!$M$16:$BM$16,0)</f>
        <v>G</v>
      </c>
      <c r="L38" s="11" t="str">
        <f>_xlfn.XLOOKUP($B34,'Maybole Manuf'!$M$6:$BM$6,'Maybole Manuf'!$M$16:$BM$16,0)</f>
        <v>TBC</v>
      </c>
      <c r="M38" s="127" t="str">
        <f>_xlfn.XLOOKUP($B34,Logistics!$M$6:$BM$6,Logistics!$M$16:$BM$16,0)</f>
        <v>Missed</v>
      </c>
      <c r="N38" s="127" t="e">
        <f>_xlfn.XLOOKUP($B34,Engineering!$M$22:$BM$22,Engineering!#REF!,0)</f>
        <v>#REF!</v>
      </c>
      <c r="O38" s="127" t="str">
        <f>_xlfn.XLOOKUP($B34,'Quality MB'!$M$6:$BM$6,'Quality MB'!$M$16:$BM$16,0)</f>
        <v>TBC</v>
      </c>
      <c r="P38" s="127" t="str">
        <f>_xlfn.XLOOKUP($B34,Procurement!$M$6:$BM$6,Procurement!$M$16:$BM$16,0)</f>
        <v>TBC</v>
      </c>
      <c r="Q38" s="11" t="str">
        <f>_xlfn.XLOOKUP($B34,IT!$M$6:$BM$6,IT!$M$16:$BM$16,0)</f>
        <v>TBC</v>
      </c>
      <c r="R38" s="11" t="str">
        <f>_xlfn.XLOOKUP($B34,Marketing!$M$6:$BM$6,Marketing!$M$16:$BM$16,0)</f>
        <v>R</v>
      </c>
      <c r="S38" s="11" t="str">
        <f>_xlfn.XLOOKUP($T34,Finance!$M$16:$X$16,Finance!$M$24:$X$24,0)</f>
        <v>G</v>
      </c>
      <c r="U38" s="127" t="str">
        <f>_xlfn.XLOOKUP($T34,'HR mthly'!$I$6:$BM$6,'HR mthly'!$I$26:$BM$26,0)</f>
        <v>R</v>
      </c>
      <c r="V38" s="127" t="str">
        <f>_xlfn.XLOOKUP($T34,'HR mthly'!$I$6:$BM$6,'HR mthly'!$I$29:$BM$29,0)</f>
        <v>R</v>
      </c>
    </row>
    <row r="39" spans="2:24" ht="42.45" customHeight="1" x14ac:dyDescent="0.3">
      <c r="B39" s="971" t="s">
        <v>31</v>
      </c>
      <c r="C39" s="971"/>
      <c r="D39" s="11" t="str">
        <f>_xlfn.XLOOKUP($B34,EHS!$M$6:$BM$6,EHS!$M$19:$BM$19,0)</f>
        <v>G</v>
      </c>
      <c r="E39" s="127" t="str">
        <f>_xlfn.XLOOKUP($B34,Estimating!$M$6:$BM$6,Estimating!$M$19:$BM$19,0)</f>
        <v>TBC</v>
      </c>
      <c r="F39" s="11" t="str">
        <f>_xlfn.XLOOKUP($B34,SOP!$M$6:$BM$6,SOP!$M$22:$BM$22,0)</f>
        <v>Missed</v>
      </c>
      <c r="G39" s="11" t="str">
        <f>_xlfn.XLOOKUP($B34,Design!$M$6:$BM$6,Design!$M$19:$BM$19,0)</f>
        <v>G</v>
      </c>
      <c r="H39" s="11" t="str">
        <f>_xlfn.XLOOKUP($B34,'Product Design'!$M$6:$BM$6,'Product Design'!$M$22:$BM$22,0)</f>
        <v>Undefined</v>
      </c>
      <c r="I39" s="11" t="str">
        <f>_xlfn.XLOOKUP($B34,'Product Eng - BE'!$M$6:$BM$6,'Product Eng - BE'!$M$22:$BM$22,0)</f>
        <v>G</v>
      </c>
      <c r="J39" s="11" t="str">
        <f>_xlfn.XLOOKUP($B34,'Product Eng - MB'!$M$6:$BM$6,'Product Eng - MB'!$M$22:$BM$22,0)</f>
        <v>R</v>
      </c>
      <c r="K39" s="11" t="str">
        <f>_xlfn.XLOOKUP($B34,'Bridgend Manuf'!$M$6:$BM$6,'Bridgend Manuf'!$M$19:$BM$19,0)</f>
        <v>G</v>
      </c>
      <c r="L39" s="11" t="str">
        <f>_xlfn.XLOOKUP($B34,'Maybole Manuf'!$M$6:$BM$6,'Maybole Manuf'!$M$19:$BM$19,0)</f>
        <v>TBC</v>
      </c>
      <c r="M39" s="127" t="str">
        <f>_xlfn.XLOOKUP($B34,Logistics!$M$6:$BM$6,Logistics!$M$19:$BM$19,0)</f>
        <v>Undefined</v>
      </c>
      <c r="N39" s="127" t="e">
        <f>_xlfn.XLOOKUP($B34,Engineering!$M$22:$BM$22,Engineering!#REF!,0)</f>
        <v>#REF!</v>
      </c>
      <c r="O39" s="127" t="str">
        <f>_xlfn.XLOOKUP($B34,'Quality MB'!$M$6:$BM$6,'Quality MB'!$M$19:$BM$19,0)</f>
        <v>TBC</v>
      </c>
      <c r="P39" s="127" t="str">
        <f>_xlfn.XLOOKUP($B34,Procurement!$M$6:$BM$6,Procurement!$M$19:$BM$19,0)</f>
        <v>TBC</v>
      </c>
      <c r="Q39" s="11" t="str">
        <f>_xlfn.XLOOKUP($B34,IT!$M$6:$BM$6,IT!$M$19:$BM$19,0)</f>
        <v>R</v>
      </c>
      <c r="R39" s="11" t="str">
        <f>_xlfn.XLOOKUP($B34,Marketing!$M$6:$BM$6,Marketing!$M$19:$BM$19,0)</f>
        <v>G</v>
      </c>
      <c r="S39" s="11" t="str">
        <f>_xlfn.XLOOKUP($T34,Finance!$M$16:$X$16,Finance!$M$27:$X$27,0)</f>
        <v>G</v>
      </c>
      <c r="U39" s="127" t="str">
        <f>_xlfn.XLOOKUP($T34,'HR mthly'!$I$6:$BM$6,'HR mthly'!$I$33:$BM$33,0)</f>
        <v>G</v>
      </c>
      <c r="V39" s="127" t="str">
        <f>_xlfn.XLOOKUP($T34,'HR mthly'!$I$6:$BM$6,'HR mthly'!$I$36:$BM$36,0)</f>
        <v>G</v>
      </c>
    </row>
    <row r="40" spans="2:24" ht="42.45" customHeight="1" x14ac:dyDescent="0.3">
      <c r="U40"/>
      <c r="V40"/>
      <c r="W40"/>
      <c r="X40"/>
    </row>
    <row r="41" spans="2:24" ht="42.45" customHeight="1" x14ac:dyDescent="0.3">
      <c r="B41" s="973" t="s">
        <v>7</v>
      </c>
      <c r="C41" s="974"/>
      <c r="D41" s="6" t="str">
        <f>+D$9</f>
        <v>EHS</v>
      </c>
      <c r="E41" s="6" t="str">
        <f>+E$9</f>
        <v>Estimating</v>
      </c>
      <c r="F41" s="6" t="str">
        <f t="shared" ref="F41:R41" si="6">+F$9</f>
        <v>SOP</v>
      </c>
      <c r="G41" s="6" t="str">
        <f>+G$9</f>
        <v>Design and R&amp;D</v>
      </c>
      <c r="H41" s="6" t="str">
        <f t="shared" si="6"/>
        <v>Product Design</v>
      </c>
      <c r="I41" s="6" t="str">
        <f t="shared" si="6"/>
        <v>Product Engineering Bridgend</v>
      </c>
      <c r="J41" s="6" t="str">
        <f t="shared" si="6"/>
        <v>Product Engineering Maybole</v>
      </c>
      <c r="K41" s="6" t="str">
        <f t="shared" si="6"/>
        <v>Bridgend
Manuf</v>
      </c>
      <c r="L41" s="6" t="str">
        <f t="shared" si="6"/>
        <v>Maybole
Manuf</v>
      </c>
      <c r="M41" s="6" t="str">
        <f>+M$9</f>
        <v>Logistics</v>
      </c>
      <c r="N41" s="6" t="str">
        <f>+N$9</f>
        <v>Engineering</v>
      </c>
      <c r="O41" s="6" t="str">
        <f>+O$9</f>
        <v>Quality
Maybole</v>
      </c>
      <c r="P41" s="6" t="str">
        <f>+P$9</f>
        <v>Procurement</v>
      </c>
      <c r="Q41" s="6" t="str">
        <f>+Q$9</f>
        <v>IT</v>
      </c>
      <c r="R41" s="6" t="str">
        <f t="shared" si="6"/>
        <v>Marketing</v>
      </c>
      <c r="S41" s="6" t="str">
        <f>+S$9</f>
        <v>Finance</v>
      </c>
      <c r="T41" s="7" t="s">
        <v>409</v>
      </c>
      <c r="U41" s="6" t="str">
        <f>+U$9</f>
        <v>HR</v>
      </c>
      <c r="V41" s="6" t="str">
        <f>+V$9</f>
        <v>HR</v>
      </c>
    </row>
    <row r="42" spans="2:24" ht="42.45" customHeight="1" x14ac:dyDescent="0.3">
      <c r="B42" s="7">
        <f>B34+1</f>
        <v>5</v>
      </c>
      <c r="C42" s="8">
        <f>C34+7</f>
        <v>45688</v>
      </c>
      <c r="D42" s="10" t="str">
        <f>+D$10</f>
        <v>Neil 
Laing</v>
      </c>
      <c r="E42" s="9" t="str">
        <f>+E$10</f>
        <v>Julian Sparrow</v>
      </c>
      <c r="F42" s="10" t="str">
        <f t="shared" ref="F42:R42" si="7">+F$10</f>
        <v>Sam Westwood</v>
      </c>
      <c r="G42" s="10" t="str">
        <f>+G$10</f>
        <v>Andrew Skitt</v>
      </c>
      <c r="H42" s="10" t="str">
        <f t="shared" si="7"/>
        <v>Paul 
Dolan</v>
      </c>
      <c r="I42" s="10" t="str">
        <f t="shared" si="7"/>
        <v>Paul 
Dolan</v>
      </c>
      <c r="J42" s="10" t="str">
        <f t="shared" si="7"/>
        <v>Paul 
Dolan</v>
      </c>
      <c r="K42" s="10" t="str">
        <f t="shared" si="7"/>
        <v>Garin Bowen</v>
      </c>
      <c r="L42" s="10" t="str">
        <f t="shared" si="7"/>
        <v>Scott McMillan</v>
      </c>
      <c r="M42" s="10" t="str">
        <f>+M$10</f>
        <v>Scott McMillan</v>
      </c>
      <c r="N42" s="10" t="str">
        <f>+N$10</f>
        <v>Garin Bowen</v>
      </c>
      <c r="O42" s="10" t="str">
        <f>+O$10</f>
        <v>Scott McMIllan</v>
      </c>
      <c r="P42" s="10" t="str">
        <f>+P$10</f>
        <v>Matt 
Pope</v>
      </c>
      <c r="Q42" s="10" t="str">
        <f>+Q$10</f>
        <v>Rhian 
Owen</v>
      </c>
      <c r="R42" s="10" t="str">
        <f t="shared" si="7"/>
        <v>Katherine 
Sanganee</v>
      </c>
      <c r="S42" s="10" t="str">
        <f>+S$10</f>
        <v>Gethin Davies</v>
      </c>
      <c r="T42" s="7">
        <v>1</v>
      </c>
      <c r="U42" s="10" t="str">
        <f>+U$10</f>
        <v>Bethan Grant</v>
      </c>
      <c r="V42" s="10" t="str">
        <f>+V$10</f>
        <v>Bethan Grant</v>
      </c>
    </row>
    <row r="43" spans="2:24" ht="42.45" customHeight="1" x14ac:dyDescent="0.3">
      <c r="B43" s="971" t="s">
        <v>30</v>
      </c>
      <c r="C43" s="971"/>
      <c r="D43" s="11" t="str">
        <f>_xlfn.XLOOKUP($B42,EHS!$M$6:$BM$6,EHS!$M$10:$BM$10,0)</f>
        <v>G</v>
      </c>
      <c r="E43" s="127" t="str">
        <f>_xlfn.XLOOKUP($B42,Estimating!$M$6:$BM$6,Estimating!$M$10:$BM$10,0)</f>
        <v>G</v>
      </c>
      <c r="F43" s="11" t="str">
        <f>_xlfn.XLOOKUP($B42,SOP!$M$6:$BM$6,SOP!$M$10:$BM$10,0)</f>
        <v>G</v>
      </c>
      <c r="G43" s="11" t="str">
        <f>_xlfn.XLOOKUP($B42,Design!$M$6:$BM$6,Design!$M$10:$BM$10,0)</f>
        <v>G</v>
      </c>
      <c r="H43" s="11" t="str">
        <f>_xlfn.XLOOKUP($B42,'Product Design'!$M$6:$BM$6,'Product Design'!$M$10:$BM$10,0)</f>
        <v>G</v>
      </c>
      <c r="I43" s="11" t="str">
        <f>_xlfn.XLOOKUP($B42,'Product Eng - BE'!$M$6:$BM$6,'Product Eng - BE'!$M$10:$BM$10,0)</f>
        <v>G</v>
      </c>
      <c r="J43" s="11" t="str">
        <f>_xlfn.XLOOKUP($B42,'Product Eng - MB'!$M$6:$BM$6,'Product Eng - MB'!$M$10:$BM$10,0)</f>
        <v>G</v>
      </c>
      <c r="K43" s="11" t="str">
        <f>_xlfn.XLOOKUP($B42,'Bridgend Manuf'!$M$6:$BM$6,'Bridgend Manuf'!$M$10:$BM$10,0)</f>
        <v>G</v>
      </c>
      <c r="L43" s="11" t="str">
        <f>_xlfn.XLOOKUP($B42,'Maybole Manuf'!$M$6:$BM$6,'Maybole Manuf'!$M$10:$BM$10,0)</f>
        <v>TBC</v>
      </c>
      <c r="M43" s="127" t="str">
        <f>_xlfn.XLOOKUP($B42,Logistics!$M$6:$BM$6,Logistics!$M$10:$BM$10,0)</f>
        <v>TBC</v>
      </c>
      <c r="N43" s="127" t="str">
        <f>_xlfn.XLOOKUP($B42,Engineering!$M$22:$BM$22,Engineering!$M$26:$BM$26,0)</f>
        <v>Missed</v>
      </c>
      <c r="O43" s="127" t="str">
        <f>_xlfn.XLOOKUP($B42,'Quality MB'!$M$6:$BM$6,'Quality MB'!$M$10:$BM$10,0)</f>
        <v>TBC</v>
      </c>
      <c r="P43" s="127" t="str">
        <f>_xlfn.XLOOKUP($B42,Procurement!$M$6:$BM$6,Procurement!$M$10:$BM$10,0)</f>
        <v>TBC</v>
      </c>
      <c r="Q43" s="11" t="str">
        <f>_xlfn.XLOOKUP($B42,IT!$M$6:$BM$6,IT!$M$10:$BM$10,0)</f>
        <v>Undefined</v>
      </c>
      <c r="R43" s="11" t="str">
        <f>_xlfn.XLOOKUP($B42,Marketing!$M$6:$BM$6,Marketing!$M$10:$BM$10,0)</f>
        <v>G</v>
      </c>
      <c r="S43" s="11" t="str">
        <f>_xlfn.XLOOKUP($B42,Finance!$M$6:$BM$6,Finance!$M$10:$BM$10,0)</f>
        <v>G</v>
      </c>
      <c r="U43" s="127" t="str">
        <f>_xlfn.XLOOKUP($T42,'HR mthly'!$I$6:$BM$6,'HR mthly'!$I$11:$BM$11,0)</f>
        <v>G</v>
      </c>
      <c r="V43" s="127" t="str">
        <f>_xlfn.XLOOKUP($T42,'HR mthly'!$I$6:$BM$6,'HR mthly'!$I$14:$BM$14,0)</f>
        <v>G</v>
      </c>
    </row>
    <row r="44" spans="2:24" ht="42.45" customHeight="1" x14ac:dyDescent="0.3">
      <c r="B44" s="971" t="s">
        <v>172</v>
      </c>
      <c r="C44" s="971"/>
      <c r="D44" s="11" t="str">
        <f>_xlfn.XLOOKUP($B42,EHS!$M$6:$BM$6,EHS!$M$13:$BM$13,0)</f>
        <v>G</v>
      </c>
      <c r="E44" s="127" t="str">
        <f>_xlfn.XLOOKUP($B42,Estimating!$M$6:$BM$6,Estimating!$M$13:$BM$13,0)</f>
        <v>A</v>
      </c>
      <c r="F44" s="11" t="str">
        <f>_xlfn.XLOOKUP($B42,SOP!$M$6:$BM$6,SOP!$M$13:$BM$13,0)</f>
        <v>R</v>
      </c>
      <c r="G44" s="11" t="str">
        <f>_xlfn.XLOOKUP($B42,Design!$M$6:$BM$6,Design!$M$13:$BM$13,0)</f>
        <v>A</v>
      </c>
      <c r="H44" s="11" t="str">
        <f>_xlfn.XLOOKUP($B42,'Product Design'!$M$6:$BM$6,'Product Design'!$M$13:$BM$13,0)</f>
        <v>G</v>
      </c>
      <c r="I44" s="11" t="str">
        <f>_xlfn.XLOOKUP($B42,'Product Eng - BE'!$M$6:$BM$6,'Product Eng - BE'!$M$13:$BM$13,0)</f>
        <v>R</v>
      </c>
      <c r="J44" s="11" t="str">
        <f>_xlfn.XLOOKUP($B42,'Product Eng - MB'!$M$6:$BM$6,'Product Eng - MB'!$M$13:$BM$13,0)</f>
        <v>R</v>
      </c>
      <c r="K44" s="11" t="str">
        <f>_xlfn.XLOOKUP($B42,'Bridgend Manuf'!$M$6:$BM$6,'Bridgend Manuf'!$M$13:$BM$13,0)</f>
        <v>A</v>
      </c>
      <c r="L44" s="11" t="str">
        <f>_xlfn.XLOOKUP($B42,'Maybole Manuf'!$M$6:$BM$6,'Maybole Manuf'!$M$13:$BM$13,0)</f>
        <v>TBC</v>
      </c>
      <c r="M44" s="127" t="str">
        <f>_xlfn.XLOOKUP($B42,Logistics!$M$6:$BM$6,Logistics!$M$13:$BM$13,0)</f>
        <v>TBC</v>
      </c>
      <c r="N44" s="127" t="e">
        <f>_xlfn.XLOOKUP($B42,Engineering!$M$22:$BM$22,Engineering!#REF!,0)</f>
        <v>#REF!</v>
      </c>
      <c r="O44" s="127" t="str">
        <f>_xlfn.XLOOKUP($B42,'Quality MB'!$M$6:$BM$6,'Quality MB'!$M$13:$BM$13,0)</f>
        <v>TBC</v>
      </c>
      <c r="P44" s="127" t="str">
        <f>_xlfn.XLOOKUP($B42,Procurement!$M$6:$BM$6,Procurement!$M$13:$BM$13,0)</f>
        <v>TBC</v>
      </c>
      <c r="Q44" s="11" t="str">
        <f>_xlfn.XLOOKUP($B42,IT!$M$6:$BM$6,IT!$M$13:$BM$13,0)</f>
        <v>TBC</v>
      </c>
      <c r="R44" s="11" t="str">
        <f>_xlfn.XLOOKUP($B42,Marketing!$M$6:$BM$6,Marketing!$M$13:$BM$13,0)</f>
        <v>R</v>
      </c>
      <c r="S44" s="11" t="str">
        <f>_xlfn.XLOOKUP($T42,Finance!$M$16:$X$16,Finance!$M$21:$X$21,0)</f>
        <v>G</v>
      </c>
      <c r="U44" s="127" t="str">
        <f>_xlfn.XLOOKUP($T42,'HR mthly'!$I$6:$BM$6,'HR mthly'!$I$18:$BM$18,0)</f>
        <v>R</v>
      </c>
      <c r="V44" s="127" t="str">
        <f>_xlfn.XLOOKUP($T42,'HR mthly'!$I$6:$BM$6,'HR mthly'!$I$21:$BM$21,0)</f>
        <v>R</v>
      </c>
    </row>
    <row r="45" spans="2:24" ht="42.45" customHeight="1" x14ac:dyDescent="0.3">
      <c r="B45" s="971" t="s">
        <v>173</v>
      </c>
      <c r="C45" s="971"/>
      <c r="D45" s="11" t="s">
        <v>174</v>
      </c>
      <c r="E45" s="11" t="s">
        <v>174</v>
      </c>
      <c r="F45" s="11" t="str">
        <f>_xlfn.XLOOKUP($B42,SOP!$M$6:$BM$6,SOP!$M$16:$BM$16,0)</f>
        <v>A</v>
      </c>
      <c r="G45" s="11" t="s">
        <v>174</v>
      </c>
      <c r="H45" s="11" t="str">
        <f>_xlfn.XLOOKUP($B42,'Product Design'!$M$6:$BM$6,'Product Design'!$M$16:$BM$16,0)</f>
        <v>R</v>
      </c>
      <c r="I45" s="11" t="str">
        <f>_xlfn.XLOOKUP($B42,'Product Eng - BE'!$M$6:$BM$6,'Product Eng - BE'!$M$16:$BM$16,0)</f>
        <v>R</v>
      </c>
      <c r="J45" s="11" t="str">
        <f>_xlfn.XLOOKUP($B42,'Product Eng - MB'!$M$6:$BM$6,'Product Eng - MB'!$M$16:$BM$16,0)</f>
        <v>R</v>
      </c>
      <c r="K45" s="11" t="s">
        <v>174</v>
      </c>
      <c r="L45" s="11" t="s">
        <v>174</v>
      </c>
      <c r="M45" s="11" t="s">
        <v>174</v>
      </c>
      <c r="N45" s="11" t="s">
        <v>174</v>
      </c>
      <c r="O45" s="11" t="s">
        <v>174</v>
      </c>
      <c r="P45" s="11" t="s">
        <v>174</v>
      </c>
      <c r="Q45" s="11" t="s">
        <v>174</v>
      </c>
      <c r="R45" s="11" t="s">
        <v>174</v>
      </c>
      <c r="S45" s="11" t="s">
        <v>174</v>
      </c>
      <c r="U45" s="11" t="s">
        <v>174</v>
      </c>
      <c r="V45" s="11" t="s">
        <v>174</v>
      </c>
    </row>
    <row r="46" spans="2:24" ht="42.45" customHeight="1" x14ac:dyDescent="0.3">
      <c r="B46" s="971" t="s">
        <v>32</v>
      </c>
      <c r="C46" s="971"/>
      <c r="D46" s="11" t="str">
        <f>_xlfn.XLOOKUP($B42,EHS!$M$6:$BM$6,EHS!$M$16:$BM$16,0)</f>
        <v>A</v>
      </c>
      <c r="E46" s="127" t="str">
        <f>_xlfn.XLOOKUP($B42,Estimating!$M$6:$BM$6,Estimating!$M$16:$BM$16,0)</f>
        <v>A</v>
      </c>
      <c r="F46" s="11" t="str">
        <f>_xlfn.XLOOKUP($B42,SOP!$M$6:$BM$6,SOP!$M$19:$BM$19,0)</f>
        <v>R</v>
      </c>
      <c r="G46" s="11" t="str">
        <f>_xlfn.XLOOKUP($B42,Design!$M$6:$BM$6,Design!$M$16:$BM$16,0)</f>
        <v>R</v>
      </c>
      <c r="H46" s="11" t="str">
        <f>_xlfn.XLOOKUP($B42,'Product Design'!$M$6:$BM$6,'Product Design'!$M$19:$BM$19,0)</f>
        <v>G</v>
      </c>
      <c r="I46" s="11" t="str">
        <f>_xlfn.XLOOKUP($B42,'Product Eng - BE'!$M$6:$BM$6,'Product Eng - BE'!$M$19:$BM$19,0)</f>
        <v>Missed</v>
      </c>
      <c r="J46" s="11" t="str">
        <f>_xlfn.XLOOKUP($B42,'Product Eng - MB'!$M$6:$BM$6,'Product Eng - MB'!$M$19:$BM$19,0)</f>
        <v>Missed</v>
      </c>
      <c r="K46" s="11" t="str">
        <f>_xlfn.XLOOKUP($B42,'Bridgend Manuf'!$M$6:$BM$6,'Bridgend Manuf'!$M$16:$BM$16,0)</f>
        <v>R</v>
      </c>
      <c r="L46" s="11" t="str">
        <f>_xlfn.XLOOKUP($B42,'Maybole Manuf'!$M$6:$BM$6,'Maybole Manuf'!$M$16:$BM$16,0)</f>
        <v>TBC</v>
      </c>
      <c r="M46" s="127" t="str">
        <f>_xlfn.XLOOKUP($B42,Logistics!$M$6:$BM$6,Logistics!$M$16:$BM$16,0)</f>
        <v>Missed</v>
      </c>
      <c r="N46" s="127" t="e">
        <f>_xlfn.XLOOKUP($B42,Engineering!$M$22:$BM$22,Engineering!#REF!,0)</f>
        <v>#REF!</v>
      </c>
      <c r="O46" s="127" t="str">
        <f>_xlfn.XLOOKUP($B42,'Quality MB'!$M$6:$BM$6,'Quality MB'!$M$16:$BM$16,0)</f>
        <v>TBC</v>
      </c>
      <c r="P46" s="127" t="str">
        <f>_xlfn.XLOOKUP($B42,Procurement!$M$6:$BM$6,Procurement!$M$16:$BM$16,0)</f>
        <v>TBC</v>
      </c>
      <c r="Q46" s="11" t="str">
        <f>_xlfn.XLOOKUP($B42,IT!$M$6:$BM$6,IT!$M$16:$BM$16,0)</f>
        <v>TBC</v>
      </c>
      <c r="R46" s="11" t="str">
        <f>_xlfn.XLOOKUP($B42,Marketing!$M$6:$BM$6,Marketing!$M$16:$BM$16,0)</f>
        <v>G</v>
      </c>
      <c r="S46" s="11" t="str">
        <f>_xlfn.XLOOKUP($T42,Finance!$M$16:$X$16,Finance!$M$24:$X$24,0)</f>
        <v>G</v>
      </c>
      <c r="U46" s="127" t="str">
        <f>_xlfn.XLOOKUP($T42,'HR mthly'!$I$6:$BM$6,'HR mthly'!$I$26:$BM$26,0)</f>
        <v>R</v>
      </c>
      <c r="V46" s="127" t="str">
        <f>_xlfn.XLOOKUP($T42,'HR mthly'!$I$6:$BM$6,'HR mthly'!$I$29:$BM$29,0)</f>
        <v>R</v>
      </c>
    </row>
    <row r="47" spans="2:24" ht="42.45" customHeight="1" x14ac:dyDescent="0.3">
      <c r="B47" s="971" t="s">
        <v>31</v>
      </c>
      <c r="C47" s="971"/>
      <c r="D47" s="11" t="str">
        <f>_xlfn.XLOOKUP($B42,EHS!$M$6:$BM$6,EHS!$M$19:$BM$19,0)</f>
        <v>G</v>
      </c>
      <c r="E47" s="127" t="str">
        <f>_xlfn.XLOOKUP($B42,Estimating!$M$6:$BM$6,Estimating!$M$19:$BM$19,0)</f>
        <v>TBC</v>
      </c>
      <c r="F47" s="11" t="str">
        <f>_xlfn.XLOOKUP($B42,SOP!$M$6:$BM$6,SOP!$M$22:$BM$22,0)</f>
        <v>G</v>
      </c>
      <c r="G47" s="11" t="str">
        <f>_xlfn.XLOOKUP($B42,Design!$M$6:$BM$6,Design!$M$19:$BM$19,0)</f>
        <v>R</v>
      </c>
      <c r="H47" s="11" t="str">
        <f>_xlfn.XLOOKUP($B42,'Product Design'!$M$6:$BM$6,'Product Design'!$M$22:$BM$22,0)</f>
        <v>Undefined</v>
      </c>
      <c r="I47" s="11" t="str">
        <f>_xlfn.XLOOKUP($B42,'Product Eng - BE'!$M$6:$BM$6,'Product Eng - BE'!$M$22:$BM$22,0)</f>
        <v>G</v>
      </c>
      <c r="J47" s="11" t="str">
        <f>_xlfn.XLOOKUP($B42,'Product Eng - MB'!$M$6:$BM$6,'Product Eng - MB'!$M$22:$BM$22,0)</f>
        <v>G</v>
      </c>
      <c r="K47" s="11" t="str">
        <f>_xlfn.XLOOKUP($B42,'Bridgend Manuf'!$M$6:$BM$6,'Bridgend Manuf'!$M$19:$BM$19,0)</f>
        <v>G</v>
      </c>
      <c r="L47" s="11" t="str">
        <f>_xlfn.XLOOKUP($B42,'Maybole Manuf'!$M$6:$BM$6,'Maybole Manuf'!$M$19:$BM$19,0)</f>
        <v>TBC</v>
      </c>
      <c r="M47" s="127" t="str">
        <f>_xlfn.XLOOKUP($B42,Logistics!$M$6:$BM$6,Logistics!$M$19:$BM$19,0)</f>
        <v>Undefined</v>
      </c>
      <c r="N47" s="127" t="e">
        <f>_xlfn.XLOOKUP($B42,Engineering!$M$22:$BM$22,Engineering!#REF!,0)</f>
        <v>#REF!</v>
      </c>
      <c r="O47" s="127" t="str">
        <f>_xlfn.XLOOKUP($B42,'Quality MB'!$M$6:$BM$6,'Quality MB'!$M$19:$BM$19,0)</f>
        <v>TBC</v>
      </c>
      <c r="P47" s="127" t="str">
        <f>_xlfn.XLOOKUP($B42,Procurement!$M$6:$BM$6,Procurement!$M$19:$BM$19,0)</f>
        <v>TBC</v>
      </c>
      <c r="Q47" s="11" t="str">
        <f>_xlfn.XLOOKUP($B42,IT!$M$6:$BM$6,IT!$M$19:$BM$19,0)</f>
        <v>R</v>
      </c>
      <c r="R47" s="11" t="str">
        <f>_xlfn.XLOOKUP($B42,Marketing!$M$6:$BM$6,Marketing!$M$19:$BM$19,0)</f>
        <v>G</v>
      </c>
      <c r="S47" s="11" t="str">
        <f>_xlfn.XLOOKUP($T42,Finance!$M$16:$X$16,Finance!$M$27:$X$27,0)</f>
        <v>G</v>
      </c>
      <c r="U47" s="127" t="str">
        <f>_xlfn.XLOOKUP($T42,'HR mthly'!$I$6:$BM$6,'HR mthly'!$I$33:$BM$33,0)</f>
        <v>G</v>
      </c>
      <c r="V47" s="127" t="str">
        <f>_xlfn.XLOOKUP($T42,'HR mthly'!$I$6:$BM$6,'HR mthly'!$I$36:$BM$36,0)</f>
        <v>G</v>
      </c>
    </row>
    <row r="49" spans="2:22" ht="42.45" customHeight="1" x14ac:dyDescent="0.3">
      <c r="B49" s="973" t="s">
        <v>7</v>
      </c>
      <c r="C49" s="974"/>
      <c r="D49" s="6" t="str">
        <f>+D$9</f>
        <v>EHS</v>
      </c>
      <c r="E49" s="6" t="str">
        <f>+E$9</f>
        <v>Estimating</v>
      </c>
      <c r="F49" s="6" t="str">
        <f t="shared" ref="F49:R49" si="8">+F$9</f>
        <v>SOP</v>
      </c>
      <c r="G49" s="6" t="str">
        <f>+G$9</f>
        <v>Design and R&amp;D</v>
      </c>
      <c r="H49" s="6" t="str">
        <f t="shared" si="8"/>
        <v>Product Design</v>
      </c>
      <c r="I49" s="6" t="str">
        <f t="shared" si="8"/>
        <v>Product Engineering Bridgend</v>
      </c>
      <c r="J49" s="6" t="str">
        <f t="shared" si="8"/>
        <v>Product Engineering Maybole</v>
      </c>
      <c r="K49" s="6" t="str">
        <f t="shared" si="8"/>
        <v>Bridgend
Manuf</v>
      </c>
      <c r="L49" s="6" t="str">
        <f t="shared" si="8"/>
        <v>Maybole
Manuf</v>
      </c>
      <c r="M49" s="6" t="str">
        <f>+M$9</f>
        <v>Logistics</v>
      </c>
      <c r="N49" s="6" t="str">
        <f>+N$9</f>
        <v>Engineering</v>
      </c>
      <c r="O49" s="6" t="str">
        <f>+O$9</f>
        <v>Quality
Maybole</v>
      </c>
      <c r="P49" s="6" t="str">
        <f>+P$9</f>
        <v>Procurement</v>
      </c>
      <c r="Q49" s="6" t="str">
        <f>+Q$9</f>
        <v>IT</v>
      </c>
      <c r="R49" s="6" t="str">
        <f t="shared" si="8"/>
        <v>Marketing</v>
      </c>
      <c r="S49" s="6" t="str">
        <f>+S$9</f>
        <v>Finance</v>
      </c>
      <c r="T49" s="7" t="s">
        <v>409</v>
      </c>
      <c r="U49" s="6" t="str">
        <f>+U$9</f>
        <v>HR</v>
      </c>
      <c r="V49" s="6" t="str">
        <f>+V$9</f>
        <v>HR</v>
      </c>
    </row>
    <row r="50" spans="2:22" ht="42.45" customHeight="1" x14ac:dyDescent="0.3">
      <c r="B50" s="7">
        <f>B42+1</f>
        <v>6</v>
      </c>
      <c r="C50" s="8">
        <f>C42+7</f>
        <v>45695</v>
      </c>
      <c r="D50" s="10" t="str">
        <f>+D$10</f>
        <v>Neil 
Laing</v>
      </c>
      <c r="E50" s="9" t="str">
        <f>+E$10</f>
        <v>Julian Sparrow</v>
      </c>
      <c r="F50" s="10" t="str">
        <f t="shared" ref="F50:R50" si="9">+F$10</f>
        <v>Sam Westwood</v>
      </c>
      <c r="G50" s="10" t="str">
        <f>+G$10</f>
        <v>Andrew Skitt</v>
      </c>
      <c r="H50" s="10" t="str">
        <f t="shared" si="9"/>
        <v>Paul 
Dolan</v>
      </c>
      <c r="I50" s="10" t="str">
        <f t="shared" si="9"/>
        <v>Paul 
Dolan</v>
      </c>
      <c r="J50" s="10" t="str">
        <f t="shared" si="9"/>
        <v>Paul 
Dolan</v>
      </c>
      <c r="K50" s="10" t="str">
        <f t="shared" si="9"/>
        <v>Garin Bowen</v>
      </c>
      <c r="L50" s="10" t="str">
        <f t="shared" si="9"/>
        <v>Scott McMillan</v>
      </c>
      <c r="M50" s="10" t="str">
        <f>+M$10</f>
        <v>Scott McMillan</v>
      </c>
      <c r="N50" s="10" t="str">
        <f>+N$10</f>
        <v>Garin Bowen</v>
      </c>
      <c r="O50" s="10" t="str">
        <f>+O$10</f>
        <v>Scott McMIllan</v>
      </c>
      <c r="P50" s="10" t="str">
        <f>+P$10</f>
        <v>Matt 
Pope</v>
      </c>
      <c r="Q50" s="10" t="str">
        <f>+Q$10</f>
        <v>Rhian 
Owen</v>
      </c>
      <c r="R50" s="10" t="str">
        <f t="shared" si="9"/>
        <v>Katherine 
Sanganee</v>
      </c>
      <c r="S50" s="10" t="str">
        <f>+S$10</f>
        <v>Gethin Davies</v>
      </c>
      <c r="T50" s="7">
        <v>1</v>
      </c>
      <c r="U50" s="10" t="str">
        <f>+U$10</f>
        <v>Bethan Grant</v>
      </c>
      <c r="V50" s="10" t="str">
        <f>+V$10</f>
        <v>Bethan Grant</v>
      </c>
    </row>
    <row r="51" spans="2:22" ht="42.45" customHeight="1" x14ac:dyDescent="0.3">
      <c r="B51" s="971" t="s">
        <v>30</v>
      </c>
      <c r="C51" s="971"/>
      <c r="D51" s="11" t="str">
        <f>_xlfn.XLOOKUP($B50,EHS!$M$6:$BM$6,EHS!$M$10:$BM$10,0)</f>
        <v>G</v>
      </c>
      <c r="E51" s="127" t="str">
        <f>_xlfn.XLOOKUP($B50,Estimating!$M$6:$BM$6,Estimating!$M$10:$BM$10,0)</f>
        <v>G</v>
      </c>
      <c r="F51" s="11" t="str">
        <f>_xlfn.XLOOKUP($B50,SOP!$M$6:$BM$6,SOP!$M$10:$BM$10,0)</f>
        <v>A</v>
      </c>
      <c r="G51" s="11" t="str">
        <f>_xlfn.XLOOKUP($B50,Design!$M$6:$BM$6,Design!$M$10:$BM$10,0)</f>
        <v>G</v>
      </c>
      <c r="H51" s="11" t="str">
        <f>_xlfn.XLOOKUP($B50,'Product Design'!$M$6:$BM$6,'Product Design'!$M$10:$BM$10,0)</f>
        <v>R</v>
      </c>
      <c r="I51" s="11" t="str">
        <f>_xlfn.XLOOKUP($B50,'Product Eng - BE'!$M$6:$BM$6,'Product Eng - BE'!$M$10:$BM$10,0)</f>
        <v>G</v>
      </c>
      <c r="J51" s="11" t="str">
        <f>_xlfn.XLOOKUP($B50,'Product Eng - MB'!$M$6:$BM$6,'Product Eng - MB'!$M$10:$BM$10,0)</f>
        <v>G</v>
      </c>
      <c r="K51" s="11" t="str">
        <f>_xlfn.XLOOKUP($B50,'Bridgend Manuf'!$M$6:$BM$6,'Bridgend Manuf'!$M$10:$BM$10,0)</f>
        <v>G</v>
      </c>
      <c r="L51" s="11" t="str">
        <f>_xlfn.XLOOKUP($B50,'Maybole Manuf'!$M$6:$BM$6,'Maybole Manuf'!$M$10:$BM$10,0)</f>
        <v>TBC</v>
      </c>
      <c r="M51" s="127" t="str">
        <f>_xlfn.XLOOKUP($B50,Logistics!$M$6:$BM$6,Logistics!$M$10:$BM$10,0)</f>
        <v>TBC</v>
      </c>
      <c r="N51" s="127" t="str">
        <f>_xlfn.XLOOKUP($B50,Engineering!$M$22:$BM$22,Engineering!$M$26:$BM$26,0)</f>
        <v>Missed</v>
      </c>
      <c r="O51" s="127" t="str">
        <f>_xlfn.XLOOKUP($B50,'Quality MB'!$M$6:$BM$6,'Quality MB'!$M$10:$BM$10,0)</f>
        <v>TBC</v>
      </c>
      <c r="P51" s="127" t="str">
        <f>_xlfn.XLOOKUP($B50,Procurement!$M$6:$BM$6,Procurement!$M$10:$BM$10,0)</f>
        <v>TBC</v>
      </c>
      <c r="Q51" s="11" t="str">
        <f>_xlfn.XLOOKUP($B50,IT!$M$6:$BM$6,IT!$M$10:$BM$10,0)</f>
        <v>Undefined</v>
      </c>
      <c r="R51" s="11" t="str">
        <f>_xlfn.XLOOKUP($B50,Marketing!$M$6:$BM$6,Marketing!$M$10:$BM$10,0)</f>
        <v>G</v>
      </c>
      <c r="S51" s="11" t="str">
        <f>_xlfn.XLOOKUP($B50,Finance!$M$6:$BM$6,Finance!$M$10:$BM$10,0)</f>
        <v>G</v>
      </c>
      <c r="U51" s="127" t="str">
        <f>_xlfn.XLOOKUP($T50,'HR mthly'!$I$6:$BM$6,'HR mthly'!$I$11:$BM$11,0)</f>
        <v>G</v>
      </c>
      <c r="V51" s="127" t="str">
        <f>_xlfn.XLOOKUP($T50,'HR mthly'!$I$6:$BM$6,'HR mthly'!$I$14:$BM$14,0)</f>
        <v>G</v>
      </c>
    </row>
    <row r="52" spans="2:22" ht="42.45" customHeight="1" x14ac:dyDescent="0.3">
      <c r="B52" s="971" t="s">
        <v>172</v>
      </c>
      <c r="C52" s="971"/>
      <c r="D52" s="11" t="str">
        <f>_xlfn.XLOOKUP($B50,EHS!$M$6:$BM$6,EHS!$M$13:$BM$13,0)</f>
        <v>G</v>
      </c>
      <c r="E52" s="127" t="str">
        <f>_xlfn.XLOOKUP($B50,Estimating!$M$6:$BM$6,Estimating!$M$13:$BM$13,0)</f>
        <v>G</v>
      </c>
      <c r="F52" s="11" t="str">
        <f>_xlfn.XLOOKUP($B50,SOP!$M$6:$BM$6,SOP!$M$13:$BM$13,0)</f>
        <v>R</v>
      </c>
      <c r="G52" s="11" t="str">
        <f>_xlfn.XLOOKUP($B50,Design!$M$6:$BM$6,Design!$M$13:$BM$13,0)</f>
        <v>R</v>
      </c>
      <c r="H52" s="11" t="str">
        <f>_xlfn.XLOOKUP($B50,'Product Design'!$M$6:$BM$6,'Product Design'!$M$13:$BM$13,0)</f>
        <v>G</v>
      </c>
      <c r="I52" s="11" t="str">
        <f>_xlfn.XLOOKUP($B50,'Product Eng - BE'!$M$6:$BM$6,'Product Eng - BE'!$M$13:$BM$13,0)</f>
        <v>R</v>
      </c>
      <c r="J52" s="11" t="str">
        <f>_xlfn.XLOOKUP($B50,'Product Eng - MB'!$M$6:$BM$6,'Product Eng - MB'!$M$13:$BM$13,0)</f>
        <v>G</v>
      </c>
      <c r="K52" s="11" t="str">
        <f>_xlfn.XLOOKUP($B50,'Bridgend Manuf'!$M$6:$BM$6,'Bridgend Manuf'!$M$13:$BM$13,0)</f>
        <v>A</v>
      </c>
      <c r="L52" s="11" t="str">
        <f>_xlfn.XLOOKUP($B50,'Maybole Manuf'!$M$6:$BM$6,'Maybole Manuf'!$M$13:$BM$13,0)</f>
        <v>TBC</v>
      </c>
      <c r="M52" s="127" t="str">
        <f>_xlfn.XLOOKUP($B50,Logistics!$M$6:$BM$6,Logistics!$M$13:$BM$13,0)</f>
        <v>TBC</v>
      </c>
      <c r="N52" s="127" t="e">
        <f>_xlfn.XLOOKUP($B50,Engineering!$M$22:$BM$22,Engineering!#REF!,0)</f>
        <v>#REF!</v>
      </c>
      <c r="O52" s="127" t="str">
        <f>_xlfn.XLOOKUP($B50,'Quality MB'!$M$6:$BM$6,'Quality MB'!$M$13:$BM$13,0)</f>
        <v>TBC</v>
      </c>
      <c r="P52" s="127" t="str">
        <f>_xlfn.XLOOKUP($B50,Procurement!$M$6:$BM$6,Procurement!$M$13:$BM$13,0)</f>
        <v>TBC</v>
      </c>
      <c r="Q52" s="11" t="str">
        <f>_xlfn.XLOOKUP($B50,IT!$M$6:$BM$6,IT!$M$13:$BM$13,0)</f>
        <v>TBC</v>
      </c>
      <c r="R52" s="11" t="str">
        <f>_xlfn.XLOOKUP($B50,Marketing!$M$6:$BM$6,Marketing!$M$13:$BM$13,0)</f>
        <v>R</v>
      </c>
      <c r="S52" s="11" t="str">
        <f>_xlfn.XLOOKUP($T50,Finance!$M$16:$X$16,Finance!$M$21:$X$21,0)</f>
        <v>G</v>
      </c>
      <c r="U52" s="127" t="str">
        <f>_xlfn.XLOOKUP($T50,'HR mthly'!$I$6:$BM$6,'HR mthly'!$I$18:$BM$18,0)</f>
        <v>R</v>
      </c>
      <c r="V52" s="127" t="str">
        <f>_xlfn.XLOOKUP($T50,'HR mthly'!$I$6:$BM$6,'HR mthly'!$I$21:$BM$21,0)</f>
        <v>R</v>
      </c>
    </row>
    <row r="53" spans="2:22" ht="42.45" customHeight="1" x14ac:dyDescent="0.3">
      <c r="B53" s="971" t="s">
        <v>173</v>
      </c>
      <c r="C53" s="971"/>
      <c r="D53" s="11" t="s">
        <v>174</v>
      </c>
      <c r="E53" s="11" t="s">
        <v>174</v>
      </c>
      <c r="F53" s="11" t="str">
        <f>_xlfn.XLOOKUP($B50,SOP!$M$6:$BM$6,SOP!$M$16:$BM$16,0)</f>
        <v>R</v>
      </c>
      <c r="G53" s="11" t="s">
        <v>174</v>
      </c>
      <c r="H53" s="11" t="str">
        <f>_xlfn.XLOOKUP($B50,'Product Design'!$M$6:$BM$6,'Product Design'!$M$16:$BM$16,0)</f>
        <v>G</v>
      </c>
      <c r="I53" s="11" t="str">
        <f>_xlfn.XLOOKUP($B50,'Product Eng - BE'!$M$6:$BM$6,'Product Eng - BE'!$M$16:$BM$16,0)</f>
        <v>R</v>
      </c>
      <c r="J53" s="11" t="str">
        <f>_xlfn.XLOOKUP($B50,'Product Eng - MB'!$M$6:$BM$6,'Product Eng - MB'!$M$16:$BM$16,0)</f>
        <v>R</v>
      </c>
      <c r="K53" s="11" t="s">
        <v>174</v>
      </c>
      <c r="L53" s="11" t="s">
        <v>174</v>
      </c>
      <c r="M53" s="11" t="s">
        <v>174</v>
      </c>
      <c r="N53" s="11" t="s">
        <v>174</v>
      </c>
      <c r="O53" s="11" t="s">
        <v>174</v>
      </c>
      <c r="P53" s="11" t="s">
        <v>174</v>
      </c>
      <c r="Q53" s="11" t="s">
        <v>174</v>
      </c>
      <c r="R53" s="11" t="s">
        <v>174</v>
      </c>
      <c r="S53" s="11" t="s">
        <v>174</v>
      </c>
      <c r="U53" s="11" t="s">
        <v>174</v>
      </c>
      <c r="V53" s="11" t="s">
        <v>174</v>
      </c>
    </row>
    <row r="54" spans="2:22" ht="42.45" customHeight="1" x14ac:dyDescent="0.3">
      <c r="B54" s="971" t="s">
        <v>32</v>
      </c>
      <c r="C54" s="971"/>
      <c r="D54" s="11" t="str">
        <f>_xlfn.XLOOKUP($B50,EHS!$M$6:$BM$6,EHS!$M$16:$BM$16,0)</f>
        <v>A</v>
      </c>
      <c r="E54" s="127" t="str">
        <f>_xlfn.XLOOKUP($B50,Estimating!$M$6:$BM$6,Estimating!$M$16:$BM$16,0)</f>
        <v>R</v>
      </c>
      <c r="F54" s="11" t="str">
        <f>_xlfn.XLOOKUP($B50,SOP!$M$6:$BM$6,SOP!$M$19:$BM$19,0)</f>
        <v>G</v>
      </c>
      <c r="G54" s="11" t="str">
        <f>_xlfn.XLOOKUP($B50,Design!$M$6:$BM$6,Design!$M$16:$BM$16,0)</f>
        <v>R</v>
      </c>
      <c r="H54" s="11" t="str">
        <f>_xlfn.XLOOKUP($B50,'Product Design'!$M$6:$BM$6,'Product Design'!$M$19:$BM$19,0)</f>
        <v>R</v>
      </c>
      <c r="I54" s="11" t="str">
        <f>_xlfn.XLOOKUP($B50,'Product Eng - BE'!$M$6:$BM$6,'Product Eng - BE'!$M$19:$BM$19,0)</f>
        <v>Missed</v>
      </c>
      <c r="J54" s="11" t="str">
        <f>_xlfn.XLOOKUP($B50,'Product Eng - MB'!$M$6:$BM$6,'Product Eng - MB'!$M$19:$BM$19,0)</f>
        <v>Missed</v>
      </c>
      <c r="K54" s="11" t="str">
        <f>_xlfn.XLOOKUP($B50,'Bridgend Manuf'!$M$6:$BM$6,'Bridgend Manuf'!$M$16:$BM$16,0)</f>
        <v>G</v>
      </c>
      <c r="L54" s="11" t="str">
        <f>_xlfn.XLOOKUP($B50,'Maybole Manuf'!$M$6:$BM$6,'Maybole Manuf'!$M$16:$BM$16,0)</f>
        <v>TBC</v>
      </c>
      <c r="M54" s="127" t="str">
        <f>_xlfn.XLOOKUP($B50,Logistics!$M$6:$BM$6,Logistics!$M$16:$BM$16,0)</f>
        <v>Missed</v>
      </c>
      <c r="N54" s="127" t="e">
        <f>_xlfn.XLOOKUP($B50,Engineering!$M$22:$BM$22,Engineering!#REF!,0)</f>
        <v>#REF!</v>
      </c>
      <c r="O54" s="127" t="str">
        <f>_xlfn.XLOOKUP($B50,'Quality MB'!$M$6:$BM$6,'Quality MB'!$M$16:$BM$16,0)</f>
        <v>TBC</v>
      </c>
      <c r="P54" s="127" t="str">
        <f>_xlfn.XLOOKUP($B50,Procurement!$M$6:$BM$6,Procurement!$M$16:$BM$16,0)</f>
        <v>TBC</v>
      </c>
      <c r="Q54" s="11" t="str">
        <f>_xlfn.XLOOKUP($B50,IT!$M$6:$BM$6,IT!$M$16:$BM$16,0)</f>
        <v>TBC</v>
      </c>
      <c r="R54" s="11" t="str">
        <f>_xlfn.XLOOKUP($B50,Marketing!$M$6:$BM$6,Marketing!$M$16:$BM$16,0)</f>
        <v>G</v>
      </c>
      <c r="S54" s="11" t="str">
        <f>_xlfn.XLOOKUP($T50,Finance!$M$16:$X$16,Finance!$M$24:$X$24,0)</f>
        <v>G</v>
      </c>
      <c r="U54" s="127" t="str">
        <f>_xlfn.XLOOKUP($T50,'HR mthly'!$I$6:$BM$6,'HR mthly'!$I$26:$BM$26,0)</f>
        <v>R</v>
      </c>
      <c r="V54" s="127" t="str">
        <f>_xlfn.XLOOKUP($T50,'HR mthly'!$I$6:$BM$6,'HR mthly'!$I$29:$BM$29,0)</f>
        <v>R</v>
      </c>
    </row>
    <row r="55" spans="2:22" ht="42.45" customHeight="1" x14ac:dyDescent="0.3">
      <c r="B55" s="971" t="s">
        <v>31</v>
      </c>
      <c r="C55" s="971"/>
      <c r="D55" s="11" t="str">
        <f>_xlfn.XLOOKUP($B50,EHS!$M$6:$BM$6,EHS!$M$19:$BM$19,0)</f>
        <v>G</v>
      </c>
      <c r="E55" s="127" t="str">
        <f>_xlfn.XLOOKUP($B50,Estimating!$M$6:$BM$6,Estimating!$M$19:$BM$19,0)</f>
        <v>TBC</v>
      </c>
      <c r="F55" s="11" t="str">
        <f>_xlfn.XLOOKUP($B50,SOP!$M$6:$BM$6,SOP!$M$22:$BM$22,0)</f>
        <v>G</v>
      </c>
      <c r="G55" s="11" t="str">
        <f>_xlfn.XLOOKUP($B50,Design!$M$6:$BM$6,Design!$M$19:$BM$19,0)</f>
        <v>R</v>
      </c>
      <c r="H55" s="11" t="str">
        <f>_xlfn.XLOOKUP($B50,'Product Design'!$M$6:$BM$6,'Product Design'!$M$22:$BM$22,0)</f>
        <v>Undefined</v>
      </c>
      <c r="I55" s="11" t="str">
        <f>_xlfn.XLOOKUP($B50,'Product Eng - BE'!$M$6:$BM$6,'Product Eng - BE'!$M$22:$BM$22,0)</f>
        <v>G</v>
      </c>
      <c r="J55" s="11" t="str">
        <f>_xlfn.XLOOKUP($B50,'Product Eng - MB'!$M$6:$BM$6,'Product Eng - MB'!$M$22:$BM$22,0)</f>
        <v>G</v>
      </c>
      <c r="K55" s="11" t="str">
        <f>_xlfn.XLOOKUP($B50,'Bridgend Manuf'!$M$6:$BM$6,'Bridgend Manuf'!$M$19:$BM$19,0)</f>
        <v>G</v>
      </c>
      <c r="L55" s="11" t="str">
        <f>_xlfn.XLOOKUP($B50,'Maybole Manuf'!$M$6:$BM$6,'Maybole Manuf'!$M$19:$BM$19,0)</f>
        <v>TBC</v>
      </c>
      <c r="M55" s="127" t="str">
        <f>_xlfn.XLOOKUP($B50,Logistics!$M$6:$BM$6,Logistics!$M$19:$BM$19,0)</f>
        <v>Undefined</v>
      </c>
      <c r="N55" s="127" t="e">
        <f>_xlfn.XLOOKUP($B50,Engineering!$M$22:$BM$22,Engineering!#REF!,0)</f>
        <v>#REF!</v>
      </c>
      <c r="O55" s="127" t="str">
        <f>_xlfn.XLOOKUP($B50,'Quality MB'!$M$6:$BM$6,'Quality MB'!$M$19:$BM$19,0)</f>
        <v>TBC</v>
      </c>
      <c r="P55" s="127" t="str">
        <f>_xlfn.XLOOKUP($B50,Procurement!$M$6:$BM$6,Procurement!$M$19:$BM$19,0)</f>
        <v>TBC</v>
      </c>
      <c r="Q55" s="11" t="str">
        <f>_xlfn.XLOOKUP($B50,IT!$M$6:$BM$6,IT!$M$19:$BM$19,0)</f>
        <v>TBC</v>
      </c>
      <c r="R55" s="11" t="str">
        <f>_xlfn.XLOOKUP($B50,Marketing!$M$6:$BM$6,Marketing!$M$19:$BM$19,0)</f>
        <v>G</v>
      </c>
      <c r="S55" s="11" t="str">
        <f>_xlfn.XLOOKUP($T50,Finance!$M$16:$X$16,Finance!$M$27:$X$27,0)</f>
        <v>G</v>
      </c>
      <c r="U55" s="127" t="str">
        <f>_xlfn.XLOOKUP($T50,'HR mthly'!$I$6:$BM$6,'HR mthly'!$I$33:$BM$33,0)</f>
        <v>G</v>
      </c>
      <c r="V55" s="127" t="str">
        <f>_xlfn.XLOOKUP($T50,'HR mthly'!$I$6:$BM$6,'HR mthly'!$I$36:$BM$36,0)</f>
        <v>G</v>
      </c>
    </row>
    <row r="57" spans="2:22" ht="42.45" customHeight="1" x14ac:dyDescent="0.3">
      <c r="B57" s="973" t="s">
        <v>7</v>
      </c>
      <c r="C57" s="974"/>
      <c r="D57" s="6" t="str">
        <f>+D$9</f>
        <v>EHS</v>
      </c>
      <c r="E57" s="6" t="str">
        <f>+E$9</f>
        <v>Estimating</v>
      </c>
      <c r="F57" s="6" t="str">
        <f t="shared" ref="F57:R57" si="10">+F$9</f>
        <v>SOP</v>
      </c>
      <c r="G57" s="6" t="str">
        <f>+G$9</f>
        <v>Design and R&amp;D</v>
      </c>
      <c r="H57" s="6" t="str">
        <f t="shared" si="10"/>
        <v>Product Design</v>
      </c>
      <c r="I57" s="6" t="str">
        <f t="shared" si="10"/>
        <v>Product Engineering Bridgend</v>
      </c>
      <c r="J57" s="6" t="str">
        <f t="shared" si="10"/>
        <v>Product Engineering Maybole</v>
      </c>
      <c r="K57" s="6" t="str">
        <f t="shared" si="10"/>
        <v>Bridgend
Manuf</v>
      </c>
      <c r="L57" s="6" t="str">
        <f t="shared" si="10"/>
        <v>Maybole
Manuf</v>
      </c>
      <c r="M57" s="6" t="str">
        <f>+M$9</f>
        <v>Logistics</v>
      </c>
      <c r="N57" s="6" t="str">
        <f>+N$9</f>
        <v>Engineering</v>
      </c>
      <c r="O57" s="6" t="str">
        <f>+O$9</f>
        <v>Quality
Maybole</v>
      </c>
      <c r="P57" s="6" t="str">
        <f>+P$9</f>
        <v>Procurement</v>
      </c>
      <c r="Q57" s="6" t="str">
        <f>+Q$9</f>
        <v>IT</v>
      </c>
      <c r="R57" s="6" t="str">
        <f t="shared" si="10"/>
        <v>Marketing</v>
      </c>
      <c r="S57" s="6" t="str">
        <f>+S$9</f>
        <v>Finance</v>
      </c>
      <c r="T57" s="7" t="s">
        <v>409</v>
      </c>
      <c r="U57" s="6" t="str">
        <f>+U$9</f>
        <v>HR</v>
      </c>
      <c r="V57" s="6" t="str">
        <f>+V$9</f>
        <v>HR</v>
      </c>
    </row>
    <row r="58" spans="2:22" ht="42.45" customHeight="1" x14ac:dyDescent="0.3">
      <c r="B58" s="7">
        <f>B50+1</f>
        <v>7</v>
      </c>
      <c r="C58" s="8">
        <f>C50+7</f>
        <v>45702</v>
      </c>
      <c r="D58" s="10" t="str">
        <f>+D$10</f>
        <v>Neil 
Laing</v>
      </c>
      <c r="E58" s="9" t="str">
        <f>+E$10</f>
        <v>Julian Sparrow</v>
      </c>
      <c r="F58" s="10" t="str">
        <f t="shared" ref="F58:R58" si="11">+F$10</f>
        <v>Sam Westwood</v>
      </c>
      <c r="G58" s="10" t="str">
        <f>+G$10</f>
        <v>Andrew Skitt</v>
      </c>
      <c r="H58" s="10" t="str">
        <f t="shared" si="11"/>
        <v>Paul 
Dolan</v>
      </c>
      <c r="I58" s="10" t="str">
        <f t="shared" si="11"/>
        <v>Paul 
Dolan</v>
      </c>
      <c r="J58" s="10" t="str">
        <f t="shared" si="11"/>
        <v>Paul 
Dolan</v>
      </c>
      <c r="K58" s="10" t="str">
        <f t="shared" si="11"/>
        <v>Garin Bowen</v>
      </c>
      <c r="L58" s="10" t="str">
        <f t="shared" si="11"/>
        <v>Scott McMillan</v>
      </c>
      <c r="M58" s="10" t="str">
        <f>+M$10</f>
        <v>Scott McMillan</v>
      </c>
      <c r="N58" s="10" t="str">
        <f>+N$10</f>
        <v>Garin Bowen</v>
      </c>
      <c r="O58" s="10" t="str">
        <f>+O$10</f>
        <v>Scott McMIllan</v>
      </c>
      <c r="P58" s="10" t="str">
        <f>+P$10</f>
        <v>Matt 
Pope</v>
      </c>
      <c r="Q58" s="10" t="str">
        <f>+Q$10</f>
        <v>Rhian 
Owen</v>
      </c>
      <c r="R58" s="10" t="str">
        <f t="shared" si="11"/>
        <v>Katherine 
Sanganee</v>
      </c>
      <c r="S58" s="10" t="str">
        <f>+S$10</f>
        <v>Gethin Davies</v>
      </c>
      <c r="T58" s="7">
        <v>1</v>
      </c>
      <c r="U58" s="10" t="str">
        <f>+U$10</f>
        <v>Bethan Grant</v>
      </c>
      <c r="V58" s="10" t="str">
        <f>+V$10</f>
        <v>Bethan Grant</v>
      </c>
    </row>
    <row r="59" spans="2:22" ht="42.45" customHeight="1" x14ac:dyDescent="0.3">
      <c r="B59" s="971" t="s">
        <v>30</v>
      </c>
      <c r="C59" s="971"/>
      <c r="D59" s="11" t="str">
        <f>_xlfn.XLOOKUP($B58,EHS!$M$6:$BM$6,EHS!$M$10:$BM$10,0)</f>
        <v>G</v>
      </c>
      <c r="E59" s="127" t="str">
        <f>_xlfn.XLOOKUP($B58,Estimating!$M$6:$BM$6,Estimating!$M$10:$BM$10,0)</f>
        <v>G</v>
      </c>
      <c r="F59" s="11" t="str">
        <f>_xlfn.XLOOKUP($B58,SOP!$M$6:$BM$6,SOP!$M$10:$BM$10,0)</f>
        <v>R</v>
      </c>
      <c r="G59" s="11" t="str">
        <f>_xlfn.XLOOKUP($B58,Design!$M$6:$BM$6,Design!$M$10:$BM$10,0)</f>
        <v>G</v>
      </c>
      <c r="H59" s="11" t="str">
        <f>_xlfn.XLOOKUP($B58,'Product Design'!$M$6:$BM$6,'Product Design'!$M$10:$BM$10,0)</f>
        <v>G</v>
      </c>
      <c r="I59" s="11" t="str">
        <f>_xlfn.XLOOKUP($B58,'Product Eng - BE'!$M$6:$BM$6,'Product Eng - BE'!$M$10:$BM$10,0)</f>
        <v>R</v>
      </c>
      <c r="J59" s="11" t="str">
        <f>_xlfn.XLOOKUP($B58,'Product Eng - MB'!$M$6:$BM$6,'Product Eng - MB'!$M$10:$BM$10,0)</f>
        <v>G</v>
      </c>
      <c r="K59" s="11" t="str">
        <f>_xlfn.XLOOKUP($B58,'Bridgend Manuf'!$M$6:$BM$6,'Bridgend Manuf'!$M$10:$BM$10,0)</f>
        <v>G</v>
      </c>
      <c r="L59" s="11" t="str">
        <f>_xlfn.XLOOKUP($B58,'Maybole Manuf'!$M$6:$BM$6,'Maybole Manuf'!$M$10:$BM$10,0)</f>
        <v>TBC</v>
      </c>
      <c r="M59" s="127" t="str">
        <f>_xlfn.XLOOKUP($B58,Logistics!$M$6:$BM$6,Logistics!$M$10:$BM$10,0)</f>
        <v>TBC</v>
      </c>
      <c r="N59" s="127" t="str">
        <f>_xlfn.XLOOKUP($B58,Engineering!$M$22:$BM$22,Engineering!$M$26:$BM$26,0)</f>
        <v>Missed</v>
      </c>
      <c r="O59" s="127" t="str">
        <f>_xlfn.XLOOKUP($B58,'Quality MB'!$M$6:$BM$6,'Quality MB'!$M$10:$BM$10,0)</f>
        <v>TBC</v>
      </c>
      <c r="P59" s="127" t="str">
        <f>_xlfn.XLOOKUP($B58,Procurement!$M$6:$BM$6,Procurement!$M$10:$BM$10,0)</f>
        <v>TBC</v>
      </c>
      <c r="Q59" s="11" t="str">
        <f>_xlfn.XLOOKUP($B58,IT!$M$6:$BM$6,IT!$M$10:$BM$10,0)</f>
        <v>Undefined</v>
      </c>
      <c r="R59" s="11" t="str">
        <f>_xlfn.XLOOKUP($B58,Marketing!$M$6:$BM$6,Marketing!$M$10:$BM$10,0)</f>
        <v>G</v>
      </c>
      <c r="S59" s="11" t="str">
        <f>_xlfn.XLOOKUP($B58,Finance!$M$6:$BM$6,Finance!$M$10:$BM$10,0)</f>
        <v>G</v>
      </c>
      <c r="U59" s="127" t="str">
        <f>_xlfn.XLOOKUP($T58,'HR mthly'!$I$6:$BM$6,'HR mthly'!$I$11:$BM$11,0)</f>
        <v>G</v>
      </c>
      <c r="V59" s="127" t="str">
        <f>_xlfn.XLOOKUP($T58,'HR mthly'!$I$6:$BM$6,'HR mthly'!$I$14:$BM$14,0)</f>
        <v>G</v>
      </c>
    </row>
    <row r="60" spans="2:22" ht="42.45" customHeight="1" x14ac:dyDescent="0.3">
      <c r="B60" s="971" t="s">
        <v>172</v>
      </c>
      <c r="C60" s="971"/>
      <c r="D60" s="11" t="str">
        <f>_xlfn.XLOOKUP($B58,EHS!$M$6:$BM$6,EHS!$M$13:$BM$13,0)</f>
        <v>G</v>
      </c>
      <c r="E60" s="127" t="str">
        <f>_xlfn.XLOOKUP($B58,Estimating!$M$6:$BM$6,Estimating!$M$13:$BM$13,0)</f>
        <v>G</v>
      </c>
      <c r="F60" s="11" t="str">
        <f>_xlfn.XLOOKUP($B58,SOP!$M$6:$BM$6,SOP!$M$13:$BM$13,0)</f>
        <v>R</v>
      </c>
      <c r="G60" s="11" t="str">
        <f>_xlfn.XLOOKUP($B58,Design!$M$6:$BM$6,Design!$M$13:$BM$13,0)</f>
        <v>R</v>
      </c>
      <c r="H60" s="11" t="str">
        <f>_xlfn.XLOOKUP($B58,'Product Design'!$M$6:$BM$6,'Product Design'!$M$13:$BM$13,0)</f>
        <v>A</v>
      </c>
      <c r="I60" s="11" t="str">
        <f>_xlfn.XLOOKUP($B58,'Product Eng - BE'!$M$6:$BM$6,'Product Eng - BE'!$M$13:$BM$13,0)</f>
        <v>G</v>
      </c>
      <c r="J60" s="11" t="str">
        <f>_xlfn.XLOOKUP($B58,'Product Eng - MB'!$M$6:$BM$6,'Product Eng - MB'!$M$13:$BM$13,0)</f>
        <v>G</v>
      </c>
      <c r="K60" s="11" t="str">
        <f>_xlfn.XLOOKUP($B58,'Bridgend Manuf'!$M$6:$BM$6,'Bridgend Manuf'!$M$13:$BM$13,0)</f>
        <v>G</v>
      </c>
      <c r="L60" s="11" t="str">
        <f>_xlfn.XLOOKUP($B58,'Maybole Manuf'!$M$6:$BM$6,'Maybole Manuf'!$M$13:$BM$13,0)</f>
        <v>TBC</v>
      </c>
      <c r="M60" s="127" t="str">
        <f>_xlfn.XLOOKUP($B58,Logistics!$M$6:$BM$6,Logistics!$M$13:$BM$13,0)</f>
        <v>TBC</v>
      </c>
      <c r="N60" s="127" t="e">
        <f>_xlfn.XLOOKUP($B58,Engineering!$M$22:$BM$22,Engineering!#REF!,0)</f>
        <v>#REF!</v>
      </c>
      <c r="O60" s="127" t="str">
        <f>_xlfn.XLOOKUP($B58,'Quality MB'!$M$6:$BM$6,'Quality MB'!$M$13:$BM$13,0)</f>
        <v>TBC</v>
      </c>
      <c r="P60" s="127" t="str">
        <f>_xlfn.XLOOKUP($B58,Procurement!$M$6:$BM$6,Procurement!$M$13:$BM$13,0)</f>
        <v>TBC</v>
      </c>
      <c r="Q60" s="11" t="str">
        <f>_xlfn.XLOOKUP($B58,IT!$M$6:$BM$6,IT!$M$13:$BM$13,0)</f>
        <v>TBC</v>
      </c>
      <c r="R60" s="11" t="str">
        <f>_xlfn.XLOOKUP($B58,Marketing!$M$6:$BM$6,Marketing!$M$13:$BM$13,0)</f>
        <v>R</v>
      </c>
      <c r="S60" s="11" t="str">
        <f>_xlfn.XLOOKUP($T58,Finance!$M$16:$X$16,Finance!$M$21:$X$21,0)</f>
        <v>G</v>
      </c>
      <c r="U60" s="127" t="str">
        <f>_xlfn.XLOOKUP($T58,'HR mthly'!$I$6:$BM$6,'HR mthly'!$I$18:$BM$18,0)</f>
        <v>R</v>
      </c>
      <c r="V60" s="127" t="str">
        <f>_xlfn.XLOOKUP($T58,'HR mthly'!$I$6:$BM$6,'HR mthly'!$I$21:$BM$21,0)</f>
        <v>R</v>
      </c>
    </row>
    <row r="61" spans="2:22" ht="42.45" customHeight="1" x14ac:dyDescent="0.3">
      <c r="B61" s="971" t="s">
        <v>173</v>
      </c>
      <c r="C61" s="971"/>
      <c r="D61" s="11" t="s">
        <v>174</v>
      </c>
      <c r="E61" s="11" t="s">
        <v>174</v>
      </c>
      <c r="F61" s="11" t="str">
        <f>_xlfn.XLOOKUP($B58,SOP!$M$6:$BM$6,SOP!$M$16:$BM$16,0)</f>
        <v>R</v>
      </c>
      <c r="G61" s="11" t="s">
        <v>174</v>
      </c>
      <c r="H61" s="11" t="str">
        <f>_xlfn.XLOOKUP($B58,'Product Design'!$M$6:$BM$6,'Product Design'!$M$16:$BM$16,0)</f>
        <v>G</v>
      </c>
      <c r="I61" s="11" t="str">
        <f>_xlfn.XLOOKUP($B58,'Product Eng - BE'!$M$6:$BM$6,'Product Eng - BE'!$M$16:$BM$16,0)</f>
        <v>R</v>
      </c>
      <c r="J61" s="11" t="str">
        <f>_xlfn.XLOOKUP($B58,'Product Eng - MB'!$M$6:$BM$6,'Product Eng - MB'!$M$16:$BM$16,0)</f>
        <v>G</v>
      </c>
      <c r="K61" s="11" t="s">
        <v>174</v>
      </c>
      <c r="L61" s="11" t="s">
        <v>174</v>
      </c>
      <c r="M61" s="11" t="s">
        <v>174</v>
      </c>
      <c r="N61" s="11" t="s">
        <v>174</v>
      </c>
      <c r="O61" s="11" t="s">
        <v>174</v>
      </c>
      <c r="P61" s="11" t="s">
        <v>174</v>
      </c>
      <c r="Q61" s="11" t="s">
        <v>174</v>
      </c>
      <c r="R61" s="11" t="s">
        <v>174</v>
      </c>
      <c r="S61" s="11" t="s">
        <v>174</v>
      </c>
      <c r="U61" s="11" t="s">
        <v>174</v>
      </c>
      <c r="V61" s="11" t="s">
        <v>174</v>
      </c>
    </row>
    <row r="62" spans="2:22" ht="42.45" customHeight="1" x14ac:dyDescent="0.3">
      <c r="B62" s="971" t="s">
        <v>32</v>
      </c>
      <c r="C62" s="971"/>
      <c r="D62" s="11" t="str">
        <f>_xlfn.XLOOKUP($B58,EHS!$M$6:$BM$6,EHS!$M$16:$BM$16,0)</f>
        <v>R</v>
      </c>
      <c r="E62" s="127" t="str">
        <f>_xlfn.XLOOKUP($B58,Estimating!$M$6:$BM$6,Estimating!$M$16:$BM$16,0)</f>
        <v>G</v>
      </c>
      <c r="F62" s="11" t="str">
        <f>_xlfn.XLOOKUP($B58,SOP!$M$6:$BM$6,SOP!$M$19:$BM$19,0)</f>
        <v>R</v>
      </c>
      <c r="G62" s="11" t="str">
        <f>_xlfn.XLOOKUP($B58,Design!$M$6:$BM$6,Design!$M$16:$BM$16,0)</f>
        <v>R</v>
      </c>
      <c r="H62" s="11" t="str">
        <f>_xlfn.XLOOKUP($B58,'Product Design'!$M$6:$BM$6,'Product Design'!$M$19:$BM$19,0)</f>
        <v>G</v>
      </c>
      <c r="I62" s="11" t="str">
        <f>_xlfn.XLOOKUP($B58,'Product Eng - BE'!$M$6:$BM$6,'Product Eng - BE'!$M$19:$BM$19,0)</f>
        <v>Missed</v>
      </c>
      <c r="J62" s="11" t="str">
        <f>_xlfn.XLOOKUP($B58,'Product Eng - MB'!$M$6:$BM$6,'Product Eng - MB'!$M$19:$BM$19,0)</f>
        <v>Missed</v>
      </c>
      <c r="K62" s="11" t="str">
        <f>_xlfn.XLOOKUP($B58,'Bridgend Manuf'!$M$6:$BM$6,'Bridgend Manuf'!$M$16:$BM$16,0)</f>
        <v>G</v>
      </c>
      <c r="L62" s="11" t="str">
        <f>_xlfn.XLOOKUP($B58,'Maybole Manuf'!$M$6:$BM$6,'Maybole Manuf'!$M$16:$BM$16,0)</f>
        <v>TBC</v>
      </c>
      <c r="M62" s="127" t="str">
        <f>_xlfn.XLOOKUP($B58,Logistics!$M$6:$BM$6,Logistics!$M$16:$BM$16,0)</f>
        <v>Missed</v>
      </c>
      <c r="N62" s="127" t="e">
        <f>_xlfn.XLOOKUP($B58,Engineering!$M$22:$BM$22,Engineering!#REF!,0)</f>
        <v>#REF!</v>
      </c>
      <c r="O62" s="127" t="str">
        <f>_xlfn.XLOOKUP($B58,'Quality MB'!$M$6:$BM$6,'Quality MB'!$M$16:$BM$16,0)</f>
        <v>TBC</v>
      </c>
      <c r="P62" s="127" t="str">
        <f>_xlfn.XLOOKUP($B58,Procurement!$M$6:$BM$6,Procurement!$M$16:$BM$16,0)</f>
        <v>TBC</v>
      </c>
      <c r="Q62" s="11" t="str">
        <f>_xlfn.XLOOKUP($B58,IT!$M$6:$BM$6,IT!$M$16:$BM$16,0)</f>
        <v>TBC</v>
      </c>
      <c r="R62" s="11" t="str">
        <f>_xlfn.XLOOKUP($B58,Marketing!$M$6:$BM$6,Marketing!$M$16:$BM$16,0)</f>
        <v>R</v>
      </c>
      <c r="S62" s="11" t="str">
        <f>_xlfn.XLOOKUP($T58,Finance!$M$16:$X$16,Finance!$M$24:$X$24,0)</f>
        <v>G</v>
      </c>
      <c r="U62" s="127" t="str">
        <f>_xlfn.XLOOKUP($T58,'HR mthly'!$I$6:$BM$6,'HR mthly'!$I$26:$BM$26,0)</f>
        <v>R</v>
      </c>
      <c r="V62" s="127" t="str">
        <f>_xlfn.XLOOKUP($T58,'HR mthly'!$I$6:$BM$6,'HR mthly'!$I$29:$BM$29,0)</f>
        <v>R</v>
      </c>
    </row>
    <row r="63" spans="2:22" ht="42.45" customHeight="1" x14ac:dyDescent="0.3">
      <c r="B63" s="971" t="s">
        <v>31</v>
      </c>
      <c r="C63" s="971"/>
      <c r="D63" s="11" t="str">
        <f>_xlfn.XLOOKUP($B58,EHS!$M$6:$BM$6,EHS!$M$19:$BM$19,0)</f>
        <v>Missed</v>
      </c>
      <c r="E63" s="127" t="str">
        <f>_xlfn.XLOOKUP($B58,Estimating!$M$6:$BM$6,Estimating!$M$19:$BM$19,0)</f>
        <v>TBC</v>
      </c>
      <c r="F63" s="11" t="str">
        <f>_xlfn.XLOOKUP($B58,SOP!$M$6:$BM$6,SOP!$M$22:$BM$22,0)</f>
        <v>R</v>
      </c>
      <c r="G63" s="11" t="str">
        <f>_xlfn.XLOOKUP($B58,Design!$M$6:$BM$6,Design!$M$19:$BM$19,0)</f>
        <v>R</v>
      </c>
      <c r="H63" s="11" t="str">
        <f>_xlfn.XLOOKUP($B58,'Product Design'!$M$6:$BM$6,'Product Design'!$M$22:$BM$22,0)</f>
        <v>Undefined</v>
      </c>
      <c r="I63" s="11" t="str">
        <f>_xlfn.XLOOKUP($B58,'Product Eng - BE'!$M$6:$BM$6,'Product Eng - BE'!$M$22:$BM$22,0)</f>
        <v>G</v>
      </c>
      <c r="J63" s="11" t="str">
        <f>_xlfn.XLOOKUP($B58,'Product Eng - MB'!$M$6:$BM$6,'Product Eng - MB'!$M$22:$BM$22,0)</f>
        <v>G</v>
      </c>
      <c r="K63" s="11" t="str">
        <f>_xlfn.XLOOKUP($B58,'Bridgend Manuf'!$M$6:$BM$6,'Bridgend Manuf'!$M$19:$BM$19,0)</f>
        <v>G</v>
      </c>
      <c r="L63" s="11" t="str">
        <f>_xlfn.XLOOKUP($B58,'Maybole Manuf'!$M$6:$BM$6,'Maybole Manuf'!$M$19:$BM$19,0)</f>
        <v>TBC</v>
      </c>
      <c r="M63" s="127" t="str">
        <f>_xlfn.XLOOKUP($B58,Logistics!$M$6:$BM$6,Logistics!$M$19:$BM$19,0)</f>
        <v>Undefined</v>
      </c>
      <c r="N63" s="127" t="e">
        <f>_xlfn.XLOOKUP($B58,Engineering!$M$22:$BM$22,Engineering!#REF!,0)</f>
        <v>#REF!</v>
      </c>
      <c r="O63" s="127" t="str">
        <f>_xlfn.XLOOKUP($B58,'Quality MB'!$M$6:$BM$6,'Quality MB'!$M$19:$BM$19,0)</f>
        <v>TBC</v>
      </c>
      <c r="P63" s="127" t="str">
        <f>_xlfn.XLOOKUP($B58,Procurement!$M$6:$BM$6,Procurement!$M$19:$BM$19,0)</f>
        <v>TBC</v>
      </c>
      <c r="Q63" s="11" t="str">
        <f>_xlfn.XLOOKUP($B58,IT!$M$6:$BM$6,IT!$M$19:$BM$19,0)</f>
        <v>TBC</v>
      </c>
      <c r="R63" s="11" t="str">
        <f>_xlfn.XLOOKUP($B58,Marketing!$M$6:$BM$6,Marketing!$M$19:$BM$19,0)</f>
        <v>G</v>
      </c>
      <c r="S63" s="11" t="str">
        <f>_xlfn.XLOOKUP($T58,Finance!$M$16:$X$16,Finance!$M$27:$X$27,0)</f>
        <v>G</v>
      </c>
      <c r="U63" s="127" t="str">
        <f>_xlfn.XLOOKUP($T58,'HR mthly'!$I$6:$BM$6,'HR mthly'!$I$33:$BM$33,0)</f>
        <v>G</v>
      </c>
      <c r="V63" s="127" t="str">
        <f>_xlfn.XLOOKUP($T58,'HR mthly'!$I$6:$BM$6,'HR mthly'!$I$36:$BM$36,0)</f>
        <v>G</v>
      </c>
    </row>
    <row r="65" spans="2:24" ht="42.45" customHeight="1" x14ac:dyDescent="0.3">
      <c r="B65" s="973" t="s">
        <v>7</v>
      </c>
      <c r="C65" s="974"/>
      <c r="D65" s="6" t="str">
        <f>+D$9</f>
        <v>EHS</v>
      </c>
      <c r="E65" s="6" t="str">
        <f>+E$9</f>
        <v>Estimating</v>
      </c>
      <c r="F65" s="6" t="str">
        <f t="shared" ref="F65:R65" si="12">+F$9</f>
        <v>SOP</v>
      </c>
      <c r="G65" s="6" t="str">
        <f>+G$9</f>
        <v>Design and R&amp;D</v>
      </c>
      <c r="H65" s="6" t="str">
        <f t="shared" si="12"/>
        <v>Product Design</v>
      </c>
      <c r="I65" s="6" t="str">
        <f t="shared" si="12"/>
        <v>Product Engineering Bridgend</v>
      </c>
      <c r="J65" s="6" t="str">
        <f t="shared" si="12"/>
        <v>Product Engineering Maybole</v>
      </c>
      <c r="K65" s="6" t="str">
        <f t="shared" si="12"/>
        <v>Bridgend
Manuf</v>
      </c>
      <c r="L65" s="6" t="str">
        <f t="shared" si="12"/>
        <v>Maybole
Manuf</v>
      </c>
      <c r="M65" s="6" t="str">
        <f>+M$9</f>
        <v>Logistics</v>
      </c>
      <c r="N65" s="6" t="str">
        <f>+N$9</f>
        <v>Engineering</v>
      </c>
      <c r="O65" s="6" t="str">
        <f>+O$9</f>
        <v>Quality
Maybole</v>
      </c>
      <c r="P65" s="6" t="str">
        <f>+P$9</f>
        <v>Procurement</v>
      </c>
      <c r="Q65" s="6" t="str">
        <f>+Q$9</f>
        <v>IT</v>
      </c>
      <c r="R65" s="6" t="str">
        <f t="shared" si="12"/>
        <v>Marketing</v>
      </c>
      <c r="S65" s="6" t="str">
        <f>+S$9</f>
        <v>Finance</v>
      </c>
      <c r="T65" s="7" t="s">
        <v>409</v>
      </c>
      <c r="U65" s="6" t="str">
        <f>+U$9</f>
        <v>HR</v>
      </c>
      <c r="V65" s="6" t="str">
        <f>+V$9</f>
        <v>HR</v>
      </c>
    </row>
    <row r="66" spans="2:24" ht="42.45" customHeight="1" x14ac:dyDescent="0.3">
      <c r="B66" s="7">
        <f>B58+1</f>
        <v>8</v>
      </c>
      <c r="C66" s="8">
        <f>C58+7</f>
        <v>45709</v>
      </c>
      <c r="D66" s="10" t="str">
        <f>+D$10</f>
        <v>Neil 
Laing</v>
      </c>
      <c r="E66" s="9" t="str">
        <f>+E$10</f>
        <v>Julian Sparrow</v>
      </c>
      <c r="F66" s="10" t="str">
        <f t="shared" ref="F66:R66" si="13">+F$10</f>
        <v>Sam Westwood</v>
      </c>
      <c r="G66" s="10" t="str">
        <f>+G$10</f>
        <v>Andrew Skitt</v>
      </c>
      <c r="H66" s="10" t="str">
        <f t="shared" si="13"/>
        <v>Paul 
Dolan</v>
      </c>
      <c r="I66" s="10" t="str">
        <f t="shared" si="13"/>
        <v>Paul 
Dolan</v>
      </c>
      <c r="J66" s="10" t="str">
        <f t="shared" si="13"/>
        <v>Paul 
Dolan</v>
      </c>
      <c r="K66" s="10" t="str">
        <f t="shared" si="13"/>
        <v>Garin Bowen</v>
      </c>
      <c r="L66" s="10" t="str">
        <f t="shared" si="13"/>
        <v>Scott McMillan</v>
      </c>
      <c r="M66" s="10" t="str">
        <f>+M$10</f>
        <v>Scott McMillan</v>
      </c>
      <c r="N66" s="10" t="str">
        <f>+N$10</f>
        <v>Garin Bowen</v>
      </c>
      <c r="O66" s="10" t="str">
        <f>+O$10</f>
        <v>Scott McMIllan</v>
      </c>
      <c r="P66" s="10" t="str">
        <f>+P$10</f>
        <v>Matt 
Pope</v>
      </c>
      <c r="Q66" s="10" t="str">
        <f>+Q$10</f>
        <v>Rhian 
Owen</v>
      </c>
      <c r="R66" s="10" t="str">
        <f t="shared" si="13"/>
        <v>Katherine 
Sanganee</v>
      </c>
      <c r="S66" s="10" t="str">
        <f>+S$10</f>
        <v>Gethin Davies</v>
      </c>
      <c r="T66" s="7">
        <v>1</v>
      </c>
      <c r="U66" s="10" t="str">
        <f>+U$10</f>
        <v>Bethan Grant</v>
      </c>
      <c r="V66" s="10" t="str">
        <f>+V$10</f>
        <v>Bethan Grant</v>
      </c>
    </row>
    <row r="67" spans="2:24" ht="42.45" customHeight="1" x14ac:dyDescent="0.3">
      <c r="B67" s="971" t="s">
        <v>30</v>
      </c>
      <c r="C67" s="971"/>
      <c r="D67" s="11" t="str">
        <f>_xlfn.XLOOKUP($B66,EHS!$M$6:$BM$6,EHS!$M$10:$BM$10,0)</f>
        <v>R</v>
      </c>
      <c r="E67" s="127" t="str">
        <f>_xlfn.XLOOKUP($B66,Estimating!$M$6:$BM$6,Estimating!$M$10:$BM$10,0)</f>
        <v>G</v>
      </c>
      <c r="F67" s="11" t="str">
        <f>_xlfn.XLOOKUP($B66,SOP!$M$6:$BM$6,SOP!$M$10:$BM$10,0)</f>
        <v>G</v>
      </c>
      <c r="G67" s="11" t="str">
        <f>_xlfn.XLOOKUP($B66,Design!$M$6:$BM$6,Design!$M$10:$BM$10,0)</f>
        <v>R</v>
      </c>
      <c r="H67" s="11" t="str">
        <f>_xlfn.XLOOKUP($B66,'Product Design'!$M$6:$BM$6,'Product Design'!$M$10:$BM$10,0)</f>
        <v>G</v>
      </c>
      <c r="I67" s="11" t="str">
        <f>_xlfn.XLOOKUP($B66,'Product Eng - BE'!$M$6:$BM$6,'Product Eng - BE'!$M$10:$BM$10,0)</f>
        <v>R</v>
      </c>
      <c r="J67" s="11" t="str">
        <f>_xlfn.XLOOKUP($B66,'Product Eng - MB'!$M$6:$BM$6,'Product Eng - MB'!$M$10:$BM$10,0)</f>
        <v>G</v>
      </c>
      <c r="K67" s="11" t="str">
        <f>_xlfn.XLOOKUP($B66,'Bridgend Manuf'!$M$6:$BM$6,'Bridgend Manuf'!$M$10:$BM$10,0)</f>
        <v>G</v>
      </c>
      <c r="L67" s="11" t="str">
        <f>_xlfn.XLOOKUP($B66,'Maybole Manuf'!$M$6:$BM$6,'Maybole Manuf'!$M$10:$BM$10,0)</f>
        <v>TBC</v>
      </c>
      <c r="M67" s="127" t="str">
        <f>_xlfn.XLOOKUP($B66,Logistics!$M$6:$BM$6,Logistics!$M$10:$BM$10,0)</f>
        <v>TBC</v>
      </c>
      <c r="N67" s="127" t="str">
        <f>_xlfn.XLOOKUP($B66,Engineering!$M$22:$BM$22,Engineering!$M$26:$BM$26,0)</f>
        <v>Missed</v>
      </c>
      <c r="O67" s="127" t="str">
        <f>_xlfn.XLOOKUP($B66,'Quality MB'!$M$6:$BM$6,'Quality MB'!$M$10:$BM$10,0)</f>
        <v>TBC</v>
      </c>
      <c r="P67" s="127" t="str">
        <f>_xlfn.XLOOKUP($B66,Procurement!$M$6:$BM$6,Procurement!$M$10:$BM$10,0)</f>
        <v>TBC</v>
      </c>
      <c r="Q67" s="11" t="str">
        <f>_xlfn.XLOOKUP($B66,IT!$M$6:$BM$6,IT!$M$10:$BM$10,0)</f>
        <v>Undefined</v>
      </c>
      <c r="R67" s="11" t="str">
        <f>_xlfn.XLOOKUP($B66,Marketing!$M$6:$BM$6,Marketing!$M$10:$BM$10,0)</f>
        <v>G</v>
      </c>
      <c r="S67" s="11" t="str">
        <f>_xlfn.XLOOKUP($B66,Finance!$M$6:$BM$6,Finance!$M$10:$BM$10,0)</f>
        <v>G</v>
      </c>
      <c r="U67" s="127" t="str">
        <f>_xlfn.XLOOKUP($T66,'HR mthly'!$I$6:$BM$6,'HR mthly'!$I$11:$BM$11,0)</f>
        <v>G</v>
      </c>
      <c r="V67" s="127" t="str">
        <f>_xlfn.XLOOKUP($T66,'HR mthly'!$I$6:$BM$6,'HR mthly'!$I$14:$BM$14,0)</f>
        <v>G</v>
      </c>
    </row>
    <row r="68" spans="2:24" ht="42.45" customHeight="1" x14ac:dyDescent="0.3">
      <c r="B68" s="971" t="s">
        <v>172</v>
      </c>
      <c r="C68" s="971"/>
      <c r="D68" s="11" t="str">
        <f>_xlfn.XLOOKUP($B66,EHS!$M$6:$BM$6,EHS!$M$13:$BM$13,0)</f>
        <v>G</v>
      </c>
      <c r="E68" s="127" t="str">
        <f>_xlfn.XLOOKUP($B66,Estimating!$M$6:$BM$6,Estimating!$M$13:$BM$13,0)</f>
        <v>G</v>
      </c>
      <c r="F68" s="11" t="str">
        <f>_xlfn.XLOOKUP($B66,SOP!$M$6:$BM$6,SOP!$M$13:$BM$13,0)</f>
        <v>R</v>
      </c>
      <c r="G68" s="11" t="str">
        <f>_xlfn.XLOOKUP($B66,Design!$M$6:$BM$6,Design!$M$13:$BM$13,0)</f>
        <v>R</v>
      </c>
      <c r="H68" s="11" t="str">
        <f>_xlfn.XLOOKUP($B66,'Product Design'!$M$6:$BM$6,'Product Design'!$M$13:$BM$13,0)</f>
        <v>R</v>
      </c>
      <c r="I68" s="11" t="str">
        <f>_xlfn.XLOOKUP($B66,'Product Eng - BE'!$M$6:$BM$6,'Product Eng - BE'!$M$13:$BM$13,0)</f>
        <v>G</v>
      </c>
      <c r="J68" s="11" t="str">
        <f>_xlfn.XLOOKUP($B66,'Product Eng - MB'!$M$6:$BM$6,'Product Eng - MB'!$M$13:$BM$13,0)</f>
        <v>G</v>
      </c>
      <c r="K68" s="11" t="str">
        <f>_xlfn.XLOOKUP($B66,'Bridgend Manuf'!$M$6:$BM$6,'Bridgend Manuf'!$M$13:$BM$13,0)</f>
        <v>A</v>
      </c>
      <c r="L68" s="11" t="str">
        <f>_xlfn.XLOOKUP($B66,'Maybole Manuf'!$M$6:$BM$6,'Maybole Manuf'!$M$13:$BM$13,0)</f>
        <v>TBC</v>
      </c>
      <c r="M68" s="127" t="str">
        <f>_xlfn.XLOOKUP($B66,Logistics!$M$6:$BM$6,Logistics!$M$13:$BM$13,0)</f>
        <v>TBC</v>
      </c>
      <c r="N68" s="127" t="e">
        <f>_xlfn.XLOOKUP($B66,Engineering!$M$22:$BM$22,Engineering!#REF!,0)</f>
        <v>#REF!</v>
      </c>
      <c r="O68" s="127" t="str">
        <f>_xlfn.XLOOKUP($B66,'Quality MB'!$M$6:$BM$6,'Quality MB'!$M$13:$BM$13,0)</f>
        <v>TBC</v>
      </c>
      <c r="P68" s="127" t="str">
        <f>_xlfn.XLOOKUP($B66,Procurement!$M$6:$BM$6,Procurement!$M$13:$BM$13,0)</f>
        <v>TBC</v>
      </c>
      <c r="Q68" s="11" t="str">
        <f>_xlfn.XLOOKUP($B66,IT!$M$6:$BM$6,IT!$M$13:$BM$13,0)</f>
        <v>TBC</v>
      </c>
      <c r="R68" s="11" t="str">
        <f>_xlfn.XLOOKUP($B66,Marketing!$M$6:$BM$6,Marketing!$M$13:$BM$13,0)</f>
        <v>R</v>
      </c>
      <c r="S68" s="11" t="str">
        <f>_xlfn.XLOOKUP($T66,Finance!$M$16:$X$16,Finance!$M$21:$X$21,0)</f>
        <v>G</v>
      </c>
      <c r="U68" s="127" t="str">
        <f>_xlfn.XLOOKUP($T66,'HR mthly'!$I$6:$BM$6,'HR mthly'!$I$18:$BM$18,0)</f>
        <v>R</v>
      </c>
      <c r="V68" s="127" t="str">
        <f>_xlfn.XLOOKUP($T66,'HR mthly'!$I$6:$BM$6,'HR mthly'!$I$21:$BM$21,0)</f>
        <v>R</v>
      </c>
    </row>
    <row r="69" spans="2:24" ht="42.45" customHeight="1" x14ac:dyDescent="0.3">
      <c r="B69" s="971" t="s">
        <v>173</v>
      </c>
      <c r="C69" s="971"/>
      <c r="D69" s="11" t="s">
        <v>174</v>
      </c>
      <c r="E69" s="11" t="s">
        <v>174</v>
      </c>
      <c r="F69" s="11" t="str">
        <f>_xlfn.XLOOKUP($B66,SOP!$M$6:$BM$6,SOP!$M$16:$BM$16,0)</f>
        <v>R</v>
      </c>
      <c r="G69" s="11" t="s">
        <v>174</v>
      </c>
      <c r="H69" s="11" t="str">
        <f>_xlfn.XLOOKUP($B66,'Product Design'!$M$6:$BM$6,'Product Design'!$M$16:$BM$16,0)</f>
        <v>R</v>
      </c>
      <c r="I69" s="11" t="str">
        <f>_xlfn.XLOOKUP($B66,'Product Eng - BE'!$M$6:$BM$6,'Product Eng - BE'!$M$16:$BM$16,0)</f>
        <v>R</v>
      </c>
      <c r="J69" s="11" t="str">
        <f>_xlfn.XLOOKUP($B66,'Product Eng - MB'!$M$6:$BM$6,'Product Eng - MB'!$M$16:$BM$16,0)</f>
        <v>G</v>
      </c>
      <c r="K69" s="11" t="s">
        <v>174</v>
      </c>
      <c r="L69" s="11" t="s">
        <v>174</v>
      </c>
      <c r="M69" s="11" t="s">
        <v>174</v>
      </c>
      <c r="N69" s="11" t="s">
        <v>174</v>
      </c>
      <c r="O69" s="11" t="s">
        <v>174</v>
      </c>
      <c r="P69" s="11" t="s">
        <v>174</v>
      </c>
      <c r="Q69" s="11" t="s">
        <v>174</v>
      </c>
      <c r="R69" s="11" t="s">
        <v>174</v>
      </c>
      <c r="S69" s="11" t="s">
        <v>174</v>
      </c>
      <c r="U69" s="11" t="s">
        <v>174</v>
      </c>
      <c r="V69" s="11" t="s">
        <v>174</v>
      </c>
    </row>
    <row r="70" spans="2:24" ht="42.45" customHeight="1" x14ac:dyDescent="0.3">
      <c r="B70" s="971" t="s">
        <v>32</v>
      </c>
      <c r="C70" s="971"/>
      <c r="D70" s="11" t="str">
        <f>_xlfn.XLOOKUP($B66,EHS!$M$6:$BM$6,EHS!$M$16:$BM$16,0)</f>
        <v>A</v>
      </c>
      <c r="E70" s="127" t="str">
        <f>_xlfn.XLOOKUP($B66,Estimating!$M$6:$BM$6,Estimating!$M$16:$BM$16,0)</f>
        <v>R</v>
      </c>
      <c r="F70" s="11" t="str">
        <f>_xlfn.XLOOKUP($B66,SOP!$M$6:$BM$6,SOP!$M$19:$BM$19,0)</f>
        <v>R</v>
      </c>
      <c r="G70" s="11" t="str">
        <f>_xlfn.XLOOKUP($B66,Design!$M$6:$BM$6,Design!$M$16:$BM$16,0)</f>
        <v>R</v>
      </c>
      <c r="H70" s="11" t="str">
        <f>_xlfn.XLOOKUP($B66,'Product Design'!$M$6:$BM$6,'Product Design'!$M$19:$BM$19,0)</f>
        <v>G</v>
      </c>
      <c r="I70" s="11" t="str">
        <f>_xlfn.XLOOKUP($B66,'Product Eng - BE'!$M$6:$BM$6,'Product Eng - BE'!$M$19:$BM$19,0)</f>
        <v>Missed</v>
      </c>
      <c r="J70" s="11" t="str">
        <f>_xlfn.XLOOKUP($B66,'Product Eng - MB'!$M$6:$BM$6,'Product Eng - MB'!$M$19:$BM$19,0)</f>
        <v>Missed</v>
      </c>
      <c r="K70" s="11" t="str">
        <f>_xlfn.XLOOKUP($B66,'Bridgend Manuf'!$M$6:$BM$6,'Bridgend Manuf'!$M$16:$BM$16,0)</f>
        <v>G</v>
      </c>
      <c r="L70" s="11" t="str">
        <f>_xlfn.XLOOKUP($B66,'Maybole Manuf'!$M$6:$BM$6,'Maybole Manuf'!$M$16:$BM$16,0)</f>
        <v>TBC</v>
      </c>
      <c r="M70" s="127" t="str">
        <f>_xlfn.XLOOKUP($B66,Logistics!$M$6:$BM$6,Logistics!$M$16:$BM$16,0)</f>
        <v>Missed</v>
      </c>
      <c r="N70" s="127" t="e">
        <f>_xlfn.XLOOKUP($B66,Engineering!$M$22:$BM$22,Engineering!#REF!,0)</f>
        <v>#REF!</v>
      </c>
      <c r="O70" s="127" t="str">
        <f>_xlfn.XLOOKUP($B66,'Quality MB'!$M$6:$BM$6,'Quality MB'!$M$16:$BM$16,0)</f>
        <v>TBC</v>
      </c>
      <c r="P70" s="127" t="str">
        <f>_xlfn.XLOOKUP($B66,Procurement!$M$6:$BM$6,Procurement!$M$16:$BM$16,0)</f>
        <v>TBC</v>
      </c>
      <c r="Q70" s="11" t="str">
        <f>_xlfn.XLOOKUP($B66,IT!$M$6:$BM$6,IT!$M$16:$BM$16,0)</f>
        <v>TBC</v>
      </c>
      <c r="R70" s="11" t="str">
        <f>_xlfn.XLOOKUP($B66,Marketing!$M$6:$BM$6,Marketing!$M$16:$BM$16,0)</f>
        <v>R</v>
      </c>
      <c r="S70" s="11" t="str">
        <f>_xlfn.XLOOKUP($T66,Finance!$M$16:$X$16,Finance!$M$24:$X$24,0)</f>
        <v>G</v>
      </c>
      <c r="U70" s="127" t="str">
        <f>_xlfn.XLOOKUP($T66,'HR mthly'!$I$6:$BM$6,'HR mthly'!$I$26:$BM$26,0)</f>
        <v>R</v>
      </c>
      <c r="V70" s="127" t="str">
        <f>_xlfn.XLOOKUP($T66,'HR mthly'!$I$6:$BM$6,'HR mthly'!$I$29:$BM$29,0)</f>
        <v>R</v>
      </c>
    </row>
    <row r="71" spans="2:24" ht="42.45" customHeight="1" x14ac:dyDescent="0.3">
      <c r="B71" s="971" t="s">
        <v>31</v>
      </c>
      <c r="C71" s="971"/>
      <c r="D71" s="11" t="str">
        <f>_xlfn.XLOOKUP($B66,EHS!$M$6:$BM$6,EHS!$M$19:$BM$19,0)</f>
        <v>Missed</v>
      </c>
      <c r="E71" s="127" t="str">
        <f>_xlfn.XLOOKUP($B66,Estimating!$M$6:$BM$6,Estimating!$M$19:$BM$19,0)</f>
        <v>TBC</v>
      </c>
      <c r="F71" s="11" t="str">
        <f>_xlfn.XLOOKUP($B66,SOP!$M$6:$BM$6,SOP!$M$22:$BM$22,0)</f>
        <v>G</v>
      </c>
      <c r="G71" s="11" t="str">
        <f>_xlfn.XLOOKUP($B66,Design!$M$6:$BM$6,Design!$M$19:$BM$19,0)</f>
        <v>G</v>
      </c>
      <c r="H71" s="11" t="str">
        <f>_xlfn.XLOOKUP($B66,'Product Design'!$M$6:$BM$6,'Product Design'!$M$22:$BM$22,0)</f>
        <v>Undefined</v>
      </c>
      <c r="I71" s="11" t="str">
        <f>_xlfn.XLOOKUP($B66,'Product Eng - BE'!$M$6:$BM$6,'Product Eng - BE'!$M$22:$BM$22,0)</f>
        <v>R</v>
      </c>
      <c r="J71" s="11" t="str">
        <f>_xlfn.XLOOKUP($B66,'Product Eng - MB'!$M$6:$BM$6,'Product Eng - MB'!$M$22:$BM$22,0)</f>
        <v>G</v>
      </c>
      <c r="K71" s="11" t="str">
        <f>_xlfn.XLOOKUP($B66,'Bridgend Manuf'!$M$6:$BM$6,'Bridgend Manuf'!$M$19:$BM$19,0)</f>
        <v>G</v>
      </c>
      <c r="L71" s="11" t="str">
        <f>_xlfn.XLOOKUP($B66,'Maybole Manuf'!$M$6:$BM$6,'Maybole Manuf'!$M$19:$BM$19,0)</f>
        <v>TBC</v>
      </c>
      <c r="M71" s="127" t="str">
        <f>_xlfn.XLOOKUP($B66,Logistics!$M$6:$BM$6,Logistics!$M$19:$BM$19,0)</f>
        <v>Undefined</v>
      </c>
      <c r="N71" s="127" t="e">
        <f>_xlfn.XLOOKUP($B66,Engineering!$M$22:$BM$22,Engineering!#REF!,0)</f>
        <v>#REF!</v>
      </c>
      <c r="O71" s="127" t="str">
        <f>_xlfn.XLOOKUP($B66,'Quality MB'!$M$6:$BM$6,'Quality MB'!$M$19:$BM$19,0)</f>
        <v>TBC</v>
      </c>
      <c r="P71" s="127" t="str">
        <f>_xlfn.XLOOKUP($B66,Procurement!$M$6:$BM$6,Procurement!$M$19:$BM$19,0)</f>
        <v>TBC</v>
      </c>
      <c r="Q71" s="11" t="str">
        <f>_xlfn.XLOOKUP($B66,IT!$M$6:$BM$6,IT!$M$19:$BM$19,0)</f>
        <v>TBC</v>
      </c>
      <c r="R71" s="11" t="str">
        <f>_xlfn.XLOOKUP($B66,Marketing!$M$6:$BM$6,Marketing!$M$19:$BM$19,0)</f>
        <v>G</v>
      </c>
      <c r="S71" s="11" t="str">
        <f>_xlfn.XLOOKUP($T66,Finance!$M$16:$X$16,Finance!$M$27:$X$27,0)</f>
        <v>G</v>
      </c>
      <c r="U71" s="127" t="str">
        <f>_xlfn.XLOOKUP($T66,'HR mthly'!$I$6:$BM$6,'HR mthly'!$I$33:$BM$33,0)</f>
        <v>G</v>
      </c>
      <c r="V71" s="127" t="str">
        <f>_xlfn.XLOOKUP($T66,'HR mthly'!$I$6:$BM$6,'HR mthly'!$I$36:$BM$36,0)</f>
        <v>G</v>
      </c>
    </row>
    <row r="72" spans="2:24" ht="42.45" customHeight="1" x14ac:dyDescent="0.3">
      <c r="U72"/>
      <c r="V72"/>
      <c r="W72"/>
      <c r="X72"/>
    </row>
    <row r="73" spans="2:24" ht="42.45" customHeight="1" x14ac:dyDescent="0.3">
      <c r="B73" s="973" t="s">
        <v>7</v>
      </c>
      <c r="C73" s="974"/>
      <c r="D73" s="6" t="str">
        <f>+D$9</f>
        <v>EHS</v>
      </c>
      <c r="E73" s="6" t="str">
        <f>+E$9</f>
        <v>Estimating</v>
      </c>
      <c r="F73" s="6" t="str">
        <f t="shared" ref="F73:R73" si="14">+F$9</f>
        <v>SOP</v>
      </c>
      <c r="G73" s="6" t="str">
        <f>+G$9</f>
        <v>Design and R&amp;D</v>
      </c>
      <c r="H73" s="6" t="str">
        <f t="shared" si="14"/>
        <v>Product Design</v>
      </c>
      <c r="I73" s="6" t="str">
        <f t="shared" si="14"/>
        <v>Product Engineering Bridgend</v>
      </c>
      <c r="J73" s="6" t="str">
        <f t="shared" si="14"/>
        <v>Product Engineering Maybole</v>
      </c>
      <c r="K73" s="6" t="str">
        <f t="shared" si="14"/>
        <v>Bridgend
Manuf</v>
      </c>
      <c r="L73" s="6" t="str">
        <f t="shared" si="14"/>
        <v>Maybole
Manuf</v>
      </c>
      <c r="M73" s="6" t="str">
        <f>+M$9</f>
        <v>Logistics</v>
      </c>
      <c r="N73" s="6" t="str">
        <f>+N$9</f>
        <v>Engineering</v>
      </c>
      <c r="O73" s="6" t="str">
        <f>+O$9</f>
        <v>Quality
Maybole</v>
      </c>
      <c r="P73" s="6" t="str">
        <f>+P$9</f>
        <v>Procurement</v>
      </c>
      <c r="Q73" s="6" t="str">
        <f>+Q$9</f>
        <v>IT</v>
      </c>
      <c r="R73" s="6" t="str">
        <f t="shared" si="14"/>
        <v>Marketing</v>
      </c>
      <c r="S73" s="6" t="str">
        <f>+S$9</f>
        <v>Finance</v>
      </c>
      <c r="T73" s="7" t="s">
        <v>409</v>
      </c>
      <c r="U73" s="6" t="str">
        <f>+U$9</f>
        <v>HR</v>
      </c>
      <c r="V73" s="6" t="str">
        <f>+V$9</f>
        <v>HR</v>
      </c>
    </row>
    <row r="74" spans="2:24" ht="42.45" customHeight="1" x14ac:dyDescent="0.3">
      <c r="B74" s="7">
        <f>B66+1</f>
        <v>9</v>
      </c>
      <c r="C74" s="8">
        <f>C66+7</f>
        <v>45716</v>
      </c>
      <c r="D74" s="10" t="str">
        <f>+D$10</f>
        <v>Neil 
Laing</v>
      </c>
      <c r="E74" s="9" t="str">
        <f>+E$10</f>
        <v>Julian Sparrow</v>
      </c>
      <c r="F74" s="10" t="str">
        <f t="shared" ref="F74:R74" si="15">+F$10</f>
        <v>Sam Westwood</v>
      </c>
      <c r="G74" s="10" t="str">
        <f>+G$10</f>
        <v>Andrew Skitt</v>
      </c>
      <c r="H74" s="10" t="str">
        <f t="shared" si="15"/>
        <v>Paul 
Dolan</v>
      </c>
      <c r="I74" s="10" t="str">
        <f t="shared" si="15"/>
        <v>Paul 
Dolan</v>
      </c>
      <c r="J74" s="10" t="str">
        <f t="shared" si="15"/>
        <v>Paul 
Dolan</v>
      </c>
      <c r="K74" s="10" t="str">
        <f t="shared" si="15"/>
        <v>Garin Bowen</v>
      </c>
      <c r="L74" s="10" t="str">
        <f t="shared" si="15"/>
        <v>Scott McMillan</v>
      </c>
      <c r="M74" s="10" t="str">
        <f>+M$10</f>
        <v>Scott McMillan</v>
      </c>
      <c r="N74" s="10" t="str">
        <f>+N$10</f>
        <v>Garin Bowen</v>
      </c>
      <c r="O74" s="10" t="str">
        <f>+O$10</f>
        <v>Scott McMIllan</v>
      </c>
      <c r="P74" s="10" t="str">
        <f>+P$10</f>
        <v>Matt 
Pope</v>
      </c>
      <c r="Q74" s="10" t="str">
        <f>+Q$10</f>
        <v>Rhian 
Owen</v>
      </c>
      <c r="R74" s="10" t="str">
        <f t="shared" si="15"/>
        <v>Katherine 
Sanganee</v>
      </c>
      <c r="S74" s="10" t="str">
        <f>+S$10</f>
        <v>Gethin Davies</v>
      </c>
      <c r="T74" s="7">
        <v>1</v>
      </c>
      <c r="U74" s="10" t="str">
        <f>+U$10</f>
        <v>Bethan Grant</v>
      </c>
      <c r="V74" s="10" t="str">
        <f>+V$10</f>
        <v>Bethan Grant</v>
      </c>
    </row>
    <row r="75" spans="2:24" ht="42.45" customHeight="1" x14ac:dyDescent="0.3">
      <c r="B75" s="971" t="s">
        <v>30</v>
      </c>
      <c r="C75" s="971"/>
      <c r="D75" s="11" t="str">
        <f>_xlfn.XLOOKUP($B74,EHS!$M$6:$BM$6,EHS!$M$10:$BM$10,0)</f>
        <v>G</v>
      </c>
      <c r="E75" s="127" t="str">
        <f>_xlfn.XLOOKUP($B74,Estimating!$M$6:$BM$6,Estimating!$M$10:$BM$10,0)</f>
        <v>G</v>
      </c>
      <c r="F75" s="11" t="str">
        <f>_xlfn.XLOOKUP($B74,SOP!$M$6:$BM$6,SOP!$M$10:$BM$10,0)</f>
        <v>A</v>
      </c>
      <c r="G75" s="11" t="str">
        <f>_xlfn.XLOOKUP($B74,Design!$M$6:$BM$6,Design!$M$10:$BM$10,0)</f>
        <v>R</v>
      </c>
      <c r="H75" s="11" t="str">
        <f>_xlfn.XLOOKUP($B74,'Product Design'!$M$6:$BM$6,'Product Design'!$M$10:$BM$10,0)</f>
        <v>R</v>
      </c>
      <c r="I75" s="11" t="str">
        <f>_xlfn.XLOOKUP($B74,'Product Eng - BE'!$M$6:$BM$6,'Product Eng - BE'!$M$10:$BM$10,0)</f>
        <v>G</v>
      </c>
      <c r="J75" s="11" t="str">
        <f>_xlfn.XLOOKUP($B74,'Product Eng - MB'!$M$6:$BM$6,'Product Eng - MB'!$M$10:$BM$10,0)</f>
        <v>R</v>
      </c>
      <c r="K75" s="11" t="str">
        <f>_xlfn.XLOOKUP($B74,'Bridgend Manuf'!$M$6:$BM$6,'Bridgend Manuf'!$M$10:$BM$10,0)</f>
        <v>G</v>
      </c>
      <c r="L75" s="11" t="str">
        <f>_xlfn.XLOOKUP($B74,'Maybole Manuf'!$M$6:$BM$6,'Maybole Manuf'!$M$10:$BM$10,0)</f>
        <v>TBC</v>
      </c>
      <c r="M75" s="127" t="str">
        <f>_xlfn.XLOOKUP($B74,Logistics!$M$6:$BM$6,Logistics!$M$10:$BM$10,0)</f>
        <v>TBC</v>
      </c>
      <c r="N75" s="127" t="str">
        <f>_xlfn.XLOOKUP($B74,Engineering!$M$22:$BM$22,Engineering!$M$26:$BM$26,0)</f>
        <v>Missed</v>
      </c>
      <c r="O75" s="127" t="str">
        <f>_xlfn.XLOOKUP($B74,'Quality MB'!$M$6:$BM$6,'Quality MB'!$M$10:$BM$10,0)</f>
        <v>TBC</v>
      </c>
      <c r="P75" s="127" t="str">
        <f>_xlfn.XLOOKUP($B74,Procurement!$M$6:$BM$6,Procurement!$M$10:$BM$10,0)</f>
        <v>TBC</v>
      </c>
      <c r="Q75" s="11" t="str">
        <f>_xlfn.XLOOKUP($B74,IT!$M$6:$BM$6,IT!$M$10:$BM$10,0)</f>
        <v>Undefined</v>
      </c>
      <c r="R75" s="11" t="str">
        <f>_xlfn.XLOOKUP($B74,Marketing!$M$6:$BM$6,Marketing!$M$10:$BM$10,0)</f>
        <v>G</v>
      </c>
      <c r="S75" s="11" t="str">
        <f>_xlfn.XLOOKUP($B74,Finance!$M$6:$BM$6,Finance!$M$10:$BM$10,0)</f>
        <v>G</v>
      </c>
      <c r="U75" s="127" t="str">
        <f>_xlfn.XLOOKUP($T74,'HR mthly'!$I$6:$BM$6,'HR mthly'!$I$11:$BM$11,0)</f>
        <v>G</v>
      </c>
      <c r="V75" s="127" t="str">
        <f>_xlfn.XLOOKUP($T74,'HR mthly'!$I$6:$BM$6,'HR mthly'!$I$14:$BM$14,0)</f>
        <v>G</v>
      </c>
    </row>
    <row r="76" spans="2:24" ht="42.45" customHeight="1" x14ac:dyDescent="0.3">
      <c r="B76" s="971" t="s">
        <v>172</v>
      </c>
      <c r="C76" s="971"/>
      <c r="D76" s="11" t="str">
        <f>_xlfn.XLOOKUP($B74,EHS!$M$6:$BM$6,EHS!$M$13:$BM$13,0)</f>
        <v>G</v>
      </c>
      <c r="E76" s="127" t="str">
        <f>_xlfn.XLOOKUP($B74,Estimating!$M$6:$BM$6,Estimating!$M$13:$BM$13,0)</f>
        <v>G</v>
      </c>
      <c r="F76" s="11" t="str">
        <f>_xlfn.XLOOKUP($B74,SOP!$M$6:$BM$6,SOP!$M$13:$BM$13,0)</f>
        <v>R</v>
      </c>
      <c r="G76" s="11" t="str">
        <f>_xlfn.XLOOKUP($B74,Design!$M$6:$BM$6,Design!$M$13:$BM$13,0)</f>
        <v>R</v>
      </c>
      <c r="H76" s="11" t="str">
        <f>_xlfn.XLOOKUP($B74,'Product Design'!$M$6:$BM$6,'Product Design'!$M$13:$BM$13,0)</f>
        <v>G</v>
      </c>
      <c r="I76" s="11" t="str">
        <f>_xlfn.XLOOKUP($B74,'Product Eng - BE'!$M$6:$BM$6,'Product Eng - BE'!$M$13:$BM$13,0)</f>
        <v>G</v>
      </c>
      <c r="J76" s="11" t="str">
        <f>_xlfn.XLOOKUP($B74,'Product Eng - MB'!$M$6:$BM$6,'Product Eng - MB'!$M$13:$BM$13,0)</f>
        <v>R</v>
      </c>
      <c r="K76" s="11" t="str">
        <f>_xlfn.XLOOKUP($B74,'Bridgend Manuf'!$M$6:$BM$6,'Bridgend Manuf'!$M$13:$BM$13,0)</f>
        <v>R</v>
      </c>
      <c r="L76" s="11" t="str">
        <f>_xlfn.XLOOKUP($B74,'Maybole Manuf'!$M$6:$BM$6,'Maybole Manuf'!$M$13:$BM$13,0)</f>
        <v>TBC</v>
      </c>
      <c r="M76" s="127" t="str">
        <f>_xlfn.XLOOKUP($B74,Logistics!$M$6:$BM$6,Logistics!$M$13:$BM$13,0)</f>
        <v>TBC</v>
      </c>
      <c r="N76" s="127" t="e">
        <f>_xlfn.XLOOKUP($B74,Engineering!$M$22:$BM$22,Engineering!#REF!,0)</f>
        <v>#REF!</v>
      </c>
      <c r="O76" s="127" t="str">
        <f>_xlfn.XLOOKUP($B74,'Quality MB'!$M$6:$BM$6,'Quality MB'!$M$13:$BM$13,0)</f>
        <v>TBC</v>
      </c>
      <c r="P76" s="127" t="str">
        <f>_xlfn.XLOOKUP($B74,Procurement!$M$6:$BM$6,Procurement!$M$13:$BM$13,0)</f>
        <v>TBC</v>
      </c>
      <c r="Q76" s="11" t="str">
        <f>_xlfn.XLOOKUP($B74,IT!$M$6:$BM$6,IT!$M$13:$BM$13,0)</f>
        <v>TBC</v>
      </c>
      <c r="R76" s="11" t="str">
        <f>_xlfn.XLOOKUP($B74,Marketing!$M$6:$BM$6,Marketing!$M$13:$BM$13,0)</f>
        <v>G</v>
      </c>
      <c r="S76" s="11" t="str">
        <f>_xlfn.XLOOKUP($T74,Finance!$M$16:$X$16,Finance!$M$21:$X$21,0)</f>
        <v>G</v>
      </c>
      <c r="U76" s="127" t="str">
        <f>_xlfn.XLOOKUP($T74,'HR mthly'!$I$6:$BM$6,'HR mthly'!$I$18:$BM$18,0)</f>
        <v>R</v>
      </c>
      <c r="V76" s="127" t="str">
        <f>_xlfn.XLOOKUP($T74,'HR mthly'!$I$6:$BM$6,'HR mthly'!$I$21:$BM$21,0)</f>
        <v>R</v>
      </c>
    </row>
    <row r="77" spans="2:24" ht="42.45" customHeight="1" x14ac:dyDescent="0.3">
      <c r="B77" s="971" t="s">
        <v>173</v>
      </c>
      <c r="C77" s="971"/>
      <c r="D77" s="11" t="s">
        <v>174</v>
      </c>
      <c r="E77" s="11" t="s">
        <v>174</v>
      </c>
      <c r="F77" s="11" t="str">
        <f>_xlfn.XLOOKUP($B74,SOP!$M$6:$BM$6,SOP!$M$16:$BM$16,0)</f>
        <v>R</v>
      </c>
      <c r="G77" s="11" t="s">
        <v>174</v>
      </c>
      <c r="H77" s="11" t="str">
        <f>_xlfn.XLOOKUP($B74,'Product Design'!$M$6:$BM$6,'Product Design'!$M$16:$BM$16,0)</f>
        <v>G</v>
      </c>
      <c r="I77" s="11" t="str">
        <f>_xlfn.XLOOKUP($B74,'Product Eng - BE'!$M$6:$BM$6,'Product Eng - BE'!$M$16:$BM$16,0)</f>
        <v>R</v>
      </c>
      <c r="J77" s="11" t="str">
        <f>_xlfn.XLOOKUP($B74,'Product Eng - MB'!$M$6:$BM$6,'Product Eng - MB'!$M$16:$BM$16,0)</f>
        <v>G</v>
      </c>
      <c r="K77" s="11" t="s">
        <v>174</v>
      </c>
      <c r="L77" s="11" t="s">
        <v>174</v>
      </c>
      <c r="M77" s="11" t="s">
        <v>174</v>
      </c>
      <c r="N77" s="11" t="s">
        <v>174</v>
      </c>
      <c r="O77" s="11" t="s">
        <v>174</v>
      </c>
      <c r="P77" s="11" t="s">
        <v>174</v>
      </c>
      <c r="Q77" s="11" t="s">
        <v>174</v>
      </c>
      <c r="R77" s="11" t="s">
        <v>174</v>
      </c>
      <c r="S77" s="11" t="s">
        <v>174</v>
      </c>
      <c r="U77" s="11" t="s">
        <v>174</v>
      </c>
      <c r="V77" s="11" t="s">
        <v>174</v>
      </c>
    </row>
    <row r="78" spans="2:24" ht="42.45" customHeight="1" x14ac:dyDescent="0.3">
      <c r="B78" s="971" t="s">
        <v>32</v>
      </c>
      <c r="C78" s="971"/>
      <c r="D78" s="11" t="str">
        <f>_xlfn.XLOOKUP($B74,EHS!$M$6:$BM$6,EHS!$M$16:$BM$16,0)</f>
        <v>R</v>
      </c>
      <c r="E78" s="127" t="str">
        <f>_xlfn.XLOOKUP($B74,Estimating!$M$6:$BM$6,Estimating!$M$16:$BM$16,0)</f>
        <v>G</v>
      </c>
      <c r="F78" s="11" t="str">
        <f>_xlfn.XLOOKUP($B74,SOP!$M$6:$BM$6,SOP!$M$19:$BM$19,0)</f>
        <v>R</v>
      </c>
      <c r="G78" s="11" t="str">
        <f>_xlfn.XLOOKUP($B74,Design!$M$6:$BM$6,Design!$M$16:$BM$16,0)</f>
        <v>R</v>
      </c>
      <c r="H78" s="11" t="str">
        <f>_xlfn.XLOOKUP($B74,'Product Design'!$M$6:$BM$6,'Product Design'!$M$19:$BM$19,0)</f>
        <v>G</v>
      </c>
      <c r="I78" s="11" t="str">
        <f>_xlfn.XLOOKUP($B74,'Product Eng - BE'!$M$6:$BM$6,'Product Eng - BE'!$M$19:$BM$19,0)</f>
        <v>Missed</v>
      </c>
      <c r="J78" s="11" t="str">
        <f>_xlfn.XLOOKUP($B74,'Product Eng - MB'!$M$6:$BM$6,'Product Eng - MB'!$M$19:$BM$19,0)</f>
        <v>Missed</v>
      </c>
      <c r="K78" s="11" t="str">
        <f>_xlfn.XLOOKUP($B74,'Bridgend Manuf'!$M$6:$BM$6,'Bridgend Manuf'!$M$16:$BM$16,0)</f>
        <v>R</v>
      </c>
      <c r="L78" s="11" t="str">
        <f>_xlfn.XLOOKUP($B74,'Maybole Manuf'!$M$6:$BM$6,'Maybole Manuf'!$M$16:$BM$16,0)</f>
        <v>TBC</v>
      </c>
      <c r="M78" s="127" t="str">
        <f>_xlfn.XLOOKUP($B74,Logistics!$M$6:$BM$6,Logistics!$M$16:$BM$16,0)</f>
        <v>Missed</v>
      </c>
      <c r="N78" s="127" t="e">
        <f>_xlfn.XLOOKUP($B74,Engineering!$M$22:$BM$22,Engineering!#REF!,0)</f>
        <v>#REF!</v>
      </c>
      <c r="O78" s="127" t="str">
        <f>_xlfn.XLOOKUP($B74,'Quality MB'!$M$6:$BM$6,'Quality MB'!$M$16:$BM$16,0)</f>
        <v>TBC</v>
      </c>
      <c r="P78" s="127" t="str">
        <f>_xlfn.XLOOKUP($B74,Procurement!$M$6:$BM$6,Procurement!$M$16:$BM$16,0)</f>
        <v>TBC</v>
      </c>
      <c r="Q78" s="11" t="str">
        <f>_xlfn.XLOOKUP($B74,IT!$M$6:$BM$6,IT!$M$16:$BM$16,0)</f>
        <v>TBC</v>
      </c>
      <c r="R78" s="11" t="str">
        <f>_xlfn.XLOOKUP($B74,Marketing!$M$6:$BM$6,Marketing!$M$16:$BM$16,0)</f>
        <v>R</v>
      </c>
      <c r="S78" s="11" t="str">
        <f>_xlfn.XLOOKUP($T74,Finance!$M$16:$X$16,Finance!$M$24:$X$24,0)</f>
        <v>G</v>
      </c>
      <c r="U78" s="127" t="str">
        <f>_xlfn.XLOOKUP($T74,'HR mthly'!$I$6:$BM$6,'HR mthly'!$I$26:$BM$26,0)</f>
        <v>R</v>
      </c>
      <c r="V78" s="127" t="str">
        <f>_xlfn.XLOOKUP($T74,'HR mthly'!$I$6:$BM$6,'HR mthly'!$I$29:$BM$29,0)</f>
        <v>R</v>
      </c>
    </row>
    <row r="79" spans="2:24" ht="42.45" customHeight="1" x14ac:dyDescent="0.3">
      <c r="B79" s="971" t="s">
        <v>31</v>
      </c>
      <c r="C79" s="971"/>
      <c r="D79" s="11" t="str">
        <f>_xlfn.XLOOKUP($B74,EHS!$M$6:$BM$6,EHS!$M$19:$BM$19,0)</f>
        <v>G</v>
      </c>
      <c r="E79" s="127" t="str">
        <f>_xlfn.XLOOKUP($B74,Estimating!$M$6:$BM$6,Estimating!$M$19:$BM$19,0)</f>
        <v>TBC</v>
      </c>
      <c r="F79" s="11" t="str">
        <f>_xlfn.XLOOKUP($B74,SOP!$M$6:$BM$6,SOP!$M$22:$BM$22,0)</f>
        <v>G</v>
      </c>
      <c r="G79" s="11" t="str">
        <f>_xlfn.XLOOKUP($B74,Design!$M$6:$BM$6,Design!$M$19:$BM$19,0)</f>
        <v>R</v>
      </c>
      <c r="H79" s="11" t="str">
        <f>_xlfn.XLOOKUP($B74,'Product Design'!$M$6:$BM$6,'Product Design'!$M$22:$BM$22,0)</f>
        <v>Undefined</v>
      </c>
      <c r="I79" s="11" t="str">
        <f>_xlfn.XLOOKUP($B74,'Product Eng - BE'!$M$6:$BM$6,'Product Eng - BE'!$M$22:$BM$22,0)</f>
        <v>R</v>
      </c>
      <c r="J79" s="11" t="str">
        <f>_xlfn.XLOOKUP($B74,'Product Eng - MB'!$M$6:$BM$6,'Product Eng - MB'!$M$22:$BM$22,0)</f>
        <v>G</v>
      </c>
      <c r="K79" s="11" t="str">
        <f>_xlfn.XLOOKUP($B74,'Bridgend Manuf'!$M$6:$BM$6,'Bridgend Manuf'!$M$19:$BM$19,0)</f>
        <v>G</v>
      </c>
      <c r="L79" s="11" t="str">
        <f>_xlfn.XLOOKUP($B74,'Maybole Manuf'!$M$6:$BM$6,'Maybole Manuf'!$M$19:$BM$19,0)</f>
        <v>TBC</v>
      </c>
      <c r="M79" s="127" t="str">
        <f>_xlfn.XLOOKUP($B74,Logistics!$M$6:$BM$6,Logistics!$M$19:$BM$19,0)</f>
        <v>Undefined</v>
      </c>
      <c r="N79" s="127" t="e">
        <f>_xlfn.XLOOKUP($B74,Engineering!$M$22:$BM$22,Engineering!#REF!,0)</f>
        <v>#REF!</v>
      </c>
      <c r="O79" s="127" t="str">
        <f>_xlfn.XLOOKUP($B74,'Quality MB'!$M$6:$BM$6,'Quality MB'!$M$19:$BM$19,0)</f>
        <v>TBC</v>
      </c>
      <c r="P79" s="127" t="str">
        <f>_xlfn.XLOOKUP($B74,Procurement!$M$6:$BM$6,Procurement!$M$19:$BM$19,0)</f>
        <v>TBC</v>
      </c>
      <c r="Q79" s="11" t="str">
        <f>_xlfn.XLOOKUP($B74,IT!$M$6:$BM$6,IT!$M$19:$BM$19,0)</f>
        <v>TBC</v>
      </c>
      <c r="R79" s="11" t="str">
        <f>_xlfn.XLOOKUP($B74,Marketing!$M$6:$BM$6,Marketing!$M$19:$BM$19,0)</f>
        <v>G</v>
      </c>
      <c r="S79" s="11" t="str">
        <f>_xlfn.XLOOKUP($T74,Finance!$M$16:$X$16,Finance!$M$27:$X$27,0)</f>
        <v>G</v>
      </c>
      <c r="U79" s="127" t="str">
        <f>_xlfn.XLOOKUP($T74,'HR mthly'!$I$6:$BM$6,'HR mthly'!$I$33:$BM$33,0)</f>
        <v>G</v>
      </c>
      <c r="V79" s="127" t="str">
        <f>_xlfn.XLOOKUP($T74,'HR mthly'!$I$6:$BM$6,'HR mthly'!$I$36:$BM$36,0)</f>
        <v>G</v>
      </c>
    </row>
    <row r="81" spans="2:22" ht="42.45" customHeight="1" x14ac:dyDescent="0.3">
      <c r="B81" s="973" t="s">
        <v>7</v>
      </c>
      <c r="C81" s="974"/>
      <c r="D81" s="6" t="str">
        <f>+D$9</f>
        <v>EHS</v>
      </c>
      <c r="E81" s="6" t="str">
        <f>+E$9</f>
        <v>Estimating</v>
      </c>
      <c r="F81" s="6" t="str">
        <f t="shared" ref="F81:R81" si="16">+F$9</f>
        <v>SOP</v>
      </c>
      <c r="G81" s="6" t="str">
        <f>+G$9</f>
        <v>Design and R&amp;D</v>
      </c>
      <c r="H81" s="6" t="str">
        <f t="shared" si="16"/>
        <v>Product Design</v>
      </c>
      <c r="I81" s="6" t="str">
        <f t="shared" si="16"/>
        <v>Product Engineering Bridgend</v>
      </c>
      <c r="J81" s="6" t="str">
        <f t="shared" si="16"/>
        <v>Product Engineering Maybole</v>
      </c>
      <c r="K81" s="6" t="str">
        <f t="shared" si="16"/>
        <v>Bridgend
Manuf</v>
      </c>
      <c r="L81" s="6" t="str">
        <f t="shared" si="16"/>
        <v>Maybole
Manuf</v>
      </c>
      <c r="M81" s="6" t="str">
        <f>+M$9</f>
        <v>Logistics</v>
      </c>
      <c r="N81" s="6" t="str">
        <f>+N$9</f>
        <v>Engineering</v>
      </c>
      <c r="O81" s="6" t="str">
        <f>+O$9</f>
        <v>Quality
Maybole</v>
      </c>
      <c r="P81" s="6" t="str">
        <f>+P$9</f>
        <v>Procurement</v>
      </c>
      <c r="Q81" s="6" t="str">
        <f>+Q$9</f>
        <v>IT</v>
      </c>
      <c r="R81" s="6" t="str">
        <f t="shared" si="16"/>
        <v>Marketing</v>
      </c>
      <c r="S81" s="6" t="str">
        <f>+S$9</f>
        <v>Finance</v>
      </c>
      <c r="T81" s="7" t="s">
        <v>409</v>
      </c>
      <c r="U81" s="6" t="str">
        <f>+U$9</f>
        <v>HR</v>
      </c>
      <c r="V81" s="6" t="str">
        <f>+V$9</f>
        <v>HR</v>
      </c>
    </row>
    <row r="82" spans="2:22" ht="42.45" customHeight="1" x14ac:dyDescent="0.3">
      <c r="B82" s="7">
        <f>B74+1</f>
        <v>10</v>
      </c>
      <c r="C82" s="8">
        <f>C74+7</f>
        <v>45723</v>
      </c>
      <c r="D82" s="10" t="str">
        <f>+D$10</f>
        <v>Neil 
Laing</v>
      </c>
      <c r="E82" s="9" t="str">
        <f>+E$10</f>
        <v>Julian Sparrow</v>
      </c>
      <c r="F82" s="10" t="str">
        <f t="shared" ref="F82:R82" si="17">+F$10</f>
        <v>Sam Westwood</v>
      </c>
      <c r="G82" s="10" t="str">
        <f>+G$10</f>
        <v>Andrew Skitt</v>
      </c>
      <c r="H82" s="10" t="str">
        <f t="shared" si="17"/>
        <v>Paul 
Dolan</v>
      </c>
      <c r="I82" s="10" t="str">
        <f t="shared" si="17"/>
        <v>Paul 
Dolan</v>
      </c>
      <c r="J82" s="10" t="str">
        <f t="shared" si="17"/>
        <v>Paul 
Dolan</v>
      </c>
      <c r="K82" s="10" t="str">
        <f t="shared" si="17"/>
        <v>Garin Bowen</v>
      </c>
      <c r="L82" s="10" t="str">
        <f t="shared" si="17"/>
        <v>Scott McMillan</v>
      </c>
      <c r="M82" s="10" t="str">
        <f>+M$10</f>
        <v>Scott McMillan</v>
      </c>
      <c r="N82" s="10" t="str">
        <f>+N$10</f>
        <v>Garin Bowen</v>
      </c>
      <c r="O82" s="10" t="str">
        <f>+O$10</f>
        <v>Scott McMIllan</v>
      </c>
      <c r="P82" s="10" t="str">
        <f>+P$10</f>
        <v>Matt 
Pope</v>
      </c>
      <c r="Q82" s="10" t="str">
        <f>+Q$10</f>
        <v>Rhian 
Owen</v>
      </c>
      <c r="R82" s="10" t="str">
        <f t="shared" si="17"/>
        <v>Katherine 
Sanganee</v>
      </c>
      <c r="S82" s="10" t="str">
        <f>+S$10</f>
        <v>Gethin Davies</v>
      </c>
      <c r="T82" s="7">
        <v>2</v>
      </c>
      <c r="U82" s="10" t="str">
        <f>+U$10</f>
        <v>Bethan Grant</v>
      </c>
      <c r="V82" s="10" t="str">
        <f>+V$10</f>
        <v>Bethan Grant</v>
      </c>
    </row>
    <row r="83" spans="2:22" ht="42.45" customHeight="1" x14ac:dyDescent="0.3">
      <c r="B83" s="971" t="s">
        <v>30</v>
      </c>
      <c r="C83" s="971"/>
      <c r="D83" s="11" t="str">
        <f>_xlfn.XLOOKUP($B82,EHS!$M$6:$BM$6,EHS!$M$10:$BM$10,0)</f>
        <v>G</v>
      </c>
      <c r="E83" s="127" t="str">
        <f>_xlfn.XLOOKUP($B82,Estimating!$M$6:$BM$6,Estimating!$M$10:$BM$10,0)</f>
        <v>A</v>
      </c>
      <c r="F83" s="11" t="str">
        <f>_xlfn.XLOOKUP($B82,SOP!$M$6:$BM$6,SOP!$M$10:$BM$10,0)</f>
        <v>R</v>
      </c>
      <c r="G83" s="11" t="str">
        <f>_xlfn.XLOOKUP($B82,Design!$M$6:$BM$6,Design!$M$10:$BM$10,0)</f>
        <v>R</v>
      </c>
      <c r="H83" s="11" t="str">
        <f>_xlfn.XLOOKUP($B82,'Product Design'!$M$6:$BM$6,'Product Design'!$M$10:$BM$10,0)</f>
        <v>G</v>
      </c>
      <c r="I83" s="11" t="str">
        <f>_xlfn.XLOOKUP($B82,'Product Eng - BE'!$M$6:$BM$6,'Product Eng - BE'!$M$10:$BM$10,0)</f>
        <v>A</v>
      </c>
      <c r="J83" s="11" t="str">
        <f>_xlfn.XLOOKUP($B82,'Product Eng - MB'!$M$6:$BM$6,'Product Eng - MB'!$M$10:$BM$10,0)</f>
        <v>G</v>
      </c>
      <c r="K83" s="11" t="str">
        <f>_xlfn.XLOOKUP($B82,'Bridgend Manuf'!$M$6:$BM$6,'Bridgend Manuf'!$M$10:$BM$10,0)</f>
        <v>G</v>
      </c>
      <c r="L83" s="11" t="str">
        <f>_xlfn.XLOOKUP($B82,'Maybole Manuf'!$M$6:$BM$6,'Maybole Manuf'!$M$10:$BM$10,0)</f>
        <v>TBC</v>
      </c>
      <c r="M83" s="127" t="str">
        <f>_xlfn.XLOOKUP($B82,Logistics!$M$6:$BM$6,Logistics!$M$10:$BM$10,0)</f>
        <v>TBC</v>
      </c>
      <c r="N83" s="127" t="str">
        <f>_xlfn.XLOOKUP($B82,Engineering!$M$22:$BM$22,Engineering!$M$26:$BM$26,0)</f>
        <v>Missed</v>
      </c>
      <c r="O83" s="127" t="str">
        <f>_xlfn.XLOOKUP($B82,'Quality MB'!$M$6:$BM$6,'Quality MB'!$M$10:$BM$10,0)</f>
        <v>TBC</v>
      </c>
      <c r="P83" s="127" t="str">
        <f>_xlfn.XLOOKUP($B82,Procurement!$M$6:$BM$6,Procurement!$M$10:$BM$10,0)</f>
        <v>TBC</v>
      </c>
      <c r="Q83" s="11" t="str">
        <f>_xlfn.XLOOKUP($B82,IT!$M$6:$BM$6,IT!$M$10:$BM$10,0)</f>
        <v>Undefined</v>
      </c>
      <c r="R83" s="11" t="str">
        <f>_xlfn.XLOOKUP($B82,Marketing!$M$6:$BM$6,Marketing!$M$10:$BM$10,0)</f>
        <v>G</v>
      </c>
      <c r="S83" s="11" t="str">
        <f>_xlfn.XLOOKUP($B82,Finance!$M$6:$BM$6,Finance!$M$10:$BM$10,0)</f>
        <v>G</v>
      </c>
      <c r="U83" s="127" t="str">
        <f>_xlfn.XLOOKUP($T82,'HR mthly'!$I$6:$BM$6,'HR mthly'!$I$11:$BM$11,0)</f>
        <v>G</v>
      </c>
      <c r="V83" s="127" t="str">
        <f>_xlfn.XLOOKUP($T82,'HR mthly'!$I$6:$BM$6,'HR mthly'!$I$14:$BM$14,0)</f>
        <v>G</v>
      </c>
    </row>
    <row r="84" spans="2:22" ht="42.45" customHeight="1" x14ac:dyDescent="0.3">
      <c r="B84" s="971" t="s">
        <v>172</v>
      </c>
      <c r="C84" s="971"/>
      <c r="D84" s="11" t="str">
        <f>_xlfn.XLOOKUP($B82,EHS!$M$6:$BM$6,EHS!$M$13:$BM$13,0)</f>
        <v>G</v>
      </c>
      <c r="E84" s="127" t="str">
        <f>_xlfn.XLOOKUP($B82,Estimating!$M$6:$BM$6,Estimating!$M$13:$BM$13,0)</f>
        <v>R</v>
      </c>
      <c r="F84" s="11" t="str">
        <f>_xlfn.XLOOKUP($B82,SOP!$M$6:$BM$6,SOP!$M$13:$BM$13,0)</f>
        <v>R</v>
      </c>
      <c r="G84" s="11" t="str">
        <f>_xlfn.XLOOKUP($B82,Design!$M$6:$BM$6,Design!$M$13:$BM$13,0)</f>
        <v>R</v>
      </c>
      <c r="H84" s="11" t="str">
        <f>_xlfn.XLOOKUP($B82,'Product Design'!$M$6:$BM$6,'Product Design'!$M$13:$BM$13,0)</f>
        <v>G</v>
      </c>
      <c r="I84" s="11" t="str">
        <f>_xlfn.XLOOKUP($B82,'Product Eng - BE'!$M$6:$BM$6,'Product Eng - BE'!$M$13:$BM$13,0)</f>
        <v>G</v>
      </c>
      <c r="J84" s="11" t="str">
        <f>_xlfn.XLOOKUP($B82,'Product Eng - MB'!$M$6:$BM$6,'Product Eng - MB'!$M$13:$BM$13,0)</f>
        <v>G</v>
      </c>
      <c r="K84" s="11" t="str">
        <f>_xlfn.XLOOKUP($B82,'Bridgend Manuf'!$M$6:$BM$6,'Bridgend Manuf'!$M$13:$BM$13,0)</f>
        <v>G</v>
      </c>
      <c r="L84" s="11" t="str">
        <f>_xlfn.XLOOKUP($B82,'Maybole Manuf'!$M$6:$BM$6,'Maybole Manuf'!$M$13:$BM$13,0)</f>
        <v>TBC</v>
      </c>
      <c r="M84" s="127" t="str">
        <f>_xlfn.XLOOKUP($B82,Logistics!$M$6:$BM$6,Logistics!$M$13:$BM$13,0)</f>
        <v>TBC</v>
      </c>
      <c r="N84" s="127" t="e">
        <f>_xlfn.XLOOKUP($B82,Engineering!$M$22:$BM$22,Engineering!#REF!,0)</f>
        <v>#REF!</v>
      </c>
      <c r="O84" s="127" t="str">
        <f>_xlfn.XLOOKUP($B82,'Quality MB'!$M$6:$BM$6,'Quality MB'!$M$13:$BM$13,0)</f>
        <v>TBC</v>
      </c>
      <c r="P84" s="127" t="str">
        <f>_xlfn.XLOOKUP($B82,Procurement!$M$6:$BM$6,Procurement!$M$13:$BM$13,0)</f>
        <v>TBC</v>
      </c>
      <c r="Q84" s="11" t="str">
        <f>_xlfn.XLOOKUP($B82,IT!$M$6:$BM$6,IT!$M$13:$BM$13,0)</f>
        <v>TBC</v>
      </c>
      <c r="R84" s="11" t="str">
        <f>_xlfn.XLOOKUP($B82,Marketing!$M$6:$BM$6,Marketing!$M$13:$BM$13,0)</f>
        <v>G</v>
      </c>
      <c r="S84" s="11" t="str">
        <f>_xlfn.XLOOKUP($T82,Finance!$M$16:$X$16,Finance!$M$21:$X$21,0)</f>
        <v>R</v>
      </c>
      <c r="U84" s="127" t="str">
        <f>_xlfn.XLOOKUP($T82,'HR mthly'!$I$6:$BM$6,'HR mthly'!$I$18:$BM$18,0)</f>
        <v>R</v>
      </c>
      <c r="V84" s="127" t="str">
        <f>_xlfn.XLOOKUP($T82,'HR mthly'!$I$6:$BM$6,'HR mthly'!$I$21:$BM$21,0)</f>
        <v>R</v>
      </c>
    </row>
    <row r="85" spans="2:22" ht="42.45" customHeight="1" x14ac:dyDescent="0.3">
      <c r="B85" s="971" t="s">
        <v>173</v>
      </c>
      <c r="C85" s="971"/>
      <c r="D85" s="11" t="s">
        <v>174</v>
      </c>
      <c r="E85" s="11" t="s">
        <v>174</v>
      </c>
      <c r="F85" s="11" t="str">
        <f>_xlfn.XLOOKUP($B82,SOP!$M$6:$BM$6,SOP!$M$16:$BM$16,0)</f>
        <v>R</v>
      </c>
      <c r="G85" s="11" t="s">
        <v>174</v>
      </c>
      <c r="H85" s="11" t="str">
        <f>_xlfn.XLOOKUP($B82,'Product Design'!$M$6:$BM$6,'Product Design'!$M$16:$BM$16,0)</f>
        <v>G</v>
      </c>
      <c r="I85" s="11" t="str">
        <f>_xlfn.XLOOKUP($B82,'Product Eng - BE'!$M$6:$BM$6,'Product Eng - BE'!$M$16:$BM$16,0)</f>
        <v>R</v>
      </c>
      <c r="J85" s="11" t="str">
        <f>_xlfn.XLOOKUP($B82,'Product Eng - MB'!$M$6:$BM$6,'Product Eng - MB'!$M$16:$BM$16,0)</f>
        <v>R</v>
      </c>
      <c r="K85" s="11" t="s">
        <v>174</v>
      </c>
      <c r="L85" s="11" t="s">
        <v>174</v>
      </c>
      <c r="M85" s="11" t="s">
        <v>174</v>
      </c>
      <c r="N85" s="11" t="s">
        <v>174</v>
      </c>
      <c r="O85" s="11" t="s">
        <v>174</v>
      </c>
      <c r="P85" s="11" t="s">
        <v>174</v>
      </c>
      <c r="Q85" s="11" t="s">
        <v>174</v>
      </c>
      <c r="R85" s="11" t="s">
        <v>174</v>
      </c>
      <c r="S85" s="11" t="s">
        <v>174</v>
      </c>
      <c r="U85" s="11" t="s">
        <v>174</v>
      </c>
      <c r="V85" s="11" t="s">
        <v>174</v>
      </c>
    </row>
    <row r="86" spans="2:22" ht="42.45" customHeight="1" x14ac:dyDescent="0.3">
      <c r="B86" s="971" t="s">
        <v>32</v>
      </c>
      <c r="C86" s="971"/>
      <c r="D86" s="11" t="str">
        <f>_xlfn.XLOOKUP($B82,EHS!$M$6:$BM$6,EHS!$M$16:$BM$16,0)</f>
        <v>R</v>
      </c>
      <c r="E86" s="127" t="str">
        <f>_xlfn.XLOOKUP($B82,Estimating!$M$6:$BM$6,Estimating!$M$16:$BM$16,0)</f>
        <v>G</v>
      </c>
      <c r="F86" s="11" t="str">
        <f>_xlfn.XLOOKUP($B82,SOP!$M$6:$BM$6,SOP!$M$19:$BM$19,0)</f>
        <v>R</v>
      </c>
      <c r="G86" s="11" t="str">
        <f>_xlfn.XLOOKUP($B82,Design!$M$6:$BM$6,Design!$M$16:$BM$16,0)</f>
        <v>R</v>
      </c>
      <c r="H86" s="11" t="str">
        <f>_xlfn.XLOOKUP($B82,'Product Design'!$M$6:$BM$6,'Product Design'!$M$19:$BM$19,0)</f>
        <v>G</v>
      </c>
      <c r="I86" s="11" t="str">
        <f>_xlfn.XLOOKUP($B82,'Product Eng - BE'!$M$6:$BM$6,'Product Eng - BE'!$M$19:$BM$19,0)</f>
        <v>Missed</v>
      </c>
      <c r="J86" s="11" t="str">
        <f>_xlfn.XLOOKUP($B82,'Product Eng - MB'!$M$6:$BM$6,'Product Eng - MB'!$M$19:$BM$19,0)</f>
        <v>Missed</v>
      </c>
      <c r="K86" s="11" t="str">
        <f>_xlfn.XLOOKUP($B82,'Bridgend Manuf'!$M$6:$BM$6,'Bridgend Manuf'!$M$16:$BM$16,0)</f>
        <v>R</v>
      </c>
      <c r="L86" s="11" t="str">
        <f>_xlfn.XLOOKUP($B82,'Maybole Manuf'!$M$6:$BM$6,'Maybole Manuf'!$M$16:$BM$16,0)</f>
        <v>TBC</v>
      </c>
      <c r="M86" s="127" t="str">
        <f>_xlfn.XLOOKUP($B82,Logistics!$M$6:$BM$6,Logistics!$M$16:$BM$16,0)</f>
        <v>Missed</v>
      </c>
      <c r="N86" s="127" t="e">
        <f>_xlfn.XLOOKUP($B82,Engineering!$M$22:$BM$22,Engineering!#REF!,0)</f>
        <v>#REF!</v>
      </c>
      <c r="O86" s="127" t="str">
        <f>_xlfn.XLOOKUP($B82,'Quality MB'!$M$6:$BM$6,'Quality MB'!$M$16:$BM$16,0)</f>
        <v>TBC</v>
      </c>
      <c r="P86" s="127" t="str">
        <f>_xlfn.XLOOKUP($B82,Procurement!$M$6:$BM$6,Procurement!$M$16:$BM$16,0)</f>
        <v>TBC</v>
      </c>
      <c r="Q86" s="11" t="str">
        <f>_xlfn.XLOOKUP($B82,IT!$M$6:$BM$6,IT!$M$16:$BM$16,0)</f>
        <v>TBC</v>
      </c>
      <c r="R86" s="11" t="str">
        <f>_xlfn.XLOOKUP($B82,Marketing!$M$6:$BM$6,Marketing!$M$16:$BM$16,0)</f>
        <v>G</v>
      </c>
      <c r="S86" s="11" t="str">
        <f>_xlfn.XLOOKUP($T82,Finance!$M$16:$X$16,Finance!$M$24:$X$24,0)</f>
        <v>G</v>
      </c>
      <c r="U86" s="127" t="str">
        <f>_xlfn.XLOOKUP($T82,'HR mthly'!$I$6:$BM$6,'HR mthly'!$I$26:$BM$26,0)</f>
        <v>R</v>
      </c>
      <c r="V86" s="127" t="str">
        <f>_xlfn.XLOOKUP($T82,'HR mthly'!$I$6:$BM$6,'HR mthly'!$I$29:$BM$29,0)</f>
        <v>R</v>
      </c>
    </row>
    <row r="87" spans="2:22" ht="42.45" customHeight="1" x14ac:dyDescent="0.3">
      <c r="B87" s="971" t="s">
        <v>31</v>
      </c>
      <c r="C87" s="971"/>
      <c r="D87" s="11" t="str">
        <f>_xlfn.XLOOKUP($B82,EHS!$M$6:$BM$6,EHS!$M$19:$BM$19,0)</f>
        <v>R</v>
      </c>
      <c r="E87" s="127" t="str">
        <f>_xlfn.XLOOKUP($B82,Estimating!$M$6:$BM$6,Estimating!$M$19:$BM$19,0)</f>
        <v>TBC</v>
      </c>
      <c r="F87" s="11" t="str">
        <f>_xlfn.XLOOKUP($B82,SOP!$M$6:$BM$6,SOP!$M$22:$BM$22,0)</f>
        <v>G</v>
      </c>
      <c r="G87" s="11" t="str">
        <f>_xlfn.XLOOKUP($B82,Design!$M$6:$BM$6,Design!$M$19:$BM$19,0)</f>
        <v>R</v>
      </c>
      <c r="H87" s="11" t="str">
        <f>_xlfn.XLOOKUP($B82,'Product Design'!$M$6:$BM$6,'Product Design'!$M$22:$BM$22,0)</f>
        <v>Undefined</v>
      </c>
      <c r="I87" s="11" t="str">
        <f>_xlfn.XLOOKUP($B82,'Product Eng - BE'!$M$6:$BM$6,'Product Eng - BE'!$M$22:$BM$22,0)</f>
        <v>R</v>
      </c>
      <c r="J87" s="11" t="str">
        <f>_xlfn.XLOOKUP($B82,'Product Eng - MB'!$M$6:$BM$6,'Product Eng - MB'!$M$22:$BM$22,0)</f>
        <v>G</v>
      </c>
      <c r="K87" s="11" t="str">
        <f>_xlfn.XLOOKUP($B82,'Bridgend Manuf'!$M$6:$BM$6,'Bridgend Manuf'!$M$19:$BM$19,0)</f>
        <v>G</v>
      </c>
      <c r="L87" s="11" t="str">
        <f>_xlfn.XLOOKUP($B82,'Maybole Manuf'!$M$6:$BM$6,'Maybole Manuf'!$M$19:$BM$19,0)</f>
        <v>TBC</v>
      </c>
      <c r="M87" s="127" t="str">
        <f>_xlfn.XLOOKUP($B82,Logistics!$M$6:$BM$6,Logistics!$M$19:$BM$19,0)</f>
        <v>Undefined</v>
      </c>
      <c r="N87" s="127" t="e">
        <f>_xlfn.XLOOKUP($B82,Engineering!$M$22:$BM$22,Engineering!#REF!,0)</f>
        <v>#REF!</v>
      </c>
      <c r="O87" s="127" t="str">
        <f>_xlfn.XLOOKUP($B82,'Quality MB'!$M$6:$BM$6,'Quality MB'!$M$19:$BM$19,0)</f>
        <v>TBC</v>
      </c>
      <c r="P87" s="127" t="str">
        <f>_xlfn.XLOOKUP($B82,Procurement!$M$6:$BM$6,Procurement!$M$19:$BM$19,0)</f>
        <v>TBC</v>
      </c>
      <c r="Q87" s="11" t="str">
        <f>_xlfn.XLOOKUP($B82,IT!$M$6:$BM$6,IT!$M$19:$BM$19,0)</f>
        <v>TBC</v>
      </c>
      <c r="R87" s="11" t="str">
        <f>_xlfn.XLOOKUP($B82,Marketing!$M$6:$BM$6,Marketing!$M$19:$BM$19,0)</f>
        <v>G</v>
      </c>
      <c r="S87" s="11" t="str">
        <f>_xlfn.XLOOKUP($T82,Finance!$M$16:$X$16,Finance!$M$27:$X$27,0)</f>
        <v>A</v>
      </c>
      <c r="U87" s="127" t="str">
        <f>_xlfn.XLOOKUP($T82,'HR mthly'!$I$6:$BM$6,'HR mthly'!$I$33:$BM$33,0)</f>
        <v>G</v>
      </c>
      <c r="V87" s="127" t="str">
        <f>_xlfn.XLOOKUP($T82,'HR mthly'!$I$6:$BM$6,'HR mthly'!$I$36:$BM$36,0)</f>
        <v>G</v>
      </c>
    </row>
    <row r="89" spans="2:22" ht="42.45" customHeight="1" x14ac:dyDescent="0.3">
      <c r="B89" s="973" t="s">
        <v>7</v>
      </c>
      <c r="C89" s="974"/>
      <c r="D89" s="6" t="str">
        <f>+D$9</f>
        <v>EHS</v>
      </c>
      <c r="E89" s="6" t="str">
        <f>+E$9</f>
        <v>Estimating</v>
      </c>
      <c r="F89" s="6" t="str">
        <f t="shared" ref="F89:R89" si="18">+F$9</f>
        <v>SOP</v>
      </c>
      <c r="G89" s="6" t="str">
        <f>+G$9</f>
        <v>Design and R&amp;D</v>
      </c>
      <c r="H89" s="6" t="str">
        <f t="shared" si="18"/>
        <v>Product Design</v>
      </c>
      <c r="I89" s="6" t="str">
        <f t="shared" si="18"/>
        <v>Product Engineering Bridgend</v>
      </c>
      <c r="J89" s="6" t="str">
        <f t="shared" si="18"/>
        <v>Product Engineering Maybole</v>
      </c>
      <c r="K89" s="6" t="str">
        <f t="shared" si="18"/>
        <v>Bridgend
Manuf</v>
      </c>
      <c r="L89" s="6" t="str">
        <f t="shared" si="18"/>
        <v>Maybole
Manuf</v>
      </c>
      <c r="M89" s="6" t="str">
        <f>+M$9</f>
        <v>Logistics</v>
      </c>
      <c r="N89" s="6" t="str">
        <f>+N$9</f>
        <v>Engineering</v>
      </c>
      <c r="O89" s="6" t="str">
        <f>+O$9</f>
        <v>Quality
Maybole</v>
      </c>
      <c r="P89" s="6" t="str">
        <f>+P$9</f>
        <v>Procurement</v>
      </c>
      <c r="Q89" s="6" t="str">
        <f>+Q$9</f>
        <v>IT</v>
      </c>
      <c r="R89" s="6" t="str">
        <f t="shared" si="18"/>
        <v>Marketing</v>
      </c>
      <c r="S89" s="6" t="str">
        <f>+S$9</f>
        <v>Finance</v>
      </c>
      <c r="T89" s="7" t="s">
        <v>409</v>
      </c>
      <c r="U89" s="6" t="str">
        <f>+U$9</f>
        <v>HR</v>
      </c>
      <c r="V89" s="6" t="str">
        <f>+V$9</f>
        <v>HR</v>
      </c>
    </row>
    <row r="90" spans="2:22" ht="42.45" customHeight="1" x14ac:dyDescent="0.3">
      <c r="B90" s="7">
        <f>B82+1</f>
        <v>11</v>
      </c>
      <c r="C90" s="8">
        <f>C82+7</f>
        <v>45730</v>
      </c>
      <c r="D90" s="10" t="str">
        <f>+D$10</f>
        <v>Neil 
Laing</v>
      </c>
      <c r="E90" s="9" t="str">
        <f>+E$10</f>
        <v>Julian Sparrow</v>
      </c>
      <c r="F90" s="10" t="str">
        <f t="shared" ref="F90:R90" si="19">+F$10</f>
        <v>Sam Westwood</v>
      </c>
      <c r="G90" s="10" t="str">
        <f>+G$10</f>
        <v>Andrew Skitt</v>
      </c>
      <c r="H90" s="10" t="str">
        <f t="shared" si="19"/>
        <v>Paul 
Dolan</v>
      </c>
      <c r="I90" s="10" t="str">
        <f t="shared" si="19"/>
        <v>Paul 
Dolan</v>
      </c>
      <c r="J90" s="10" t="str">
        <f t="shared" si="19"/>
        <v>Paul 
Dolan</v>
      </c>
      <c r="K90" s="10" t="str">
        <f t="shared" si="19"/>
        <v>Garin Bowen</v>
      </c>
      <c r="L90" s="10" t="str">
        <f t="shared" si="19"/>
        <v>Scott McMillan</v>
      </c>
      <c r="M90" s="10" t="str">
        <f>+M$10</f>
        <v>Scott McMillan</v>
      </c>
      <c r="N90" s="10" t="str">
        <f>+N$10</f>
        <v>Garin Bowen</v>
      </c>
      <c r="O90" s="10" t="str">
        <f>+O$10</f>
        <v>Scott McMIllan</v>
      </c>
      <c r="P90" s="10" t="str">
        <f>+P$10</f>
        <v>Matt 
Pope</v>
      </c>
      <c r="Q90" s="10" t="str">
        <f>+Q$10</f>
        <v>Rhian 
Owen</v>
      </c>
      <c r="R90" s="10" t="str">
        <f t="shared" si="19"/>
        <v>Katherine 
Sanganee</v>
      </c>
      <c r="S90" s="10" t="str">
        <f>+S$10</f>
        <v>Gethin Davies</v>
      </c>
      <c r="T90" s="7">
        <v>2</v>
      </c>
      <c r="U90" s="10" t="str">
        <f>+U$10</f>
        <v>Bethan Grant</v>
      </c>
      <c r="V90" s="10" t="str">
        <f>+V$10</f>
        <v>Bethan Grant</v>
      </c>
    </row>
    <row r="91" spans="2:22" ht="42.45" customHeight="1" x14ac:dyDescent="0.3">
      <c r="B91" s="971" t="s">
        <v>30</v>
      </c>
      <c r="C91" s="971"/>
      <c r="D91" s="11" t="str">
        <f>_xlfn.XLOOKUP($B90,EHS!$M$6:$BM$6,EHS!$M$10:$BM$10,0)</f>
        <v>G</v>
      </c>
      <c r="E91" s="127" t="str">
        <f>_xlfn.XLOOKUP($B90,Estimating!$M$6:$BM$6,Estimating!$M$10:$BM$10,0)</f>
        <v>R</v>
      </c>
      <c r="F91" s="11" t="str">
        <f>_xlfn.XLOOKUP($B90,SOP!$M$6:$BM$6,SOP!$M$10:$BM$10,0)</f>
        <v>R</v>
      </c>
      <c r="G91" s="11" t="str">
        <f>_xlfn.XLOOKUP($B90,Design!$M$6:$BM$6,Design!$M$10:$BM$10,0)</f>
        <v>G</v>
      </c>
      <c r="H91" s="11" t="str">
        <f>_xlfn.XLOOKUP($B90,'Product Design'!$M$6:$BM$6,'Product Design'!$M$10:$BM$10,0)</f>
        <v>G</v>
      </c>
      <c r="I91" s="11" t="str">
        <f>_xlfn.XLOOKUP($B90,'Product Eng - BE'!$M$6:$BM$6,'Product Eng - BE'!$M$10:$BM$10,0)</f>
        <v>R</v>
      </c>
      <c r="J91" s="11" t="str">
        <f>_xlfn.XLOOKUP($B90,'Product Eng - MB'!$M$6:$BM$6,'Product Eng - MB'!$M$10:$BM$10,0)</f>
        <v>G</v>
      </c>
      <c r="K91" s="11" t="str">
        <f>_xlfn.XLOOKUP($B90,'Bridgend Manuf'!$M$6:$BM$6,'Bridgend Manuf'!$M$10:$BM$10,0)</f>
        <v>G</v>
      </c>
      <c r="L91" s="11" t="str">
        <f>_xlfn.XLOOKUP($B90,'Maybole Manuf'!$M$6:$BM$6,'Maybole Manuf'!$M$10:$BM$10,0)</f>
        <v>TBC</v>
      </c>
      <c r="M91" s="127" t="str">
        <f>_xlfn.XLOOKUP($B90,Logistics!$M$6:$BM$6,Logistics!$M$10:$BM$10,0)</f>
        <v>TBC</v>
      </c>
      <c r="N91" s="127" t="str">
        <f>_xlfn.XLOOKUP($B90,Engineering!$M$22:$BM$22,Engineering!$M$26:$BM$26,0)</f>
        <v>Missed</v>
      </c>
      <c r="O91" s="127" t="str">
        <f>_xlfn.XLOOKUP($B90,'Quality MB'!$M$6:$BM$6,'Quality MB'!$M$10:$BM$10,0)</f>
        <v>TBC</v>
      </c>
      <c r="P91" s="127" t="str">
        <f>_xlfn.XLOOKUP($B90,Procurement!$M$6:$BM$6,Procurement!$M$10:$BM$10,0)</f>
        <v>TBC</v>
      </c>
      <c r="Q91" s="11" t="str">
        <f>_xlfn.XLOOKUP($B90,IT!$M$6:$BM$6,IT!$M$10:$BM$10,0)</f>
        <v>Undefined</v>
      </c>
      <c r="R91" s="11" t="str">
        <f>_xlfn.XLOOKUP($B90,Marketing!$M$6:$BM$6,Marketing!$M$10:$BM$10,0)</f>
        <v>G</v>
      </c>
      <c r="S91" s="11" t="str">
        <f>_xlfn.XLOOKUP($B90,Finance!$M$6:$BM$6,Finance!$M$10:$BM$10,0)</f>
        <v>R</v>
      </c>
      <c r="U91" s="127" t="str">
        <f>_xlfn.XLOOKUP($T90,'HR mthly'!$I$6:$BM$6,'HR mthly'!$I$11:$BM$11,0)</f>
        <v>G</v>
      </c>
      <c r="V91" s="127" t="str">
        <f>_xlfn.XLOOKUP($T90,'HR mthly'!$I$6:$BM$6,'HR mthly'!$I$14:$BM$14,0)</f>
        <v>G</v>
      </c>
    </row>
    <row r="92" spans="2:22" ht="42.45" customHeight="1" x14ac:dyDescent="0.3">
      <c r="B92" s="971" t="s">
        <v>172</v>
      </c>
      <c r="C92" s="971"/>
      <c r="D92" s="11" t="str">
        <f>_xlfn.XLOOKUP($B90,EHS!$M$6:$BM$6,EHS!$M$13:$BM$13,0)</f>
        <v>G</v>
      </c>
      <c r="E92" s="127" t="str">
        <f>_xlfn.XLOOKUP($B90,Estimating!$M$6:$BM$6,Estimating!$M$13:$BM$13,0)</f>
        <v>G</v>
      </c>
      <c r="F92" s="11" t="str">
        <f>_xlfn.XLOOKUP($B90,SOP!$M$6:$BM$6,SOP!$M$13:$BM$13,0)</f>
        <v>R</v>
      </c>
      <c r="G92" s="11" t="str">
        <f>_xlfn.XLOOKUP($B90,Design!$M$6:$BM$6,Design!$M$13:$BM$13,0)</f>
        <v>R</v>
      </c>
      <c r="H92" s="11" t="str">
        <f>_xlfn.XLOOKUP($B90,'Product Design'!$M$6:$BM$6,'Product Design'!$M$13:$BM$13,0)</f>
        <v>G</v>
      </c>
      <c r="I92" s="11" t="str">
        <f>_xlfn.XLOOKUP($B90,'Product Eng - BE'!$M$6:$BM$6,'Product Eng - BE'!$M$13:$BM$13,0)</f>
        <v>G</v>
      </c>
      <c r="J92" s="11" t="str">
        <f>_xlfn.XLOOKUP($B90,'Product Eng - MB'!$M$6:$BM$6,'Product Eng - MB'!$M$13:$BM$13,0)</f>
        <v>G</v>
      </c>
      <c r="K92" s="11" t="str">
        <f>_xlfn.XLOOKUP($B90,'Bridgend Manuf'!$M$6:$BM$6,'Bridgend Manuf'!$M$13:$BM$13,0)</f>
        <v>G</v>
      </c>
      <c r="L92" s="11" t="str">
        <f>_xlfn.XLOOKUP($B90,'Maybole Manuf'!$M$6:$BM$6,'Maybole Manuf'!$M$13:$BM$13,0)</f>
        <v>TBC</v>
      </c>
      <c r="M92" s="127" t="str">
        <f>_xlfn.XLOOKUP($B90,Logistics!$M$6:$BM$6,Logistics!$M$13:$BM$13,0)</f>
        <v>TBC</v>
      </c>
      <c r="N92" s="127" t="e">
        <f>_xlfn.XLOOKUP($B90,Engineering!$M$22:$BM$22,Engineering!#REF!,0)</f>
        <v>#REF!</v>
      </c>
      <c r="O92" s="127" t="str">
        <f>_xlfn.XLOOKUP($B90,'Quality MB'!$M$6:$BM$6,'Quality MB'!$M$13:$BM$13,0)</f>
        <v>TBC</v>
      </c>
      <c r="P92" s="127" t="str">
        <f>_xlfn.XLOOKUP($B90,Procurement!$M$6:$BM$6,Procurement!$M$13:$BM$13,0)</f>
        <v>TBC</v>
      </c>
      <c r="Q92" s="11" t="str">
        <f>_xlfn.XLOOKUP($B90,IT!$M$6:$BM$6,IT!$M$13:$BM$13,0)</f>
        <v>TBC</v>
      </c>
      <c r="R92" s="11" t="str">
        <f>_xlfn.XLOOKUP($B90,Marketing!$M$6:$BM$6,Marketing!$M$13:$BM$13,0)</f>
        <v>G</v>
      </c>
      <c r="S92" s="11" t="str">
        <f>_xlfn.XLOOKUP($T90,Finance!$M$16:$X$16,Finance!$M$21:$X$21,0)</f>
        <v>R</v>
      </c>
      <c r="U92" s="127" t="str">
        <f>_xlfn.XLOOKUP($T90,'HR mthly'!$I$6:$BM$6,'HR mthly'!$I$18:$BM$18,0)</f>
        <v>R</v>
      </c>
      <c r="V92" s="127" t="str">
        <f>_xlfn.XLOOKUP($T90,'HR mthly'!$I$6:$BM$6,'HR mthly'!$I$21:$BM$21,0)</f>
        <v>R</v>
      </c>
    </row>
    <row r="93" spans="2:22" ht="42.45" customHeight="1" x14ac:dyDescent="0.3">
      <c r="B93" s="971" t="s">
        <v>173</v>
      </c>
      <c r="C93" s="971"/>
      <c r="D93" s="11" t="s">
        <v>174</v>
      </c>
      <c r="E93" s="11" t="s">
        <v>174</v>
      </c>
      <c r="F93" s="11" t="str">
        <f>_xlfn.XLOOKUP($B90,SOP!$M$6:$BM$6,SOP!$M$16:$BM$16,0)</f>
        <v>R</v>
      </c>
      <c r="G93" s="11" t="s">
        <v>174</v>
      </c>
      <c r="H93" s="11" t="str">
        <f>_xlfn.XLOOKUP($B90,'Product Design'!$M$6:$BM$6,'Product Design'!$M$16:$BM$16,0)</f>
        <v>R</v>
      </c>
      <c r="I93" s="11" t="str">
        <f>_xlfn.XLOOKUP($B90,'Product Eng - BE'!$M$6:$BM$6,'Product Eng - BE'!$M$16:$BM$16,0)</f>
        <v>R</v>
      </c>
      <c r="J93" s="11" t="str">
        <f>_xlfn.XLOOKUP($B90,'Product Eng - MB'!$M$6:$BM$6,'Product Eng - MB'!$M$16:$BM$16,0)</f>
        <v>G</v>
      </c>
      <c r="K93" s="11" t="s">
        <v>174</v>
      </c>
      <c r="L93" s="11" t="s">
        <v>174</v>
      </c>
      <c r="M93" s="11" t="s">
        <v>174</v>
      </c>
      <c r="N93" s="11" t="s">
        <v>174</v>
      </c>
      <c r="O93" s="11" t="s">
        <v>174</v>
      </c>
      <c r="P93" s="11" t="s">
        <v>174</v>
      </c>
      <c r="Q93" s="11" t="s">
        <v>174</v>
      </c>
      <c r="R93" s="11" t="s">
        <v>174</v>
      </c>
      <c r="S93" s="11" t="s">
        <v>174</v>
      </c>
      <c r="U93" s="11" t="s">
        <v>174</v>
      </c>
      <c r="V93" s="11" t="s">
        <v>174</v>
      </c>
    </row>
    <row r="94" spans="2:22" ht="42.45" customHeight="1" x14ac:dyDescent="0.3">
      <c r="B94" s="971" t="s">
        <v>32</v>
      </c>
      <c r="C94" s="971"/>
      <c r="D94" s="11" t="str">
        <f>_xlfn.XLOOKUP($B90,EHS!$M$6:$BM$6,EHS!$M$16:$BM$16,0)</f>
        <v>G</v>
      </c>
      <c r="E94" s="127" t="str">
        <f>_xlfn.XLOOKUP($B90,Estimating!$M$6:$BM$6,Estimating!$M$16:$BM$16,0)</f>
        <v>G</v>
      </c>
      <c r="F94" s="11" t="str">
        <f>_xlfn.XLOOKUP($B90,SOP!$M$6:$BM$6,SOP!$M$19:$BM$19,0)</f>
        <v>R</v>
      </c>
      <c r="G94" s="11" t="str">
        <f>_xlfn.XLOOKUP($B90,Design!$M$6:$BM$6,Design!$M$16:$BM$16,0)</f>
        <v>R</v>
      </c>
      <c r="H94" s="11" t="str">
        <f>_xlfn.XLOOKUP($B90,'Product Design'!$M$6:$BM$6,'Product Design'!$M$19:$BM$19,0)</f>
        <v>G</v>
      </c>
      <c r="I94" s="11" t="str">
        <f>_xlfn.XLOOKUP($B90,'Product Eng - BE'!$M$6:$BM$6,'Product Eng - BE'!$M$19:$BM$19,0)</f>
        <v>Missed</v>
      </c>
      <c r="J94" s="11" t="str">
        <f>_xlfn.XLOOKUP($B90,'Product Eng - MB'!$M$6:$BM$6,'Product Eng - MB'!$M$19:$BM$19,0)</f>
        <v>Missed</v>
      </c>
      <c r="K94" s="11" t="str">
        <f>_xlfn.XLOOKUP($B90,'Bridgend Manuf'!$M$6:$BM$6,'Bridgend Manuf'!$M$16:$BM$16,0)</f>
        <v>G</v>
      </c>
      <c r="L94" s="11" t="str">
        <f>_xlfn.XLOOKUP($B90,'Maybole Manuf'!$M$6:$BM$6,'Maybole Manuf'!$M$16:$BM$16,0)</f>
        <v>TBC</v>
      </c>
      <c r="M94" s="127" t="str">
        <f>_xlfn.XLOOKUP($B90,Logistics!$M$6:$BM$6,Logistics!$M$16:$BM$16,0)</f>
        <v>Missed</v>
      </c>
      <c r="N94" s="127" t="e">
        <f>_xlfn.XLOOKUP($B90,Engineering!$M$22:$BM$22,Engineering!#REF!,0)</f>
        <v>#REF!</v>
      </c>
      <c r="O94" s="127" t="str">
        <f>_xlfn.XLOOKUP($B90,'Quality MB'!$M$6:$BM$6,'Quality MB'!$M$16:$BM$16,0)</f>
        <v>TBC</v>
      </c>
      <c r="P94" s="127" t="str">
        <f>_xlfn.XLOOKUP($B90,Procurement!$M$6:$BM$6,Procurement!$M$16:$BM$16,0)</f>
        <v>TBC</v>
      </c>
      <c r="Q94" s="11" t="str">
        <f>_xlfn.XLOOKUP($B90,IT!$M$6:$BM$6,IT!$M$16:$BM$16,0)</f>
        <v>TBC</v>
      </c>
      <c r="R94" s="11" t="str">
        <f>_xlfn.XLOOKUP($B90,Marketing!$M$6:$BM$6,Marketing!$M$16:$BM$16,0)</f>
        <v>G</v>
      </c>
      <c r="S94" s="11" t="str">
        <f>_xlfn.XLOOKUP($T90,Finance!$M$16:$X$16,Finance!$M$24:$X$24,0)</f>
        <v>G</v>
      </c>
      <c r="U94" s="127" t="str">
        <f>_xlfn.XLOOKUP($T90,'HR mthly'!$I$6:$BM$6,'HR mthly'!$I$26:$BM$26,0)</f>
        <v>R</v>
      </c>
      <c r="V94" s="127" t="str">
        <f>_xlfn.XLOOKUP($T90,'HR mthly'!$I$6:$BM$6,'HR mthly'!$I$29:$BM$29,0)</f>
        <v>R</v>
      </c>
    </row>
    <row r="95" spans="2:22" ht="42.45" customHeight="1" x14ac:dyDescent="0.3">
      <c r="B95" s="971" t="s">
        <v>31</v>
      </c>
      <c r="C95" s="971"/>
      <c r="D95" s="11" t="str">
        <f>_xlfn.XLOOKUP($B90,EHS!$M$6:$BM$6,EHS!$M$19:$BM$19,0)</f>
        <v>R</v>
      </c>
      <c r="E95" s="127" t="str">
        <f>_xlfn.XLOOKUP($B90,Estimating!$M$6:$BM$6,Estimating!$M$19:$BM$19,0)</f>
        <v>TBC</v>
      </c>
      <c r="F95" s="11" t="str">
        <f>_xlfn.XLOOKUP($B90,SOP!$M$6:$BM$6,SOP!$M$22:$BM$22,0)</f>
        <v>R</v>
      </c>
      <c r="G95" s="11" t="str">
        <f>_xlfn.XLOOKUP($B90,Design!$M$6:$BM$6,Design!$M$19:$BM$19,0)</f>
        <v>R</v>
      </c>
      <c r="H95" s="11" t="str">
        <f>_xlfn.XLOOKUP($B90,'Product Design'!$M$6:$BM$6,'Product Design'!$M$22:$BM$22,0)</f>
        <v>Undefined</v>
      </c>
      <c r="I95" s="11" t="str">
        <f>_xlfn.XLOOKUP($B90,'Product Eng - BE'!$M$6:$BM$6,'Product Eng - BE'!$M$22:$BM$22,0)</f>
        <v>R</v>
      </c>
      <c r="J95" s="11" t="str">
        <f>_xlfn.XLOOKUP($B90,'Product Eng - MB'!$M$6:$BM$6,'Product Eng - MB'!$M$22:$BM$22,0)</f>
        <v>G</v>
      </c>
      <c r="K95" s="11" t="str">
        <f>_xlfn.XLOOKUP($B90,'Bridgend Manuf'!$M$6:$BM$6,'Bridgend Manuf'!$M$19:$BM$19,0)</f>
        <v>G</v>
      </c>
      <c r="L95" s="11" t="str">
        <f>_xlfn.XLOOKUP($B90,'Maybole Manuf'!$M$6:$BM$6,'Maybole Manuf'!$M$19:$BM$19,0)</f>
        <v>TBC</v>
      </c>
      <c r="M95" s="127" t="str">
        <f>_xlfn.XLOOKUP($B90,Logistics!$M$6:$BM$6,Logistics!$M$19:$BM$19,0)</f>
        <v>Undefined</v>
      </c>
      <c r="N95" s="127" t="e">
        <f>_xlfn.XLOOKUP($B90,Engineering!$M$22:$BM$22,Engineering!#REF!,0)</f>
        <v>#REF!</v>
      </c>
      <c r="O95" s="127" t="str">
        <f>_xlfn.XLOOKUP($B90,'Quality MB'!$M$6:$BM$6,'Quality MB'!$M$19:$BM$19,0)</f>
        <v>TBC</v>
      </c>
      <c r="P95" s="127" t="str">
        <f>_xlfn.XLOOKUP($B90,Procurement!$M$6:$BM$6,Procurement!$M$19:$BM$19,0)</f>
        <v>TBC</v>
      </c>
      <c r="Q95" s="11" t="str">
        <f>_xlfn.XLOOKUP($B90,IT!$M$6:$BM$6,IT!$M$19:$BM$19,0)</f>
        <v>TBC</v>
      </c>
      <c r="R95" s="11" t="str">
        <f>_xlfn.XLOOKUP($B90,Marketing!$M$6:$BM$6,Marketing!$M$19:$BM$19,0)</f>
        <v>G</v>
      </c>
      <c r="S95" s="11" t="str">
        <f>_xlfn.XLOOKUP($T90,Finance!$M$16:$X$16,Finance!$M$27:$X$27,0)</f>
        <v>A</v>
      </c>
      <c r="U95" s="127" t="str">
        <f>_xlfn.XLOOKUP($T90,'HR mthly'!$I$6:$BM$6,'HR mthly'!$I$33:$BM$33,0)</f>
        <v>G</v>
      </c>
      <c r="V95" s="127" t="str">
        <f>_xlfn.XLOOKUP($T90,'HR mthly'!$I$6:$BM$6,'HR mthly'!$I$36:$BM$36,0)</f>
        <v>G</v>
      </c>
    </row>
    <row r="97" spans="2:22" ht="42.45" customHeight="1" x14ac:dyDescent="0.3">
      <c r="B97" s="973" t="s">
        <v>7</v>
      </c>
      <c r="C97" s="974"/>
      <c r="D97" s="6" t="str">
        <f>+D$9</f>
        <v>EHS</v>
      </c>
      <c r="E97" s="6" t="str">
        <f>+E$9</f>
        <v>Estimating</v>
      </c>
      <c r="F97" s="6" t="str">
        <f t="shared" ref="F97:R97" si="20">+F$9</f>
        <v>SOP</v>
      </c>
      <c r="G97" s="6" t="str">
        <f>+G$9</f>
        <v>Design and R&amp;D</v>
      </c>
      <c r="H97" s="6" t="str">
        <f t="shared" si="20"/>
        <v>Product Design</v>
      </c>
      <c r="I97" s="6" t="str">
        <f t="shared" si="20"/>
        <v>Product Engineering Bridgend</v>
      </c>
      <c r="J97" s="6" t="str">
        <f t="shared" si="20"/>
        <v>Product Engineering Maybole</v>
      </c>
      <c r="K97" s="6" t="str">
        <f t="shared" si="20"/>
        <v>Bridgend
Manuf</v>
      </c>
      <c r="L97" s="6" t="str">
        <f t="shared" si="20"/>
        <v>Maybole
Manuf</v>
      </c>
      <c r="M97" s="6" t="str">
        <f>+M$9</f>
        <v>Logistics</v>
      </c>
      <c r="N97" s="6" t="str">
        <f>+N$9</f>
        <v>Engineering</v>
      </c>
      <c r="O97" s="6" t="str">
        <f>+O$9</f>
        <v>Quality
Maybole</v>
      </c>
      <c r="P97" s="6" t="str">
        <f>+P$9</f>
        <v>Procurement</v>
      </c>
      <c r="Q97" s="6" t="str">
        <f>+Q$9</f>
        <v>IT</v>
      </c>
      <c r="R97" s="6" t="str">
        <f t="shared" si="20"/>
        <v>Marketing</v>
      </c>
      <c r="S97" s="6" t="str">
        <f>+S$9</f>
        <v>Finance</v>
      </c>
      <c r="T97" s="7" t="s">
        <v>409</v>
      </c>
      <c r="U97" s="6" t="str">
        <f>+U$9</f>
        <v>HR</v>
      </c>
      <c r="V97" s="6" t="str">
        <f>+V$9</f>
        <v>HR</v>
      </c>
    </row>
    <row r="98" spans="2:22" ht="42.45" customHeight="1" x14ac:dyDescent="0.3">
      <c r="B98" s="7">
        <f>B90+1</f>
        <v>12</v>
      </c>
      <c r="C98" s="8">
        <f>C90+7</f>
        <v>45737</v>
      </c>
      <c r="D98" s="10" t="str">
        <f>+D$10</f>
        <v>Neil 
Laing</v>
      </c>
      <c r="E98" s="9" t="str">
        <f>+E$10</f>
        <v>Julian Sparrow</v>
      </c>
      <c r="F98" s="10" t="str">
        <f t="shared" ref="F98:R98" si="21">+F$10</f>
        <v>Sam Westwood</v>
      </c>
      <c r="G98" s="10" t="str">
        <f>+G$10</f>
        <v>Andrew Skitt</v>
      </c>
      <c r="H98" s="10" t="str">
        <f t="shared" si="21"/>
        <v>Paul 
Dolan</v>
      </c>
      <c r="I98" s="10" t="str">
        <f t="shared" si="21"/>
        <v>Paul 
Dolan</v>
      </c>
      <c r="J98" s="10" t="str">
        <f t="shared" si="21"/>
        <v>Paul 
Dolan</v>
      </c>
      <c r="K98" s="10" t="str">
        <f t="shared" si="21"/>
        <v>Garin Bowen</v>
      </c>
      <c r="L98" s="10" t="str">
        <f t="shared" si="21"/>
        <v>Scott McMillan</v>
      </c>
      <c r="M98" s="10" t="str">
        <f>+M$10</f>
        <v>Scott McMillan</v>
      </c>
      <c r="N98" s="10" t="str">
        <f>+N$10</f>
        <v>Garin Bowen</v>
      </c>
      <c r="O98" s="10" t="str">
        <f>+O$10</f>
        <v>Scott McMIllan</v>
      </c>
      <c r="P98" s="10" t="str">
        <f>+P$10</f>
        <v>Matt 
Pope</v>
      </c>
      <c r="Q98" s="10" t="str">
        <f>+Q$10</f>
        <v>Rhian 
Owen</v>
      </c>
      <c r="R98" s="10" t="str">
        <f t="shared" si="21"/>
        <v>Katherine 
Sanganee</v>
      </c>
      <c r="S98" s="10" t="str">
        <f>+S$10</f>
        <v>Gethin Davies</v>
      </c>
      <c r="T98" s="7">
        <v>2</v>
      </c>
      <c r="U98" s="10" t="str">
        <f>+U$10</f>
        <v>Bethan Grant</v>
      </c>
      <c r="V98" s="10" t="str">
        <f>+V$10</f>
        <v>Bethan Grant</v>
      </c>
    </row>
    <row r="99" spans="2:22" ht="42.45" customHeight="1" x14ac:dyDescent="0.3">
      <c r="B99" s="971" t="s">
        <v>30</v>
      </c>
      <c r="C99" s="971"/>
      <c r="D99" s="11" t="str">
        <f>_xlfn.XLOOKUP($B98,EHS!$M$6:$BM$6,EHS!$M$10:$BM$10,0)</f>
        <v>G</v>
      </c>
      <c r="E99" s="127" t="str">
        <f>_xlfn.XLOOKUP($B98,Estimating!$M$6:$BM$6,Estimating!$M$10:$BM$10,0)</f>
        <v>A</v>
      </c>
      <c r="F99" s="11" t="str">
        <f>_xlfn.XLOOKUP($B98,SOP!$M$6:$BM$6,SOP!$M$10:$BM$10,0)</f>
        <v>G</v>
      </c>
      <c r="G99" s="11" t="str">
        <f>_xlfn.XLOOKUP($B98,Design!$M$6:$BM$6,Design!$M$10:$BM$10,0)</f>
        <v>R</v>
      </c>
      <c r="H99" s="11" t="str">
        <f>_xlfn.XLOOKUP($B98,'Product Design'!$M$6:$BM$6,'Product Design'!$M$10:$BM$10,0)</f>
        <v>G</v>
      </c>
      <c r="I99" s="11" t="str">
        <f>_xlfn.XLOOKUP($B98,'Product Eng - BE'!$M$6:$BM$6,'Product Eng - BE'!$M$10:$BM$10,0)</f>
        <v>G</v>
      </c>
      <c r="J99" s="11" t="str">
        <f>_xlfn.XLOOKUP($B98,'Product Eng - MB'!$M$6:$BM$6,'Product Eng - MB'!$M$10:$BM$10,0)</f>
        <v>R</v>
      </c>
      <c r="K99" s="11" t="str">
        <f>_xlfn.XLOOKUP($B98,'Bridgend Manuf'!$M$6:$BM$6,'Bridgend Manuf'!$M$10:$BM$10,0)</f>
        <v>G</v>
      </c>
      <c r="L99" s="11" t="str">
        <f>_xlfn.XLOOKUP($B98,'Maybole Manuf'!$M$6:$BM$6,'Maybole Manuf'!$M$10:$BM$10,0)</f>
        <v>TBC</v>
      </c>
      <c r="M99" s="127" t="str">
        <f>_xlfn.XLOOKUP($B98,Logistics!$M$6:$BM$6,Logistics!$M$10:$BM$10,0)</f>
        <v>TBC</v>
      </c>
      <c r="N99" s="127" t="str">
        <f>_xlfn.XLOOKUP($B98,Engineering!$M$22:$BM$22,Engineering!$M$26:$BM$26,0)</f>
        <v>Missed</v>
      </c>
      <c r="O99" s="127" t="str">
        <f>_xlfn.XLOOKUP($B98,'Quality MB'!$M$6:$BM$6,'Quality MB'!$M$10:$BM$10,0)</f>
        <v>TBC</v>
      </c>
      <c r="P99" s="127" t="str">
        <f>_xlfn.XLOOKUP($B98,Procurement!$M$6:$BM$6,Procurement!$M$10:$BM$10,0)</f>
        <v>G</v>
      </c>
      <c r="Q99" s="11" t="str">
        <f>_xlfn.XLOOKUP($B98,IT!$M$6:$BM$6,IT!$M$10:$BM$10,0)</f>
        <v>Undefined</v>
      </c>
      <c r="R99" s="11" t="str">
        <f>_xlfn.XLOOKUP($B98,Marketing!$M$6:$BM$6,Marketing!$M$10:$BM$10,0)</f>
        <v>G</v>
      </c>
      <c r="S99" s="11" t="str">
        <f>_xlfn.XLOOKUP($B98,Finance!$M$6:$BM$6,Finance!$M$10:$BM$10,0)</f>
        <v>G</v>
      </c>
      <c r="U99" s="127" t="str">
        <f>_xlfn.XLOOKUP($T98,'HR mthly'!$I$6:$BM$6,'HR mthly'!$I$11:$BM$11,0)</f>
        <v>G</v>
      </c>
      <c r="V99" s="127" t="str">
        <f>_xlfn.XLOOKUP($T98,'HR mthly'!$I$6:$BM$6,'HR mthly'!$I$14:$BM$14,0)</f>
        <v>G</v>
      </c>
    </row>
    <row r="100" spans="2:22" ht="42.45" customHeight="1" x14ac:dyDescent="0.3">
      <c r="B100" s="971" t="s">
        <v>172</v>
      </c>
      <c r="C100" s="971"/>
      <c r="D100" s="11" t="str">
        <f>_xlfn.XLOOKUP($B98,EHS!$M$6:$BM$6,EHS!$M$13:$BM$13,0)</f>
        <v>G</v>
      </c>
      <c r="E100" s="127" t="str">
        <f>_xlfn.XLOOKUP($B98,Estimating!$M$6:$BM$6,Estimating!$M$13:$BM$13,0)</f>
        <v>R</v>
      </c>
      <c r="F100" s="11" t="str">
        <f>_xlfn.XLOOKUP($B98,SOP!$M$6:$BM$6,SOP!$M$13:$BM$13,0)</f>
        <v>R</v>
      </c>
      <c r="G100" s="11" t="str">
        <f>_xlfn.XLOOKUP($B98,Design!$M$6:$BM$6,Design!$M$13:$BM$13,0)</f>
        <v>R</v>
      </c>
      <c r="H100" s="11" t="str">
        <f>_xlfn.XLOOKUP($B98,'Product Design'!$M$6:$BM$6,'Product Design'!$M$13:$BM$13,0)</f>
        <v>R</v>
      </c>
      <c r="I100" s="11" t="str">
        <f>_xlfn.XLOOKUP($B98,'Product Eng - BE'!$M$6:$BM$6,'Product Eng - BE'!$M$13:$BM$13,0)</f>
        <v>G</v>
      </c>
      <c r="J100" s="11" t="str">
        <f>_xlfn.XLOOKUP($B98,'Product Eng - MB'!$M$6:$BM$6,'Product Eng - MB'!$M$13:$BM$13,0)</f>
        <v>G</v>
      </c>
      <c r="K100" s="11" t="str">
        <f>_xlfn.XLOOKUP($B98,'Bridgend Manuf'!$M$6:$BM$6,'Bridgend Manuf'!$M$13:$BM$13,0)</f>
        <v>A</v>
      </c>
      <c r="L100" s="11" t="str">
        <f>_xlfn.XLOOKUP($B98,'Maybole Manuf'!$M$6:$BM$6,'Maybole Manuf'!$M$13:$BM$13,0)</f>
        <v>TBC</v>
      </c>
      <c r="M100" s="127" t="str">
        <f>_xlfn.XLOOKUP($B98,Logistics!$M$6:$BM$6,Logistics!$M$13:$BM$13,0)</f>
        <v>TBC</v>
      </c>
      <c r="N100" s="127" t="e">
        <f>_xlfn.XLOOKUP($B98,Engineering!$M$22:$BM$22,Engineering!#REF!,0)</f>
        <v>#REF!</v>
      </c>
      <c r="O100" s="127" t="str">
        <f>_xlfn.XLOOKUP($B98,'Quality MB'!$M$6:$BM$6,'Quality MB'!$M$13:$BM$13,0)</f>
        <v>TBC</v>
      </c>
      <c r="P100" s="127" t="str">
        <f>_xlfn.XLOOKUP($B98,Procurement!$M$6:$BM$6,Procurement!$M$13:$BM$13,0)</f>
        <v>A</v>
      </c>
      <c r="Q100" s="11" t="str">
        <f>_xlfn.XLOOKUP($B98,IT!$M$6:$BM$6,IT!$M$13:$BM$13,0)</f>
        <v>TBC</v>
      </c>
      <c r="R100" s="11" t="str">
        <f>_xlfn.XLOOKUP($B98,Marketing!$M$6:$BM$6,Marketing!$M$13:$BM$13,0)</f>
        <v>G</v>
      </c>
      <c r="S100" s="11" t="str">
        <f>_xlfn.XLOOKUP($T98,Finance!$M$16:$X$16,Finance!$M$21:$X$21,0)</f>
        <v>R</v>
      </c>
      <c r="U100" s="127" t="str">
        <f>_xlfn.XLOOKUP($T98,'HR mthly'!$I$6:$BM$6,'HR mthly'!$I$18:$BM$18,0)</f>
        <v>R</v>
      </c>
      <c r="V100" s="127" t="str">
        <f>_xlfn.XLOOKUP($T98,'HR mthly'!$I$6:$BM$6,'HR mthly'!$I$21:$BM$21,0)</f>
        <v>R</v>
      </c>
    </row>
    <row r="101" spans="2:22" ht="42.45" customHeight="1" x14ac:dyDescent="0.3">
      <c r="B101" s="971" t="s">
        <v>173</v>
      </c>
      <c r="C101" s="971"/>
      <c r="D101" s="11" t="s">
        <v>174</v>
      </c>
      <c r="E101" s="11" t="s">
        <v>174</v>
      </c>
      <c r="F101" s="11" t="str">
        <f>_xlfn.XLOOKUP($B98,SOP!$M$6:$BM$6,SOP!$M$16:$BM$16,0)</f>
        <v>R</v>
      </c>
      <c r="G101" s="11" t="s">
        <v>174</v>
      </c>
      <c r="H101" s="11" t="str">
        <f>_xlfn.XLOOKUP($B98,'Product Design'!$M$6:$BM$6,'Product Design'!$M$16:$BM$16,0)</f>
        <v>R</v>
      </c>
      <c r="I101" s="11" t="str">
        <f>_xlfn.XLOOKUP($B98,'Product Eng - BE'!$M$6:$BM$6,'Product Eng - BE'!$M$16:$BM$16,0)</f>
        <v>R</v>
      </c>
      <c r="J101" s="11" t="str">
        <f>_xlfn.XLOOKUP($B98,'Product Eng - MB'!$M$6:$BM$6,'Product Eng - MB'!$M$16:$BM$16,0)</f>
        <v>G</v>
      </c>
      <c r="K101" s="11" t="s">
        <v>174</v>
      </c>
      <c r="L101" s="11" t="s">
        <v>174</v>
      </c>
      <c r="M101" s="11" t="s">
        <v>174</v>
      </c>
      <c r="N101" s="11" t="s">
        <v>174</v>
      </c>
      <c r="O101" s="11" t="s">
        <v>174</v>
      </c>
      <c r="P101" s="11" t="s">
        <v>174</v>
      </c>
      <c r="Q101" s="11" t="s">
        <v>174</v>
      </c>
      <c r="R101" s="11" t="s">
        <v>174</v>
      </c>
      <c r="S101" s="11" t="s">
        <v>174</v>
      </c>
      <c r="U101" s="11" t="s">
        <v>174</v>
      </c>
      <c r="V101" s="11" t="s">
        <v>174</v>
      </c>
    </row>
    <row r="102" spans="2:22" ht="42.45" customHeight="1" x14ac:dyDescent="0.3">
      <c r="B102" s="971" t="s">
        <v>32</v>
      </c>
      <c r="C102" s="971"/>
      <c r="D102" s="11" t="str">
        <f>_xlfn.XLOOKUP($B98,EHS!$M$6:$BM$6,EHS!$M$16:$BM$16,0)</f>
        <v>G</v>
      </c>
      <c r="E102" s="127" t="str">
        <f>_xlfn.XLOOKUP($B98,Estimating!$M$6:$BM$6,Estimating!$M$16:$BM$16,0)</f>
        <v>R</v>
      </c>
      <c r="F102" s="11" t="str">
        <f>_xlfn.XLOOKUP($B98,SOP!$M$6:$BM$6,SOP!$M$19:$BM$19,0)</f>
        <v>R</v>
      </c>
      <c r="G102" s="11" t="str">
        <f>_xlfn.XLOOKUP($B98,Design!$M$6:$BM$6,Design!$M$16:$BM$16,0)</f>
        <v>R</v>
      </c>
      <c r="H102" s="11" t="str">
        <f>_xlfn.XLOOKUP($B98,'Product Design'!$M$6:$BM$6,'Product Design'!$M$19:$BM$19,0)</f>
        <v>R</v>
      </c>
      <c r="I102" s="11" t="str">
        <f>_xlfn.XLOOKUP($B98,'Product Eng - BE'!$M$6:$BM$6,'Product Eng - BE'!$M$19:$BM$19,0)</f>
        <v>Missed</v>
      </c>
      <c r="J102" s="11" t="str">
        <f>_xlfn.XLOOKUP($B98,'Product Eng - MB'!$M$6:$BM$6,'Product Eng - MB'!$M$19:$BM$19,0)</f>
        <v>Missed</v>
      </c>
      <c r="K102" s="11" t="str">
        <f>_xlfn.XLOOKUP($B98,'Bridgend Manuf'!$M$6:$BM$6,'Bridgend Manuf'!$M$16:$BM$16,0)</f>
        <v>G</v>
      </c>
      <c r="L102" s="11" t="str">
        <f>_xlfn.XLOOKUP($B98,'Maybole Manuf'!$M$6:$BM$6,'Maybole Manuf'!$M$16:$BM$16,0)</f>
        <v>TBC</v>
      </c>
      <c r="M102" s="127" t="str">
        <f>_xlfn.XLOOKUP($B98,Logistics!$M$6:$BM$6,Logistics!$M$16:$BM$16,0)</f>
        <v>Missed</v>
      </c>
      <c r="N102" s="127" t="e">
        <f>_xlfn.XLOOKUP($B98,Engineering!$M$22:$BM$22,Engineering!#REF!,0)</f>
        <v>#REF!</v>
      </c>
      <c r="O102" s="127" t="str">
        <f>_xlfn.XLOOKUP($B98,'Quality MB'!$M$6:$BM$6,'Quality MB'!$M$16:$BM$16,0)</f>
        <v>TBC</v>
      </c>
      <c r="P102" s="127" t="str">
        <f>_xlfn.XLOOKUP($B98,Procurement!$M$6:$BM$6,Procurement!$M$16:$BM$16,0)</f>
        <v>G</v>
      </c>
      <c r="Q102" s="11" t="str">
        <f>_xlfn.XLOOKUP($B98,IT!$M$6:$BM$6,IT!$M$16:$BM$16,0)</f>
        <v>TBC</v>
      </c>
      <c r="R102" s="11" t="str">
        <f>_xlfn.XLOOKUP($B98,Marketing!$M$6:$BM$6,Marketing!$M$16:$BM$16,0)</f>
        <v>R</v>
      </c>
      <c r="S102" s="11" t="str">
        <f>_xlfn.XLOOKUP($T98,Finance!$M$16:$X$16,Finance!$M$24:$X$24,0)</f>
        <v>G</v>
      </c>
      <c r="U102" s="127" t="str">
        <f>_xlfn.XLOOKUP($T98,'HR mthly'!$I$6:$BM$6,'HR mthly'!$I$26:$BM$26,0)</f>
        <v>R</v>
      </c>
      <c r="V102" s="127" t="str">
        <f>_xlfn.XLOOKUP($T98,'HR mthly'!$I$6:$BM$6,'HR mthly'!$I$29:$BM$29,0)</f>
        <v>R</v>
      </c>
    </row>
    <row r="103" spans="2:22" ht="42.45" customHeight="1" x14ac:dyDescent="0.3">
      <c r="B103" s="971" t="s">
        <v>31</v>
      </c>
      <c r="C103" s="971"/>
      <c r="D103" s="11" t="str">
        <f>_xlfn.XLOOKUP($B98,EHS!$M$6:$BM$6,EHS!$M$19:$BM$19,0)</f>
        <v>G</v>
      </c>
      <c r="E103" s="127" t="str">
        <f>_xlfn.XLOOKUP($B98,Estimating!$M$6:$BM$6,Estimating!$M$19:$BM$19,0)</f>
        <v>TBC</v>
      </c>
      <c r="F103" s="11" t="str">
        <f>_xlfn.XLOOKUP($B98,SOP!$M$6:$BM$6,SOP!$M$22:$BM$22,0)</f>
        <v>G</v>
      </c>
      <c r="G103" s="11" t="str">
        <f>_xlfn.XLOOKUP($B98,Design!$M$6:$BM$6,Design!$M$19:$BM$19,0)</f>
        <v>G</v>
      </c>
      <c r="H103" s="11" t="str">
        <f>_xlfn.XLOOKUP($B98,'Product Design'!$M$6:$BM$6,'Product Design'!$M$22:$BM$22,0)</f>
        <v>Undefined</v>
      </c>
      <c r="I103" s="11" t="str">
        <f>_xlfn.XLOOKUP($B98,'Product Eng - BE'!$M$6:$BM$6,'Product Eng - BE'!$M$22:$BM$22,0)</f>
        <v>R</v>
      </c>
      <c r="J103" s="11" t="str">
        <f>_xlfn.XLOOKUP($B98,'Product Eng - MB'!$M$6:$BM$6,'Product Eng - MB'!$M$22:$BM$22,0)</f>
        <v>G</v>
      </c>
      <c r="K103" s="11" t="str">
        <f>_xlfn.XLOOKUP($B98,'Bridgend Manuf'!$M$6:$BM$6,'Bridgend Manuf'!$M$19:$BM$19,0)</f>
        <v>G</v>
      </c>
      <c r="L103" s="11" t="str">
        <f>_xlfn.XLOOKUP($B98,'Maybole Manuf'!$M$6:$BM$6,'Maybole Manuf'!$M$19:$BM$19,0)</f>
        <v>TBC</v>
      </c>
      <c r="M103" s="127" t="str">
        <f>_xlfn.XLOOKUP($B98,Logistics!$M$6:$BM$6,Logistics!$M$19:$BM$19,0)</f>
        <v>Undefined</v>
      </c>
      <c r="N103" s="127" t="e">
        <f>_xlfn.XLOOKUP($B98,Engineering!$M$22:$BM$22,Engineering!#REF!,0)</f>
        <v>#REF!</v>
      </c>
      <c r="O103" s="127" t="str">
        <f>_xlfn.XLOOKUP($B98,'Quality MB'!$M$6:$BM$6,'Quality MB'!$M$19:$BM$19,0)</f>
        <v>TBC</v>
      </c>
      <c r="P103" s="127" t="str">
        <f>_xlfn.XLOOKUP($B98,Procurement!$M$6:$BM$6,Procurement!$M$19:$BM$19,0)</f>
        <v>G</v>
      </c>
      <c r="Q103" s="11" t="str">
        <f>_xlfn.XLOOKUP($B98,IT!$M$6:$BM$6,IT!$M$19:$BM$19,0)</f>
        <v>TBC</v>
      </c>
      <c r="R103" s="11" t="str">
        <f>_xlfn.XLOOKUP($B98,Marketing!$M$6:$BM$6,Marketing!$M$19:$BM$19,0)</f>
        <v>G</v>
      </c>
      <c r="S103" s="11" t="str">
        <f>_xlfn.XLOOKUP($T98,Finance!$M$16:$X$16,Finance!$M$27:$X$27,0)</f>
        <v>A</v>
      </c>
      <c r="U103" s="127" t="str">
        <f>_xlfn.XLOOKUP($T98,'HR mthly'!$I$6:$BM$6,'HR mthly'!$I$33:$BM$33,0)</f>
        <v>G</v>
      </c>
      <c r="V103" s="127" t="str">
        <f>_xlfn.XLOOKUP($T98,'HR mthly'!$I$6:$BM$6,'HR mthly'!$I$36:$BM$36,0)</f>
        <v>G</v>
      </c>
    </row>
    <row r="104" spans="2:22" ht="42.45" customHeight="1" x14ac:dyDescent="0.3">
      <c r="U104" s="8" t="s">
        <v>81</v>
      </c>
      <c r="V104" s="8" t="s">
        <v>81</v>
      </c>
    </row>
    <row r="105" spans="2:22" ht="42.45" customHeight="1" x14ac:dyDescent="0.3">
      <c r="B105" s="973" t="s">
        <v>7</v>
      </c>
      <c r="C105" s="974"/>
      <c r="D105" s="6" t="str">
        <f>+D$9</f>
        <v>EHS</v>
      </c>
      <c r="E105" s="6" t="str">
        <f>+E$9</f>
        <v>Estimating</v>
      </c>
      <c r="F105" s="6" t="str">
        <f t="shared" ref="F105:R105" si="22">+F$9</f>
        <v>SOP</v>
      </c>
      <c r="G105" s="6" t="str">
        <f>+G$9</f>
        <v>Design and R&amp;D</v>
      </c>
      <c r="H105" s="6" t="str">
        <f t="shared" si="22"/>
        <v>Product Design</v>
      </c>
      <c r="I105" s="6" t="str">
        <f t="shared" si="22"/>
        <v>Product Engineering Bridgend</v>
      </c>
      <c r="J105" s="6" t="str">
        <f t="shared" si="22"/>
        <v>Product Engineering Maybole</v>
      </c>
      <c r="K105" s="6" t="str">
        <f t="shared" si="22"/>
        <v>Bridgend
Manuf</v>
      </c>
      <c r="L105" s="6" t="str">
        <f t="shared" si="22"/>
        <v>Maybole
Manuf</v>
      </c>
      <c r="M105" s="6" t="str">
        <f>+M$9</f>
        <v>Logistics</v>
      </c>
      <c r="N105" s="6" t="str">
        <f>+N$9</f>
        <v>Engineering</v>
      </c>
      <c r="O105" s="6" t="str">
        <f>+O$9</f>
        <v>Quality
Maybole</v>
      </c>
      <c r="P105" s="6" t="str">
        <f>+P$9</f>
        <v>Procurement</v>
      </c>
      <c r="Q105" s="6" t="str">
        <f>+Q$9</f>
        <v>IT</v>
      </c>
      <c r="R105" s="6" t="str">
        <f t="shared" si="22"/>
        <v>Marketing</v>
      </c>
      <c r="S105" s="6" t="str">
        <f>+S$9</f>
        <v>Finance</v>
      </c>
      <c r="T105" s="7" t="s">
        <v>409</v>
      </c>
      <c r="U105" s="6" t="str">
        <f>+U$9</f>
        <v>HR</v>
      </c>
      <c r="V105" s="6" t="str">
        <f>+V$9</f>
        <v>HR</v>
      </c>
    </row>
    <row r="106" spans="2:22" ht="42.45" customHeight="1" x14ac:dyDescent="0.3">
      <c r="B106" s="7">
        <f>B98+1</f>
        <v>13</v>
      </c>
      <c r="C106" s="8">
        <f>C98+7</f>
        <v>45744</v>
      </c>
      <c r="D106" s="10" t="str">
        <f>+D$10</f>
        <v>Neil 
Laing</v>
      </c>
      <c r="E106" s="9" t="str">
        <f>+E$10</f>
        <v>Julian Sparrow</v>
      </c>
      <c r="F106" s="10" t="str">
        <f t="shared" ref="F106:R106" si="23">+F$10</f>
        <v>Sam Westwood</v>
      </c>
      <c r="G106" s="10" t="str">
        <f>+G$10</f>
        <v>Andrew Skitt</v>
      </c>
      <c r="H106" s="10" t="str">
        <f t="shared" si="23"/>
        <v>Paul 
Dolan</v>
      </c>
      <c r="I106" s="10" t="str">
        <f t="shared" si="23"/>
        <v>Paul 
Dolan</v>
      </c>
      <c r="J106" s="10" t="str">
        <f t="shared" si="23"/>
        <v>Paul 
Dolan</v>
      </c>
      <c r="K106" s="10" t="str">
        <f t="shared" si="23"/>
        <v>Garin Bowen</v>
      </c>
      <c r="L106" s="10" t="str">
        <f t="shared" si="23"/>
        <v>Scott McMillan</v>
      </c>
      <c r="M106" s="10" t="str">
        <f>+M$10</f>
        <v>Scott McMillan</v>
      </c>
      <c r="N106" s="10" t="str">
        <f>+N$10</f>
        <v>Garin Bowen</v>
      </c>
      <c r="O106" s="10" t="str">
        <f>+O$10</f>
        <v>Scott McMIllan</v>
      </c>
      <c r="P106" s="10" t="str">
        <f>+P$10</f>
        <v>Matt 
Pope</v>
      </c>
      <c r="Q106" s="10" t="str">
        <f>+Q$10</f>
        <v>Rhian 
Owen</v>
      </c>
      <c r="R106" s="10" t="str">
        <f t="shared" si="23"/>
        <v>Katherine 
Sanganee</v>
      </c>
      <c r="S106" s="10" t="str">
        <f>+S$10</f>
        <v>Gethin Davies</v>
      </c>
      <c r="T106" s="7">
        <v>2</v>
      </c>
      <c r="U106" s="10" t="str">
        <f>+U$10</f>
        <v>Bethan Grant</v>
      </c>
      <c r="V106" s="10" t="str">
        <f>+V$10</f>
        <v>Bethan Grant</v>
      </c>
    </row>
    <row r="107" spans="2:22" ht="42.45" customHeight="1" x14ac:dyDescent="0.3">
      <c r="B107" s="971" t="s">
        <v>30</v>
      </c>
      <c r="C107" s="971"/>
      <c r="D107" s="11" t="str">
        <f>_xlfn.XLOOKUP($B106,EHS!$M$6:$BM$6,EHS!$M$10:$BM$10,0)</f>
        <v>G</v>
      </c>
      <c r="E107" s="127" t="str">
        <f>_xlfn.XLOOKUP($B106,Estimating!$M$6:$BM$6,Estimating!$M$10:$BM$10,0)</f>
        <v>G</v>
      </c>
      <c r="F107" s="11" t="str">
        <f>_xlfn.XLOOKUP($B106,SOP!$M$6:$BM$6,SOP!$M$10:$BM$10,0)</f>
        <v>R</v>
      </c>
      <c r="G107" s="11" t="str">
        <f>_xlfn.XLOOKUP($B106,Design!$M$6:$BM$6,Design!$M$10:$BM$10,0)</f>
        <v>G</v>
      </c>
      <c r="H107" s="11" t="str">
        <f>_xlfn.XLOOKUP($B106,'Product Design'!$M$6:$BM$6,'Product Design'!$M$10:$BM$10,0)</f>
        <v>R</v>
      </c>
      <c r="I107" s="11" t="str">
        <f>_xlfn.XLOOKUP($B106,'Product Eng - BE'!$M$6:$BM$6,'Product Eng - BE'!$M$10:$BM$10,0)</f>
        <v>G</v>
      </c>
      <c r="J107" s="11" t="str">
        <f>_xlfn.XLOOKUP($B106,'Product Eng - MB'!$M$6:$BM$6,'Product Eng - MB'!$M$10:$BM$10,0)</f>
        <v>R</v>
      </c>
      <c r="K107" s="11" t="str">
        <f>_xlfn.XLOOKUP($B106,'Bridgend Manuf'!$M$6:$BM$6,'Bridgend Manuf'!$M$10:$BM$10,0)</f>
        <v>G</v>
      </c>
      <c r="L107" s="11" t="str">
        <f>_xlfn.XLOOKUP($B106,'Maybole Manuf'!$M$6:$BM$6,'Maybole Manuf'!$M$10:$BM$10,0)</f>
        <v>TBC</v>
      </c>
      <c r="M107" s="127" t="str">
        <f>_xlfn.XLOOKUP($B106,Logistics!$M$6:$BM$6,Logistics!$M$10:$BM$10,0)</f>
        <v>TBC</v>
      </c>
      <c r="N107" s="127" t="str">
        <f>_xlfn.XLOOKUP($B106,Engineering!$M$22:$BM$22,Engineering!$M$26:$BM$26,0)</f>
        <v>Missed</v>
      </c>
      <c r="O107" s="127" t="str">
        <f>_xlfn.XLOOKUP($B106,'Quality MB'!$M$6:$BM$6,'Quality MB'!$M$10:$BM$10,0)</f>
        <v>TBC</v>
      </c>
      <c r="P107" s="127" t="str">
        <f>_xlfn.XLOOKUP($B106,Procurement!$M$6:$BM$6,Procurement!$M$10:$BM$10,0)</f>
        <v>G</v>
      </c>
      <c r="Q107" s="11" t="str">
        <f>_xlfn.XLOOKUP($B106,IT!$M$6:$BM$6,IT!$M$10:$BM$10,0)</f>
        <v>Undefined</v>
      </c>
      <c r="R107" s="11" t="str">
        <f>_xlfn.XLOOKUP($B106,Marketing!$M$6:$BM$6,Marketing!$M$10:$BM$10,0)</f>
        <v>G</v>
      </c>
      <c r="S107" s="11" t="str">
        <f>_xlfn.XLOOKUP($B106,Finance!$M$6:$BM$6,Finance!$M$10:$BM$10,0)</f>
        <v>G</v>
      </c>
      <c r="U107" s="127" t="str">
        <f>_xlfn.XLOOKUP($T106,'HR mthly'!$I$6:$BM$6,'HR mthly'!$I$11:$BM$11,0)</f>
        <v>G</v>
      </c>
      <c r="V107" s="127" t="str">
        <f>_xlfn.XLOOKUP($T106,'HR mthly'!$I$6:$BM$6,'HR mthly'!$I$14:$BM$14,0)</f>
        <v>G</v>
      </c>
    </row>
    <row r="108" spans="2:22" ht="42.45" customHeight="1" x14ac:dyDescent="0.3">
      <c r="B108" s="971" t="s">
        <v>172</v>
      </c>
      <c r="C108" s="971"/>
      <c r="D108" s="11" t="str">
        <f>_xlfn.XLOOKUP($B106,EHS!$M$6:$BM$6,EHS!$M$13:$BM$13,0)</f>
        <v>G</v>
      </c>
      <c r="E108" s="127" t="str">
        <f>_xlfn.XLOOKUP($B106,Estimating!$M$6:$BM$6,Estimating!$M$13:$BM$13,0)</f>
        <v>A</v>
      </c>
      <c r="F108" s="11" t="str">
        <f>_xlfn.XLOOKUP($B106,SOP!$M$6:$BM$6,SOP!$M$13:$BM$13,0)</f>
        <v>R</v>
      </c>
      <c r="G108" s="11" t="str">
        <f>_xlfn.XLOOKUP($B106,Design!$M$6:$BM$6,Design!$M$13:$BM$13,0)</f>
        <v>R</v>
      </c>
      <c r="H108" s="11" t="str">
        <f>_xlfn.XLOOKUP($B106,'Product Design'!$M$6:$BM$6,'Product Design'!$M$13:$BM$13,0)</f>
        <v>G</v>
      </c>
      <c r="I108" s="11" t="str">
        <f>_xlfn.XLOOKUP($B106,'Product Eng - BE'!$M$6:$BM$6,'Product Eng - BE'!$M$13:$BM$13,0)</f>
        <v>R</v>
      </c>
      <c r="J108" s="11" t="str">
        <f>_xlfn.XLOOKUP($B106,'Product Eng - MB'!$M$6:$BM$6,'Product Eng - MB'!$M$13:$BM$13,0)</f>
        <v>G</v>
      </c>
      <c r="K108" s="11" t="str">
        <f>_xlfn.XLOOKUP($B106,'Bridgend Manuf'!$M$6:$BM$6,'Bridgend Manuf'!$M$13:$BM$13,0)</f>
        <v>A</v>
      </c>
      <c r="L108" s="11" t="str">
        <f>_xlfn.XLOOKUP($B106,'Maybole Manuf'!$M$6:$BM$6,'Maybole Manuf'!$M$13:$BM$13,0)</f>
        <v>TBC</v>
      </c>
      <c r="M108" s="127" t="str">
        <f>_xlfn.XLOOKUP($B106,Logistics!$M$6:$BM$6,Logistics!$M$13:$BM$13,0)</f>
        <v>TBC</v>
      </c>
      <c r="N108" s="127" t="e">
        <f>_xlfn.XLOOKUP($B106,Engineering!$M$22:$BM$22,Engineering!#REF!,0)</f>
        <v>#REF!</v>
      </c>
      <c r="O108" s="127" t="str">
        <f>_xlfn.XLOOKUP($B106,'Quality MB'!$M$6:$BM$6,'Quality MB'!$M$13:$BM$13,0)</f>
        <v>TBC</v>
      </c>
      <c r="P108" s="127" t="str">
        <f>_xlfn.XLOOKUP($B106,Procurement!$M$6:$BM$6,Procurement!$M$13:$BM$13,0)</f>
        <v>A</v>
      </c>
      <c r="Q108" s="11" t="str">
        <f>_xlfn.XLOOKUP($B106,IT!$M$6:$BM$6,IT!$M$13:$BM$13,0)</f>
        <v>TBC</v>
      </c>
      <c r="R108" s="11" t="str">
        <f>_xlfn.XLOOKUP($B106,Marketing!$M$6:$BM$6,Marketing!$M$13:$BM$13,0)</f>
        <v>G</v>
      </c>
      <c r="S108" s="11" t="str">
        <f>_xlfn.XLOOKUP($T106,Finance!$M$16:$X$16,Finance!$M$21:$X$21,0)</f>
        <v>R</v>
      </c>
      <c r="U108" s="127" t="str">
        <f>_xlfn.XLOOKUP($T106,'HR mthly'!$I$6:$BM$6,'HR mthly'!$I$18:$BM$18,0)</f>
        <v>R</v>
      </c>
      <c r="V108" s="127" t="str">
        <f>_xlfn.XLOOKUP($T106,'HR mthly'!$I$6:$BM$6,'HR mthly'!$I$21:$BM$21,0)</f>
        <v>R</v>
      </c>
    </row>
    <row r="109" spans="2:22" ht="42.45" customHeight="1" x14ac:dyDescent="0.3">
      <c r="B109" s="971" t="s">
        <v>173</v>
      </c>
      <c r="C109" s="971"/>
      <c r="D109" s="11" t="s">
        <v>174</v>
      </c>
      <c r="E109" s="11" t="s">
        <v>174</v>
      </c>
      <c r="F109" s="11" t="str">
        <f>_xlfn.XLOOKUP($B106,SOP!$M$6:$BM$6,SOP!$M$16:$BM$16,0)</f>
        <v>R</v>
      </c>
      <c r="G109" s="11" t="s">
        <v>174</v>
      </c>
      <c r="H109" s="11" t="str">
        <f>_xlfn.XLOOKUP($B106,'Product Design'!$M$6:$BM$6,'Product Design'!$M$16:$BM$16,0)</f>
        <v>R</v>
      </c>
      <c r="I109" s="11" t="str">
        <f>_xlfn.XLOOKUP($B106,'Product Eng - BE'!$M$6:$BM$6,'Product Eng - BE'!$M$16:$BM$16,0)</f>
        <v>R</v>
      </c>
      <c r="J109" s="11" t="str">
        <f>_xlfn.XLOOKUP($B106,'Product Eng - MB'!$M$6:$BM$6,'Product Eng - MB'!$M$16:$BM$16,0)</f>
        <v>R</v>
      </c>
      <c r="K109" s="11" t="s">
        <v>174</v>
      </c>
      <c r="L109" s="11" t="s">
        <v>174</v>
      </c>
      <c r="M109" s="11" t="s">
        <v>174</v>
      </c>
      <c r="N109" s="11" t="s">
        <v>174</v>
      </c>
      <c r="O109" s="11" t="s">
        <v>174</v>
      </c>
      <c r="P109" s="11" t="s">
        <v>174</v>
      </c>
      <c r="Q109" s="11" t="s">
        <v>174</v>
      </c>
      <c r="R109" s="11" t="s">
        <v>174</v>
      </c>
      <c r="S109" s="11" t="s">
        <v>174</v>
      </c>
      <c r="U109" s="11" t="s">
        <v>174</v>
      </c>
      <c r="V109" s="11" t="s">
        <v>174</v>
      </c>
    </row>
    <row r="110" spans="2:22" ht="42.45" customHeight="1" x14ac:dyDescent="0.3">
      <c r="B110" s="971" t="s">
        <v>32</v>
      </c>
      <c r="C110" s="971"/>
      <c r="D110" s="11" t="str">
        <f>_xlfn.XLOOKUP($B106,EHS!$M$6:$BM$6,EHS!$M$16:$BM$16,0)</f>
        <v>A</v>
      </c>
      <c r="E110" s="127" t="str">
        <f>_xlfn.XLOOKUP($B106,Estimating!$M$6:$BM$6,Estimating!$M$16:$BM$16,0)</f>
        <v>G</v>
      </c>
      <c r="F110" s="11" t="str">
        <f>_xlfn.XLOOKUP($B106,SOP!$M$6:$BM$6,SOP!$M$19:$BM$19,0)</f>
        <v>R</v>
      </c>
      <c r="G110" s="11" t="str">
        <f>_xlfn.XLOOKUP($B106,Design!$M$6:$BM$6,Design!$M$16:$BM$16,0)</f>
        <v>R</v>
      </c>
      <c r="H110" s="11" t="str">
        <f>_xlfn.XLOOKUP($B106,'Product Design'!$M$6:$BM$6,'Product Design'!$M$19:$BM$19,0)</f>
        <v>G</v>
      </c>
      <c r="I110" s="11" t="str">
        <f>_xlfn.XLOOKUP($B106,'Product Eng - BE'!$M$6:$BM$6,'Product Eng - BE'!$M$19:$BM$19,0)</f>
        <v>Missed</v>
      </c>
      <c r="J110" s="11" t="str">
        <f>_xlfn.XLOOKUP($B106,'Product Eng - MB'!$M$6:$BM$6,'Product Eng - MB'!$M$19:$BM$19,0)</f>
        <v>Missed</v>
      </c>
      <c r="K110" s="11" t="str">
        <f>_xlfn.XLOOKUP($B106,'Bridgend Manuf'!$M$6:$BM$6,'Bridgend Manuf'!$M$16:$BM$16,0)</f>
        <v>G</v>
      </c>
      <c r="L110" s="11" t="str">
        <f>_xlfn.XLOOKUP($B106,'Maybole Manuf'!$M$6:$BM$6,'Maybole Manuf'!$M$16:$BM$16,0)</f>
        <v>TBC</v>
      </c>
      <c r="M110" s="127" t="str">
        <f>_xlfn.XLOOKUP($B106,Logistics!$M$6:$BM$6,Logistics!$M$16:$BM$16,0)</f>
        <v>Missed</v>
      </c>
      <c r="N110" s="127" t="e">
        <f>_xlfn.XLOOKUP($B106,Engineering!$M$22:$BM$22,Engineering!#REF!,0)</f>
        <v>#REF!</v>
      </c>
      <c r="O110" s="127" t="str">
        <f>_xlfn.XLOOKUP($B106,'Quality MB'!$M$6:$BM$6,'Quality MB'!$M$16:$BM$16,0)</f>
        <v>TBC</v>
      </c>
      <c r="P110" s="127" t="str">
        <f>_xlfn.XLOOKUP($B106,Procurement!$M$6:$BM$6,Procurement!$M$16:$BM$16,0)</f>
        <v>G</v>
      </c>
      <c r="Q110" s="11" t="str">
        <f>_xlfn.XLOOKUP($B106,IT!$M$6:$BM$6,IT!$M$16:$BM$16,0)</f>
        <v>TBC</v>
      </c>
      <c r="R110" s="11" t="str">
        <f>_xlfn.XLOOKUP($B106,Marketing!$M$6:$BM$6,Marketing!$M$16:$BM$16,0)</f>
        <v>G</v>
      </c>
      <c r="S110" s="11" t="str">
        <f>_xlfn.XLOOKUP($T106,Finance!$M$16:$X$16,Finance!$M$24:$X$24,0)</f>
        <v>G</v>
      </c>
      <c r="U110" s="127" t="str">
        <f>_xlfn.XLOOKUP($T106,'HR mthly'!$I$6:$BM$6,'HR mthly'!$I$26:$BM$26,0)</f>
        <v>R</v>
      </c>
      <c r="V110" s="127" t="str">
        <f>_xlfn.XLOOKUP($T106,'HR mthly'!$I$6:$BM$6,'HR mthly'!$I$29:$BM$29,0)</f>
        <v>R</v>
      </c>
    </row>
    <row r="111" spans="2:22" ht="42.45" customHeight="1" x14ac:dyDescent="0.3">
      <c r="B111" s="971" t="s">
        <v>31</v>
      </c>
      <c r="C111" s="971"/>
      <c r="D111" s="11" t="str">
        <f>_xlfn.XLOOKUP($B106,EHS!$M$6:$BM$6,EHS!$M$19:$BM$19,0)</f>
        <v>G</v>
      </c>
      <c r="E111" s="127" t="str">
        <f>_xlfn.XLOOKUP($B106,Estimating!$M$6:$BM$6,Estimating!$M$19:$BM$19,0)</f>
        <v>TBC</v>
      </c>
      <c r="F111" s="11" t="str">
        <f>_xlfn.XLOOKUP($B106,SOP!$M$6:$BM$6,SOP!$M$22:$BM$22,0)</f>
        <v>R</v>
      </c>
      <c r="G111" s="11" t="str">
        <f>_xlfn.XLOOKUP($B106,Design!$M$6:$BM$6,Design!$M$19:$BM$19,0)</f>
        <v>G</v>
      </c>
      <c r="H111" s="11" t="str">
        <f>_xlfn.XLOOKUP($B106,'Product Design'!$M$6:$BM$6,'Product Design'!$M$22:$BM$22,0)</f>
        <v>Undefined</v>
      </c>
      <c r="I111" s="11" t="str">
        <f>_xlfn.XLOOKUP($B106,'Product Eng - BE'!$M$6:$BM$6,'Product Eng - BE'!$M$22:$BM$22,0)</f>
        <v>R</v>
      </c>
      <c r="J111" s="11" t="str">
        <f>_xlfn.XLOOKUP($B106,'Product Eng - MB'!$M$6:$BM$6,'Product Eng - MB'!$M$22:$BM$22,0)</f>
        <v>G</v>
      </c>
      <c r="K111" s="11" t="str">
        <f>_xlfn.XLOOKUP($B106,'Bridgend Manuf'!$M$6:$BM$6,'Bridgend Manuf'!$M$19:$BM$19,0)</f>
        <v>G</v>
      </c>
      <c r="L111" s="11" t="str">
        <f>_xlfn.XLOOKUP($B106,'Maybole Manuf'!$M$6:$BM$6,'Maybole Manuf'!$M$19:$BM$19,0)</f>
        <v>TBC</v>
      </c>
      <c r="M111" s="127" t="str">
        <f>_xlfn.XLOOKUP($B106,Logistics!$M$6:$BM$6,Logistics!$M$19:$BM$19,0)</f>
        <v>Undefined</v>
      </c>
      <c r="N111" s="127" t="e">
        <f>_xlfn.XLOOKUP($B106,Engineering!$M$22:$BM$22,Engineering!#REF!,0)</f>
        <v>#REF!</v>
      </c>
      <c r="O111" s="127" t="str">
        <f>_xlfn.XLOOKUP($B106,'Quality MB'!$M$6:$BM$6,'Quality MB'!$M$19:$BM$19,0)</f>
        <v>TBC</v>
      </c>
      <c r="P111" s="127" t="str">
        <f>_xlfn.XLOOKUP($B106,Procurement!$M$6:$BM$6,Procurement!$M$19:$BM$19,0)</f>
        <v>G</v>
      </c>
      <c r="Q111" s="11" t="str">
        <f>_xlfn.XLOOKUP($B106,IT!$M$6:$BM$6,IT!$M$19:$BM$19,0)</f>
        <v>TBC</v>
      </c>
      <c r="R111" s="11" t="str">
        <f>_xlfn.XLOOKUP($B106,Marketing!$M$6:$BM$6,Marketing!$M$19:$BM$19,0)</f>
        <v>G</v>
      </c>
      <c r="S111" s="11" t="str">
        <f>_xlfn.XLOOKUP($T106,Finance!$M$16:$X$16,Finance!$M$27:$X$27,0)</f>
        <v>A</v>
      </c>
      <c r="U111" s="127" t="str">
        <f>_xlfn.XLOOKUP($T106,'HR mthly'!$I$6:$BM$6,'HR mthly'!$I$33:$BM$33,0)</f>
        <v>G</v>
      </c>
      <c r="V111" s="127" t="str">
        <f>_xlfn.XLOOKUP($T106,'HR mthly'!$I$6:$BM$6,'HR mthly'!$I$36:$BM$36,0)</f>
        <v>G</v>
      </c>
    </row>
    <row r="113" spans="2:22" ht="42.45" customHeight="1" x14ac:dyDescent="0.3">
      <c r="B113" s="973" t="s">
        <v>7</v>
      </c>
      <c r="C113" s="974"/>
      <c r="D113" s="6" t="str">
        <f>+D$9</f>
        <v>EHS</v>
      </c>
      <c r="E113" s="6" t="str">
        <f>+E$9</f>
        <v>Estimating</v>
      </c>
      <c r="F113" s="6" t="str">
        <f t="shared" ref="F113:R113" si="24">+F$9</f>
        <v>SOP</v>
      </c>
      <c r="G113" s="6" t="str">
        <f>+G$9</f>
        <v>Design and R&amp;D</v>
      </c>
      <c r="H113" s="6" t="str">
        <f t="shared" si="24"/>
        <v>Product Design</v>
      </c>
      <c r="I113" s="6" t="str">
        <f t="shared" si="24"/>
        <v>Product Engineering Bridgend</v>
      </c>
      <c r="J113" s="6" t="str">
        <f t="shared" si="24"/>
        <v>Product Engineering Maybole</v>
      </c>
      <c r="K113" s="6" t="str">
        <f t="shared" si="24"/>
        <v>Bridgend
Manuf</v>
      </c>
      <c r="L113" s="6" t="str">
        <f t="shared" si="24"/>
        <v>Maybole
Manuf</v>
      </c>
      <c r="M113" s="6" t="str">
        <f>+M$9</f>
        <v>Logistics</v>
      </c>
      <c r="N113" s="6" t="str">
        <f>+N$9</f>
        <v>Engineering</v>
      </c>
      <c r="O113" s="6" t="str">
        <f>+O$9</f>
        <v>Quality
Maybole</v>
      </c>
      <c r="P113" s="6" t="str">
        <f>+P$9</f>
        <v>Procurement</v>
      </c>
      <c r="Q113" s="6" t="str">
        <f>+Q$9</f>
        <v>IT</v>
      </c>
      <c r="R113" s="6" t="str">
        <f t="shared" si="24"/>
        <v>Marketing</v>
      </c>
      <c r="S113" s="6" t="str">
        <f>+S$9</f>
        <v>Finance</v>
      </c>
      <c r="T113" s="7" t="s">
        <v>409</v>
      </c>
      <c r="U113" s="6" t="str">
        <f>+U$9</f>
        <v>HR</v>
      </c>
      <c r="V113" s="6" t="str">
        <f>+V$9</f>
        <v>HR</v>
      </c>
    </row>
    <row r="114" spans="2:22" ht="42.45" customHeight="1" x14ac:dyDescent="0.3">
      <c r="B114" s="7">
        <f>B106+1</f>
        <v>14</v>
      </c>
      <c r="C114" s="8">
        <f>C106+7</f>
        <v>45751</v>
      </c>
      <c r="D114" s="10" t="str">
        <f>+D$10</f>
        <v>Neil 
Laing</v>
      </c>
      <c r="E114" s="9" t="str">
        <f>+E$10</f>
        <v>Julian Sparrow</v>
      </c>
      <c r="F114" s="10" t="str">
        <f t="shared" ref="F114:R114" si="25">+F$10</f>
        <v>Sam Westwood</v>
      </c>
      <c r="G114" s="10" t="str">
        <f>+G$10</f>
        <v>Andrew Skitt</v>
      </c>
      <c r="H114" s="10" t="str">
        <f t="shared" si="25"/>
        <v>Paul 
Dolan</v>
      </c>
      <c r="I114" s="10" t="str">
        <f t="shared" si="25"/>
        <v>Paul 
Dolan</v>
      </c>
      <c r="J114" s="10" t="str">
        <f t="shared" si="25"/>
        <v>Paul 
Dolan</v>
      </c>
      <c r="K114" s="10" t="str">
        <f t="shared" si="25"/>
        <v>Garin Bowen</v>
      </c>
      <c r="L114" s="10" t="str">
        <f t="shared" si="25"/>
        <v>Scott McMillan</v>
      </c>
      <c r="M114" s="10" t="str">
        <f>+M$10</f>
        <v>Scott McMillan</v>
      </c>
      <c r="N114" s="10" t="str">
        <f>+N$10</f>
        <v>Garin Bowen</v>
      </c>
      <c r="O114" s="10" t="str">
        <f>+O$10</f>
        <v>Scott McMIllan</v>
      </c>
      <c r="P114" s="10" t="str">
        <f>+P$10</f>
        <v>Matt 
Pope</v>
      </c>
      <c r="Q114" s="10" t="str">
        <f>+Q$10</f>
        <v>Rhian 
Owen</v>
      </c>
      <c r="R114" s="10" t="str">
        <f t="shared" si="25"/>
        <v>Katherine 
Sanganee</v>
      </c>
      <c r="S114" s="10" t="str">
        <f>+S$10</f>
        <v>Gethin Davies</v>
      </c>
      <c r="T114" s="7">
        <v>3</v>
      </c>
      <c r="U114" s="10" t="str">
        <f>+U$10</f>
        <v>Bethan Grant</v>
      </c>
      <c r="V114" s="10" t="str">
        <f>+V$10</f>
        <v>Bethan Grant</v>
      </c>
    </row>
    <row r="115" spans="2:22" ht="42.45" customHeight="1" x14ac:dyDescent="0.3">
      <c r="B115" s="971" t="s">
        <v>30</v>
      </c>
      <c r="C115" s="971"/>
      <c r="D115" s="11" t="str">
        <f>_xlfn.XLOOKUP($B114,EHS!$M$6:$BM$6,EHS!$M$10:$BM$10,0)</f>
        <v>G</v>
      </c>
      <c r="E115" s="127" t="str">
        <f>_xlfn.XLOOKUP($B114,Estimating!$M$6:$BM$6,Estimating!$M$10:$BM$10,0)</f>
        <v>R</v>
      </c>
      <c r="F115" s="11" t="str">
        <f>_xlfn.XLOOKUP($B114,SOP!$M$6:$BM$6,SOP!$M$10:$BM$10,0)</f>
        <v>R</v>
      </c>
      <c r="G115" s="11" t="str">
        <f>_xlfn.XLOOKUP($B114,Design!$M$6:$BM$6,Design!$M$10:$BM$10,0)</f>
        <v>G</v>
      </c>
      <c r="H115" s="11" t="str">
        <f>_xlfn.XLOOKUP($B114,'Product Design'!$M$6:$BM$6,'Product Design'!$M$10:$BM$10,0)</f>
        <v>R</v>
      </c>
      <c r="I115" s="11" t="str">
        <f>_xlfn.XLOOKUP($B114,'Product Eng - BE'!$M$6:$BM$6,'Product Eng - BE'!$M$10:$BM$10,0)</f>
        <v>R</v>
      </c>
      <c r="J115" s="11" t="str">
        <f>_xlfn.XLOOKUP($B114,'Product Eng - MB'!$M$6:$BM$6,'Product Eng - MB'!$M$10:$BM$10,0)</f>
        <v>G</v>
      </c>
      <c r="K115" s="11" t="str">
        <f>_xlfn.XLOOKUP($B114,'Bridgend Manuf'!$M$6:$BM$6,'Bridgend Manuf'!$M$10:$BM$10,0)</f>
        <v>G</v>
      </c>
      <c r="L115" s="11" t="str">
        <f>_xlfn.XLOOKUP($B114,'Maybole Manuf'!$M$6:$BM$6,'Maybole Manuf'!$M$10:$BM$10,0)</f>
        <v>R</v>
      </c>
      <c r="M115" s="127" t="str">
        <f>_xlfn.XLOOKUP($B114,Logistics!$M$6:$BM$6,Logistics!$M$10:$BM$10,0)</f>
        <v>G</v>
      </c>
      <c r="N115" s="127" t="str">
        <f>_xlfn.XLOOKUP($B114,Engineering!$M$22:$BM$22,Engineering!$M$26:$BM$26,0)</f>
        <v>Missed</v>
      </c>
      <c r="O115" s="127" t="str">
        <f>_xlfn.XLOOKUP($B114,'Quality MB'!$M$6:$BM$6,'Quality MB'!$M$10:$BM$10,0)</f>
        <v>G</v>
      </c>
      <c r="P115" s="127" t="str">
        <f>_xlfn.XLOOKUP($B114,Procurement!$M$6:$BM$6,Procurement!$M$10:$BM$10,0)</f>
        <v>G</v>
      </c>
      <c r="Q115" s="11" t="str">
        <f>_xlfn.XLOOKUP($B114,IT!$M$6:$BM$6,IT!$M$10:$BM$10,0)</f>
        <v>Undefined</v>
      </c>
      <c r="R115" s="11" t="str">
        <f>_xlfn.XLOOKUP($B114,Marketing!$M$6:$BM$6,Marketing!$M$10:$BM$10,0)</f>
        <v>G</v>
      </c>
      <c r="S115" s="11" t="str">
        <f>_xlfn.XLOOKUP($B114,Finance!$M$6:$BM$6,Finance!$M$10:$BM$10,0)</f>
        <v>G</v>
      </c>
      <c r="U115" s="127" t="str">
        <f>_xlfn.XLOOKUP($T114,'HR mthly'!$I$6:$BM$6,'HR mthly'!$I$11:$BM$11,0)</f>
        <v>G</v>
      </c>
      <c r="V115" s="127" t="str">
        <f>_xlfn.XLOOKUP($T114,'HR mthly'!$I$6:$BM$6,'HR mthly'!$I$14:$BM$14,0)</f>
        <v>G</v>
      </c>
    </row>
    <row r="116" spans="2:22" ht="42.45" customHeight="1" x14ac:dyDescent="0.3">
      <c r="B116" s="971" t="s">
        <v>172</v>
      </c>
      <c r="C116" s="971"/>
      <c r="D116" s="11" t="str">
        <f>_xlfn.XLOOKUP($B114,EHS!$M$6:$BM$6,EHS!$M$13:$BM$13,0)</f>
        <v>G</v>
      </c>
      <c r="E116" s="127" t="str">
        <f>_xlfn.XLOOKUP($B114,Estimating!$M$6:$BM$6,Estimating!$M$13:$BM$13,0)</f>
        <v>R</v>
      </c>
      <c r="F116" s="11" t="str">
        <f>_xlfn.XLOOKUP($B114,SOP!$M$6:$BM$6,SOP!$M$13:$BM$13,0)</f>
        <v>R</v>
      </c>
      <c r="G116" s="11" t="str">
        <f>_xlfn.XLOOKUP($B114,Design!$M$6:$BM$6,Design!$M$13:$BM$13,0)</f>
        <v>R</v>
      </c>
      <c r="H116" s="11" t="str">
        <f>_xlfn.XLOOKUP($B114,'Product Design'!$M$6:$BM$6,'Product Design'!$M$13:$BM$13,0)</f>
        <v>R</v>
      </c>
      <c r="I116" s="11" t="str">
        <f>_xlfn.XLOOKUP($B114,'Product Eng - BE'!$M$6:$BM$6,'Product Eng - BE'!$M$13:$BM$13,0)</f>
        <v>G</v>
      </c>
      <c r="J116" s="11" t="str">
        <f>_xlfn.XLOOKUP($B114,'Product Eng - MB'!$M$6:$BM$6,'Product Eng - MB'!$M$13:$BM$13,0)</f>
        <v>G</v>
      </c>
      <c r="K116" s="11" t="str">
        <f>_xlfn.XLOOKUP($B114,'Bridgend Manuf'!$M$6:$BM$6,'Bridgend Manuf'!$M$13:$BM$13,0)</f>
        <v>A</v>
      </c>
      <c r="L116" s="11" t="str">
        <f>_xlfn.XLOOKUP($B114,'Maybole Manuf'!$M$6:$BM$6,'Maybole Manuf'!$M$13:$BM$13,0)</f>
        <v>R</v>
      </c>
      <c r="M116" s="127" t="str">
        <f>_xlfn.XLOOKUP($B114,Logistics!$M$6:$BM$6,Logistics!$M$13:$BM$13,0)</f>
        <v>R</v>
      </c>
      <c r="N116" s="127" t="e">
        <f>_xlfn.XLOOKUP($B114,Engineering!$M$22:$BM$22,Engineering!#REF!,0)</f>
        <v>#REF!</v>
      </c>
      <c r="O116" s="127" t="str">
        <f>_xlfn.XLOOKUP($B114,'Quality MB'!$M$6:$BM$6,'Quality MB'!$M$13:$BM$13,0)</f>
        <v>G</v>
      </c>
      <c r="P116" s="127" t="str">
        <f>_xlfn.XLOOKUP($B114,Procurement!$M$6:$BM$6,Procurement!$M$13:$BM$13,0)</f>
        <v>A</v>
      </c>
      <c r="Q116" s="11" t="str">
        <f>_xlfn.XLOOKUP($B114,IT!$M$6:$BM$6,IT!$M$13:$BM$13,0)</f>
        <v>TBC</v>
      </c>
      <c r="R116" s="11" t="str">
        <f>_xlfn.XLOOKUP($B114,Marketing!$M$6:$BM$6,Marketing!$M$13:$BM$13,0)</f>
        <v>R</v>
      </c>
      <c r="S116" s="11" t="str">
        <f>_xlfn.XLOOKUP($T114,Finance!$M$16:$X$16,Finance!$M$21:$X$21,0)</f>
        <v>G</v>
      </c>
      <c r="U116" s="127" t="str">
        <f>_xlfn.XLOOKUP($T114,'HR mthly'!$I$6:$BM$6,'HR mthly'!$I$18:$BM$18,0)</f>
        <v>G</v>
      </c>
      <c r="V116" s="127" t="str">
        <f>_xlfn.XLOOKUP($T114,'HR mthly'!$I$6:$BM$6,'HR mthly'!$I$21:$BM$21,0)</f>
        <v>R</v>
      </c>
    </row>
    <row r="117" spans="2:22" ht="42.45" customHeight="1" x14ac:dyDescent="0.3">
      <c r="B117" s="971" t="s">
        <v>173</v>
      </c>
      <c r="C117" s="971"/>
      <c r="D117" s="11" t="s">
        <v>174</v>
      </c>
      <c r="E117" s="11" t="s">
        <v>174</v>
      </c>
      <c r="F117" s="11" t="str">
        <f>_xlfn.XLOOKUP($B114,SOP!$M$6:$BM$6,SOP!$M$16:$BM$16,0)</f>
        <v>R</v>
      </c>
      <c r="G117" s="11" t="s">
        <v>174</v>
      </c>
      <c r="H117" s="11" t="str">
        <f>_xlfn.XLOOKUP($B114,'Product Design'!$M$6:$BM$6,'Product Design'!$M$16:$BM$16,0)</f>
        <v>G</v>
      </c>
      <c r="I117" s="11" t="str">
        <f>_xlfn.XLOOKUP($B114,'Product Eng - BE'!$M$6:$BM$6,'Product Eng - BE'!$M$16:$BM$16,0)</f>
        <v>R</v>
      </c>
      <c r="J117" s="11" t="str">
        <f>_xlfn.XLOOKUP($B114,'Product Eng - MB'!$M$6:$BM$6,'Product Eng - MB'!$M$16:$BM$16,0)</f>
        <v>R</v>
      </c>
      <c r="K117" s="11" t="s">
        <v>174</v>
      </c>
      <c r="L117" s="11" t="s">
        <v>174</v>
      </c>
      <c r="M117" s="11" t="s">
        <v>174</v>
      </c>
      <c r="N117" s="11" t="s">
        <v>174</v>
      </c>
      <c r="O117" s="11" t="s">
        <v>174</v>
      </c>
      <c r="P117" s="11" t="s">
        <v>174</v>
      </c>
      <c r="Q117" s="11" t="s">
        <v>174</v>
      </c>
      <c r="R117" s="11" t="s">
        <v>174</v>
      </c>
      <c r="S117" s="11" t="s">
        <v>174</v>
      </c>
      <c r="U117" s="11" t="s">
        <v>174</v>
      </c>
      <c r="V117" s="11" t="s">
        <v>174</v>
      </c>
    </row>
    <row r="118" spans="2:22" ht="42.45" customHeight="1" x14ac:dyDescent="0.3">
      <c r="B118" s="971" t="s">
        <v>32</v>
      </c>
      <c r="C118" s="971"/>
      <c r="D118" s="11" t="str">
        <f>_xlfn.XLOOKUP($B114,EHS!$M$6:$BM$6,EHS!$M$16:$BM$16,0)</f>
        <v>R</v>
      </c>
      <c r="E118" s="127" t="str">
        <f>_xlfn.XLOOKUP($B114,Estimating!$M$6:$BM$6,Estimating!$M$16:$BM$16,0)</f>
        <v>R</v>
      </c>
      <c r="F118" s="11" t="str">
        <f>_xlfn.XLOOKUP($B114,SOP!$M$6:$BM$6,SOP!$M$19:$BM$19,0)</f>
        <v>G</v>
      </c>
      <c r="G118" s="11" t="str">
        <f>_xlfn.XLOOKUP($B114,Design!$M$6:$BM$6,Design!$M$16:$BM$16,0)</f>
        <v>R</v>
      </c>
      <c r="H118" s="11" t="str">
        <f>_xlfn.XLOOKUP($B114,'Product Design'!$M$6:$BM$6,'Product Design'!$M$19:$BM$19,0)</f>
        <v>G</v>
      </c>
      <c r="I118" s="11" t="str">
        <f>_xlfn.XLOOKUP($B114,'Product Eng - BE'!$M$6:$BM$6,'Product Eng - BE'!$M$19:$BM$19,0)</f>
        <v>Missed</v>
      </c>
      <c r="J118" s="11" t="str">
        <f>_xlfn.XLOOKUP($B114,'Product Eng - MB'!$M$6:$BM$6,'Product Eng - MB'!$M$19:$BM$19,0)</f>
        <v>Missed</v>
      </c>
      <c r="K118" s="11" t="str">
        <f>_xlfn.XLOOKUP($B114,'Bridgend Manuf'!$M$6:$BM$6,'Bridgend Manuf'!$M$16:$BM$16,0)</f>
        <v>G</v>
      </c>
      <c r="L118" s="11" t="str">
        <f>_xlfn.XLOOKUP($B114,'Maybole Manuf'!$M$6:$BM$6,'Maybole Manuf'!$M$16:$BM$16,0)</f>
        <v>R</v>
      </c>
      <c r="M118" s="127" t="str">
        <f>_xlfn.XLOOKUP($B114,Logistics!$M$6:$BM$6,Logistics!$M$16:$BM$16,0)</f>
        <v>Missed</v>
      </c>
      <c r="N118" s="127" t="e">
        <f>_xlfn.XLOOKUP($B114,Engineering!$M$22:$BM$22,Engineering!#REF!,0)</f>
        <v>#REF!</v>
      </c>
      <c r="O118" s="127" t="str">
        <f>_xlfn.XLOOKUP($B114,'Quality MB'!$M$6:$BM$6,'Quality MB'!$M$16:$BM$16,0)</f>
        <v>R</v>
      </c>
      <c r="P118" s="127" t="str">
        <f>_xlfn.XLOOKUP($B114,Procurement!$M$6:$BM$6,Procurement!$M$16:$BM$16,0)</f>
        <v>G</v>
      </c>
      <c r="Q118" s="11" t="str">
        <f>_xlfn.XLOOKUP($B114,IT!$M$6:$BM$6,IT!$M$16:$BM$16,0)</f>
        <v>TBC</v>
      </c>
      <c r="R118" s="11" t="str">
        <f>_xlfn.XLOOKUP($B114,Marketing!$M$6:$BM$6,Marketing!$M$16:$BM$16,0)</f>
        <v>R</v>
      </c>
      <c r="S118" s="11" t="str">
        <f>_xlfn.XLOOKUP($T114,Finance!$M$16:$X$16,Finance!$M$24:$X$24,0)</f>
        <v>G</v>
      </c>
      <c r="U118" s="127" t="str">
        <f>_xlfn.XLOOKUP($T114,'HR mthly'!$I$6:$BM$6,'HR mthly'!$I$26:$BM$26,0)</f>
        <v>R</v>
      </c>
      <c r="V118" s="127" t="str">
        <f>_xlfn.XLOOKUP($T114,'HR mthly'!$I$6:$BM$6,'HR mthly'!$I$29:$BM$29,0)</f>
        <v>A</v>
      </c>
    </row>
    <row r="119" spans="2:22" ht="42.45" customHeight="1" x14ac:dyDescent="0.3">
      <c r="B119" s="971" t="s">
        <v>31</v>
      </c>
      <c r="C119" s="971"/>
      <c r="D119" s="11" t="str">
        <f>_xlfn.XLOOKUP($B114,EHS!$M$6:$BM$6,EHS!$M$19:$BM$19,0)</f>
        <v>G</v>
      </c>
      <c r="E119" s="127" t="str">
        <f>_xlfn.XLOOKUP($B114,Estimating!$M$6:$BM$6,Estimating!$M$19:$BM$19,0)</f>
        <v>TBC</v>
      </c>
      <c r="F119" s="11" t="str">
        <f>_xlfn.XLOOKUP($B114,SOP!$M$6:$BM$6,SOP!$M$22:$BM$22,0)</f>
        <v>G</v>
      </c>
      <c r="G119" s="11" t="str">
        <f>_xlfn.XLOOKUP($B114,Design!$M$6:$BM$6,Design!$M$19:$BM$19,0)</f>
        <v>G</v>
      </c>
      <c r="H119" s="11" t="str">
        <f>_xlfn.XLOOKUP($B114,'Product Design'!$M$6:$BM$6,'Product Design'!$M$22:$BM$22,0)</f>
        <v>Undefined</v>
      </c>
      <c r="I119" s="11" t="str">
        <f>_xlfn.XLOOKUP($B114,'Product Eng - BE'!$M$6:$BM$6,'Product Eng - BE'!$M$22:$BM$22,0)</f>
        <v>R</v>
      </c>
      <c r="J119" s="11" t="str">
        <f>_xlfn.XLOOKUP($B114,'Product Eng - MB'!$M$6:$BM$6,'Product Eng - MB'!$M$22:$BM$22,0)</f>
        <v>G</v>
      </c>
      <c r="K119" s="11" t="str">
        <f>_xlfn.XLOOKUP($B114,'Bridgend Manuf'!$M$6:$BM$6,'Bridgend Manuf'!$M$19:$BM$19,0)</f>
        <v>G</v>
      </c>
      <c r="L119" s="11" t="str">
        <f>_xlfn.XLOOKUP($B114,'Maybole Manuf'!$M$6:$BM$6,'Maybole Manuf'!$M$19:$BM$19,0)</f>
        <v>R</v>
      </c>
      <c r="M119" s="127" t="str">
        <f>_xlfn.XLOOKUP($B114,Logistics!$M$6:$BM$6,Logistics!$M$19:$BM$19,0)</f>
        <v>Undefined</v>
      </c>
      <c r="N119" s="127" t="e">
        <f>_xlfn.XLOOKUP($B114,Engineering!$M$22:$BM$22,Engineering!#REF!,0)</f>
        <v>#REF!</v>
      </c>
      <c r="O119" s="127" t="str">
        <f>_xlfn.XLOOKUP($B114,'Quality MB'!$M$6:$BM$6,'Quality MB'!$M$19:$BM$19,0)</f>
        <v>G</v>
      </c>
      <c r="P119" s="127" t="str">
        <f>_xlfn.XLOOKUP($B114,Procurement!$M$6:$BM$6,Procurement!$M$19:$BM$19,0)</f>
        <v>G</v>
      </c>
      <c r="Q119" s="11" t="str">
        <f>_xlfn.XLOOKUP($B114,IT!$M$6:$BM$6,IT!$M$19:$BM$19,0)</f>
        <v>TBC</v>
      </c>
      <c r="R119" s="11" t="str">
        <f>_xlfn.XLOOKUP($B114,Marketing!$M$6:$BM$6,Marketing!$M$19:$BM$19,0)</f>
        <v>G</v>
      </c>
      <c r="S119" s="11" t="str">
        <f>_xlfn.XLOOKUP($T114,Finance!$M$16:$X$16,Finance!$M$27:$X$27,0)</f>
        <v>R</v>
      </c>
      <c r="U119" s="127" t="str">
        <f>_xlfn.XLOOKUP($T114,'HR mthly'!$I$6:$BM$6,'HR mthly'!$I$33:$BM$33,0)</f>
        <v>A</v>
      </c>
      <c r="V119" s="127" t="str">
        <f>_xlfn.XLOOKUP($T114,'HR mthly'!$I$6:$BM$6,'HR mthly'!$I$36:$BM$36,0)</f>
        <v>G</v>
      </c>
    </row>
    <row r="121" spans="2:22" ht="42.45" customHeight="1" x14ac:dyDescent="0.3">
      <c r="B121" s="973" t="s">
        <v>7</v>
      </c>
      <c r="C121" s="974"/>
      <c r="D121" s="6" t="str">
        <f>+D$9</f>
        <v>EHS</v>
      </c>
      <c r="E121" s="6" t="str">
        <f>+E$9</f>
        <v>Estimating</v>
      </c>
      <c r="F121" s="6" t="str">
        <f t="shared" ref="F121:R121" si="26">+F$9</f>
        <v>SOP</v>
      </c>
      <c r="G121" s="6" t="str">
        <f>+G$9</f>
        <v>Design and R&amp;D</v>
      </c>
      <c r="H121" s="6" t="str">
        <f t="shared" si="26"/>
        <v>Product Design</v>
      </c>
      <c r="I121" s="6" t="str">
        <f t="shared" si="26"/>
        <v>Product Engineering Bridgend</v>
      </c>
      <c r="J121" s="6" t="str">
        <f t="shared" si="26"/>
        <v>Product Engineering Maybole</v>
      </c>
      <c r="K121" s="6" t="str">
        <f t="shared" si="26"/>
        <v>Bridgend
Manuf</v>
      </c>
      <c r="L121" s="6" t="str">
        <f t="shared" si="26"/>
        <v>Maybole
Manuf</v>
      </c>
      <c r="M121" s="6" t="str">
        <f>+M$9</f>
        <v>Logistics</v>
      </c>
      <c r="N121" s="6" t="str">
        <f>+N$9</f>
        <v>Engineering</v>
      </c>
      <c r="O121" s="6" t="str">
        <f>+O$9</f>
        <v>Quality
Maybole</v>
      </c>
      <c r="P121" s="6" t="str">
        <f>+P$9</f>
        <v>Procurement</v>
      </c>
      <c r="Q121" s="6" t="str">
        <f>+Q$9</f>
        <v>IT</v>
      </c>
      <c r="R121" s="6" t="str">
        <f t="shared" si="26"/>
        <v>Marketing</v>
      </c>
      <c r="S121" s="6" t="str">
        <f>+S$9</f>
        <v>Finance</v>
      </c>
      <c r="T121" s="7" t="s">
        <v>409</v>
      </c>
      <c r="U121" s="6" t="str">
        <f>+U$9</f>
        <v>HR</v>
      </c>
      <c r="V121" s="6" t="str">
        <f>+V$9</f>
        <v>HR</v>
      </c>
    </row>
    <row r="122" spans="2:22" ht="42.45" customHeight="1" x14ac:dyDescent="0.3">
      <c r="B122" s="7">
        <f>B114+1</f>
        <v>15</v>
      </c>
      <c r="C122" s="8">
        <f>C114+7</f>
        <v>45758</v>
      </c>
      <c r="D122" s="10" t="str">
        <f>+D$10</f>
        <v>Neil 
Laing</v>
      </c>
      <c r="E122" s="9" t="str">
        <f>+E$10</f>
        <v>Julian Sparrow</v>
      </c>
      <c r="F122" s="10" t="str">
        <f t="shared" ref="F122:R122" si="27">+F$10</f>
        <v>Sam Westwood</v>
      </c>
      <c r="G122" s="10" t="str">
        <f>+G$10</f>
        <v>Andrew Skitt</v>
      </c>
      <c r="H122" s="10" t="str">
        <f t="shared" si="27"/>
        <v>Paul 
Dolan</v>
      </c>
      <c r="I122" s="10" t="str">
        <f t="shared" si="27"/>
        <v>Paul 
Dolan</v>
      </c>
      <c r="J122" s="10" t="str">
        <f t="shared" si="27"/>
        <v>Paul 
Dolan</v>
      </c>
      <c r="K122" s="10" t="str">
        <f t="shared" si="27"/>
        <v>Garin Bowen</v>
      </c>
      <c r="L122" s="10" t="str">
        <f t="shared" si="27"/>
        <v>Scott McMillan</v>
      </c>
      <c r="M122" s="10" t="str">
        <f>+M$10</f>
        <v>Scott McMillan</v>
      </c>
      <c r="N122" s="10" t="str">
        <f>+N$10</f>
        <v>Garin Bowen</v>
      </c>
      <c r="O122" s="10" t="str">
        <f>+O$10</f>
        <v>Scott McMIllan</v>
      </c>
      <c r="P122" s="10" t="str">
        <f>+P$10</f>
        <v>Matt 
Pope</v>
      </c>
      <c r="Q122" s="10" t="str">
        <f>+Q$10</f>
        <v>Rhian 
Owen</v>
      </c>
      <c r="R122" s="10" t="str">
        <f t="shared" si="27"/>
        <v>Katherine 
Sanganee</v>
      </c>
      <c r="S122" s="10" t="str">
        <f>+S$10</f>
        <v>Gethin Davies</v>
      </c>
      <c r="T122" s="7">
        <v>3</v>
      </c>
      <c r="U122" s="10" t="str">
        <f>+U$10</f>
        <v>Bethan Grant</v>
      </c>
      <c r="V122" s="10" t="str">
        <f>+V$10</f>
        <v>Bethan Grant</v>
      </c>
    </row>
    <row r="123" spans="2:22" ht="42.45" customHeight="1" x14ac:dyDescent="0.3">
      <c r="B123" s="971" t="s">
        <v>30</v>
      </c>
      <c r="C123" s="971"/>
      <c r="D123" s="11" t="str">
        <f>_xlfn.XLOOKUP($B122,EHS!$M$6:$BM$6,EHS!$M$10:$BM$10,0)</f>
        <v>G</v>
      </c>
      <c r="E123" s="127" t="str">
        <f>_xlfn.XLOOKUP($B122,Estimating!$M$6:$BM$6,Estimating!$M$10:$BM$10,0)</f>
        <v>G</v>
      </c>
      <c r="F123" s="11" t="str">
        <f>_xlfn.XLOOKUP($B122,SOP!$M$6:$BM$6,SOP!$M$10:$BM$10,0)</f>
        <v>A</v>
      </c>
      <c r="G123" s="11" t="str">
        <f>_xlfn.XLOOKUP($B122,Design!$M$6:$BM$6,Design!$M$10:$BM$10,0)</f>
        <v>G</v>
      </c>
      <c r="H123" s="11" t="str">
        <f>_xlfn.XLOOKUP($B122,'Product Design'!$M$6:$BM$6,'Product Design'!$M$10:$BM$10,0)</f>
        <v>R</v>
      </c>
      <c r="I123" s="11" t="str">
        <f>_xlfn.XLOOKUP($B122,'Product Eng - BE'!$M$6:$BM$6,'Product Eng - BE'!$M$10:$BM$10,0)</f>
        <v>G</v>
      </c>
      <c r="J123" s="11" t="str">
        <f>_xlfn.XLOOKUP($B122,'Product Eng - MB'!$M$6:$BM$6,'Product Eng - MB'!$M$10:$BM$10,0)</f>
        <v>R</v>
      </c>
      <c r="K123" s="11" t="str">
        <f>_xlfn.XLOOKUP($B122,'Bridgend Manuf'!$M$6:$BM$6,'Bridgend Manuf'!$M$10:$BM$10,0)</f>
        <v>G</v>
      </c>
      <c r="L123" s="11" t="str">
        <f>_xlfn.XLOOKUP($B122,'Maybole Manuf'!$M$6:$BM$6,'Maybole Manuf'!$M$10:$BM$10,0)</f>
        <v>R</v>
      </c>
      <c r="M123" s="127" t="str">
        <f>_xlfn.XLOOKUP($B122,Logistics!$M$6:$BM$6,Logistics!$M$10:$BM$10,0)</f>
        <v>R</v>
      </c>
      <c r="N123" s="127" t="str">
        <f>_xlfn.XLOOKUP($B122,Engineering!$M$22:$BM$22,Engineering!$M$26:$BM$26,0)</f>
        <v>Missed</v>
      </c>
      <c r="O123" s="127" t="str">
        <f>_xlfn.XLOOKUP($B122,'Quality MB'!$M$6:$BM$6,'Quality MB'!$M$10:$BM$10,0)</f>
        <v>G</v>
      </c>
      <c r="P123" s="127" t="str">
        <f>_xlfn.XLOOKUP($B122,Procurement!$M$6:$BM$6,Procurement!$M$10:$BM$10,0)</f>
        <v>R</v>
      </c>
      <c r="Q123" s="11" t="str">
        <f>_xlfn.XLOOKUP($B122,IT!$M$6:$BM$6,IT!$M$10:$BM$10,0)</f>
        <v>Undefined</v>
      </c>
      <c r="R123" s="11" t="str">
        <f>_xlfn.XLOOKUP($B122,Marketing!$M$6:$BM$6,Marketing!$M$10:$BM$10,0)</f>
        <v>G</v>
      </c>
      <c r="S123" s="11" t="str">
        <f>_xlfn.XLOOKUP($B122,Finance!$M$6:$BM$6,Finance!$M$10:$BM$10,0)</f>
        <v>G</v>
      </c>
      <c r="U123" s="127" t="str">
        <f>_xlfn.XLOOKUP($T122,'HR mthly'!$I$6:$BM$6,'HR mthly'!$I$11:$BM$11,0)</f>
        <v>G</v>
      </c>
      <c r="V123" s="127" t="str">
        <f>_xlfn.XLOOKUP($T122,'HR mthly'!$I$6:$BM$6,'HR mthly'!$I$14:$BM$14,0)</f>
        <v>G</v>
      </c>
    </row>
    <row r="124" spans="2:22" ht="42.45" customHeight="1" x14ac:dyDescent="0.3">
      <c r="B124" s="971" t="s">
        <v>172</v>
      </c>
      <c r="C124" s="971"/>
      <c r="D124" s="11" t="str">
        <f>_xlfn.XLOOKUP($B122,EHS!$M$6:$BM$6,EHS!$M$13:$BM$13,0)</f>
        <v>G</v>
      </c>
      <c r="E124" s="127" t="str">
        <f>_xlfn.XLOOKUP($B122,Estimating!$M$6:$BM$6,Estimating!$M$13:$BM$13,0)</f>
        <v>A</v>
      </c>
      <c r="F124" s="11" t="str">
        <f>_xlfn.XLOOKUP($B122,SOP!$M$6:$BM$6,SOP!$M$13:$BM$13,0)</f>
        <v>R</v>
      </c>
      <c r="G124" s="11" t="str">
        <f>_xlfn.XLOOKUP($B122,Design!$M$6:$BM$6,Design!$M$13:$BM$13,0)</f>
        <v>R</v>
      </c>
      <c r="H124" s="11" t="str">
        <f>_xlfn.XLOOKUP($B122,'Product Design'!$M$6:$BM$6,'Product Design'!$M$13:$BM$13,0)</f>
        <v>R</v>
      </c>
      <c r="I124" s="11" t="str">
        <f>_xlfn.XLOOKUP($B122,'Product Eng - BE'!$M$6:$BM$6,'Product Eng - BE'!$M$13:$BM$13,0)</f>
        <v>R</v>
      </c>
      <c r="J124" s="11" t="str">
        <f>_xlfn.XLOOKUP($B122,'Product Eng - MB'!$M$6:$BM$6,'Product Eng - MB'!$M$13:$BM$13,0)</f>
        <v>G</v>
      </c>
      <c r="K124" s="11" t="str">
        <f>_xlfn.XLOOKUP($B122,'Bridgend Manuf'!$M$6:$BM$6,'Bridgend Manuf'!$M$13:$BM$13,0)</f>
        <v>A</v>
      </c>
      <c r="L124" s="11" t="str">
        <f>_xlfn.XLOOKUP($B122,'Maybole Manuf'!$M$6:$BM$6,'Maybole Manuf'!$M$13:$BM$13,0)</f>
        <v>A</v>
      </c>
      <c r="M124" s="127" t="str">
        <f>_xlfn.XLOOKUP($B122,Logistics!$M$6:$BM$6,Logistics!$M$13:$BM$13,0)</f>
        <v>A</v>
      </c>
      <c r="N124" s="127" t="e">
        <f>_xlfn.XLOOKUP($B122,Engineering!$M$22:$BM$22,Engineering!#REF!,0)</f>
        <v>#REF!</v>
      </c>
      <c r="O124" s="127" t="str">
        <f>_xlfn.XLOOKUP($B122,'Quality MB'!$M$6:$BM$6,'Quality MB'!$M$13:$BM$13,0)</f>
        <v>G</v>
      </c>
      <c r="P124" s="127" t="str">
        <f>_xlfn.XLOOKUP($B122,Procurement!$M$6:$BM$6,Procurement!$M$13:$BM$13,0)</f>
        <v>A</v>
      </c>
      <c r="Q124" s="11" t="str">
        <f>_xlfn.XLOOKUP($B122,IT!$M$6:$BM$6,IT!$M$13:$BM$13,0)</f>
        <v>TBC</v>
      </c>
      <c r="R124" s="11" t="str">
        <f>_xlfn.XLOOKUP($B122,Marketing!$M$6:$BM$6,Marketing!$M$13:$BM$13,0)</f>
        <v>G</v>
      </c>
      <c r="S124" s="11" t="str">
        <f>_xlfn.XLOOKUP($T122,Finance!$M$16:$X$16,Finance!$M$21:$X$21,0)</f>
        <v>G</v>
      </c>
      <c r="U124" s="127" t="str">
        <f>_xlfn.XLOOKUP($T122,'HR mthly'!$I$6:$BM$6,'HR mthly'!$I$18:$BM$18,0)</f>
        <v>G</v>
      </c>
      <c r="V124" s="127" t="str">
        <f>_xlfn.XLOOKUP($T122,'HR mthly'!$I$6:$BM$6,'HR mthly'!$I$21:$BM$21,0)</f>
        <v>R</v>
      </c>
    </row>
    <row r="125" spans="2:22" ht="42.45" customHeight="1" x14ac:dyDescent="0.3">
      <c r="B125" s="971" t="s">
        <v>173</v>
      </c>
      <c r="C125" s="971"/>
      <c r="D125" s="11" t="s">
        <v>174</v>
      </c>
      <c r="E125" s="11" t="s">
        <v>174</v>
      </c>
      <c r="F125" s="11" t="str">
        <f>_xlfn.XLOOKUP($B122,SOP!$M$6:$BM$6,SOP!$M$16:$BM$16,0)</f>
        <v>R</v>
      </c>
      <c r="G125" s="11" t="s">
        <v>174</v>
      </c>
      <c r="H125" s="11" t="str">
        <f>_xlfn.XLOOKUP($B122,'Product Design'!$M$6:$BM$6,'Product Design'!$M$16:$BM$16,0)</f>
        <v>R</v>
      </c>
      <c r="I125" s="11" t="str">
        <f>_xlfn.XLOOKUP($B122,'Product Eng - BE'!$M$6:$BM$6,'Product Eng - BE'!$M$16:$BM$16,0)</f>
        <v>R</v>
      </c>
      <c r="J125" s="11" t="str">
        <f>_xlfn.XLOOKUP($B122,'Product Eng - MB'!$M$6:$BM$6,'Product Eng - MB'!$M$16:$BM$16,0)</f>
        <v>R</v>
      </c>
      <c r="K125" s="11" t="s">
        <v>174</v>
      </c>
      <c r="L125" s="11" t="s">
        <v>174</v>
      </c>
      <c r="M125" s="11" t="s">
        <v>174</v>
      </c>
      <c r="N125" s="11" t="s">
        <v>174</v>
      </c>
      <c r="O125" s="11" t="s">
        <v>174</v>
      </c>
      <c r="P125" s="11" t="s">
        <v>174</v>
      </c>
      <c r="Q125" s="11" t="s">
        <v>174</v>
      </c>
      <c r="R125" s="11" t="s">
        <v>174</v>
      </c>
      <c r="S125" s="11" t="s">
        <v>174</v>
      </c>
      <c r="U125" s="11" t="s">
        <v>174</v>
      </c>
      <c r="V125" s="11" t="s">
        <v>174</v>
      </c>
    </row>
    <row r="126" spans="2:22" ht="42.45" customHeight="1" x14ac:dyDescent="0.3">
      <c r="B126" s="971" t="s">
        <v>32</v>
      </c>
      <c r="C126" s="971"/>
      <c r="D126" s="11" t="str">
        <f>_xlfn.XLOOKUP($B122,EHS!$M$6:$BM$6,EHS!$M$16:$BM$16,0)</f>
        <v>G</v>
      </c>
      <c r="E126" s="127" t="str">
        <f>_xlfn.XLOOKUP($B122,Estimating!$M$6:$BM$6,Estimating!$M$16:$BM$16,0)</f>
        <v>G</v>
      </c>
      <c r="F126" s="11" t="str">
        <f>_xlfn.XLOOKUP($B122,SOP!$M$6:$BM$6,SOP!$M$19:$BM$19,0)</f>
        <v>R</v>
      </c>
      <c r="G126" s="11" t="str">
        <f>_xlfn.XLOOKUP($B122,Design!$M$6:$BM$6,Design!$M$16:$BM$16,0)</f>
        <v>R</v>
      </c>
      <c r="H126" s="11" t="str">
        <f>_xlfn.XLOOKUP($B122,'Product Design'!$M$6:$BM$6,'Product Design'!$M$19:$BM$19,0)</f>
        <v>R</v>
      </c>
      <c r="I126" s="11" t="str">
        <f>_xlfn.XLOOKUP($B122,'Product Eng - BE'!$M$6:$BM$6,'Product Eng - BE'!$M$19:$BM$19,0)</f>
        <v>G</v>
      </c>
      <c r="J126" s="11" t="str">
        <f>_xlfn.XLOOKUP($B122,'Product Eng - MB'!$M$6:$BM$6,'Product Eng - MB'!$M$19:$BM$19,0)</f>
        <v>Missed</v>
      </c>
      <c r="K126" s="11" t="str">
        <f>_xlfn.XLOOKUP($B122,'Bridgend Manuf'!$M$6:$BM$6,'Bridgend Manuf'!$M$16:$BM$16,0)</f>
        <v>G</v>
      </c>
      <c r="L126" s="11" t="str">
        <f>_xlfn.XLOOKUP($B122,'Maybole Manuf'!$M$6:$BM$6,'Maybole Manuf'!$M$16:$BM$16,0)</f>
        <v>G</v>
      </c>
      <c r="M126" s="127" t="str">
        <f>_xlfn.XLOOKUP($B122,Logistics!$M$6:$BM$6,Logistics!$M$16:$BM$16,0)</f>
        <v>Missed</v>
      </c>
      <c r="N126" s="127" t="e">
        <f>_xlfn.XLOOKUP($B122,Engineering!$M$22:$BM$22,Engineering!#REF!,0)</f>
        <v>#REF!</v>
      </c>
      <c r="O126" s="127" t="str">
        <f>_xlfn.XLOOKUP($B122,'Quality MB'!$M$6:$BM$6,'Quality MB'!$M$16:$BM$16,0)</f>
        <v>R</v>
      </c>
      <c r="P126" s="127" t="str">
        <f>_xlfn.XLOOKUP($B122,Procurement!$M$6:$BM$6,Procurement!$M$16:$BM$16,0)</f>
        <v>G</v>
      </c>
      <c r="Q126" s="11" t="str">
        <f>_xlfn.XLOOKUP($B122,IT!$M$6:$BM$6,IT!$M$16:$BM$16,0)</f>
        <v>TBC</v>
      </c>
      <c r="R126" s="11" t="str">
        <f>_xlfn.XLOOKUP($B122,Marketing!$M$6:$BM$6,Marketing!$M$16:$BM$16,0)</f>
        <v>G</v>
      </c>
      <c r="S126" s="11" t="str">
        <f>_xlfn.XLOOKUP($T122,Finance!$M$16:$X$16,Finance!$M$24:$X$24,0)</f>
        <v>G</v>
      </c>
      <c r="U126" s="127" t="str">
        <f>_xlfn.XLOOKUP($T122,'HR mthly'!$I$6:$BM$6,'HR mthly'!$I$26:$BM$26,0)</f>
        <v>R</v>
      </c>
      <c r="V126" s="127" t="str">
        <f>_xlfn.XLOOKUP($T122,'HR mthly'!$I$6:$BM$6,'HR mthly'!$I$29:$BM$29,0)</f>
        <v>A</v>
      </c>
    </row>
    <row r="127" spans="2:22" ht="42.45" customHeight="1" x14ac:dyDescent="0.3">
      <c r="B127" s="971" t="s">
        <v>31</v>
      </c>
      <c r="C127" s="971"/>
      <c r="D127" s="11" t="str">
        <f>_xlfn.XLOOKUP($B122,EHS!$M$6:$BM$6,EHS!$M$19:$BM$19,0)</f>
        <v>G</v>
      </c>
      <c r="E127" s="127" t="str">
        <f>_xlfn.XLOOKUP($B122,Estimating!$M$6:$BM$6,Estimating!$M$19:$BM$19,0)</f>
        <v>TBC</v>
      </c>
      <c r="F127" s="11" t="str">
        <f>_xlfn.XLOOKUP($B122,SOP!$M$6:$BM$6,SOP!$M$22:$BM$22,0)</f>
        <v>G</v>
      </c>
      <c r="G127" s="11" t="str">
        <f>_xlfn.XLOOKUP($B122,Design!$M$6:$BM$6,Design!$M$19:$BM$19,0)</f>
        <v>R</v>
      </c>
      <c r="H127" s="11" t="str">
        <f>_xlfn.XLOOKUP($B122,'Product Design'!$M$6:$BM$6,'Product Design'!$M$22:$BM$22,0)</f>
        <v>Undefined</v>
      </c>
      <c r="I127" s="11" t="str">
        <f>_xlfn.XLOOKUP($B122,'Product Eng - BE'!$M$6:$BM$6,'Product Eng - BE'!$M$22:$BM$22,0)</f>
        <v>R</v>
      </c>
      <c r="J127" s="11" t="str">
        <f>_xlfn.XLOOKUP($B122,'Product Eng - MB'!$M$6:$BM$6,'Product Eng - MB'!$M$22:$BM$22,0)</f>
        <v>G</v>
      </c>
      <c r="K127" s="11" t="str">
        <f>_xlfn.XLOOKUP($B122,'Bridgend Manuf'!$M$6:$BM$6,'Bridgend Manuf'!$M$19:$BM$19,0)</f>
        <v>G</v>
      </c>
      <c r="L127" s="11" t="str">
        <f>_xlfn.XLOOKUP($B122,'Maybole Manuf'!$M$6:$BM$6,'Maybole Manuf'!$M$19:$BM$19,0)</f>
        <v>R</v>
      </c>
      <c r="M127" s="127" t="str">
        <f>_xlfn.XLOOKUP($B122,Logistics!$M$6:$BM$6,Logistics!$M$19:$BM$19,0)</f>
        <v>Undefined</v>
      </c>
      <c r="N127" s="127" t="e">
        <f>_xlfn.XLOOKUP($B122,Engineering!$M$22:$BM$22,Engineering!#REF!,0)</f>
        <v>#REF!</v>
      </c>
      <c r="O127" s="127" t="str">
        <f>_xlfn.XLOOKUP($B122,'Quality MB'!$M$6:$BM$6,'Quality MB'!$M$19:$BM$19,0)</f>
        <v>G</v>
      </c>
      <c r="P127" s="127" t="str">
        <f>_xlfn.XLOOKUP($B122,Procurement!$M$6:$BM$6,Procurement!$M$19:$BM$19,0)</f>
        <v>G</v>
      </c>
      <c r="Q127" s="11" t="str">
        <f>_xlfn.XLOOKUP($B122,IT!$M$6:$BM$6,IT!$M$19:$BM$19,0)</f>
        <v>TBC</v>
      </c>
      <c r="R127" s="11" t="str">
        <f>_xlfn.XLOOKUP($B122,Marketing!$M$6:$BM$6,Marketing!$M$19:$BM$19,0)</f>
        <v>G</v>
      </c>
      <c r="S127" s="11" t="str">
        <f>_xlfn.XLOOKUP($T122,Finance!$M$16:$X$16,Finance!$M$27:$X$27,0)</f>
        <v>R</v>
      </c>
      <c r="U127" s="127" t="str">
        <f>_xlfn.XLOOKUP($T122,'HR mthly'!$I$6:$BM$6,'HR mthly'!$I$33:$BM$33,0)</f>
        <v>A</v>
      </c>
      <c r="V127" s="127" t="str">
        <f>_xlfn.XLOOKUP($T122,'HR mthly'!$I$6:$BM$6,'HR mthly'!$I$36:$BM$36,0)</f>
        <v>G</v>
      </c>
    </row>
    <row r="129" spans="2:24" ht="42.45" customHeight="1" x14ac:dyDescent="0.3">
      <c r="B129" s="973" t="s">
        <v>7</v>
      </c>
      <c r="C129" s="974"/>
      <c r="D129" s="6" t="str">
        <f>+D$9</f>
        <v>EHS</v>
      </c>
      <c r="E129" s="6" t="str">
        <f>+E$9</f>
        <v>Estimating</v>
      </c>
      <c r="F129" s="6" t="str">
        <f t="shared" ref="F129:R129" si="28">+F$9</f>
        <v>SOP</v>
      </c>
      <c r="G129" s="6" t="str">
        <f>+G$9</f>
        <v>Design and R&amp;D</v>
      </c>
      <c r="H129" s="6" t="str">
        <f t="shared" si="28"/>
        <v>Product Design</v>
      </c>
      <c r="I129" s="6" t="str">
        <f t="shared" si="28"/>
        <v>Product Engineering Bridgend</v>
      </c>
      <c r="J129" s="6" t="str">
        <f t="shared" si="28"/>
        <v>Product Engineering Maybole</v>
      </c>
      <c r="K129" s="6" t="str">
        <f t="shared" si="28"/>
        <v>Bridgend
Manuf</v>
      </c>
      <c r="L129" s="6" t="str">
        <f t="shared" si="28"/>
        <v>Maybole
Manuf</v>
      </c>
      <c r="M129" s="6" t="str">
        <f>+M$9</f>
        <v>Logistics</v>
      </c>
      <c r="N129" s="6" t="str">
        <f>+N$9</f>
        <v>Engineering</v>
      </c>
      <c r="O129" s="6" t="str">
        <f>+O$9</f>
        <v>Quality
Maybole</v>
      </c>
      <c r="P129" s="6" t="str">
        <f>+P$9</f>
        <v>Procurement</v>
      </c>
      <c r="Q129" s="6" t="str">
        <f>+Q$9</f>
        <v>IT</v>
      </c>
      <c r="R129" s="6" t="str">
        <f t="shared" si="28"/>
        <v>Marketing</v>
      </c>
      <c r="S129" s="6" t="str">
        <f>+S$9</f>
        <v>Finance</v>
      </c>
      <c r="T129" s="7" t="s">
        <v>409</v>
      </c>
      <c r="U129" s="6" t="str">
        <f>+U$9</f>
        <v>HR</v>
      </c>
      <c r="V129" s="6" t="str">
        <f>+V$9</f>
        <v>HR</v>
      </c>
    </row>
    <row r="130" spans="2:24" ht="42.45" customHeight="1" x14ac:dyDescent="0.3">
      <c r="B130" s="7">
        <f>B122+1</f>
        <v>16</v>
      </c>
      <c r="C130" s="8">
        <f>C122+7</f>
        <v>45765</v>
      </c>
      <c r="D130" s="10" t="str">
        <f>+D$10</f>
        <v>Neil 
Laing</v>
      </c>
      <c r="E130" s="9" t="str">
        <f>+E$10</f>
        <v>Julian Sparrow</v>
      </c>
      <c r="F130" s="10" t="str">
        <f t="shared" ref="F130:R130" si="29">+F$10</f>
        <v>Sam Westwood</v>
      </c>
      <c r="G130" s="10" t="str">
        <f>+G$10</f>
        <v>Andrew Skitt</v>
      </c>
      <c r="H130" s="10" t="str">
        <f t="shared" si="29"/>
        <v>Paul 
Dolan</v>
      </c>
      <c r="I130" s="10" t="str">
        <f t="shared" si="29"/>
        <v>Paul 
Dolan</v>
      </c>
      <c r="J130" s="10" t="str">
        <f t="shared" si="29"/>
        <v>Paul 
Dolan</v>
      </c>
      <c r="K130" s="10" t="str">
        <f t="shared" si="29"/>
        <v>Garin Bowen</v>
      </c>
      <c r="L130" s="10" t="str">
        <f t="shared" si="29"/>
        <v>Scott McMillan</v>
      </c>
      <c r="M130" s="10" t="str">
        <f>+M$10</f>
        <v>Scott McMillan</v>
      </c>
      <c r="N130" s="10" t="str">
        <f>+N$10</f>
        <v>Garin Bowen</v>
      </c>
      <c r="O130" s="10" t="str">
        <f>+O$10</f>
        <v>Scott McMIllan</v>
      </c>
      <c r="P130" s="10" t="str">
        <f>+P$10</f>
        <v>Matt 
Pope</v>
      </c>
      <c r="Q130" s="10" t="str">
        <f>+Q$10</f>
        <v>Rhian 
Owen</v>
      </c>
      <c r="R130" s="10" t="str">
        <f t="shared" si="29"/>
        <v>Katherine 
Sanganee</v>
      </c>
      <c r="S130" s="10" t="str">
        <f>+S$10</f>
        <v>Gethin Davies</v>
      </c>
      <c r="T130" s="7">
        <v>3</v>
      </c>
      <c r="U130" s="10" t="str">
        <f>+U$10</f>
        <v>Bethan Grant</v>
      </c>
      <c r="V130" s="10" t="str">
        <f>+V$10</f>
        <v>Bethan Grant</v>
      </c>
    </row>
    <row r="131" spans="2:24" ht="42.45" customHeight="1" x14ac:dyDescent="0.3">
      <c r="B131" s="971" t="s">
        <v>30</v>
      </c>
      <c r="C131" s="971"/>
      <c r="D131" s="11" t="str">
        <f>_xlfn.XLOOKUP($B130,EHS!$M$6:$BM$6,EHS!$M$10:$BM$10,0)</f>
        <v>G</v>
      </c>
      <c r="E131" s="127" t="str">
        <f>_xlfn.XLOOKUP($B130,Estimating!$M$6:$BM$6,Estimating!$M$10:$BM$10,0)</f>
        <v>R</v>
      </c>
      <c r="F131" s="11" t="str">
        <f>_xlfn.XLOOKUP($B130,SOP!$M$6:$BM$6,SOP!$M$10:$BM$10,0)</f>
        <v>R</v>
      </c>
      <c r="G131" s="11" t="str">
        <f>_xlfn.XLOOKUP($B130,Design!$M$6:$BM$6,Design!$M$10:$BM$10,0)</f>
        <v>R</v>
      </c>
      <c r="H131" s="11" t="str">
        <f>_xlfn.XLOOKUP($B130,'Product Design'!$M$6:$BM$6,'Product Design'!$M$10:$BM$10,0)</f>
        <v>G</v>
      </c>
      <c r="I131" s="11" t="str">
        <f>_xlfn.XLOOKUP($B130,'Product Eng - BE'!$M$6:$BM$6,'Product Eng - BE'!$M$10:$BM$10,0)</f>
        <v>R</v>
      </c>
      <c r="J131" s="11" t="str">
        <f>_xlfn.XLOOKUP($B130,'Product Eng - MB'!$M$6:$BM$6,'Product Eng - MB'!$M$10:$BM$10,0)</f>
        <v>G</v>
      </c>
      <c r="K131" s="11" t="str">
        <f>_xlfn.XLOOKUP($B130,'Bridgend Manuf'!$M$6:$BM$6,'Bridgend Manuf'!$M$10:$BM$10,0)</f>
        <v>G</v>
      </c>
      <c r="L131" s="11" t="str">
        <f>_xlfn.XLOOKUP($B130,'Maybole Manuf'!$M$6:$BM$6,'Maybole Manuf'!$M$10:$BM$10,0)</f>
        <v>G</v>
      </c>
      <c r="M131" s="127" t="str">
        <f>_xlfn.XLOOKUP($B130,Logistics!$M$6:$BM$6,Logistics!$M$10:$BM$10,0)</f>
        <v>G</v>
      </c>
      <c r="N131" s="127" t="str">
        <f>_xlfn.XLOOKUP($B130,Engineering!$M$22:$BM$22,Engineering!$M$26:$BM$26,0)</f>
        <v>Missed</v>
      </c>
      <c r="O131" s="127" t="str">
        <f>_xlfn.XLOOKUP($B130,'Quality MB'!$M$6:$BM$6,'Quality MB'!$M$10:$BM$10,0)</f>
        <v>G</v>
      </c>
      <c r="P131" s="127" t="str">
        <f>_xlfn.XLOOKUP($B130,Procurement!$M$6:$BM$6,Procurement!$M$10:$BM$10,0)</f>
        <v>R</v>
      </c>
      <c r="Q131" s="11" t="str">
        <f>_xlfn.XLOOKUP($B130,IT!$M$6:$BM$6,IT!$M$10:$BM$10,0)</f>
        <v>Undefined</v>
      </c>
      <c r="R131" s="11" t="str">
        <f>_xlfn.XLOOKUP($B130,Marketing!$M$6:$BM$6,Marketing!$M$10:$BM$10,0)</f>
        <v>G</v>
      </c>
      <c r="S131" s="11" t="str">
        <f>_xlfn.XLOOKUP($B130,Finance!$M$6:$BM$6,Finance!$M$10:$BM$10,0)</f>
        <v>A</v>
      </c>
      <c r="U131" s="127" t="str">
        <f>IF(B130&gt;='KPI Linked Table for Report'!$C$1,"",_xlfn.XLOOKUP($T130,'HR mthly'!$I$6:$BM$6,'HR mthly'!$I$11:$BM$11,0))</f>
        <v>G</v>
      </c>
      <c r="V131" s="127" t="str">
        <f>IF(B130&gt;='KPI Linked Table for Report'!$C$1,"",_xlfn.XLOOKUP($T130,'HR mthly'!$I$6:$BM$6,'HR mthly'!$I$14:$BM$14,0))</f>
        <v>G</v>
      </c>
    </row>
    <row r="132" spans="2:24" ht="42.45" customHeight="1" x14ac:dyDescent="0.3">
      <c r="B132" s="971" t="s">
        <v>172</v>
      </c>
      <c r="C132" s="971"/>
      <c r="D132" s="11" t="str">
        <f>_xlfn.XLOOKUP($B130,EHS!$M$6:$BM$6,EHS!$M$13:$BM$13,0)</f>
        <v>R</v>
      </c>
      <c r="E132" s="127" t="str">
        <f>_xlfn.XLOOKUP($B130,Estimating!$M$6:$BM$6,Estimating!$M$13:$BM$13,0)</f>
        <v>R</v>
      </c>
      <c r="F132" s="11" t="str">
        <f>_xlfn.XLOOKUP($B130,SOP!$M$6:$BM$6,SOP!$M$13:$BM$13,0)</f>
        <v>R</v>
      </c>
      <c r="G132" s="11" t="str">
        <f>_xlfn.XLOOKUP($B130,Design!$M$6:$BM$6,Design!$M$13:$BM$13,0)</f>
        <v>R</v>
      </c>
      <c r="H132" s="11" t="str">
        <f>_xlfn.XLOOKUP($B130,'Product Design'!$M$6:$BM$6,'Product Design'!$M$13:$BM$13,0)</f>
        <v>R</v>
      </c>
      <c r="I132" s="11" t="str">
        <f>_xlfn.XLOOKUP($B130,'Product Eng - BE'!$M$6:$BM$6,'Product Eng - BE'!$M$13:$BM$13,0)</f>
        <v>R</v>
      </c>
      <c r="J132" s="11" t="str">
        <f>_xlfn.XLOOKUP($B130,'Product Eng - MB'!$M$6:$BM$6,'Product Eng - MB'!$M$13:$BM$13,0)</f>
        <v>R</v>
      </c>
      <c r="K132" s="11" t="str">
        <f>_xlfn.XLOOKUP($B130,'Bridgend Manuf'!$M$6:$BM$6,'Bridgend Manuf'!$M$13:$BM$13,0)</f>
        <v>A</v>
      </c>
      <c r="L132" s="11" t="str">
        <f>_xlfn.XLOOKUP($B130,'Maybole Manuf'!$M$6:$BM$6,'Maybole Manuf'!$M$13:$BM$13,0)</f>
        <v>G</v>
      </c>
      <c r="M132" s="127" t="str">
        <f>_xlfn.XLOOKUP($B130,Logistics!$M$6:$BM$6,Logistics!$M$13:$BM$13,0)</f>
        <v>A</v>
      </c>
      <c r="N132" s="127" t="e">
        <f>_xlfn.XLOOKUP($B130,Engineering!$M$22:$BM$22,Engineering!#REF!,0)</f>
        <v>#REF!</v>
      </c>
      <c r="O132" s="127" t="str">
        <f>_xlfn.XLOOKUP($B130,'Quality MB'!$M$6:$BM$6,'Quality MB'!$M$13:$BM$13,0)</f>
        <v>G</v>
      </c>
      <c r="P132" s="127" t="str">
        <f>_xlfn.XLOOKUP($B130,Procurement!$M$6:$BM$6,Procurement!$M$13:$BM$13,0)</f>
        <v>A</v>
      </c>
      <c r="Q132" s="11" t="str">
        <f>_xlfn.XLOOKUP($B130,IT!$M$6:$BM$6,IT!$M$13:$BM$13,0)</f>
        <v>TBC</v>
      </c>
      <c r="R132" s="11" t="str">
        <f>_xlfn.XLOOKUP($B130,Marketing!$M$6:$BM$6,Marketing!$M$13:$BM$13,0)</f>
        <v>G</v>
      </c>
      <c r="S132" s="11" t="str">
        <f>_xlfn.XLOOKUP($T130,Finance!$M$16:$X$16,Finance!$M$21:$X$21,0)</f>
        <v>G</v>
      </c>
      <c r="U132" s="127" t="str">
        <f>IF(B130&gt;='KPI Linked Table for Report'!$C$1,"",_xlfn.XLOOKUP($T130,'HR mthly'!$I$6:$BM$6,'HR mthly'!$I$18:$BM$18,0))</f>
        <v>G</v>
      </c>
      <c r="V132" s="127" t="str">
        <f>IF(B130&gt;='KPI Linked Table for Report'!$C$1,"",_xlfn.XLOOKUP($T130,'HR mthly'!$I$6:$BM$6,'HR mthly'!$I$21:$BM$21,0))</f>
        <v>R</v>
      </c>
    </row>
    <row r="133" spans="2:24" ht="42.45" customHeight="1" x14ac:dyDescent="0.3">
      <c r="B133" s="971" t="s">
        <v>173</v>
      </c>
      <c r="C133" s="971"/>
      <c r="D133" s="11" t="s">
        <v>174</v>
      </c>
      <c r="E133" s="11" t="s">
        <v>174</v>
      </c>
      <c r="F133" s="11" t="str">
        <f>_xlfn.XLOOKUP($B130,SOP!$M$6:$BM$6,SOP!$M$16:$BM$16,0)</f>
        <v>R</v>
      </c>
      <c r="G133" s="11" t="s">
        <v>174</v>
      </c>
      <c r="H133" s="11" t="str">
        <f>_xlfn.XLOOKUP($B130,'Product Design'!$M$6:$BM$6,'Product Design'!$M$16:$BM$16,0)</f>
        <v>R</v>
      </c>
      <c r="I133" s="11" t="str">
        <f>_xlfn.XLOOKUP($B130,'Product Eng - BE'!$M$6:$BM$6,'Product Eng - BE'!$M$16:$BM$16,0)</f>
        <v>R</v>
      </c>
      <c r="J133" s="11" t="str">
        <f>_xlfn.XLOOKUP($B130,'Product Eng - MB'!$M$6:$BM$6,'Product Eng - MB'!$M$16:$BM$16,0)</f>
        <v>R</v>
      </c>
      <c r="K133" s="11" t="s">
        <v>174</v>
      </c>
      <c r="L133" s="11" t="s">
        <v>174</v>
      </c>
      <c r="M133" s="11" t="s">
        <v>174</v>
      </c>
      <c r="N133" s="11" t="s">
        <v>174</v>
      </c>
      <c r="O133" s="11" t="s">
        <v>174</v>
      </c>
      <c r="P133" s="11" t="s">
        <v>174</v>
      </c>
      <c r="Q133" s="11" t="s">
        <v>174</v>
      </c>
      <c r="R133" s="11" t="s">
        <v>174</v>
      </c>
      <c r="S133" s="11" t="s">
        <v>174</v>
      </c>
      <c r="U133" s="11" t="s">
        <v>174</v>
      </c>
      <c r="V133" s="11" t="s">
        <v>174</v>
      </c>
    </row>
    <row r="134" spans="2:24" ht="42.45" customHeight="1" x14ac:dyDescent="0.3">
      <c r="B134" s="971" t="s">
        <v>32</v>
      </c>
      <c r="C134" s="971"/>
      <c r="D134" s="11" t="str">
        <f>_xlfn.XLOOKUP($B130,EHS!$M$6:$BM$6,EHS!$M$16:$BM$16,0)</f>
        <v>A</v>
      </c>
      <c r="E134" s="127" t="str">
        <f>_xlfn.XLOOKUP($B130,Estimating!$M$6:$BM$6,Estimating!$M$16:$BM$16,0)</f>
        <v>G</v>
      </c>
      <c r="F134" s="11" t="str">
        <f>_xlfn.XLOOKUP($B130,SOP!$M$6:$BM$6,SOP!$M$19:$BM$19,0)</f>
        <v>R</v>
      </c>
      <c r="G134" s="11" t="str">
        <f>_xlfn.XLOOKUP($B130,Design!$M$6:$BM$6,Design!$M$16:$BM$16,0)</f>
        <v>G</v>
      </c>
      <c r="H134" s="11" t="str">
        <f>_xlfn.XLOOKUP($B130,'Product Design'!$M$6:$BM$6,'Product Design'!$M$19:$BM$19,0)</f>
        <v>G</v>
      </c>
      <c r="I134" s="11" t="str">
        <f>_xlfn.XLOOKUP($B130,'Product Eng - BE'!$M$6:$BM$6,'Product Eng - BE'!$M$19:$BM$19,0)</f>
        <v>R</v>
      </c>
      <c r="J134" s="11" t="str">
        <f>_xlfn.XLOOKUP($B130,'Product Eng - MB'!$M$6:$BM$6,'Product Eng - MB'!$M$19:$BM$19,0)</f>
        <v>R</v>
      </c>
      <c r="K134" s="11" t="str">
        <f>_xlfn.XLOOKUP($B130,'Bridgend Manuf'!$M$6:$BM$6,'Bridgend Manuf'!$M$16:$BM$16,0)</f>
        <v>G</v>
      </c>
      <c r="L134" s="11" t="str">
        <f>_xlfn.XLOOKUP($B130,'Maybole Manuf'!$M$6:$BM$6,'Maybole Manuf'!$M$16:$BM$16,0)</f>
        <v>R</v>
      </c>
      <c r="M134" s="127" t="str">
        <f>_xlfn.XLOOKUP($B130,Logistics!$M$6:$BM$6,Logistics!$M$16:$BM$16,0)</f>
        <v>Missed</v>
      </c>
      <c r="N134" s="127" t="e">
        <f>_xlfn.XLOOKUP($B130,Engineering!$M$22:$BM$22,Engineering!#REF!,0)</f>
        <v>#REF!</v>
      </c>
      <c r="O134" s="127" t="str">
        <f>_xlfn.XLOOKUP($B130,'Quality MB'!$M$6:$BM$6,'Quality MB'!$M$16:$BM$16,0)</f>
        <v>G</v>
      </c>
      <c r="P134" s="127" t="str">
        <f>_xlfn.XLOOKUP($B130,Procurement!$M$6:$BM$6,Procurement!$M$16:$BM$16,0)</f>
        <v>G</v>
      </c>
      <c r="Q134" s="11" t="str">
        <f>_xlfn.XLOOKUP($B130,IT!$M$6:$BM$6,IT!$M$16:$BM$16,0)</f>
        <v>TBC</v>
      </c>
      <c r="R134" s="11" t="str">
        <f>_xlfn.XLOOKUP($B130,Marketing!$M$6:$BM$6,Marketing!$M$16:$BM$16,0)</f>
        <v>G</v>
      </c>
      <c r="S134" s="11" t="str">
        <f>_xlfn.XLOOKUP($T130,Finance!$M$16:$X$16,Finance!$M$24:$X$24,0)</f>
        <v>G</v>
      </c>
      <c r="U134" s="127" t="str">
        <f>IF(B130&gt;='KPI Linked Table for Report'!$C$1,"",_xlfn.XLOOKUP($T130,'HR mthly'!$I$6:$BM$6,'HR mthly'!$I$26:$BM$26,0))</f>
        <v>R</v>
      </c>
      <c r="V134" s="127" t="str">
        <f>IF(B130&gt;='KPI Linked Table for Report'!$C$1,"",_xlfn.XLOOKUP($T130,'HR mthly'!$I$6:$BM$6,'HR mthly'!$I$29:$BM$29,0))</f>
        <v>A</v>
      </c>
    </row>
    <row r="135" spans="2:24" ht="42.45" customHeight="1" x14ac:dyDescent="0.3">
      <c r="B135" s="971" t="s">
        <v>31</v>
      </c>
      <c r="C135" s="971"/>
      <c r="D135" s="11" t="str">
        <f>_xlfn.XLOOKUP($B130,EHS!$M$6:$BM$6,EHS!$M$19:$BM$19,0)</f>
        <v>G</v>
      </c>
      <c r="E135" s="127" t="str">
        <f>_xlfn.XLOOKUP($B130,Estimating!$M$6:$BM$6,Estimating!$M$19:$BM$19,0)</f>
        <v>TBC</v>
      </c>
      <c r="F135" s="11" t="str">
        <f>_xlfn.XLOOKUP($B130,SOP!$M$6:$BM$6,SOP!$M$22:$BM$22,0)</f>
        <v>R</v>
      </c>
      <c r="G135" s="11" t="str">
        <f>_xlfn.XLOOKUP($B130,Design!$M$6:$BM$6,Design!$M$19:$BM$19,0)</f>
        <v>R</v>
      </c>
      <c r="H135" s="11" t="str">
        <f>_xlfn.XLOOKUP($B130,'Product Design'!$M$6:$BM$6,'Product Design'!$M$22:$BM$22,0)</f>
        <v>Undefined</v>
      </c>
      <c r="I135" s="11" t="str">
        <f>_xlfn.XLOOKUP($B130,'Product Eng - BE'!$M$6:$BM$6,'Product Eng - BE'!$M$22:$BM$22,0)</f>
        <v>G</v>
      </c>
      <c r="J135" s="11" t="str">
        <f>_xlfn.XLOOKUP($B130,'Product Eng - MB'!$M$6:$BM$6,'Product Eng - MB'!$M$22:$BM$22,0)</f>
        <v>G</v>
      </c>
      <c r="K135" s="11" t="str">
        <f>_xlfn.XLOOKUP($B130,'Bridgend Manuf'!$M$6:$BM$6,'Bridgend Manuf'!$M$19:$BM$19,0)</f>
        <v>R</v>
      </c>
      <c r="L135" s="11" t="str">
        <f>_xlfn.XLOOKUP($B130,'Maybole Manuf'!$M$6:$BM$6,'Maybole Manuf'!$M$19:$BM$19,0)</f>
        <v>G</v>
      </c>
      <c r="M135" s="127" t="str">
        <f>_xlfn.XLOOKUP($B130,Logistics!$M$6:$BM$6,Logistics!$M$19:$BM$19,0)</f>
        <v>Undefined</v>
      </c>
      <c r="N135" s="127" t="e">
        <f>_xlfn.XLOOKUP($B130,Engineering!$M$22:$BM$22,Engineering!#REF!,0)</f>
        <v>#REF!</v>
      </c>
      <c r="O135" s="127" t="str">
        <f>_xlfn.XLOOKUP($B130,'Quality MB'!$M$6:$BM$6,'Quality MB'!$M$19:$BM$19,0)</f>
        <v>R</v>
      </c>
      <c r="P135" s="127" t="str">
        <f>_xlfn.XLOOKUP($B130,Procurement!$M$6:$BM$6,Procurement!$M$19:$BM$19,0)</f>
        <v>G</v>
      </c>
      <c r="Q135" s="11" t="str">
        <f>_xlfn.XLOOKUP($B130,IT!$M$6:$BM$6,IT!$M$19:$BM$19,0)</f>
        <v>TBC</v>
      </c>
      <c r="R135" s="11" t="str">
        <f>_xlfn.XLOOKUP($B130,Marketing!$M$6:$BM$6,Marketing!$M$19:$BM$19,0)</f>
        <v>G</v>
      </c>
      <c r="S135" s="11" t="str">
        <f>_xlfn.XLOOKUP($T130,Finance!$M$16:$X$16,Finance!$M$27:$X$27,0)</f>
        <v>R</v>
      </c>
      <c r="U135" s="127" t="str">
        <f>IF(B130&gt;='KPI Linked Table for Report'!$C$1,"",_xlfn.XLOOKUP($T130,'HR mthly'!$I$6:$BM$6,'HR mthly'!$I$33:$BM$33,0))</f>
        <v>A</v>
      </c>
      <c r="V135" s="127" t="str">
        <f>IF(B130&gt;='KPI Linked Table for Report'!$C$1,"",_xlfn.XLOOKUP($T130,'HR mthly'!$I$6:$BM$6,'HR mthly'!$I$36:$BM$36,0))</f>
        <v>G</v>
      </c>
    </row>
    <row r="137" spans="2:24" ht="42.45" customHeight="1" x14ac:dyDescent="0.3">
      <c r="B137" s="973" t="s">
        <v>7</v>
      </c>
      <c r="C137" s="974"/>
      <c r="D137" s="6" t="str">
        <f>+D$9</f>
        <v>EHS</v>
      </c>
      <c r="E137" s="6" t="str">
        <f>+E$9</f>
        <v>Estimating</v>
      </c>
      <c r="F137" s="6" t="str">
        <f t="shared" ref="F137:R137" si="30">+F$9</f>
        <v>SOP</v>
      </c>
      <c r="G137" s="6" t="str">
        <f>+G$9</f>
        <v>Design and R&amp;D</v>
      </c>
      <c r="H137" s="6" t="str">
        <f t="shared" si="30"/>
        <v>Product Design</v>
      </c>
      <c r="I137" s="6" t="str">
        <f t="shared" si="30"/>
        <v>Product Engineering Bridgend</v>
      </c>
      <c r="J137" s="6" t="str">
        <f t="shared" si="30"/>
        <v>Product Engineering Maybole</v>
      </c>
      <c r="K137" s="6" t="str">
        <f t="shared" si="30"/>
        <v>Bridgend
Manuf</v>
      </c>
      <c r="L137" s="6" t="str">
        <f t="shared" si="30"/>
        <v>Maybole
Manuf</v>
      </c>
      <c r="M137" s="6" t="str">
        <f>+M$9</f>
        <v>Logistics</v>
      </c>
      <c r="N137" s="6" t="str">
        <f>+N$9</f>
        <v>Engineering</v>
      </c>
      <c r="O137" s="6" t="str">
        <f>+O$9</f>
        <v>Quality
Maybole</v>
      </c>
      <c r="P137" s="6" t="str">
        <f>+P$9</f>
        <v>Procurement</v>
      </c>
      <c r="Q137" s="6" t="str">
        <f>+Q$9</f>
        <v>IT</v>
      </c>
      <c r="R137" s="6" t="str">
        <f t="shared" si="30"/>
        <v>Marketing</v>
      </c>
      <c r="S137" s="6" t="str">
        <f>+S$9</f>
        <v>Finance</v>
      </c>
      <c r="T137" s="7" t="s">
        <v>409</v>
      </c>
      <c r="U137" s="6" t="str">
        <f>+U$9</f>
        <v>HR</v>
      </c>
      <c r="V137" s="6" t="str">
        <f>+V$9</f>
        <v>HR</v>
      </c>
    </row>
    <row r="138" spans="2:24" ht="42.45" customHeight="1" x14ac:dyDescent="0.3">
      <c r="B138" s="7">
        <f>B130+1</f>
        <v>17</v>
      </c>
      <c r="C138" s="8">
        <f>C130+7</f>
        <v>45772</v>
      </c>
      <c r="D138" s="10" t="str">
        <f>+D$10</f>
        <v>Neil 
Laing</v>
      </c>
      <c r="E138" s="9" t="str">
        <f>+E$10</f>
        <v>Julian Sparrow</v>
      </c>
      <c r="F138" s="10" t="str">
        <f t="shared" ref="F138:R138" si="31">+F$10</f>
        <v>Sam Westwood</v>
      </c>
      <c r="G138" s="10" t="str">
        <f>+G$10</f>
        <v>Andrew Skitt</v>
      </c>
      <c r="H138" s="10" t="str">
        <f t="shared" si="31"/>
        <v>Paul 
Dolan</v>
      </c>
      <c r="I138" s="10" t="str">
        <f t="shared" si="31"/>
        <v>Paul 
Dolan</v>
      </c>
      <c r="J138" s="10" t="str">
        <f t="shared" si="31"/>
        <v>Paul 
Dolan</v>
      </c>
      <c r="K138" s="10" t="str">
        <f t="shared" si="31"/>
        <v>Garin Bowen</v>
      </c>
      <c r="L138" s="10" t="str">
        <f t="shared" si="31"/>
        <v>Scott McMillan</v>
      </c>
      <c r="M138" s="10" t="str">
        <f>+M$10</f>
        <v>Scott McMillan</v>
      </c>
      <c r="N138" s="10" t="str">
        <f>+N$10</f>
        <v>Garin Bowen</v>
      </c>
      <c r="O138" s="10" t="str">
        <f>+O$10</f>
        <v>Scott McMIllan</v>
      </c>
      <c r="P138" s="10" t="str">
        <f>+P$10</f>
        <v>Matt 
Pope</v>
      </c>
      <c r="Q138" s="10" t="str">
        <f>+Q$10</f>
        <v>Rhian 
Owen</v>
      </c>
      <c r="R138" s="10" t="str">
        <f t="shared" si="31"/>
        <v>Katherine 
Sanganee</v>
      </c>
      <c r="S138" s="10" t="str">
        <f>+S$10</f>
        <v>Gethin Davies</v>
      </c>
      <c r="T138" s="7">
        <v>3</v>
      </c>
      <c r="U138" s="10" t="str">
        <f>+U$10</f>
        <v>Bethan Grant</v>
      </c>
      <c r="V138" s="10" t="str">
        <f>+V$10</f>
        <v>Bethan Grant</v>
      </c>
    </row>
    <row r="139" spans="2:24" ht="42.45" customHeight="1" x14ac:dyDescent="0.3">
      <c r="B139" s="971" t="s">
        <v>30</v>
      </c>
      <c r="C139" s="971"/>
      <c r="D139" s="11" t="str">
        <f>_xlfn.XLOOKUP($B138,EHS!$M$6:$BM$6,EHS!$M$10:$BM$10,0)</f>
        <v>G</v>
      </c>
      <c r="E139" s="127" t="str">
        <f>_xlfn.XLOOKUP($B138,Estimating!$M$6:$BM$6,Estimating!$M$10:$BM$10,0)</f>
        <v>R</v>
      </c>
      <c r="F139" s="11" t="str">
        <f>_xlfn.XLOOKUP($B138,SOP!$M$6:$BM$6,SOP!$M$10:$BM$10,0)</f>
        <v>R</v>
      </c>
      <c r="G139" s="11" t="str">
        <f>_xlfn.XLOOKUP($B138,Design!$M$6:$BM$6,Design!$M$10:$BM$10,0)</f>
        <v>R</v>
      </c>
      <c r="H139" s="11" t="str">
        <f>_xlfn.XLOOKUP($B138,'Product Design'!$M$6:$BM$6,'Product Design'!$M$10:$BM$10,0)</f>
        <v>G</v>
      </c>
      <c r="I139" s="11" t="str">
        <f>_xlfn.XLOOKUP($B138,'Product Eng - BE'!$M$6:$BM$6,'Product Eng - BE'!$M$10:$BM$10,0)</f>
        <v>G</v>
      </c>
      <c r="J139" s="11" t="str">
        <f>_xlfn.XLOOKUP($B138,'Product Eng - MB'!$M$6:$BM$6,'Product Eng - MB'!$M$10:$BM$10,0)</f>
        <v>R</v>
      </c>
      <c r="K139" s="11" t="str">
        <f>_xlfn.XLOOKUP($B138,'Bridgend Manuf'!$M$6:$BM$6,'Bridgend Manuf'!$M$10:$BM$10,0)</f>
        <v>G</v>
      </c>
      <c r="L139" s="11" t="str">
        <f>_xlfn.XLOOKUP($B138,'Maybole Manuf'!$M$6:$BM$6,'Maybole Manuf'!$M$10:$BM$10,0)</f>
        <v>A</v>
      </c>
      <c r="M139" s="127" t="str">
        <f>_xlfn.XLOOKUP($B138,Logistics!$M$6:$BM$6,Logistics!$M$10:$BM$10,0)</f>
        <v>R</v>
      </c>
      <c r="N139" s="127" t="str">
        <f>_xlfn.XLOOKUP($B138,Engineering!$M$22:$BM$22,Engineering!$M$26:$BM$26,0)</f>
        <v>G</v>
      </c>
      <c r="O139" s="127" t="str">
        <f>_xlfn.XLOOKUP($B138,'Quality MB'!$M$6:$BM$6,'Quality MB'!$M$10:$BM$10,0)</f>
        <v>G</v>
      </c>
      <c r="P139" s="127" t="str">
        <f>_xlfn.XLOOKUP($B138,Procurement!$M$6:$BM$6,Procurement!$M$10:$BM$10,0)</f>
        <v>R</v>
      </c>
      <c r="Q139" s="11" t="str">
        <f>_xlfn.XLOOKUP($B138,IT!$M$6:$BM$6,IT!$M$10:$BM$10,0)</f>
        <v>Undefined</v>
      </c>
      <c r="R139" s="11" t="str">
        <f>_xlfn.XLOOKUP($B138,Marketing!$M$6:$BM$6,Marketing!$M$10:$BM$10,0)</f>
        <v>G</v>
      </c>
      <c r="S139" s="11" t="str">
        <f>_xlfn.XLOOKUP($B138,Finance!$M$6:$BM$6,Finance!$M$10:$BM$10,0)</f>
        <v>G</v>
      </c>
      <c r="U139" s="127" t="str">
        <f>IF(B138&gt;='KPI Linked Table for Report'!$C$1,"",_xlfn.XLOOKUP($T138,'HR mthly'!$I$6:$BM$6,'HR mthly'!$I$11:$BM$11,0))</f>
        <v>G</v>
      </c>
      <c r="V139" s="127" t="str">
        <f>IF(B138&gt;='KPI Linked Table for Report'!$C$1,"",_xlfn.XLOOKUP($T138,'HR mthly'!$I$6:$BM$6,'HR mthly'!$I$14:$BM$14,0))</f>
        <v>G</v>
      </c>
    </row>
    <row r="140" spans="2:24" ht="42.45" customHeight="1" x14ac:dyDescent="0.3">
      <c r="B140" s="971" t="s">
        <v>172</v>
      </c>
      <c r="C140" s="971"/>
      <c r="D140" s="11" t="str">
        <f>_xlfn.XLOOKUP($B138,EHS!$M$6:$BM$6,EHS!$M$13:$BM$13,0)</f>
        <v>R</v>
      </c>
      <c r="E140" s="127" t="str">
        <f>_xlfn.XLOOKUP($B138,Estimating!$M$6:$BM$6,Estimating!$M$13:$BM$13,0)</f>
        <v>R</v>
      </c>
      <c r="F140" s="11" t="str">
        <f>_xlfn.XLOOKUP($B138,SOP!$M$6:$BM$6,SOP!$M$13:$BM$13,0)</f>
        <v>R</v>
      </c>
      <c r="G140" s="11" t="str">
        <f>_xlfn.XLOOKUP($B138,Design!$M$6:$BM$6,Design!$M$13:$BM$13,0)</f>
        <v>R</v>
      </c>
      <c r="H140" s="11" t="str">
        <f>_xlfn.XLOOKUP($B138,'Product Design'!$M$6:$BM$6,'Product Design'!$M$13:$BM$13,0)</f>
        <v>R</v>
      </c>
      <c r="I140" s="11" t="str">
        <f>_xlfn.XLOOKUP($B138,'Product Eng - BE'!$M$6:$BM$6,'Product Eng - BE'!$M$13:$BM$13,0)</f>
        <v>G</v>
      </c>
      <c r="J140" s="11" t="str">
        <f>_xlfn.XLOOKUP($B138,'Product Eng - MB'!$M$6:$BM$6,'Product Eng - MB'!$M$13:$BM$13,0)</f>
        <v>G</v>
      </c>
      <c r="K140" s="11" t="str">
        <f>_xlfn.XLOOKUP($B138,'Bridgend Manuf'!$M$6:$BM$6,'Bridgend Manuf'!$M$13:$BM$13,0)</f>
        <v>A</v>
      </c>
      <c r="L140" s="11" t="str">
        <f>_xlfn.XLOOKUP($B138,'Maybole Manuf'!$M$6:$BM$6,'Maybole Manuf'!$M$13:$BM$13,0)</f>
        <v>A</v>
      </c>
      <c r="M140" s="127" t="str">
        <f>_xlfn.XLOOKUP($B138,Logistics!$M$6:$BM$6,Logistics!$M$13:$BM$13,0)</f>
        <v>A</v>
      </c>
      <c r="N140" s="127" t="e">
        <f>_xlfn.XLOOKUP($B138,Engineering!$M$22:$BM$22,Engineering!#REF!,0)</f>
        <v>#REF!</v>
      </c>
      <c r="O140" s="127" t="str">
        <f>_xlfn.XLOOKUP($B138,'Quality MB'!$M$6:$BM$6,'Quality MB'!$M$13:$BM$13,0)</f>
        <v>G</v>
      </c>
      <c r="P140" s="127" t="str">
        <f>_xlfn.XLOOKUP($B138,Procurement!$M$6:$BM$6,Procurement!$M$13:$BM$13,0)</f>
        <v>A</v>
      </c>
      <c r="Q140" s="11" t="str">
        <f>_xlfn.XLOOKUP($B138,IT!$M$6:$BM$6,IT!$M$13:$BM$13,0)</f>
        <v>TBC</v>
      </c>
      <c r="R140" s="11" t="str">
        <f>_xlfn.XLOOKUP($B138,Marketing!$M$6:$BM$6,Marketing!$M$13:$BM$13,0)</f>
        <v>G</v>
      </c>
      <c r="S140" s="11" t="str">
        <f>_xlfn.XLOOKUP($T138,Finance!$M$16:$X$16,Finance!$M$21:$X$21,0)</f>
        <v>G</v>
      </c>
      <c r="U140" s="127" t="str">
        <f>IF(B138&gt;='KPI Linked Table for Report'!$C$1,"",_xlfn.XLOOKUP($T138,'HR mthly'!$I$6:$BM$6,'HR mthly'!$I$18:$BM$18,0))</f>
        <v>G</v>
      </c>
      <c r="V140" s="127" t="str">
        <f>IF(B138&gt;='KPI Linked Table for Report'!$C$1,"",_xlfn.XLOOKUP($T138,'HR mthly'!$I$6:$BM$6,'HR mthly'!$I$21:$BM$21,0))</f>
        <v>R</v>
      </c>
    </row>
    <row r="141" spans="2:24" ht="42.45" customHeight="1" x14ac:dyDescent="0.3">
      <c r="B141" s="971" t="s">
        <v>173</v>
      </c>
      <c r="C141" s="971"/>
      <c r="D141" s="11" t="s">
        <v>174</v>
      </c>
      <c r="E141" s="11" t="s">
        <v>174</v>
      </c>
      <c r="F141" s="11" t="str">
        <f>_xlfn.XLOOKUP($B138,SOP!$M$6:$BM$6,SOP!$M$16:$BM$16,0)</f>
        <v>R</v>
      </c>
      <c r="G141" s="11" t="s">
        <v>174</v>
      </c>
      <c r="H141" s="11" t="str">
        <f>_xlfn.XLOOKUP($B138,'Product Design'!$M$6:$BM$6,'Product Design'!$M$16:$BM$16,0)</f>
        <v>G</v>
      </c>
      <c r="I141" s="11" t="str">
        <f>_xlfn.XLOOKUP($B138,'Product Eng - BE'!$M$6:$BM$6,'Product Eng - BE'!$M$16:$BM$16,0)</f>
        <v>R</v>
      </c>
      <c r="J141" s="11" t="str">
        <f>_xlfn.XLOOKUP($B138,'Product Eng - MB'!$M$6:$BM$6,'Product Eng - MB'!$M$16:$BM$16,0)</f>
        <v>R</v>
      </c>
      <c r="K141" s="11" t="s">
        <v>174</v>
      </c>
      <c r="L141" s="11" t="s">
        <v>174</v>
      </c>
      <c r="M141" s="11" t="s">
        <v>174</v>
      </c>
      <c r="N141" s="11" t="s">
        <v>174</v>
      </c>
      <c r="O141" s="11" t="s">
        <v>174</v>
      </c>
      <c r="P141" s="11" t="s">
        <v>174</v>
      </c>
      <c r="Q141" s="11" t="s">
        <v>174</v>
      </c>
      <c r="R141" s="11" t="s">
        <v>174</v>
      </c>
      <c r="S141" s="11" t="s">
        <v>174</v>
      </c>
      <c r="U141" s="11" t="s">
        <v>174</v>
      </c>
      <c r="V141" s="11" t="s">
        <v>174</v>
      </c>
    </row>
    <row r="142" spans="2:24" ht="42.45" customHeight="1" x14ac:dyDescent="0.3">
      <c r="B142" s="971" t="s">
        <v>32</v>
      </c>
      <c r="C142" s="971"/>
      <c r="D142" s="11" t="str">
        <f>_xlfn.XLOOKUP($B138,EHS!$M$6:$BM$6,EHS!$M$16:$BM$16,0)</f>
        <v>A</v>
      </c>
      <c r="E142" s="127" t="str">
        <f>_xlfn.XLOOKUP($B138,Estimating!$M$6:$BM$6,Estimating!$M$16:$BM$16,0)</f>
        <v>A</v>
      </c>
      <c r="F142" s="11" t="str">
        <f>_xlfn.XLOOKUP($B138,SOP!$M$6:$BM$6,SOP!$M$19:$BM$19,0)</f>
        <v>R</v>
      </c>
      <c r="G142" s="11" t="str">
        <f>_xlfn.XLOOKUP($B138,Design!$M$6:$BM$6,Design!$M$16:$BM$16,0)</f>
        <v>R</v>
      </c>
      <c r="H142" s="11" t="str">
        <f>_xlfn.XLOOKUP($B138,'Product Design'!$M$6:$BM$6,'Product Design'!$M$19:$BM$19,0)</f>
        <v>G</v>
      </c>
      <c r="I142" s="11" t="str">
        <f>_xlfn.XLOOKUP($B138,'Product Eng - BE'!$M$6:$BM$6,'Product Eng - BE'!$M$19:$BM$19,0)</f>
        <v>R</v>
      </c>
      <c r="J142" s="11" t="str">
        <f>_xlfn.XLOOKUP($B138,'Product Eng - MB'!$M$6:$BM$6,'Product Eng - MB'!$M$19:$BM$19,0)</f>
        <v>G</v>
      </c>
      <c r="K142" s="11" t="str">
        <f>_xlfn.XLOOKUP($B138,'Bridgend Manuf'!$M$6:$BM$6,'Bridgend Manuf'!$M$16:$BM$16,0)</f>
        <v>G</v>
      </c>
      <c r="L142" s="11" t="str">
        <f>_xlfn.XLOOKUP($B138,'Maybole Manuf'!$M$6:$BM$6,'Maybole Manuf'!$M$16:$BM$16,0)</f>
        <v>G</v>
      </c>
      <c r="M142" s="127" t="str">
        <f>_xlfn.XLOOKUP($B138,Logistics!$M$6:$BM$6,Logistics!$M$16:$BM$16,0)</f>
        <v>Missed</v>
      </c>
      <c r="N142" s="127" t="e">
        <f>_xlfn.XLOOKUP($B138,Engineering!$M$22:$BM$22,Engineering!#REF!,0)</f>
        <v>#REF!</v>
      </c>
      <c r="O142" s="127" t="str">
        <f>_xlfn.XLOOKUP($B138,'Quality MB'!$M$6:$BM$6,'Quality MB'!$M$16:$BM$16,0)</f>
        <v>G</v>
      </c>
      <c r="P142" s="127" t="str">
        <f>_xlfn.XLOOKUP($B138,Procurement!$M$6:$BM$6,Procurement!$M$16:$BM$16,0)</f>
        <v>G</v>
      </c>
      <c r="Q142" s="11" t="str">
        <f>_xlfn.XLOOKUP($B138,IT!$M$6:$BM$6,IT!$M$16:$BM$16,0)</f>
        <v>TBC</v>
      </c>
      <c r="R142" s="11" t="str">
        <f>_xlfn.XLOOKUP($B138,Marketing!$M$6:$BM$6,Marketing!$M$16:$BM$16,0)</f>
        <v>G</v>
      </c>
      <c r="S142" s="11" t="str">
        <f>_xlfn.XLOOKUP($T138,Finance!$M$16:$X$16,Finance!$M$24:$X$24,0)</f>
        <v>G</v>
      </c>
      <c r="U142" s="127" t="str">
        <f>IF(B138&gt;='KPI Linked Table for Report'!$C$1,"",_xlfn.XLOOKUP($T138,'HR mthly'!$I$6:$BM$6,'HR mthly'!$I$26:$BM$26,0))</f>
        <v>R</v>
      </c>
      <c r="V142" s="127" t="str">
        <f>IF(B138&gt;='KPI Linked Table for Report'!$C$1,"",_xlfn.XLOOKUP($T138,'HR mthly'!$I$6:$BM$6,'HR mthly'!$I$29:$BM$29,0))</f>
        <v>A</v>
      </c>
      <c r="X142" s="3" t="s">
        <v>520</v>
      </c>
    </row>
    <row r="143" spans="2:24" ht="42.45" customHeight="1" x14ac:dyDescent="0.3">
      <c r="B143" s="971" t="s">
        <v>31</v>
      </c>
      <c r="C143" s="971"/>
      <c r="D143" s="11" t="str">
        <f>_xlfn.XLOOKUP($B138,EHS!$M$6:$BM$6,EHS!$M$19:$BM$19,0)</f>
        <v>G</v>
      </c>
      <c r="E143" s="127" t="str">
        <f>_xlfn.XLOOKUP($B138,Estimating!$M$6:$BM$6,Estimating!$M$19:$BM$19,0)</f>
        <v>TBC</v>
      </c>
      <c r="F143" s="11" t="str">
        <f>_xlfn.XLOOKUP($B138,SOP!$M$6:$BM$6,SOP!$M$22:$BM$22,0)</f>
        <v>G</v>
      </c>
      <c r="G143" s="11" t="str">
        <f>_xlfn.XLOOKUP($B138,Design!$M$6:$BM$6,Design!$M$19:$BM$19,0)</f>
        <v>A</v>
      </c>
      <c r="H143" s="11" t="str">
        <f>_xlfn.XLOOKUP($B138,'Product Design'!$M$6:$BM$6,'Product Design'!$M$22:$BM$22,0)</f>
        <v>Undefined</v>
      </c>
      <c r="I143" s="11" t="str">
        <f>_xlfn.XLOOKUP($B138,'Product Eng - BE'!$M$6:$BM$6,'Product Eng - BE'!$M$22:$BM$22,0)</f>
        <v>R</v>
      </c>
      <c r="J143" s="11" t="str">
        <f>_xlfn.XLOOKUP($B138,'Product Eng - MB'!$M$6:$BM$6,'Product Eng - MB'!$M$22:$BM$22,0)</f>
        <v>G</v>
      </c>
      <c r="K143" s="11" t="str">
        <f>_xlfn.XLOOKUP($B138,'Bridgend Manuf'!$M$6:$BM$6,'Bridgend Manuf'!$M$19:$BM$19,0)</f>
        <v>R</v>
      </c>
      <c r="L143" s="11" t="str">
        <f>_xlfn.XLOOKUP($B138,'Maybole Manuf'!$M$6:$BM$6,'Maybole Manuf'!$M$19:$BM$19,0)</f>
        <v>A</v>
      </c>
      <c r="M143" s="127" t="str">
        <f>_xlfn.XLOOKUP($B138,Logistics!$M$6:$BM$6,Logistics!$M$19:$BM$19,0)</f>
        <v>Undefined</v>
      </c>
      <c r="N143" s="127" t="e">
        <f>_xlfn.XLOOKUP($B138,Engineering!$M$22:$BM$22,Engineering!#REF!,0)</f>
        <v>#REF!</v>
      </c>
      <c r="O143" s="127" t="str">
        <f>_xlfn.XLOOKUP($B138,'Quality MB'!$M$6:$BM$6,'Quality MB'!$M$19:$BM$19,0)</f>
        <v>G</v>
      </c>
      <c r="P143" s="127" t="str">
        <f>_xlfn.XLOOKUP($B138,Procurement!$M$6:$BM$6,Procurement!$M$19:$BM$19,0)</f>
        <v>G</v>
      </c>
      <c r="Q143" s="11" t="str">
        <f>_xlfn.XLOOKUP($B138,IT!$M$6:$BM$6,IT!$M$19:$BM$19,0)</f>
        <v>TBC</v>
      </c>
      <c r="R143" s="11" t="str">
        <f>_xlfn.XLOOKUP($B138,Marketing!$M$6:$BM$6,Marketing!$M$19:$BM$19,0)</f>
        <v>G</v>
      </c>
      <c r="S143" s="11" t="str">
        <f>_xlfn.XLOOKUP($T138,Finance!$M$16:$X$16,Finance!$M$27:$X$27,0)</f>
        <v>R</v>
      </c>
      <c r="U143" s="127" t="str">
        <f>IF(B138&gt;='KPI Linked Table for Report'!$C$1,"",_xlfn.XLOOKUP($T138,'HR mthly'!$I$6:$BM$6,'HR mthly'!$I$33:$BM$33,0))</f>
        <v>A</v>
      </c>
      <c r="V143" s="127" t="str">
        <f>IF(B138&gt;='KPI Linked Table for Report'!$C$1,"",_xlfn.XLOOKUP($T138,'HR mthly'!$I$6:$BM$6,'HR mthly'!$I$36:$BM$36,0))</f>
        <v>G</v>
      </c>
      <c r="X143" s="3" t="s">
        <v>520</v>
      </c>
    </row>
    <row r="145" spans="2:22" ht="42.45" customHeight="1" x14ac:dyDescent="0.3">
      <c r="B145" s="973" t="s">
        <v>7</v>
      </c>
      <c r="C145" s="974"/>
      <c r="D145" s="6" t="str">
        <f>+D$9</f>
        <v>EHS</v>
      </c>
      <c r="E145" s="6" t="str">
        <f>+E$9</f>
        <v>Estimating</v>
      </c>
      <c r="F145" s="6" t="str">
        <f t="shared" ref="F145:R145" si="32">+F$9</f>
        <v>SOP</v>
      </c>
      <c r="G145" s="6" t="str">
        <f>+G$9</f>
        <v>Design and R&amp;D</v>
      </c>
      <c r="H145" s="6" t="str">
        <f t="shared" si="32"/>
        <v>Product Design</v>
      </c>
      <c r="I145" s="6" t="str">
        <f t="shared" si="32"/>
        <v>Product Engineering Bridgend</v>
      </c>
      <c r="J145" s="6" t="str">
        <f t="shared" si="32"/>
        <v>Product Engineering Maybole</v>
      </c>
      <c r="K145" s="6" t="str">
        <f t="shared" si="32"/>
        <v>Bridgend
Manuf</v>
      </c>
      <c r="L145" s="6" t="str">
        <f t="shared" si="32"/>
        <v>Maybole
Manuf</v>
      </c>
      <c r="M145" s="6" t="str">
        <f>+M$9</f>
        <v>Logistics</v>
      </c>
      <c r="N145" s="6" t="str">
        <f>+N$9</f>
        <v>Engineering</v>
      </c>
      <c r="O145" s="6" t="str">
        <f>+O$9</f>
        <v>Quality
Maybole</v>
      </c>
      <c r="P145" s="6" t="str">
        <f>+P$9</f>
        <v>Procurement</v>
      </c>
      <c r="Q145" s="6" t="str">
        <f>+Q$9</f>
        <v>IT</v>
      </c>
      <c r="R145" s="6" t="str">
        <f t="shared" si="32"/>
        <v>Marketing</v>
      </c>
      <c r="S145" s="6" t="str">
        <f>+S$9</f>
        <v>Finance</v>
      </c>
      <c r="T145" s="7" t="s">
        <v>409</v>
      </c>
      <c r="U145" s="6" t="str">
        <f>+U$9</f>
        <v>HR</v>
      </c>
      <c r="V145" s="6" t="str">
        <f>+V$9</f>
        <v>HR</v>
      </c>
    </row>
    <row r="146" spans="2:22" ht="42.45" customHeight="1" x14ac:dyDescent="0.3">
      <c r="B146" s="7">
        <f>B138+1</f>
        <v>18</v>
      </c>
      <c r="C146" s="8">
        <f>C138+7</f>
        <v>45779</v>
      </c>
      <c r="D146" s="10" t="str">
        <f>+D$10</f>
        <v>Neil 
Laing</v>
      </c>
      <c r="E146" s="9" t="str">
        <f>+E$10</f>
        <v>Julian Sparrow</v>
      </c>
      <c r="F146" s="10" t="str">
        <f t="shared" ref="F146:R146" si="33">+F$10</f>
        <v>Sam Westwood</v>
      </c>
      <c r="G146" s="10" t="str">
        <f>+G$10</f>
        <v>Andrew Skitt</v>
      </c>
      <c r="H146" s="10" t="str">
        <f t="shared" si="33"/>
        <v>Paul 
Dolan</v>
      </c>
      <c r="I146" s="10" t="str">
        <f t="shared" si="33"/>
        <v>Paul 
Dolan</v>
      </c>
      <c r="J146" s="10" t="str">
        <f t="shared" si="33"/>
        <v>Paul 
Dolan</v>
      </c>
      <c r="K146" s="10" t="str">
        <f t="shared" si="33"/>
        <v>Garin Bowen</v>
      </c>
      <c r="L146" s="10" t="str">
        <f t="shared" si="33"/>
        <v>Scott McMillan</v>
      </c>
      <c r="M146" s="10" t="str">
        <f>+M$10</f>
        <v>Scott McMillan</v>
      </c>
      <c r="N146" s="10" t="str">
        <f>+N$10</f>
        <v>Garin Bowen</v>
      </c>
      <c r="O146" s="10" t="str">
        <f>+O$10</f>
        <v>Scott McMIllan</v>
      </c>
      <c r="P146" s="10" t="str">
        <f>+P$10</f>
        <v>Matt 
Pope</v>
      </c>
      <c r="Q146" s="10" t="str">
        <f>+Q$10</f>
        <v>Rhian 
Owen</v>
      </c>
      <c r="R146" s="10" t="str">
        <f t="shared" si="33"/>
        <v>Katherine 
Sanganee</v>
      </c>
      <c r="S146" s="10" t="str">
        <f>+S$10</f>
        <v>Gethin Davies</v>
      </c>
      <c r="T146" s="7">
        <v>4</v>
      </c>
      <c r="U146" s="10" t="str">
        <f>+U$10</f>
        <v>Bethan Grant</v>
      </c>
      <c r="V146" s="10" t="str">
        <f>+V$10</f>
        <v>Bethan Grant</v>
      </c>
    </row>
    <row r="147" spans="2:22" ht="42.45" customHeight="1" x14ac:dyDescent="0.3">
      <c r="B147" s="971" t="s">
        <v>30</v>
      </c>
      <c r="C147" s="971"/>
      <c r="D147" s="11" t="str">
        <f>_xlfn.XLOOKUP($B146,EHS!$M$6:$BM$6,EHS!$M$10:$BM$10,0)</f>
        <v>G</v>
      </c>
      <c r="E147" s="127" t="str">
        <f>_xlfn.XLOOKUP($B146,Estimating!$M$6:$BM$6,Estimating!$M$10:$BM$10,0)</f>
        <v>G</v>
      </c>
      <c r="F147" s="11" t="str">
        <f>_xlfn.XLOOKUP($B146,SOP!$M$6:$BM$6,SOP!$M$10:$BM$10,0)</f>
        <v>G</v>
      </c>
      <c r="G147" s="11" t="str">
        <f>_xlfn.XLOOKUP($B146,Design!$M$6:$BM$6,Design!$M$10:$BM$10,0)</f>
        <v>R</v>
      </c>
      <c r="H147" s="11" t="str">
        <f>_xlfn.XLOOKUP($B146,'Product Design'!$M$6:$BM$6,'Product Design'!$M$10:$BM$10,0)</f>
        <v>R</v>
      </c>
      <c r="I147" s="11" t="str">
        <f>_xlfn.XLOOKUP($B146,'Product Eng - BE'!$M$6:$BM$6,'Product Eng - BE'!$M$10:$BM$10,0)</f>
        <v>G</v>
      </c>
      <c r="J147" s="11" t="str">
        <f>_xlfn.XLOOKUP($B146,'Product Eng - MB'!$M$6:$BM$6,'Product Eng - MB'!$M$10:$BM$10,0)</f>
        <v>G</v>
      </c>
      <c r="K147" s="11" t="str">
        <f>_xlfn.XLOOKUP($B146,'Bridgend Manuf'!$M$6:$BM$6,'Bridgend Manuf'!$M$10:$BM$10,0)</f>
        <v>R</v>
      </c>
      <c r="L147" s="11" t="str">
        <f>_xlfn.XLOOKUP($B146,'Maybole Manuf'!$M$6:$BM$6,'Maybole Manuf'!$M$10:$BM$10,0)</f>
        <v>G</v>
      </c>
      <c r="M147" s="127" t="str">
        <f>_xlfn.XLOOKUP($B146,Logistics!$M$6:$BM$6,Logistics!$M$10:$BM$10,0)</f>
        <v>G</v>
      </c>
      <c r="N147" s="127" t="str">
        <f>_xlfn.XLOOKUP($B146,Engineering!$M$22:$BM$22,Engineering!$M$26:$BM$26,0)</f>
        <v>OD</v>
      </c>
      <c r="O147" s="127" t="str">
        <f>_xlfn.XLOOKUP($B146,'Quality MB'!$M$6:$BM$6,'Quality MB'!$M$10:$BM$10,0)</f>
        <v>G</v>
      </c>
      <c r="P147" s="127" t="str">
        <f>_xlfn.XLOOKUP($B146,Procurement!$M$6:$BM$6,Procurement!$M$10:$BM$10,0)</f>
        <v>A</v>
      </c>
      <c r="Q147" s="11" t="str">
        <f>_xlfn.XLOOKUP($B146,IT!$M$6:$BM$6,IT!$M$10:$BM$10,0)</f>
        <v>Undefined</v>
      </c>
      <c r="R147" s="11" t="str">
        <f>_xlfn.XLOOKUP($B146,Marketing!$M$6:$BM$6,Marketing!$M$10:$BM$10,0)</f>
        <v>G</v>
      </c>
      <c r="S147" s="11" t="str">
        <f>_xlfn.XLOOKUP($B146,Finance!$M$6:$BM$6,Finance!$M$10:$BM$10,0)</f>
        <v>G</v>
      </c>
      <c r="U147" s="127" t="str">
        <f>IF(B146&gt;='KPI Linked Table for Report'!$C$1,"",_xlfn.XLOOKUP($T146,'HR mthly'!$I$6:$BM$6,'HR mthly'!$I$11:$BM$11,0))</f>
        <v>G</v>
      </c>
      <c r="V147" s="127" t="str">
        <f>IF(B146&gt;='KPI Linked Table for Report'!$C$1,"",_xlfn.XLOOKUP($T146,'HR mthly'!$I$6:$BM$6,'HR mthly'!$I$14:$BM$14,0))</f>
        <v>G</v>
      </c>
    </row>
    <row r="148" spans="2:22" ht="42.45" customHeight="1" x14ac:dyDescent="0.3">
      <c r="B148" s="971" t="s">
        <v>172</v>
      </c>
      <c r="C148" s="971"/>
      <c r="D148" s="11" t="str">
        <f>_xlfn.XLOOKUP($B146,EHS!$M$6:$BM$6,EHS!$M$13:$BM$13,0)</f>
        <v>R</v>
      </c>
      <c r="E148" s="127" t="str">
        <f>_xlfn.XLOOKUP($B146,Estimating!$M$6:$BM$6,Estimating!$M$13:$BM$13,0)</f>
        <v>R</v>
      </c>
      <c r="F148" s="11" t="str">
        <f>_xlfn.XLOOKUP($B146,SOP!$M$6:$BM$6,SOP!$M$13:$BM$13,0)</f>
        <v>R</v>
      </c>
      <c r="G148" s="11" t="str">
        <f>_xlfn.XLOOKUP($B146,Design!$M$6:$BM$6,Design!$M$13:$BM$13,0)</f>
        <v>R</v>
      </c>
      <c r="H148" s="11" t="str">
        <f>_xlfn.XLOOKUP($B146,'Product Design'!$M$6:$BM$6,'Product Design'!$M$13:$BM$13,0)</f>
        <v>R</v>
      </c>
      <c r="I148" s="11" t="str">
        <f>_xlfn.XLOOKUP($B146,'Product Eng - BE'!$M$6:$BM$6,'Product Eng - BE'!$M$13:$BM$13,0)</f>
        <v>G</v>
      </c>
      <c r="J148" s="11" t="str">
        <f>_xlfn.XLOOKUP($B146,'Product Eng - MB'!$M$6:$BM$6,'Product Eng - MB'!$M$13:$BM$13,0)</f>
        <v>G</v>
      </c>
      <c r="K148" s="11" t="str">
        <f>_xlfn.XLOOKUP($B146,'Bridgend Manuf'!$M$6:$BM$6,'Bridgend Manuf'!$M$13:$BM$13,0)</f>
        <v>R</v>
      </c>
      <c r="L148" s="11" t="str">
        <f>_xlfn.XLOOKUP($B146,'Maybole Manuf'!$M$6:$BM$6,'Maybole Manuf'!$M$13:$BM$13,0)</f>
        <v>R</v>
      </c>
      <c r="M148" s="127" t="str">
        <f>_xlfn.XLOOKUP($B146,Logistics!$M$6:$BM$6,Logistics!$M$13:$BM$13,0)</f>
        <v>R</v>
      </c>
      <c r="N148" s="127" t="e">
        <f>_xlfn.XLOOKUP($B146,Engineering!$M$22:$BM$22,Engineering!#REF!,0)</f>
        <v>#REF!</v>
      </c>
      <c r="O148" s="127" t="str">
        <f>_xlfn.XLOOKUP($B146,'Quality MB'!$M$6:$BM$6,'Quality MB'!$M$13:$BM$13,0)</f>
        <v>R</v>
      </c>
      <c r="P148" s="127" t="str">
        <f>_xlfn.XLOOKUP($B146,Procurement!$M$6:$BM$6,Procurement!$M$13:$BM$13,0)</f>
        <v>A</v>
      </c>
      <c r="Q148" s="11" t="str">
        <f>_xlfn.XLOOKUP($B146,IT!$M$6:$BM$6,IT!$M$13:$BM$13,0)</f>
        <v>TBC</v>
      </c>
      <c r="R148" s="11" t="str">
        <f>_xlfn.XLOOKUP($B146,Marketing!$M$6:$BM$6,Marketing!$M$13:$BM$13,0)</f>
        <v>G</v>
      </c>
      <c r="S148" s="11" t="str">
        <f>_xlfn.XLOOKUP($T146,Finance!$M$16:$X$16,Finance!$M$21:$X$21,0)</f>
        <v>R</v>
      </c>
      <c r="U148" s="127" t="str">
        <f>IF(B146&gt;='KPI Linked Table for Report'!$C$1,"",_xlfn.XLOOKUP($T146,'HR mthly'!$I$6:$BM$6,'HR mthly'!$I$18:$BM$18,0))</f>
        <v>G</v>
      </c>
      <c r="V148" s="127" t="str">
        <f>IF(B146&gt;='KPI Linked Table for Report'!$C$1,"",_xlfn.XLOOKUP($T146,'HR mthly'!$I$6:$BM$6,'HR mthly'!$I$21:$BM$21,0))</f>
        <v>G</v>
      </c>
    </row>
    <row r="149" spans="2:22" ht="42.45" customHeight="1" x14ac:dyDescent="0.3">
      <c r="B149" s="971" t="s">
        <v>173</v>
      </c>
      <c r="C149" s="971"/>
      <c r="D149" s="11" t="s">
        <v>174</v>
      </c>
      <c r="E149" s="11" t="s">
        <v>174</v>
      </c>
      <c r="F149" s="11" t="str">
        <f>_xlfn.XLOOKUP($B146,SOP!$M$6:$BM$6,SOP!$M$16:$BM$16,0)</f>
        <v>R</v>
      </c>
      <c r="G149" s="11" t="s">
        <v>174</v>
      </c>
      <c r="H149" s="11" t="str">
        <f>_xlfn.XLOOKUP($B146,'Product Design'!$M$6:$BM$6,'Product Design'!$M$16:$BM$16,0)</f>
        <v>G</v>
      </c>
      <c r="I149" s="11" t="str">
        <f>_xlfn.XLOOKUP($B146,'Product Eng - BE'!$M$6:$BM$6,'Product Eng - BE'!$M$16:$BM$16,0)</f>
        <v>R</v>
      </c>
      <c r="J149" s="11" t="str">
        <f>_xlfn.XLOOKUP($B146,'Product Eng - MB'!$M$6:$BM$6,'Product Eng - MB'!$M$16:$BM$16,0)</f>
        <v>R</v>
      </c>
      <c r="K149" s="11" t="s">
        <v>174</v>
      </c>
      <c r="L149" s="11" t="s">
        <v>174</v>
      </c>
      <c r="M149" s="11" t="s">
        <v>174</v>
      </c>
      <c r="N149" s="11" t="s">
        <v>174</v>
      </c>
      <c r="O149" s="11" t="s">
        <v>174</v>
      </c>
      <c r="P149" s="11" t="s">
        <v>174</v>
      </c>
      <c r="Q149" s="11" t="s">
        <v>174</v>
      </c>
      <c r="R149" s="11" t="s">
        <v>174</v>
      </c>
      <c r="S149" s="11" t="s">
        <v>174</v>
      </c>
      <c r="U149" s="11" t="s">
        <v>174</v>
      </c>
      <c r="V149" s="11" t="s">
        <v>174</v>
      </c>
    </row>
    <row r="150" spans="2:22" ht="42.45" customHeight="1" x14ac:dyDescent="0.3">
      <c r="B150" s="971" t="s">
        <v>32</v>
      </c>
      <c r="C150" s="971"/>
      <c r="D150" s="11" t="str">
        <f>_xlfn.XLOOKUP($B146,EHS!$M$6:$BM$6,EHS!$M$16:$BM$16,0)</f>
        <v>A</v>
      </c>
      <c r="E150" s="127" t="str">
        <f>_xlfn.XLOOKUP($B146,Estimating!$M$6:$BM$6,Estimating!$M$16:$BM$16,0)</f>
        <v>R</v>
      </c>
      <c r="F150" s="11" t="str">
        <f>_xlfn.XLOOKUP($B146,SOP!$M$6:$BM$6,SOP!$M$19:$BM$19,0)</f>
        <v>R</v>
      </c>
      <c r="G150" s="11" t="str">
        <f>_xlfn.XLOOKUP($B146,Design!$M$6:$BM$6,Design!$M$16:$BM$16,0)</f>
        <v>G</v>
      </c>
      <c r="H150" s="11" t="str">
        <f>_xlfn.XLOOKUP($B146,'Product Design'!$M$6:$BM$6,'Product Design'!$M$19:$BM$19,0)</f>
        <v>R</v>
      </c>
      <c r="I150" s="11" t="str">
        <f>_xlfn.XLOOKUP($B146,'Product Eng - BE'!$M$6:$BM$6,'Product Eng - BE'!$M$19:$BM$19,0)</f>
        <v>R</v>
      </c>
      <c r="J150" s="11" t="str">
        <f>_xlfn.XLOOKUP($B146,'Product Eng - MB'!$M$6:$BM$6,'Product Eng - MB'!$M$19:$BM$19,0)</f>
        <v>G</v>
      </c>
      <c r="K150" s="11" t="str">
        <f>_xlfn.XLOOKUP($B146,'Bridgend Manuf'!$M$6:$BM$6,'Bridgend Manuf'!$M$16:$BM$16,0)</f>
        <v>R</v>
      </c>
      <c r="L150" s="11" t="str">
        <f>_xlfn.XLOOKUP($B146,'Maybole Manuf'!$M$6:$BM$6,'Maybole Manuf'!$M$16:$BM$16,0)</f>
        <v>G</v>
      </c>
      <c r="M150" s="127" t="str">
        <f>_xlfn.XLOOKUP($B146,Logistics!$M$6:$BM$6,Logistics!$M$16:$BM$16,0)</f>
        <v>Missed</v>
      </c>
      <c r="N150" s="127" t="e">
        <f>_xlfn.XLOOKUP($B146,Engineering!$M$22:$BM$22,Engineering!#REF!,0)</f>
        <v>#REF!</v>
      </c>
      <c r="O150" s="127" t="str">
        <f>_xlfn.XLOOKUP($B146,'Quality MB'!$M$6:$BM$6,'Quality MB'!$M$16:$BM$16,0)</f>
        <v>G</v>
      </c>
      <c r="P150" s="127" t="str">
        <f>_xlfn.XLOOKUP($B146,Procurement!$M$6:$BM$6,Procurement!$M$16:$BM$16,0)</f>
        <v>G</v>
      </c>
      <c r="Q150" s="11" t="str">
        <f>_xlfn.XLOOKUP($B146,IT!$M$6:$BM$6,IT!$M$16:$BM$16,0)</f>
        <v>TBC</v>
      </c>
      <c r="R150" s="11" t="str">
        <f>_xlfn.XLOOKUP($B146,Marketing!$M$6:$BM$6,Marketing!$M$16:$BM$16,0)</f>
        <v>G</v>
      </c>
      <c r="S150" s="11" t="str">
        <f>_xlfn.XLOOKUP($T146,Finance!$M$16:$X$16,Finance!$M$24:$X$24,0)</f>
        <v>G</v>
      </c>
      <c r="U150" s="127" t="str">
        <f>IF(B146&gt;='KPI Linked Table for Report'!$C$1,"",_xlfn.XLOOKUP($T146,'HR mthly'!$I$6:$BM$6,'HR mthly'!$I$26:$BM$26,0))</f>
        <v>R</v>
      </c>
      <c r="V150" s="127" t="str">
        <f>IF(B146&gt;='KPI Linked Table for Report'!$C$1,"",_xlfn.XLOOKUP($T146,'HR mthly'!$I$6:$BM$6,'HR mthly'!$I$29:$BM$29,0))</f>
        <v>A</v>
      </c>
    </row>
    <row r="151" spans="2:22" ht="42.45" customHeight="1" x14ac:dyDescent="0.3">
      <c r="B151" s="971" t="s">
        <v>31</v>
      </c>
      <c r="C151" s="971"/>
      <c r="D151" s="11" t="str">
        <f>_xlfn.XLOOKUP($B146,EHS!$M$6:$BM$6,EHS!$M$19:$BM$19,0)</f>
        <v>G</v>
      </c>
      <c r="E151" s="127" t="str">
        <f>_xlfn.XLOOKUP($B146,Estimating!$M$6:$BM$6,Estimating!$M$19:$BM$19,0)</f>
        <v>TBC</v>
      </c>
      <c r="F151" s="11" t="str">
        <f>_xlfn.XLOOKUP($B146,SOP!$M$6:$BM$6,SOP!$M$22:$BM$22,0)</f>
        <v>G</v>
      </c>
      <c r="G151" s="11" t="str">
        <f>_xlfn.XLOOKUP($B146,Design!$M$6:$BM$6,Design!$M$19:$BM$19,0)</f>
        <v>R</v>
      </c>
      <c r="H151" s="11" t="str">
        <f>_xlfn.XLOOKUP($B146,'Product Design'!$M$6:$BM$6,'Product Design'!$M$22:$BM$22,0)</f>
        <v>Undefined</v>
      </c>
      <c r="I151" s="11" t="str">
        <f>_xlfn.XLOOKUP($B146,'Product Eng - BE'!$M$6:$BM$6,'Product Eng - BE'!$M$22:$BM$22,0)</f>
        <v>R</v>
      </c>
      <c r="J151" s="11" t="str">
        <f>_xlfn.XLOOKUP($B146,'Product Eng - MB'!$M$6:$BM$6,'Product Eng - MB'!$M$22:$BM$22,0)</f>
        <v>G</v>
      </c>
      <c r="K151" s="11" t="str">
        <f>_xlfn.XLOOKUP($B146,'Bridgend Manuf'!$M$6:$BM$6,'Bridgend Manuf'!$M$19:$BM$19,0)</f>
        <v>G</v>
      </c>
      <c r="L151" s="11" t="str">
        <f>_xlfn.XLOOKUP($B146,'Maybole Manuf'!$M$6:$BM$6,'Maybole Manuf'!$M$19:$BM$19,0)</f>
        <v>G</v>
      </c>
      <c r="M151" s="127" t="str">
        <f>_xlfn.XLOOKUP($B146,Logistics!$M$6:$BM$6,Logistics!$M$19:$BM$19,0)</f>
        <v>Undefined</v>
      </c>
      <c r="N151" s="127" t="e">
        <f>_xlfn.XLOOKUP($B146,Engineering!$M$22:$BM$22,Engineering!#REF!,0)</f>
        <v>#REF!</v>
      </c>
      <c r="O151" s="127" t="str">
        <f>_xlfn.XLOOKUP($B146,'Quality MB'!$M$6:$BM$6,'Quality MB'!$M$19:$BM$19,0)</f>
        <v>G</v>
      </c>
      <c r="P151" s="127" t="str">
        <f>_xlfn.XLOOKUP($B146,Procurement!$M$6:$BM$6,Procurement!$M$19:$BM$19,0)</f>
        <v>G</v>
      </c>
      <c r="Q151" s="11" t="str">
        <f>_xlfn.XLOOKUP($B146,IT!$M$6:$BM$6,IT!$M$19:$BM$19,0)</f>
        <v>TBC</v>
      </c>
      <c r="R151" s="11" t="str">
        <f>_xlfn.XLOOKUP($B146,Marketing!$M$6:$BM$6,Marketing!$M$19:$BM$19,0)</f>
        <v>G</v>
      </c>
      <c r="S151" s="11" t="str">
        <f>_xlfn.XLOOKUP($T146,Finance!$M$16:$X$16,Finance!$M$27:$X$27,0)</f>
        <v>R</v>
      </c>
      <c r="U151" s="127" t="str">
        <f>IF(B146&gt;='KPI Linked Table for Report'!$C$1,"",_xlfn.XLOOKUP($T146,'HR mthly'!$I$6:$BM$6,'HR mthly'!$I$33:$BM$33,0))</f>
        <v>A</v>
      </c>
      <c r="V151" s="127" t="str">
        <f>IF(B146&gt;='KPI Linked Table for Report'!$C$1,"",_xlfn.XLOOKUP($T146,'HR mthly'!$I$6:$BM$6,'HR mthly'!$I$36:$BM$36,0))</f>
        <v>G</v>
      </c>
    </row>
    <row r="153" spans="2:22" ht="42.45" customHeight="1" x14ac:dyDescent="0.3">
      <c r="B153" s="973" t="s">
        <v>7</v>
      </c>
      <c r="C153" s="974"/>
      <c r="D153" s="6" t="str">
        <f>+D$9</f>
        <v>EHS</v>
      </c>
      <c r="E153" s="6" t="str">
        <f>+E$9</f>
        <v>Estimating</v>
      </c>
      <c r="F153" s="6" t="str">
        <f t="shared" ref="F153:R153" si="34">+F$9</f>
        <v>SOP</v>
      </c>
      <c r="G153" s="6" t="str">
        <f>+G$9</f>
        <v>Design and R&amp;D</v>
      </c>
      <c r="H153" s="6" t="str">
        <f t="shared" si="34"/>
        <v>Product Design</v>
      </c>
      <c r="I153" s="6" t="str">
        <f t="shared" si="34"/>
        <v>Product Engineering Bridgend</v>
      </c>
      <c r="J153" s="6" t="str">
        <f t="shared" si="34"/>
        <v>Product Engineering Maybole</v>
      </c>
      <c r="K153" s="6" t="str">
        <f t="shared" si="34"/>
        <v>Bridgend
Manuf</v>
      </c>
      <c r="L153" s="6" t="str">
        <f t="shared" si="34"/>
        <v>Maybole
Manuf</v>
      </c>
      <c r="M153" s="6" t="str">
        <f>+M$9</f>
        <v>Logistics</v>
      </c>
      <c r="N153" s="6" t="str">
        <f>+N$9</f>
        <v>Engineering</v>
      </c>
      <c r="O153" s="6" t="str">
        <f>+O$9</f>
        <v>Quality
Maybole</v>
      </c>
      <c r="P153" s="6" t="str">
        <f>+P$9</f>
        <v>Procurement</v>
      </c>
      <c r="Q153" s="6" t="str">
        <f>+Q$9</f>
        <v>IT</v>
      </c>
      <c r="R153" s="6" t="str">
        <f t="shared" si="34"/>
        <v>Marketing</v>
      </c>
      <c r="S153" s="6" t="str">
        <f>+S$9</f>
        <v>Finance</v>
      </c>
      <c r="T153" s="7" t="s">
        <v>409</v>
      </c>
      <c r="U153" s="6" t="str">
        <f>+U$9</f>
        <v>HR</v>
      </c>
      <c r="V153" s="6" t="str">
        <f>+V$9</f>
        <v>HR</v>
      </c>
    </row>
    <row r="154" spans="2:22" ht="42.45" customHeight="1" x14ac:dyDescent="0.3">
      <c r="B154" s="7">
        <f>B146+1</f>
        <v>19</v>
      </c>
      <c r="C154" s="8">
        <f>C146+7</f>
        <v>45786</v>
      </c>
      <c r="D154" s="10" t="str">
        <f>+D$10</f>
        <v>Neil 
Laing</v>
      </c>
      <c r="E154" s="9" t="str">
        <f>+E$10</f>
        <v>Julian Sparrow</v>
      </c>
      <c r="F154" s="10" t="str">
        <f t="shared" ref="F154:R154" si="35">+F$10</f>
        <v>Sam Westwood</v>
      </c>
      <c r="G154" s="10" t="str">
        <f>+G$10</f>
        <v>Andrew Skitt</v>
      </c>
      <c r="H154" s="10" t="str">
        <f t="shared" si="35"/>
        <v>Paul 
Dolan</v>
      </c>
      <c r="I154" s="10" t="str">
        <f t="shared" si="35"/>
        <v>Paul 
Dolan</v>
      </c>
      <c r="J154" s="10" t="str">
        <f t="shared" si="35"/>
        <v>Paul 
Dolan</v>
      </c>
      <c r="K154" s="10" t="str">
        <f t="shared" si="35"/>
        <v>Garin Bowen</v>
      </c>
      <c r="L154" s="10" t="str">
        <f t="shared" si="35"/>
        <v>Scott McMillan</v>
      </c>
      <c r="M154" s="10" t="str">
        <f>+M$10</f>
        <v>Scott McMillan</v>
      </c>
      <c r="N154" s="10" t="str">
        <f>+N$10</f>
        <v>Garin Bowen</v>
      </c>
      <c r="O154" s="10" t="str">
        <f>+O$10</f>
        <v>Scott McMIllan</v>
      </c>
      <c r="P154" s="10" t="str">
        <f>+P$10</f>
        <v>Matt 
Pope</v>
      </c>
      <c r="Q154" s="10" t="str">
        <f>+Q$10</f>
        <v>Rhian 
Owen</v>
      </c>
      <c r="R154" s="10" t="str">
        <f t="shared" si="35"/>
        <v>Katherine 
Sanganee</v>
      </c>
      <c r="S154" s="10" t="str">
        <f>+S$10</f>
        <v>Gethin Davies</v>
      </c>
      <c r="T154" s="7">
        <v>4</v>
      </c>
      <c r="U154" s="10" t="str">
        <f>+U$10</f>
        <v>Bethan Grant</v>
      </c>
      <c r="V154" s="10" t="str">
        <f>+V$10</f>
        <v>Bethan Grant</v>
      </c>
    </row>
    <row r="155" spans="2:22" ht="42.45" customHeight="1" x14ac:dyDescent="0.3">
      <c r="B155" s="971" t="s">
        <v>30</v>
      </c>
      <c r="C155" s="971"/>
      <c r="D155" s="11" t="str">
        <f>_xlfn.XLOOKUP($B154,EHS!$M$6:$BM$6,EHS!$M$10:$BM$10,0)</f>
        <v>G</v>
      </c>
      <c r="E155" s="127" t="str">
        <f>_xlfn.XLOOKUP($B154,Estimating!$M$6:$BM$6,Estimating!$M$10:$BM$10,0)</f>
        <v>R</v>
      </c>
      <c r="F155" s="11" t="str">
        <f>_xlfn.XLOOKUP($B154,SOP!$M$6:$BM$6,SOP!$M$10:$BM$10,0)</f>
        <v>G</v>
      </c>
      <c r="G155" s="11" t="str">
        <f>_xlfn.XLOOKUP($B154,Design!$M$6:$BM$6,Design!$M$10:$BM$10,0)</f>
        <v>A</v>
      </c>
      <c r="H155" s="11" t="str">
        <f>_xlfn.XLOOKUP($B154,'Product Design'!$M$6:$BM$6,'Product Design'!$M$10:$BM$10,0)</f>
        <v>R</v>
      </c>
      <c r="I155" s="11" t="str">
        <f>_xlfn.XLOOKUP($B154,'Product Eng - BE'!$M$6:$BM$6,'Product Eng - BE'!$M$10:$BM$10,0)</f>
        <v>R</v>
      </c>
      <c r="J155" s="11" t="str">
        <f>_xlfn.XLOOKUP($B154,'Product Eng - MB'!$M$6:$BM$6,'Product Eng - MB'!$M$10:$BM$10,0)</f>
        <v>G</v>
      </c>
      <c r="K155" s="11" t="str">
        <f>_xlfn.XLOOKUP($B154,'Bridgend Manuf'!$M$6:$BM$6,'Bridgend Manuf'!$M$10:$BM$10,0)</f>
        <v>R</v>
      </c>
      <c r="L155" s="11" t="str">
        <f>_xlfn.XLOOKUP($B154,'Maybole Manuf'!$M$6:$BM$6,'Maybole Manuf'!$M$10:$BM$10,0)</f>
        <v>A</v>
      </c>
      <c r="M155" s="127" t="str">
        <f>_xlfn.XLOOKUP($B154,Logistics!$M$6:$BM$6,Logistics!$M$10:$BM$10,0)</f>
        <v>R</v>
      </c>
      <c r="N155" s="127" t="str">
        <f>_xlfn.XLOOKUP($B154,Engineering!$M$22:$BM$22,Engineering!$M$26:$BM$26,0)</f>
        <v>OD</v>
      </c>
      <c r="O155" s="127" t="str">
        <f>_xlfn.XLOOKUP($B154,'Quality MB'!$M$6:$BM$6,'Quality MB'!$M$10:$BM$10,0)</f>
        <v>G</v>
      </c>
      <c r="P155" s="127" t="str">
        <f>_xlfn.XLOOKUP($B154,Procurement!$M$6:$BM$6,Procurement!$M$10:$BM$10,0)</f>
        <v>A</v>
      </c>
      <c r="Q155" s="11" t="str">
        <f>_xlfn.XLOOKUP($B154,IT!$M$6:$BM$6,IT!$M$10:$BM$10,0)</f>
        <v>Undefined</v>
      </c>
      <c r="R155" s="11" t="str">
        <f>_xlfn.XLOOKUP($B154,Marketing!$M$6:$BM$6,Marketing!$M$10:$BM$10,0)</f>
        <v>G</v>
      </c>
      <c r="S155" s="11" t="str">
        <f>_xlfn.XLOOKUP($B154,Finance!$M$6:$BM$6,Finance!$M$10:$BM$10,0)</f>
        <v>G</v>
      </c>
      <c r="U155" s="127" t="str">
        <f>IF(B154&gt;='KPI Linked Table for Report'!$C$1,"",_xlfn.XLOOKUP($T154,'HR mthly'!$I$6:$BM$6,'HR mthly'!$I$11:$BM$11,0))</f>
        <v>G</v>
      </c>
      <c r="V155" s="127" t="str">
        <f>IF(B154&gt;='KPI Linked Table for Report'!$C$1,"",_xlfn.XLOOKUP($T154,'HR mthly'!$I$6:$BM$6,'HR mthly'!$I$14:$BM$14,0))</f>
        <v>G</v>
      </c>
    </row>
    <row r="156" spans="2:22" ht="42.45" customHeight="1" x14ac:dyDescent="0.3">
      <c r="B156" s="971" t="s">
        <v>172</v>
      </c>
      <c r="C156" s="971"/>
      <c r="D156" s="11" t="str">
        <f>_xlfn.XLOOKUP($B154,EHS!$M$6:$BM$6,EHS!$M$13:$BM$13,0)</f>
        <v>R</v>
      </c>
      <c r="E156" s="127" t="str">
        <f>_xlfn.XLOOKUP($B154,Estimating!$M$6:$BM$6,Estimating!$M$13:$BM$13,0)</f>
        <v>R</v>
      </c>
      <c r="F156" s="11" t="str">
        <f>_xlfn.XLOOKUP($B154,SOP!$M$6:$BM$6,SOP!$M$13:$BM$13,0)</f>
        <v>R</v>
      </c>
      <c r="G156" s="11" t="str">
        <f>_xlfn.XLOOKUP($B154,Design!$M$6:$BM$6,Design!$M$13:$BM$13,0)</f>
        <v>R</v>
      </c>
      <c r="H156" s="11" t="str">
        <f>_xlfn.XLOOKUP($B154,'Product Design'!$M$6:$BM$6,'Product Design'!$M$13:$BM$13,0)</f>
        <v>R</v>
      </c>
      <c r="I156" s="11" t="str">
        <f>_xlfn.XLOOKUP($B154,'Product Eng - BE'!$M$6:$BM$6,'Product Eng - BE'!$M$13:$BM$13,0)</f>
        <v>G</v>
      </c>
      <c r="J156" s="11" t="str">
        <f>_xlfn.XLOOKUP($B154,'Product Eng - MB'!$M$6:$BM$6,'Product Eng - MB'!$M$13:$BM$13,0)</f>
        <v>G</v>
      </c>
      <c r="K156" s="11" t="str">
        <f>_xlfn.XLOOKUP($B154,'Bridgend Manuf'!$M$6:$BM$6,'Bridgend Manuf'!$M$13:$BM$13,0)</f>
        <v>R</v>
      </c>
      <c r="L156" s="11" t="str">
        <f>_xlfn.XLOOKUP($B154,'Maybole Manuf'!$M$6:$BM$6,'Maybole Manuf'!$M$13:$BM$13,0)</f>
        <v>R</v>
      </c>
      <c r="M156" s="127" t="str">
        <f>_xlfn.XLOOKUP($B154,Logistics!$M$6:$BM$6,Logistics!$M$13:$BM$13,0)</f>
        <v>R</v>
      </c>
      <c r="N156" s="127" t="e">
        <f>_xlfn.XLOOKUP($B154,Engineering!$M$22:$BM$22,Engineering!#REF!,0)</f>
        <v>#REF!</v>
      </c>
      <c r="O156" s="127" t="str">
        <f>_xlfn.XLOOKUP($B154,'Quality MB'!$M$6:$BM$6,'Quality MB'!$M$13:$BM$13,0)</f>
        <v>R</v>
      </c>
      <c r="P156" s="127" t="str">
        <f>_xlfn.XLOOKUP($B154,Procurement!$M$6:$BM$6,Procurement!$M$13:$BM$13,0)</f>
        <v>A</v>
      </c>
      <c r="Q156" s="11" t="str">
        <f>_xlfn.XLOOKUP($B154,IT!$M$6:$BM$6,IT!$M$13:$BM$13,0)</f>
        <v>TBC</v>
      </c>
      <c r="R156" s="11" t="str">
        <f>_xlfn.XLOOKUP($B154,Marketing!$M$6:$BM$6,Marketing!$M$13:$BM$13,0)</f>
        <v>G</v>
      </c>
      <c r="S156" s="11" t="str">
        <f>_xlfn.XLOOKUP($T154,Finance!$M$16:$X$16,Finance!$M$21:$X$21,0)</f>
        <v>R</v>
      </c>
      <c r="U156" s="127" t="str">
        <f>IF(B154&gt;='KPI Linked Table for Report'!$C$1,"",_xlfn.XLOOKUP($T154,'HR mthly'!$I$6:$BM$6,'HR mthly'!$I$18:$BM$18,0))</f>
        <v>G</v>
      </c>
      <c r="V156" s="127" t="str">
        <f>IF(B154&gt;='KPI Linked Table for Report'!$C$1,"",_xlfn.XLOOKUP($T154,'HR mthly'!$I$6:$BM$6,'HR mthly'!$I$21:$BM$21,0))</f>
        <v>G</v>
      </c>
    </row>
    <row r="157" spans="2:22" ht="42.45" customHeight="1" x14ac:dyDescent="0.3">
      <c r="B157" s="971" t="s">
        <v>173</v>
      </c>
      <c r="C157" s="971"/>
      <c r="D157" s="11" t="s">
        <v>174</v>
      </c>
      <c r="E157" s="11" t="s">
        <v>174</v>
      </c>
      <c r="F157" s="11" t="str">
        <f>_xlfn.XLOOKUP($B154,SOP!$M$6:$BM$6,SOP!$M$16:$BM$16,0)</f>
        <v>R</v>
      </c>
      <c r="G157" s="11" t="s">
        <v>174</v>
      </c>
      <c r="H157" s="11" t="str">
        <f>_xlfn.XLOOKUP($B154,'Product Design'!$M$6:$BM$6,'Product Design'!$M$16:$BM$16,0)</f>
        <v>R</v>
      </c>
      <c r="I157" s="11" t="str">
        <f>_xlfn.XLOOKUP($B154,'Product Eng - BE'!$M$6:$BM$6,'Product Eng - BE'!$M$16:$BM$16,0)</f>
        <v>R</v>
      </c>
      <c r="J157" s="11" t="str">
        <f>_xlfn.XLOOKUP($B154,'Product Eng - MB'!$M$6:$BM$6,'Product Eng - MB'!$M$16:$BM$16,0)</f>
        <v>G</v>
      </c>
      <c r="K157" s="11" t="s">
        <v>174</v>
      </c>
      <c r="L157" s="11" t="s">
        <v>174</v>
      </c>
      <c r="M157" s="11" t="s">
        <v>174</v>
      </c>
      <c r="N157" s="11" t="s">
        <v>174</v>
      </c>
      <c r="O157" s="11" t="s">
        <v>174</v>
      </c>
      <c r="P157" s="11" t="s">
        <v>174</v>
      </c>
      <c r="Q157" s="11" t="s">
        <v>174</v>
      </c>
      <c r="R157" s="11" t="s">
        <v>174</v>
      </c>
      <c r="S157" s="11" t="s">
        <v>174</v>
      </c>
      <c r="U157" s="11" t="s">
        <v>174</v>
      </c>
      <c r="V157" s="11" t="s">
        <v>174</v>
      </c>
    </row>
    <row r="158" spans="2:22" ht="42.45" customHeight="1" x14ac:dyDescent="0.3">
      <c r="B158" s="971" t="s">
        <v>32</v>
      </c>
      <c r="C158" s="971"/>
      <c r="D158" s="11" t="str">
        <f>_xlfn.XLOOKUP($B154,EHS!$M$6:$BM$6,EHS!$M$16:$BM$16,0)</f>
        <v>A</v>
      </c>
      <c r="E158" s="127" t="str">
        <f>_xlfn.XLOOKUP($B154,Estimating!$M$6:$BM$6,Estimating!$M$16:$BM$16,0)</f>
        <v>R</v>
      </c>
      <c r="F158" s="11" t="str">
        <f>_xlfn.XLOOKUP($B154,SOP!$M$6:$BM$6,SOP!$M$19:$BM$19,0)</f>
        <v>R</v>
      </c>
      <c r="G158" s="11" t="str">
        <f>_xlfn.XLOOKUP($B154,Design!$M$6:$BM$6,Design!$M$16:$BM$16,0)</f>
        <v>G</v>
      </c>
      <c r="H158" s="11" t="str">
        <f>_xlfn.XLOOKUP($B154,'Product Design'!$M$6:$BM$6,'Product Design'!$M$19:$BM$19,0)</f>
        <v>G</v>
      </c>
      <c r="I158" s="11" t="str">
        <f>_xlfn.XLOOKUP($B154,'Product Eng - BE'!$M$6:$BM$6,'Product Eng - BE'!$M$19:$BM$19,0)</f>
        <v>R</v>
      </c>
      <c r="J158" s="11" t="str">
        <f>_xlfn.XLOOKUP($B154,'Product Eng - MB'!$M$6:$BM$6,'Product Eng - MB'!$M$19:$BM$19,0)</f>
        <v>G</v>
      </c>
      <c r="K158" s="11" t="str">
        <f>_xlfn.XLOOKUP($B154,'Bridgend Manuf'!$M$6:$BM$6,'Bridgend Manuf'!$M$16:$BM$16,0)</f>
        <v>G</v>
      </c>
      <c r="L158" s="11" t="str">
        <f>_xlfn.XLOOKUP($B154,'Maybole Manuf'!$M$6:$BM$6,'Maybole Manuf'!$M$16:$BM$16,0)</f>
        <v>G</v>
      </c>
      <c r="M158" s="127" t="str">
        <f>_xlfn.XLOOKUP($B154,Logistics!$M$6:$BM$6,Logistics!$M$16:$BM$16,0)</f>
        <v>Missed</v>
      </c>
      <c r="N158" s="127" t="e">
        <f>_xlfn.XLOOKUP($B154,Engineering!$M$22:$BM$22,Engineering!#REF!,0)</f>
        <v>#REF!</v>
      </c>
      <c r="O158" s="127" t="str">
        <f>_xlfn.XLOOKUP($B154,'Quality MB'!$M$6:$BM$6,'Quality MB'!$M$16:$BM$16,0)</f>
        <v>G</v>
      </c>
      <c r="P158" s="127" t="str">
        <f>_xlfn.XLOOKUP($B154,Procurement!$M$6:$BM$6,Procurement!$M$16:$BM$16,0)</f>
        <v>G</v>
      </c>
      <c r="Q158" s="11" t="str">
        <f>_xlfn.XLOOKUP($B154,IT!$M$6:$BM$6,IT!$M$16:$BM$16,0)</f>
        <v>TBC</v>
      </c>
      <c r="R158" s="11" t="str">
        <f>_xlfn.XLOOKUP($B154,Marketing!$M$6:$BM$6,Marketing!$M$16:$BM$16,0)</f>
        <v>G</v>
      </c>
      <c r="S158" s="11" t="str">
        <f>_xlfn.XLOOKUP($T154,Finance!$M$16:$X$16,Finance!$M$24:$X$24,0)</f>
        <v>G</v>
      </c>
      <c r="U158" s="127" t="str">
        <f>IF(B154&gt;='KPI Linked Table for Report'!$C$1,"",_xlfn.XLOOKUP($T154,'HR mthly'!$I$6:$BM$6,'HR mthly'!$I$26:$BM$26,0))</f>
        <v>R</v>
      </c>
      <c r="V158" s="127" t="str">
        <f>IF(B154&gt;='KPI Linked Table for Report'!$C$1,"",_xlfn.XLOOKUP($T154,'HR mthly'!$I$6:$BM$6,'HR mthly'!$I$29:$BM$29,0))</f>
        <v>A</v>
      </c>
    </row>
    <row r="159" spans="2:22" ht="42.45" customHeight="1" x14ac:dyDescent="0.3">
      <c r="B159" s="971" t="s">
        <v>31</v>
      </c>
      <c r="C159" s="971"/>
      <c r="D159" s="11" t="str">
        <f>_xlfn.XLOOKUP($B154,EHS!$M$6:$BM$6,EHS!$M$19:$BM$19,0)</f>
        <v>G</v>
      </c>
      <c r="E159" s="127" t="str">
        <f>_xlfn.XLOOKUP($B154,Estimating!$M$6:$BM$6,Estimating!$M$19:$BM$19,0)</f>
        <v>TBC</v>
      </c>
      <c r="F159" s="11" t="str">
        <f>_xlfn.XLOOKUP($B154,SOP!$M$6:$BM$6,SOP!$M$22:$BM$22,0)</f>
        <v>R</v>
      </c>
      <c r="G159" s="11" t="str">
        <f>_xlfn.XLOOKUP($B154,Design!$M$6:$BM$6,Design!$M$19:$BM$19,0)</f>
        <v>G</v>
      </c>
      <c r="H159" s="11" t="str">
        <f>_xlfn.XLOOKUP($B154,'Product Design'!$M$6:$BM$6,'Product Design'!$M$22:$BM$22,0)</f>
        <v>Undefined</v>
      </c>
      <c r="I159" s="11" t="str">
        <f>_xlfn.XLOOKUP($B154,'Product Eng - BE'!$M$6:$BM$6,'Product Eng - BE'!$M$22:$BM$22,0)</f>
        <v>G</v>
      </c>
      <c r="J159" s="11" t="str">
        <f>_xlfn.XLOOKUP($B154,'Product Eng - MB'!$M$6:$BM$6,'Product Eng - MB'!$M$22:$BM$22,0)</f>
        <v>G</v>
      </c>
      <c r="K159" s="11" t="str">
        <f>_xlfn.XLOOKUP($B154,'Bridgend Manuf'!$M$6:$BM$6,'Bridgend Manuf'!$M$19:$BM$19,0)</f>
        <v>R</v>
      </c>
      <c r="L159" s="11" t="str">
        <f>_xlfn.XLOOKUP($B154,'Maybole Manuf'!$M$6:$BM$6,'Maybole Manuf'!$M$19:$BM$19,0)</f>
        <v>A</v>
      </c>
      <c r="M159" s="127" t="str">
        <f>_xlfn.XLOOKUP($B154,Logistics!$M$6:$BM$6,Logistics!$M$19:$BM$19,0)</f>
        <v>Undefined</v>
      </c>
      <c r="N159" s="127" t="e">
        <f>_xlfn.XLOOKUP($B154,Engineering!$M$22:$BM$22,Engineering!#REF!,0)</f>
        <v>#REF!</v>
      </c>
      <c r="O159" s="127" t="str">
        <f>_xlfn.XLOOKUP($B154,'Quality MB'!$M$6:$BM$6,'Quality MB'!$M$19:$BM$19,0)</f>
        <v>G</v>
      </c>
      <c r="P159" s="127" t="str">
        <f>_xlfn.XLOOKUP($B154,Procurement!$M$6:$BM$6,Procurement!$M$19:$BM$19,0)</f>
        <v>G</v>
      </c>
      <c r="Q159" s="11" t="str">
        <f>_xlfn.XLOOKUP($B154,IT!$M$6:$BM$6,IT!$M$19:$BM$19,0)</f>
        <v>TBC</v>
      </c>
      <c r="R159" s="11" t="str">
        <f>_xlfn.XLOOKUP($B154,Marketing!$M$6:$BM$6,Marketing!$M$19:$BM$19,0)</f>
        <v>G</v>
      </c>
      <c r="S159" s="11" t="str">
        <f>_xlfn.XLOOKUP($T154,Finance!$M$16:$X$16,Finance!$M$27:$X$27,0)</f>
        <v>R</v>
      </c>
      <c r="U159" s="127" t="str">
        <f>IF(B154&gt;='KPI Linked Table for Report'!$C$1,"",_xlfn.XLOOKUP($T154,'HR mthly'!$I$6:$BM$6,'HR mthly'!$I$33:$BM$33,0))</f>
        <v>A</v>
      </c>
      <c r="V159" s="127" t="str">
        <f>IF(B154&gt;='KPI Linked Table for Report'!$C$1,"",_xlfn.XLOOKUP($T154,'HR mthly'!$I$6:$BM$6,'HR mthly'!$I$36:$BM$36,0))</f>
        <v>G</v>
      </c>
    </row>
    <row r="161" spans="2:22" ht="42.45" customHeight="1" x14ac:dyDescent="0.3">
      <c r="B161" s="973" t="s">
        <v>7</v>
      </c>
      <c r="C161" s="974"/>
      <c r="D161" s="6" t="str">
        <f>+D$9</f>
        <v>EHS</v>
      </c>
      <c r="E161" s="6" t="str">
        <f>+E$9</f>
        <v>Estimating</v>
      </c>
      <c r="F161" s="6" t="str">
        <f t="shared" ref="F161:R161" si="36">+F$9</f>
        <v>SOP</v>
      </c>
      <c r="G161" s="6" t="str">
        <f>+G$9</f>
        <v>Design and R&amp;D</v>
      </c>
      <c r="H161" s="6" t="str">
        <f t="shared" si="36"/>
        <v>Product Design</v>
      </c>
      <c r="I161" s="6" t="str">
        <f t="shared" si="36"/>
        <v>Product Engineering Bridgend</v>
      </c>
      <c r="J161" s="6" t="str">
        <f t="shared" si="36"/>
        <v>Product Engineering Maybole</v>
      </c>
      <c r="K161" s="6" t="str">
        <f t="shared" si="36"/>
        <v>Bridgend
Manuf</v>
      </c>
      <c r="L161" s="6" t="str">
        <f t="shared" si="36"/>
        <v>Maybole
Manuf</v>
      </c>
      <c r="M161" s="6" t="str">
        <f>+M$9</f>
        <v>Logistics</v>
      </c>
      <c r="N161" s="6" t="str">
        <f>+N$9</f>
        <v>Engineering</v>
      </c>
      <c r="O161" s="6" t="str">
        <f>+O$9</f>
        <v>Quality
Maybole</v>
      </c>
      <c r="P161" s="6" t="str">
        <f>+P$9</f>
        <v>Procurement</v>
      </c>
      <c r="Q161" s="6" t="str">
        <f>+Q$9</f>
        <v>IT</v>
      </c>
      <c r="R161" s="6" t="str">
        <f t="shared" si="36"/>
        <v>Marketing</v>
      </c>
      <c r="S161" s="6" t="str">
        <f>+S$9</f>
        <v>Finance</v>
      </c>
      <c r="T161" s="7" t="s">
        <v>409</v>
      </c>
      <c r="U161" s="6" t="str">
        <f>+U$9</f>
        <v>HR</v>
      </c>
      <c r="V161" s="6" t="str">
        <f>+V$9</f>
        <v>HR</v>
      </c>
    </row>
    <row r="162" spans="2:22" ht="42.45" customHeight="1" x14ac:dyDescent="0.3">
      <c r="B162" s="7">
        <f>B154+1</f>
        <v>20</v>
      </c>
      <c r="C162" s="8">
        <f>C154+7</f>
        <v>45793</v>
      </c>
      <c r="D162" s="10" t="str">
        <f>+D$10</f>
        <v>Neil 
Laing</v>
      </c>
      <c r="E162" s="9" t="str">
        <f>+E$10</f>
        <v>Julian Sparrow</v>
      </c>
      <c r="F162" s="10" t="str">
        <f t="shared" ref="F162:R162" si="37">+F$10</f>
        <v>Sam Westwood</v>
      </c>
      <c r="G162" s="10" t="str">
        <f>+G$10</f>
        <v>Andrew Skitt</v>
      </c>
      <c r="H162" s="10" t="str">
        <f t="shared" si="37"/>
        <v>Paul 
Dolan</v>
      </c>
      <c r="I162" s="10" t="str">
        <f t="shared" si="37"/>
        <v>Paul 
Dolan</v>
      </c>
      <c r="J162" s="10" t="str">
        <f t="shared" si="37"/>
        <v>Paul 
Dolan</v>
      </c>
      <c r="K162" s="10" t="str">
        <f t="shared" si="37"/>
        <v>Garin Bowen</v>
      </c>
      <c r="L162" s="10" t="str">
        <f t="shared" si="37"/>
        <v>Scott McMillan</v>
      </c>
      <c r="M162" s="10" t="str">
        <f>+M$10</f>
        <v>Scott McMillan</v>
      </c>
      <c r="N162" s="10" t="str">
        <f>+N$10</f>
        <v>Garin Bowen</v>
      </c>
      <c r="O162" s="10" t="str">
        <f>+O$10</f>
        <v>Scott McMIllan</v>
      </c>
      <c r="P162" s="10" t="str">
        <f>+P$10</f>
        <v>Matt 
Pope</v>
      </c>
      <c r="Q162" s="10" t="str">
        <f>+Q$10</f>
        <v>Rhian 
Owen</v>
      </c>
      <c r="R162" s="10" t="str">
        <f t="shared" si="37"/>
        <v>Katherine 
Sanganee</v>
      </c>
      <c r="S162" s="10" t="str">
        <f>+S$10</f>
        <v>Gethin Davies</v>
      </c>
      <c r="T162" s="7">
        <v>4</v>
      </c>
      <c r="U162" s="10" t="str">
        <f>+U$10</f>
        <v>Bethan Grant</v>
      </c>
      <c r="V162" s="10" t="str">
        <f>+V$10</f>
        <v>Bethan Grant</v>
      </c>
    </row>
    <row r="163" spans="2:22" ht="42.45" customHeight="1" x14ac:dyDescent="0.3">
      <c r="B163" s="971" t="s">
        <v>30</v>
      </c>
      <c r="C163" s="971"/>
      <c r="D163" s="11" t="str">
        <f>_xlfn.XLOOKUP($B162,EHS!$M$6:$BM$6,EHS!$M$10:$BM$10,0)</f>
        <v>G</v>
      </c>
      <c r="E163" s="127" t="str">
        <f>_xlfn.XLOOKUP($B162,Estimating!$M$6:$BM$6,Estimating!$M$10:$BM$10,0)</f>
        <v>G</v>
      </c>
      <c r="F163" s="11" t="str">
        <f>_xlfn.XLOOKUP($B162,SOP!$M$6:$BM$6,SOP!$M$10:$BM$10,0)</f>
        <v>R</v>
      </c>
      <c r="G163" s="11" t="str">
        <f>_xlfn.XLOOKUP($B162,Design!$M$6:$BM$6,Design!$M$10:$BM$10,0)</f>
        <v>G</v>
      </c>
      <c r="H163" s="11" t="str">
        <f>_xlfn.XLOOKUP($B162,'Product Design'!$M$6:$BM$6,'Product Design'!$M$10:$BM$10,0)</f>
        <v>G</v>
      </c>
      <c r="I163" s="11" t="str">
        <f>_xlfn.XLOOKUP($B162,'Product Eng - BE'!$M$6:$BM$6,'Product Eng - BE'!$M$10:$BM$10,0)</f>
        <v>R</v>
      </c>
      <c r="J163" s="11" t="str">
        <f>_xlfn.XLOOKUP($B162,'Product Eng - MB'!$M$6:$BM$6,'Product Eng - MB'!$M$10:$BM$10,0)</f>
        <v>R</v>
      </c>
      <c r="K163" s="11" t="str">
        <f>_xlfn.XLOOKUP($B162,'Bridgend Manuf'!$M$6:$BM$6,'Bridgend Manuf'!$M$10:$BM$10,0)</f>
        <v>R</v>
      </c>
      <c r="L163" s="11" t="str">
        <f>_xlfn.XLOOKUP($B162,'Maybole Manuf'!$M$6:$BM$6,'Maybole Manuf'!$M$10:$BM$10,0)</f>
        <v>R</v>
      </c>
      <c r="M163" s="127" t="str">
        <f>_xlfn.XLOOKUP($B162,Logistics!$M$6:$BM$6,Logistics!$M$10:$BM$10,0)</f>
        <v>R</v>
      </c>
      <c r="N163" s="127" t="str">
        <f>_xlfn.XLOOKUP($B162,Engineering!$M$22:$BM$22,Engineering!$M$26:$BM$26,0)</f>
        <v>OD</v>
      </c>
      <c r="O163" s="127" t="str">
        <f>_xlfn.XLOOKUP($B162,'Quality MB'!$M$6:$BM$6,'Quality MB'!$M$10:$BM$10,0)</f>
        <v>R</v>
      </c>
      <c r="P163" s="127" t="str">
        <f>_xlfn.XLOOKUP($B162,Procurement!$M$6:$BM$6,Procurement!$M$10:$BM$10,0)</f>
        <v>A</v>
      </c>
      <c r="Q163" s="11" t="str">
        <f>_xlfn.XLOOKUP($B162,IT!$M$6:$BM$6,IT!$M$10:$BM$10,0)</f>
        <v>Undefined</v>
      </c>
      <c r="R163" s="11" t="str">
        <f>_xlfn.XLOOKUP($B162,Marketing!$M$6:$BM$6,Marketing!$M$10:$BM$10,0)</f>
        <v>G</v>
      </c>
      <c r="S163" s="11" t="str">
        <f>_xlfn.XLOOKUP($B162,Finance!$M$6:$BM$6,Finance!$M$10:$BM$10,0)</f>
        <v>G</v>
      </c>
      <c r="U163" s="127" t="str">
        <f>IF(B162&gt;='KPI Linked Table for Report'!$C$1,"",_xlfn.XLOOKUP($T162,'HR mthly'!$I$6:$BM$6,'HR mthly'!$I$11:$BM$11,0))</f>
        <v>G</v>
      </c>
      <c r="V163" s="127" t="str">
        <f>IF(B162&gt;='KPI Linked Table for Report'!$C$1,"",_xlfn.XLOOKUP($T162,'HR mthly'!$I$6:$BM$6,'HR mthly'!$I$14:$BM$14,0))</f>
        <v>G</v>
      </c>
    </row>
    <row r="164" spans="2:22" ht="42.45" customHeight="1" x14ac:dyDescent="0.3">
      <c r="B164" s="971" t="s">
        <v>172</v>
      </c>
      <c r="C164" s="971"/>
      <c r="D164" s="11" t="str">
        <f>_xlfn.XLOOKUP($B162,EHS!$M$6:$BM$6,EHS!$M$13:$BM$13,0)</f>
        <v>G</v>
      </c>
      <c r="E164" s="127" t="str">
        <f>_xlfn.XLOOKUP($B162,Estimating!$M$6:$BM$6,Estimating!$M$13:$BM$13,0)</f>
        <v>G</v>
      </c>
      <c r="F164" s="11" t="str">
        <f>_xlfn.XLOOKUP($B162,SOP!$M$6:$BM$6,SOP!$M$13:$BM$13,0)</f>
        <v>A</v>
      </c>
      <c r="G164" s="11" t="str">
        <f>_xlfn.XLOOKUP($B162,Design!$M$6:$BM$6,Design!$M$13:$BM$13,0)</f>
        <v>R</v>
      </c>
      <c r="H164" s="11" t="str">
        <f>_xlfn.XLOOKUP($B162,'Product Design'!$M$6:$BM$6,'Product Design'!$M$13:$BM$13,0)</f>
        <v>R</v>
      </c>
      <c r="I164" s="11" t="str">
        <f>_xlfn.XLOOKUP($B162,'Product Eng - BE'!$M$6:$BM$6,'Product Eng - BE'!$M$13:$BM$13,0)</f>
        <v>G</v>
      </c>
      <c r="J164" s="11" t="str">
        <f>_xlfn.XLOOKUP($B162,'Product Eng - MB'!$M$6:$BM$6,'Product Eng - MB'!$M$13:$BM$13,0)</f>
        <v>G</v>
      </c>
      <c r="K164" s="11" t="str">
        <f>_xlfn.XLOOKUP($B162,'Bridgend Manuf'!$M$6:$BM$6,'Bridgend Manuf'!$M$13:$BM$13,0)</f>
        <v>G</v>
      </c>
      <c r="L164" s="11" t="str">
        <f>_xlfn.XLOOKUP($B162,'Maybole Manuf'!$M$6:$BM$6,'Maybole Manuf'!$M$13:$BM$13,0)</f>
        <v>R</v>
      </c>
      <c r="M164" s="127" t="str">
        <f>_xlfn.XLOOKUP($B162,Logistics!$M$6:$BM$6,Logistics!$M$13:$BM$13,0)</f>
        <v>R</v>
      </c>
      <c r="N164" s="127" t="e">
        <f>_xlfn.XLOOKUP($B162,Engineering!$M$22:$BM$22,Engineering!#REF!,0)</f>
        <v>#REF!</v>
      </c>
      <c r="O164" s="127" t="str">
        <f>_xlfn.XLOOKUP($B162,'Quality MB'!$M$6:$BM$6,'Quality MB'!$M$13:$BM$13,0)</f>
        <v>G</v>
      </c>
      <c r="P164" s="127" t="str">
        <f>_xlfn.XLOOKUP($B162,Procurement!$M$6:$BM$6,Procurement!$M$13:$BM$13,0)</f>
        <v>A</v>
      </c>
      <c r="Q164" s="11" t="str">
        <f>_xlfn.XLOOKUP($B162,IT!$M$6:$BM$6,IT!$M$13:$BM$13,0)</f>
        <v>TBC</v>
      </c>
      <c r="R164" s="11" t="str">
        <f>_xlfn.XLOOKUP($B162,Marketing!$M$6:$BM$6,Marketing!$M$13:$BM$13,0)</f>
        <v>G</v>
      </c>
      <c r="S164" s="11" t="str">
        <f>_xlfn.XLOOKUP($T162,Finance!$M$16:$X$16,Finance!$M$21:$X$21,0)</f>
        <v>R</v>
      </c>
      <c r="U164" s="127" t="str">
        <f>IF(B162&gt;='KPI Linked Table for Report'!$C$1,"",_xlfn.XLOOKUP($T162,'HR mthly'!$I$6:$BM$6,'HR mthly'!$I$18:$BM$18,0))</f>
        <v>G</v>
      </c>
      <c r="V164" s="127" t="str">
        <f>IF(B162&gt;='KPI Linked Table for Report'!$C$1,"",_xlfn.XLOOKUP($T162,'HR mthly'!$I$6:$BM$6,'HR mthly'!$I$21:$BM$21,0))</f>
        <v>G</v>
      </c>
    </row>
    <row r="165" spans="2:22" ht="42.45" customHeight="1" x14ac:dyDescent="0.3">
      <c r="B165" s="971" t="s">
        <v>173</v>
      </c>
      <c r="C165" s="971"/>
      <c r="D165" s="11" t="s">
        <v>174</v>
      </c>
      <c r="E165" s="11" t="s">
        <v>174</v>
      </c>
      <c r="F165" s="11" t="str">
        <f>_xlfn.XLOOKUP($B162,SOP!$M$6:$BM$6,SOP!$M$16:$BM$16,0)</f>
        <v>R</v>
      </c>
      <c r="G165" s="11" t="s">
        <v>174</v>
      </c>
      <c r="H165" s="11" t="str">
        <f>_xlfn.XLOOKUP($B162,'Product Design'!$M$6:$BM$6,'Product Design'!$M$16:$BM$16,0)</f>
        <v>G</v>
      </c>
      <c r="I165" s="11" t="str">
        <f>_xlfn.XLOOKUP($B162,'Product Eng - BE'!$M$6:$BM$6,'Product Eng - BE'!$M$16:$BM$16,0)</f>
        <v>R</v>
      </c>
      <c r="J165" s="11" t="str">
        <f>_xlfn.XLOOKUP($B162,'Product Eng - MB'!$M$6:$BM$6,'Product Eng - MB'!$M$16:$BM$16,0)</f>
        <v>G</v>
      </c>
      <c r="K165" s="11" t="s">
        <v>174</v>
      </c>
      <c r="L165" s="11" t="s">
        <v>174</v>
      </c>
      <c r="M165" s="11" t="s">
        <v>174</v>
      </c>
      <c r="N165" s="11" t="s">
        <v>174</v>
      </c>
      <c r="O165" s="11" t="s">
        <v>174</v>
      </c>
      <c r="P165" s="11" t="s">
        <v>174</v>
      </c>
      <c r="Q165" s="11" t="s">
        <v>174</v>
      </c>
      <c r="R165" s="11" t="s">
        <v>174</v>
      </c>
      <c r="S165" s="11" t="s">
        <v>174</v>
      </c>
      <c r="U165" s="11" t="s">
        <v>174</v>
      </c>
      <c r="V165" s="11" t="s">
        <v>174</v>
      </c>
    </row>
    <row r="166" spans="2:22" ht="42.45" customHeight="1" x14ac:dyDescent="0.3">
      <c r="B166" s="971" t="s">
        <v>32</v>
      </c>
      <c r="C166" s="971"/>
      <c r="D166" s="11" t="str">
        <f>_xlfn.XLOOKUP($B162,EHS!$M$6:$BM$6,EHS!$M$16:$BM$16,0)</f>
        <v>R</v>
      </c>
      <c r="E166" s="127" t="str">
        <f>_xlfn.XLOOKUP($B162,Estimating!$M$6:$BM$6,Estimating!$M$16:$BM$16,0)</f>
        <v>G</v>
      </c>
      <c r="F166" s="11" t="str">
        <f>_xlfn.XLOOKUP($B162,SOP!$M$6:$BM$6,SOP!$M$19:$BM$19,0)</f>
        <v>R</v>
      </c>
      <c r="G166" s="11" t="str">
        <f>_xlfn.XLOOKUP($B162,Design!$M$6:$BM$6,Design!$M$16:$BM$16,0)</f>
        <v>G</v>
      </c>
      <c r="H166" s="11" t="str">
        <f>_xlfn.XLOOKUP($B162,'Product Design'!$M$6:$BM$6,'Product Design'!$M$19:$BM$19,0)</f>
        <v>R</v>
      </c>
      <c r="I166" s="11" t="str">
        <f>_xlfn.XLOOKUP($B162,'Product Eng - BE'!$M$6:$BM$6,'Product Eng - BE'!$M$19:$BM$19,0)</f>
        <v>R</v>
      </c>
      <c r="J166" s="11" t="str">
        <f>_xlfn.XLOOKUP($B162,'Product Eng - MB'!$M$6:$BM$6,'Product Eng - MB'!$M$19:$BM$19,0)</f>
        <v>G</v>
      </c>
      <c r="K166" s="11" t="str">
        <f>_xlfn.XLOOKUP($B162,'Bridgend Manuf'!$M$6:$BM$6,'Bridgend Manuf'!$M$16:$BM$16,0)</f>
        <v>G</v>
      </c>
      <c r="L166" s="11" t="str">
        <f>_xlfn.XLOOKUP($B162,'Maybole Manuf'!$M$6:$BM$6,'Maybole Manuf'!$M$16:$BM$16,0)</f>
        <v>R</v>
      </c>
      <c r="M166" s="127" t="str">
        <f>_xlfn.XLOOKUP($B162,Logistics!$M$6:$BM$6,Logistics!$M$16:$BM$16,0)</f>
        <v>Missed</v>
      </c>
      <c r="N166" s="127" t="e">
        <f>_xlfn.XLOOKUP($B162,Engineering!$M$22:$BM$22,Engineering!#REF!,0)</f>
        <v>#REF!</v>
      </c>
      <c r="O166" s="127" t="str">
        <f>_xlfn.XLOOKUP($B162,'Quality MB'!$M$6:$BM$6,'Quality MB'!$M$16:$BM$16,0)</f>
        <v>G</v>
      </c>
      <c r="P166" s="127" t="str">
        <f>_xlfn.XLOOKUP($B162,Procurement!$M$6:$BM$6,Procurement!$M$16:$BM$16,0)</f>
        <v>G</v>
      </c>
      <c r="Q166" s="11" t="str">
        <f>_xlfn.XLOOKUP($B162,IT!$M$6:$BM$6,IT!$M$16:$BM$16,0)</f>
        <v>TBC</v>
      </c>
      <c r="R166" s="11" t="str">
        <f>_xlfn.XLOOKUP($B162,Marketing!$M$6:$BM$6,Marketing!$M$16:$BM$16,0)</f>
        <v>G</v>
      </c>
      <c r="S166" s="11" t="str">
        <f>_xlfn.XLOOKUP($T162,Finance!$M$16:$X$16,Finance!$M$24:$X$24,0)</f>
        <v>G</v>
      </c>
      <c r="U166" s="127" t="str">
        <f>IF(B162&gt;='KPI Linked Table for Report'!$C$1,"",_xlfn.XLOOKUP($T162,'HR mthly'!$I$6:$BM$6,'HR mthly'!$I$26:$BM$26,0))</f>
        <v>R</v>
      </c>
      <c r="V166" s="127" t="str">
        <f>IF(B162&gt;='KPI Linked Table for Report'!$C$1,"",_xlfn.XLOOKUP($T162,'HR mthly'!$I$6:$BM$6,'HR mthly'!$I$29:$BM$29,0))</f>
        <v>A</v>
      </c>
    </row>
    <row r="167" spans="2:22" ht="42.45" customHeight="1" x14ac:dyDescent="0.3">
      <c r="B167" s="971" t="s">
        <v>31</v>
      </c>
      <c r="C167" s="971"/>
      <c r="D167" s="11" t="str">
        <f>_xlfn.XLOOKUP($B162,EHS!$M$6:$BM$6,EHS!$M$19:$BM$19,0)</f>
        <v>G</v>
      </c>
      <c r="E167" s="127" t="str">
        <f>_xlfn.XLOOKUP($B162,Estimating!$M$6:$BM$6,Estimating!$M$19:$BM$19,0)</f>
        <v>TBC</v>
      </c>
      <c r="F167" s="11" t="str">
        <f>_xlfn.XLOOKUP($B162,SOP!$M$6:$BM$6,SOP!$M$22:$BM$22,0)</f>
        <v>R</v>
      </c>
      <c r="G167" s="11" t="str">
        <f>_xlfn.XLOOKUP($B162,Design!$M$6:$BM$6,Design!$M$19:$BM$19,0)</f>
        <v>G</v>
      </c>
      <c r="H167" s="11" t="str">
        <f>_xlfn.XLOOKUP($B162,'Product Design'!$M$6:$BM$6,'Product Design'!$M$22:$BM$22,0)</f>
        <v>Undefined</v>
      </c>
      <c r="I167" s="11" t="str">
        <f>_xlfn.XLOOKUP($B162,'Product Eng - BE'!$M$6:$BM$6,'Product Eng - BE'!$M$22:$BM$22,0)</f>
        <v>R</v>
      </c>
      <c r="J167" s="11" t="str">
        <f>_xlfn.XLOOKUP($B162,'Product Eng - MB'!$M$6:$BM$6,'Product Eng - MB'!$M$22:$BM$22,0)</f>
        <v>G</v>
      </c>
      <c r="K167" s="11" t="str">
        <f>_xlfn.XLOOKUP($B162,'Bridgend Manuf'!$M$6:$BM$6,'Bridgend Manuf'!$M$19:$BM$19,0)</f>
        <v>G</v>
      </c>
      <c r="L167" s="11" t="str">
        <f>_xlfn.XLOOKUP($B162,'Maybole Manuf'!$M$6:$BM$6,'Maybole Manuf'!$M$19:$BM$19,0)</f>
        <v>R</v>
      </c>
      <c r="M167" s="127" t="str">
        <f>_xlfn.XLOOKUP($B162,Logistics!$M$6:$BM$6,Logistics!$M$19:$BM$19,0)</f>
        <v>Undefined</v>
      </c>
      <c r="N167" s="127" t="e">
        <f>_xlfn.XLOOKUP($B162,Engineering!$M$22:$BM$22,Engineering!#REF!,0)</f>
        <v>#REF!</v>
      </c>
      <c r="O167" s="127" t="str">
        <f>_xlfn.XLOOKUP($B162,'Quality MB'!$M$6:$BM$6,'Quality MB'!$M$19:$BM$19,0)</f>
        <v>R</v>
      </c>
      <c r="P167" s="127" t="str">
        <f>_xlfn.XLOOKUP($B162,Procurement!$M$6:$BM$6,Procurement!$M$19:$BM$19,0)</f>
        <v>G</v>
      </c>
      <c r="Q167" s="11" t="str">
        <f>_xlfn.XLOOKUP($B162,IT!$M$6:$BM$6,IT!$M$19:$BM$19,0)</f>
        <v>TBC</v>
      </c>
      <c r="R167" s="11" t="str">
        <f>_xlfn.XLOOKUP($B162,Marketing!$M$6:$BM$6,Marketing!$M$19:$BM$19,0)</f>
        <v>G</v>
      </c>
      <c r="S167" s="11" t="str">
        <f>_xlfn.XLOOKUP($T162,Finance!$M$16:$X$16,Finance!$M$27:$X$27,0)</f>
        <v>R</v>
      </c>
      <c r="U167" s="127" t="str">
        <f>IF(B162&gt;='KPI Linked Table for Report'!$C$1,"",_xlfn.XLOOKUP($T162,'HR mthly'!$I$6:$BM$6,'HR mthly'!$I$33:$BM$33,0))</f>
        <v>A</v>
      </c>
      <c r="V167" s="127" t="str">
        <f>IF(B162&gt;='KPI Linked Table for Report'!$C$1,"",_xlfn.XLOOKUP($T162,'HR mthly'!$I$6:$BM$6,'HR mthly'!$I$36:$BM$36,0))</f>
        <v>G</v>
      </c>
    </row>
    <row r="169" spans="2:22" ht="42.45" customHeight="1" x14ac:dyDescent="0.3">
      <c r="B169" s="973" t="s">
        <v>7</v>
      </c>
      <c r="C169" s="974"/>
      <c r="D169" s="6" t="str">
        <f>+D$9</f>
        <v>EHS</v>
      </c>
      <c r="E169" s="6" t="str">
        <f>+E$9</f>
        <v>Estimating</v>
      </c>
      <c r="F169" s="6" t="str">
        <f t="shared" ref="F169:R169" si="38">+F$9</f>
        <v>SOP</v>
      </c>
      <c r="G169" s="6" t="str">
        <f>+G$9</f>
        <v>Design and R&amp;D</v>
      </c>
      <c r="H169" s="6" t="str">
        <f t="shared" si="38"/>
        <v>Product Design</v>
      </c>
      <c r="I169" s="6" t="str">
        <f t="shared" si="38"/>
        <v>Product Engineering Bridgend</v>
      </c>
      <c r="J169" s="6" t="str">
        <f t="shared" si="38"/>
        <v>Product Engineering Maybole</v>
      </c>
      <c r="K169" s="6" t="str">
        <f t="shared" si="38"/>
        <v>Bridgend
Manuf</v>
      </c>
      <c r="L169" s="6" t="str">
        <f t="shared" si="38"/>
        <v>Maybole
Manuf</v>
      </c>
      <c r="M169" s="6" t="str">
        <f>+M$9</f>
        <v>Logistics</v>
      </c>
      <c r="N169" s="6" t="str">
        <f>+N$9</f>
        <v>Engineering</v>
      </c>
      <c r="O169" s="6" t="str">
        <f>+O$9</f>
        <v>Quality
Maybole</v>
      </c>
      <c r="P169" s="6" t="str">
        <f>+P$9</f>
        <v>Procurement</v>
      </c>
      <c r="Q169" s="6" t="str">
        <f>+Q$9</f>
        <v>IT</v>
      </c>
      <c r="R169" s="6" t="str">
        <f t="shared" si="38"/>
        <v>Marketing</v>
      </c>
      <c r="S169" s="6" t="str">
        <f>+S$9</f>
        <v>Finance</v>
      </c>
      <c r="T169" s="7" t="s">
        <v>409</v>
      </c>
      <c r="U169" s="6" t="str">
        <f>+U$9</f>
        <v>HR</v>
      </c>
      <c r="V169" s="6" t="str">
        <f>+V$9</f>
        <v>HR</v>
      </c>
    </row>
    <row r="170" spans="2:22" ht="42.45" customHeight="1" x14ac:dyDescent="0.3">
      <c r="B170" s="7">
        <f>B162+1</f>
        <v>21</v>
      </c>
      <c r="C170" s="8">
        <f>C162+7</f>
        <v>45800</v>
      </c>
      <c r="D170" s="10" t="str">
        <f>+D$10</f>
        <v>Neil 
Laing</v>
      </c>
      <c r="E170" s="9" t="str">
        <f>+E$10</f>
        <v>Julian Sparrow</v>
      </c>
      <c r="F170" s="10" t="str">
        <f t="shared" ref="F170:R170" si="39">+F$10</f>
        <v>Sam Westwood</v>
      </c>
      <c r="G170" s="10" t="str">
        <f>+G$10</f>
        <v>Andrew Skitt</v>
      </c>
      <c r="H170" s="10" t="str">
        <f t="shared" si="39"/>
        <v>Paul 
Dolan</v>
      </c>
      <c r="I170" s="10" t="str">
        <f t="shared" si="39"/>
        <v>Paul 
Dolan</v>
      </c>
      <c r="J170" s="10" t="str">
        <f t="shared" si="39"/>
        <v>Paul 
Dolan</v>
      </c>
      <c r="K170" s="10" t="str">
        <f t="shared" si="39"/>
        <v>Garin Bowen</v>
      </c>
      <c r="L170" s="10" t="str">
        <f t="shared" si="39"/>
        <v>Scott McMillan</v>
      </c>
      <c r="M170" s="10" t="str">
        <f>+M$10</f>
        <v>Scott McMillan</v>
      </c>
      <c r="N170" s="10" t="str">
        <f>+N$10</f>
        <v>Garin Bowen</v>
      </c>
      <c r="O170" s="10" t="str">
        <f>+O$10</f>
        <v>Scott McMIllan</v>
      </c>
      <c r="P170" s="10" t="str">
        <f>+P$10</f>
        <v>Matt 
Pope</v>
      </c>
      <c r="Q170" s="10" t="str">
        <f>+Q$10</f>
        <v>Rhian 
Owen</v>
      </c>
      <c r="R170" s="10" t="str">
        <f t="shared" si="39"/>
        <v>Katherine 
Sanganee</v>
      </c>
      <c r="S170" s="10" t="str">
        <f>+S$10</f>
        <v>Gethin Davies</v>
      </c>
      <c r="T170" s="7">
        <v>4</v>
      </c>
      <c r="U170" s="10" t="str">
        <f>+U$10</f>
        <v>Bethan Grant</v>
      </c>
      <c r="V170" s="10" t="str">
        <f>+V$10</f>
        <v>Bethan Grant</v>
      </c>
    </row>
    <row r="171" spans="2:22" ht="42.45" customHeight="1" x14ac:dyDescent="0.3">
      <c r="B171" s="971" t="s">
        <v>30</v>
      </c>
      <c r="C171" s="971"/>
      <c r="D171" s="11" t="str">
        <f>_xlfn.XLOOKUP($B170,EHS!$M$6:$BM$6,EHS!$M$10:$BM$10,0)</f>
        <v>G</v>
      </c>
      <c r="E171" s="127" t="str">
        <f>_xlfn.XLOOKUP($B170,Estimating!$M$6:$BM$6,Estimating!$M$10:$BM$10,0)</f>
        <v>G</v>
      </c>
      <c r="F171" s="11" t="str">
        <f>_xlfn.XLOOKUP($B170,SOP!$M$6:$BM$6,SOP!$M$10:$BM$10,0)</f>
        <v>G</v>
      </c>
      <c r="G171" s="11" t="str">
        <f>_xlfn.XLOOKUP($B170,Design!$M$6:$BM$6,Design!$M$10:$BM$10,0)</f>
        <v>G</v>
      </c>
      <c r="H171" s="11" t="str">
        <f>_xlfn.XLOOKUP($B170,'Product Design'!$M$6:$BM$6,'Product Design'!$M$10:$BM$10,0)</f>
        <v>R</v>
      </c>
      <c r="I171" s="11" t="str">
        <f>_xlfn.XLOOKUP($B170,'Product Eng - BE'!$M$6:$BM$6,'Product Eng - BE'!$M$10:$BM$10,0)</f>
        <v>R</v>
      </c>
      <c r="J171" s="11" t="str">
        <f>_xlfn.XLOOKUP($B170,'Product Eng - MB'!$M$6:$BM$6,'Product Eng - MB'!$M$10:$BM$10,0)</f>
        <v>G</v>
      </c>
      <c r="K171" s="11" t="str">
        <f>_xlfn.XLOOKUP($B170,'Bridgend Manuf'!$M$6:$BM$6,'Bridgend Manuf'!$M$10:$BM$10,0)</f>
        <v>G</v>
      </c>
      <c r="L171" s="11" t="str">
        <f>_xlfn.XLOOKUP($B170,'Maybole Manuf'!$M$6:$BM$6,'Maybole Manuf'!$M$10:$BM$10,0)</f>
        <v>A</v>
      </c>
      <c r="M171" s="127" t="str">
        <f>_xlfn.XLOOKUP($B170,Logistics!$M$6:$BM$6,Logistics!$M$10:$BM$10,0)</f>
        <v>OD</v>
      </c>
      <c r="N171" s="127" t="str">
        <f>_xlfn.XLOOKUP($B170,Engineering!$M$22:$BM$22,Engineering!$M$26:$BM$26,0)</f>
        <v>TBC</v>
      </c>
      <c r="O171" s="127" t="str">
        <f>_xlfn.XLOOKUP($B170,'Quality MB'!$M$6:$BM$6,'Quality MB'!$M$10:$BM$10,0)</f>
        <v>G</v>
      </c>
      <c r="P171" s="127" t="str">
        <f>_xlfn.XLOOKUP($B170,Procurement!$M$6:$BM$6,Procurement!$M$10:$BM$10,0)</f>
        <v>G</v>
      </c>
      <c r="Q171" s="11" t="str">
        <f>_xlfn.XLOOKUP($B170,IT!$M$6:$BM$6,IT!$M$10:$BM$10,0)</f>
        <v>Undefined</v>
      </c>
      <c r="R171" s="11" t="str">
        <f>_xlfn.XLOOKUP($B170,Marketing!$M$6:$BM$6,Marketing!$M$10:$BM$10,0)</f>
        <v>G</v>
      </c>
      <c r="S171" s="11" t="str">
        <f>_xlfn.XLOOKUP($B170,Finance!$M$6:$BM$6,Finance!$M$10:$BM$10,0)</f>
        <v>G</v>
      </c>
      <c r="U171" s="127" t="str">
        <f>IF(B170&gt;='KPI Linked Table for Report'!$C$1,"",_xlfn.XLOOKUP($T170,'HR mthly'!$I$6:$BM$6,'HR mthly'!$I$11:$BM$11,0))</f>
        <v>G</v>
      </c>
      <c r="V171" s="127" t="str">
        <f>IF(B170&gt;='KPI Linked Table for Report'!$C$1,"",_xlfn.XLOOKUP($T170,'HR mthly'!$I$6:$BM$6,'HR mthly'!$I$14:$BM$14,0))</f>
        <v>G</v>
      </c>
    </row>
    <row r="172" spans="2:22" ht="42.45" customHeight="1" x14ac:dyDescent="0.3">
      <c r="B172" s="971" t="s">
        <v>172</v>
      </c>
      <c r="C172" s="971"/>
      <c r="D172" s="11" t="str">
        <f>_xlfn.XLOOKUP($B170,EHS!$M$6:$BM$6,EHS!$M$13:$BM$13,0)</f>
        <v>R</v>
      </c>
      <c r="E172" s="127" t="str">
        <f>_xlfn.XLOOKUP($B170,Estimating!$M$6:$BM$6,Estimating!$M$13:$BM$13,0)</f>
        <v>R</v>
      </c>
      <c r="F172" s="11" t="str">
        <f>_xlfn.XLOOKUP($B170,SOP!$M$6:$BM$6,SOP!$M$13:$BM$13,0)</f>
        <v>R</v>
      </c>
      <c r="G172" s="11" t="str">
        <f>_xlfn.XLOOKUP($B170,Design!$M$6:$BM$6,Design!$M$13:$BM$13,0)</f>
        <v>R</v>
      </c>
      <c r="H172" s="11" t="str">
        <f>_xlfn.XLOOKUP($B170,'Product Design'!$M$6:$BM$6,'Product Design'!$M$13:$BM$13,0)</f>
        <v>R</v>
      </c>
      <c r="I172" s="11" t="str">
        <f>_xlfn.XLOOKUP($B170,'Product Eng - BE'!$M$6:$BM$6,'Product Eng - BE'!$M$13:$BM$13,0)</f>
        <v>G</v>
      </c>
      <c r="J172" s="11" t="str">
        <f>_xlfn.XLOOKUP($B170,'Product Eng - MB'!$M$6:$BM$6,'Product Eng - MB'!$M$13:$BM$13,0)</f>
        <v>G</v>
      </c>
      <c r="K172" s="11" t="str">
        <f>_xlfn.XLOOKUP($B170,'Bridgend Manuf'!$M$6:$BM$6,'Bridgend Manuf'!$M$13:$BM$13,0)</f>
        <v>G</v>
      </c>
      <c r="L172" s="11" t="str">
        <f>_xlfn.XLOOKUP($B170,'Maybole Manuf'!$M$6:$BM$6,'Maybole Manuf'!$M$13:$BM$13,0)</f>
        <v>R</v>
      </c>
      <c r="M172" s="127" t="str">
        <f>_xlfn.XLOOKUP($B170,Logistics!$M$6:$BM$6,Logistics!$M$13:$BM$13,0)</f>
        <v>OD</v>
      </c>
      <c r="N172" s="127" t="e">
        <f>_xlfn.XLOOKUP($B170,Engineering!$M$22:$BM$22,Engineering!#REF!,0)</f>
        <v>#REF!</v>
      </c>
      <c r="O172" s="127" t="str">
        <f>_xlfn.XLOOKUP($B170,'Quality MB'!$M$6:$BM$6,'Quality MB'!$M$13:$BM$13,0)</f>
        <v>G</v>
      </c>
      <c r="P172" s="127" t="str">
        <f>_xlfn.XLOOKUP($B170,Procurement!$M$6:$BM$6,Procurement!$M$13:$BM$13,0)</f>
        <v>A</v>
      </c>
      <c r="Q172" s="11" t="str">
        <f>_xlfn.XLOOKUP($B170,IT!$M$6:$BM$6,IT!$M$13:$BM$13,0)</f>
        <v>TBC</v>
      </c>
      <c r="R172" s="11" t="str">
        <f>_xlfn.XLOOKUP($B170,Marketing!$M$6:$BM$6,Marketing!$M$13:$BM$13,0)</f>
        <v>G</v>
      </c>
      <c r="S172" s="11" t="str">
        <f>IF(B170&gt;'KPI Linked Table for Report'!$C$2,"",_xlfn.XLOOKUP($T170,Finance!$M$16:$X$16,Finance!$M$21:$X$21,0))</f>
        <v/>
      </c>
      <c r="U172" s="127" t="str">
        <f>IF(B170&gt;='KPI Linked Table for Report'!$C$1,"",_xlfn.XLOOKUP($T170,'HR mthly'!$I$6:$BM$6,'HR mthly'!$I$18:$BM$18,0))</f>
        <v>G</v>
      </c>
      <c r="V172" s="127" t="str">
        <f>IF(B170&gt;='KPI Linked Table for Report'!$C$1,"",_xlfn.XLOOKUP($T170,'HR mthly'!$I$6:$BM$6,'HR mthly'!$I$21:$BM$21,0))</f>
        <v>G</v>
      </c>
    </row>
    <row r="173" spans="2:22" ht="42.45" customHeight="1" x14ac:dyDescent="0.3">
      <c r="B173" s="971" t="s">
        <v>173</v>
      </c>
      <c r="C173" s="971"/>
      <c r="D173" s="11" t="s">
        <v>174</v>
      </c>
      <c r="E173" s="11" t="s">
        <v>174</v>
      </c>
      <c r="F173" s="11" t="str">
        <f>_xlfn.XLOOKUP($B170,SOP!$M$6:$BM$6,SOP!$M$16:$BM$16,0)</f>
        <v>R</v>
      </c>
      <c r="G173" s="11" t="s">
        <v>174</v>
      </c>
      <c r="H173" s="11" t="str">
        <f>_xlfn.XLOOKUP($B170,'Product Design'!$M$6:$BM$6,'Product Design'!$M$16:$BM$16,0)</f>
        <v>R</v>
      </c>
      <c r="I173" s="11" t="str">
        <f>_xlfn.XLOOKUP($B170,'Product Eng - BE'!$M$6:$BM$6,'Product Eng - BE'!$M$16:$BM$16,0)</f>
        <v>R</v>
      </c>
      <c r="J173" s="11" t="str">
        <f>_xlfn.XLOOKUP($B170,'Product Eng - MB'!$M$6:$BM$6,'Product Eng - MB'!$M$16:$BM$16,0)</f>
        <v>R</v>
      </c>
      <c r="K173" s="11" t="s">
        <v>174</v>
      </c>
      <c r="L173" s="11" t="s">
        <v>174</v>
      </c>
      <c r="M173" s="11" t="s">
        <v>174</v>
      </c>
      <c r="N173" s="11" t="s">
        <v>174</v>
      </c>
      <c r="O173" s="11" t="s">
        <v>174</v>
      </c>
      <c r="P173" s="11" t="s">
        <v>174</v>
      </c>
      <c r="Q173" s="11" t="s">
        <v>174</v>
      </c>
      <c r="R173" s="11" t="s">
        <v>174</v>
      </c>
      <c r="S173" s="11" t="s">
        <v>174</v>
      </c>
      <c r="U173" s="11" t="s">
        <v>174</v>
      </c>
      <c r="V173" s="11" t="s">
        <v>174</v>
      </c>
    </row>
    <row r="174" spans="2:22" ht="42.45" customHeight="1" x14ac:dyDescent="0.3">
      <c r="B174" s="971" t="s">
        <v>32</v>
      </c>
      <c r="C174" s="971"/>
      <c r="D174" s="11" t="str">
        <f>_xlfn.XLOOKUP($B170,EHS!$M$6:$BM$6,EHS!$M$16:$BM$16,0)</f>
        <v>R</v>
      </c>
      <c r="E174" s="127" t="str">
        <f>_xlfn.XLOOKUP($B170,Estimating!$M$6:$BM$6,Estimating!$M$16:$BM$16,0)</f>
        <v>G</v>
      </c>
      <c r="F174" s="11" t="str">
        <f>_xlfn.XLOOKUP($B170,SOP!$M$6:$BM$6,SOP!$M$19:$BM$19,0)</f>
        <v>R</v>
      </c>
      <c r="G174" s="11" t="str">
        <f>_xlfn.XLOOKUP($B170,Design!$M$6:$BM$6,Design!$M$16:$BM$16,0)</f>
        <v>R</v>
      </c>
      <c r="H174" s="11" t="str">
        <f>_xlfn.XLOOKUP($B170,'Product Design'!$M$6:$BM$6,'Product Design'!$M$19:$BM$19,0)</f>
        <v>G</v>
      </c>
      <c r="I174" s="11" t="str">
        <f>_xlfn.XLOOKUP($B170,'Product Eng - BE'!$M$6:$BM$6,'Product Eng - BE'!$M$19:$BM$19,0)</f>
        <v>R</v>
      </c>
      <c r="J174" s="11" t="str">
        <f>_xlfn.XLOOKUP($B170,'Product Eng - MB'!$M$6:$BM$6,'Product Eng - MB'!$M$19:$BM$19,0)</f>
        <v>G</v>
      </c>
      <c r="K174" s="11" t="str">
        <f>_xlfn.XLOOKUP($B170,'Bridgend Manuf'!$M$6:$BM$6,'Bridgend Manuf'!$M$16:$BM$16,0)</f>
        <v>G</v>
      </c>
      <c r="L174" s="11" t="str">
        <f>_xlfn.XLOOKUP($B170,'Maybole Manuf'!$M$6:$BM$6,'Maybole Manuf'!$M$16:$BM$16,0)</f>
        <v>G</v>
      </c>
      <c r="M174" s="127" t="str">
        <f>_xlfn.XLOOKUP($B170,Logistics!$M$6:$BM$6,Logistics!$M$16:$BM$16,0)</f>
        <v>Missed</v>
      </c>
      <c r="N174" s="127" t="e">
        <f>_xlfn.XLOOKUP($B170,Engineering!$M$22:$BM$22,Engineering!#REF!,0)</f>
        <v>#REF!</v>
      </c>
      <c r="O174" s="127" t="str">
        <f>_xlfn.XLOOKUP($B170,'Quality MB'!$M$6:$BM$6,'Quality MB'!$M$16:$BM$16,0)</f>
        <v>G</v>
      </c>
      <c r="P174" s="127" t="str">
        <f>_xlfn.XLOOKUP($B170,Procurement!$M$6:$BM$6,Procurement!$M$16:$BM$16,0)</f>
        <v>G</v>
      </c>
      <c r="Q174" s="11" t="str">
        <f>_xlfn.XLOOKUP($B170,IT!$M$6:$BM$6,IT!$M$16:$BM$16,0)</f>
        <v>TBC</v>
      </c>
      <c r="R174" s="11" t="str">
        <f>_xlfn.XLOOKUP($B170,Marketing!$M$6:$BM$6,Marketing!$M$16:$BM$16,0)</f>
        <v>R</v>
      </c>
      <c r="S174" s="11" t="str">
        <f>IF(B170&gt;'KPI Linked Table for Report'!$C$2,"",_xlfn.XLOOKUP($T170,Finance!$M$16:$X$16,Finance!$M$24:$X$24,0))</f>
        <v/>
      </c>
      <c r="U174" s="127" t="str">
        <f>IF(B170&gt;='KPI Linked Table for Report'!$C$1,"",_xlfn.XLOOKUP($T170,'HR mthly'!$I$6:$BM$6,'HR mthly'!$I$26:$BM$26,0))</f>
        <v>R</v>
      </c>
      <c r="V174" s="127" t="str">
        <f>IF(B170&gt;='KPI Linked Table for Report'!$C$1,"",_xlfn.XLOOKUP($T170,'HR mthly'!$I$6:$BM$6,'HR mthly'!$I$29:$BM$29,0))</f>
        <v>A</v>
      </c>
    </row>
    <row r="175" spans="2:22" ht="42.45" customHeight="1" x14ac:dyDescent="0.3">
      <c r="B175" s="971" t="s">
        <v>31</v>
      </c>
      <c r="C175" s="971"/>
      <c r="D175" s="11" t="str">
        <f>_xlfn.XLOOKUP($B170,EHS!$M$6:$BM$6,EHS!$M$19:$BM$19,0)</f>
        <v>G</v>
      </c>
      <c r="E175" s="127" t="str">
        <f>_xlfn.XLOOKUP($B170,Estimating!$M$6:$BM$6,Estimating!$M$19:$BM$19,0)</f>
        <v>TBC</v>
      </c>
      <c r="F175" s="11" t="str">
        <f>_xlfn.XLOOKUP($B170,SOP!$M$6:$BM$6,SOP!$M$22:$BM$22,0)</f>
        <v>G</v>
      </c>
      <c r="G175" s="11" t="str">
        <f>_xlfn.XLOOKUP($B170,Design!$M$6:$BM$6,Design!$M$19:$BM$19,0)</f>
        <v>R</v>
      </c>
      <c r="H175" s="11" t="str">
        <f>_xlfn.XLOOKUP($B170,'Product Design'!$M$6:$BM$6,'Product Design'!$M$22:$BM$22,0)</f>
        <v>Undefined</v>
      </c>
      <c r="I175" s="11" t="str">
        <f>_xlfn.XLOOKUP($B170,'Product Eng - BE'!$M$6:$BM$6,'Product Eng - BE'!$M$22:$BM$22,0)</f>
        <v>R</v>
      </c>
      <c r="J175" s="11" t="str">
        <f>_xlfn.XLOOKUP($B170,'Product Eng - MB'!$M$6:$BM$6,'Product Eng - MB'!$M$22:$BM$22,0)</f>
        <v>G</v>
      </c>
      <c r="K175" s="11" t="str">
        <f>_xlfn.XLOOKUP($B170,'Bridgend Manuf'!$M$6:$BM$6,'Bridgend Manuf'!$M$19:$BM$19,0)</f>
        <v>G</v>
      </c>
      <c r="L175" s="11" t="str">
        <f>_xlfn.XLOOKUP($B170,'Maybole Manuf'!$M$6:$BM$6,'Maybole Manuf'!$M$19:$BM$19,0)</f>
        <v>A</v>
      </c>
      <c r="M175" s="127" t="str">
        <f>_xlfn.XLOOKUP($B170,Logistics!$M$6:$BM$6,Logistics!$M$19:$BM$19,0)</f>
        <v>Undefined</v>
      </c>
      <c r="N175" s="127" t="e">
        <f>_xlfn.XLOOKUP($B170,Engineering!$M$22:$BM$22,Engineering!#REF!,0)</f>
        <v>#REF!</v>
      </c>
      <c r="O175" s="127" t="str">
        <f>_xlfn.XLOOKUP($B170,'Quality MB'!$M$6:$BM$6,'Quality MB'!$M$19:$BM$19,0)</f>
        <v>G</v>
      </c>
      <c r="P175" s="127" t="str">
        <f>_xlfn.XLOOKUP($B170,Procurement!$M$6:$BM$6,Procurement!$M$19:$BM$19,0)</f>
        <v>G</v>
      </c>
      <c r="Q175" s="11" t="str">
        <f>_xlfn.XLOOKUP($B170,IT!$M$6:$BM$6,IT!$M$19:$BM$19,0)</f>
        <v>R</v>
      </c>
      <c r="R175" s="11" t="str">
        <f>_xlfn.XLOOKUP($B170,Marketing!$M$6:$BM$6,Marketing!$M$19:$BM$19,0)</f>
        <v>G</v>
      </c>
      <c r="S175" s="11" t="str">
        <f>IF(B170&gt;'KPI Linked Table for Report'!$C$2,"",_xlfn.XLOOKUP($T170,Finance!$M$16:$X$16,Finance!$M$27:$X$27,0))</f>
        <v/>
      </c>
      <c r="U175" s="127" t="str">
        <f>IF(B170&gt;='KPI Linked Table for Report'!$C$1,"",_xlfn.XLOOKUP($T170,'HR mthly'!$I$6:$BM$6,'HR mthly'!$I$33:$BM$33,0))</f>
        <v>A</v>
      </c>
      <c r="V175" s="127" t="str">
        <f>IF(B170&gt;='KPI Linked Table for Report'!$C$1,"",_xlfn.XLOOKUP($T170,'HR mthly'!$I$6:$BM$6,'HR mthly'!$I$36:$BM$36,0))</f>
        <v>G</v>
      </c>
    </row>
    <row r="177" spans="2:22" ht="42.45" customHeight="1" x14ac:dyDescent="0.3">
      <c r="B177" s="973" t="s">
        <v>7</v>
      </c>
      <c r="C177" s="974"/>
      <c r="D177" s="6" t="str">
        <f>+D$9</f>
        <v>EHS</v>
      </c>
      <c r="E177" s="6" t="str">
        <f>+E$9</f>
        <v>Estimating</v>
      </c>
      <c r="F177" s="6" t="str">
        <f t="shared" ref="F177:R177" si="40">+F$9</f>
        <v>SOP</v>
      </c>
      <c r="G177" s="6" t="str">
        <f>+G$9</f>
        <v>Design and R&amp;D</v>
      </c>
      <c r="H177" s="6" t="str">
        <f t="shared" si="40"/>
        <v>Product Design</v>
      </c>
      <c r="I177" s="6" t="str">
        <f t="shared" si="40"/>
        <v>Product Engineering Bridgend</v>
      </c>
      <c r="J177" s="6" t="str">
        <f t="shared" si="40"/>
        <v>Product Engineering Maybole</v>
      </c>
      <c r="K177" s="6" t="str">
        <f t="shared" si="40"/>
        <v>Bridgend
Manuf</v>
      </c>
      <c r="L177" s="6" t="str">
        <f t="shared" si="40"/>
        <v>Maybole
Manuf</v>
      </c>
      <c r="M177" s="6" t="str">
        <f>+M$9</f>
        <v>Logistics</v>
      </c>
      <c r="N177" s="6" t="str">
        <f>+N$9</f>
        <v>Engineering</v>
      </c>
      <c r="O177" s="6" t="str">
        <f>+O$9</f>
        <v>Quality
Maybole</v>
      </c>
      <c r="P177" s="6" t="str">
        <f>+P$9</f>
        <v>Procurement</v>
      </c>
      <c r="Q177" s="6" t="str">
        <f>+Q$9</f>
        <v>IT</v>
      </c>
      <c r="R177" s="6" t="str">
        <f t="shared" si="40"/>
        <v>Marketing</v>
      </c>
      <c r="S177" s="6" t="str">
        <f>+S$9</f>
        <v>Finance</v>
      </c>
      <c r="T177" s="7" t="s">
        <v>409</v>
      </c>
      <c r="U177" s="6" t="str">
        <f>+U$9</f>
        <v>HR</v>
      </c>
      <c r="V177" s="6" t="str">
        <f>+V$9</f>
        <v>HR</v>
      </c>
    </row>
    <row r="178" spans="2:22" ht="42.45" customHeight="1" x14ac:dyDescent="0.3">
      <c r="B178" s="7">
        <f>B170+1</f>
        <v>22</v>
      </c>
      <c r="C178" s="8">
        <f>C170+7</f>
        <v>45807</v>
      </c>
      <c r="D178" s="10" t="str">
        <f>+D$10</f>
        <v>Neil 
Laing</v>
      </c>
      <c r="E178" s="9" t="str">
        <f>+E$10</f>
        <v>Julian Sparrow</v>
      </c>
      <c r="F178" s="10" t="str">
        <f t="shared" ref="F178:R178" si="41">+F$10</f>
        <v>Sam Westwood</v>
      </c>
      <c r="G178" s="10" t="str">
        <f>+G$10</f>
        <v>Andrew Skitt</v>
      </c>
      <c r="H178" s="10" t="str">
        <f t="shared" si="41"/>
        <v>Paul 
Dolan</v>
      </c>
      <c r="I178" s="10" t="str">
        <f t="shared" si="41"/>
        <v>Paul 
Dolan</v>
      </c>
      <c r="J178" s="10" t="str">
        <f t="shared" si="41"/>
        <v>Paul 
Dolan</v>
      </c>
      <c r="K178" s="10" t="str">
        <f t="shared" si="41"/>
        <v>Garin Bowen</v>
      </c>
      <c r="L178" s="10" t="str">
        <f t="shared" si="41"/>
        <v>Scott McMillan</v>
      </c>
      <c r="M178" s="10" t="str">
        <f>+M$10</f>
        <v>Scott McMillan</v>
      </c>
      <c r="N178" s="10" t="str">
        <f>+N$10</f>
        <v>Garin Bowen</v>
      </c>
      <c r="O178" s="10" t="str">
        <f>+O$10</f>
        <v>Scott McMIllan</v>
      </c>
      <c r="P178" s="10" t="str">
        <f>+P$10</f>
        <v>Matt 
Pope</v>
      </c>
      <c r="Q178" s="10" t="str">
        <f>+Q$10</f>
        <v>Rhian 
Owen</v>
      </c>
      <c r="R178" s="10" t="str">
        <f t="shared" si="41"/>
        <v>Katherine 
Sanganee</v>
      </c>
      <c r="S178" s="10" t="str">
        <f>+S$10</f>
        <v>Gethin Davies</v>
      </c>
      <c r="T178" s="7">
        <v>4</v>
      </c>
      <c r="U178" s="10" t="str">
        <f>+U$10</f>
        <v>Bethan Grant</v>
      </c>
      <c r="V178" s="10" t="str">
        <f>+V$10</f>
        <v>Bethan Grant</v>
      </c>
    </row>
    <row r="179" spans="2:22" ht="42.45" customHeight="1" x14ac:dyDescent="0.3">
      <c r="B179" s="971" t="s">
        <v>30</v>
      </c>
      <c r="C179" s="971"/>
      <c r="D179" s="11" t="str">
        <f>_xlfn.XLOOKUP($B178,EHS!$M$6:$BM$6,EHS!$M$10:$BM$10,0)</f>
        <v>G</v>
      </c>
      <c r="E179" s="127" t="str">
        <f>_xlfn.XLOOKUP($B178,Estimating!$M$6:$BM$6,Estimating!$M$10:$BM$10,0)</f>
        <v>R</v>
      </c>
      <c r="F179" s="11" t="str">
        <f>_xlfn.XLOOKUP($B178,SOP!$M$6:$BM$6,SOP!$M$10:$BM$10,0)</f>
        <v>G</v>
      </c>
      <c r="G179" s="11" t="str">
        <f>_xlfn.XLOOKUP($B178,Design!$M$6:$BM$6,Design!$M$10:$BM$10,0)</f>
        <v>R</v>
      </c>
      <c r="H179" s="11" t="str">
        <f>_xlfn.XLOOKUP($B178,'Product Design'!$M$6:$BM$6,'Product Design'!$M$10:$BM$10,0)</f>
        <v>G</v>
      </c>
      <c r="I179" s="11" t="str">
        <f>_xlfn.XLOOKUP($B178,'Product Eng - BE'!$M$6:$BM$6,'Product Eng - BE'!$M$10:$BM$10,0)</f>
        <v>G</v>
      </c>
      <c r="J179" s="11" t="str">
        <f>_xlfn.XLOOKUP($B178,'Product Eng - MB'!$M$6:$BM$6,'Product Eng - MB'!$M$10:$BM$10,0)</f>
        <v>G</v>
      </c>
      <c r="K179" s="11" t="str">
        <f>_xlfn.XLOOKUP($B178,'Bridgend Manuf'!$M$6:$BM$6,'Bridgend Manuf'!$M$10:$BM$10,0)</f>
        <v>R</v>
      </c>
      <c r="L179" s="11" t="str">
        <f>_xlfn.XLOOKUP($B178,'Maybole Manuf'!$M$6:$BM$6,'Maybole Manuf'!$M$10:$BM$10,0)</f>
        <v>G</v>
      </c>
      <c r="M179" s="127" t="str">
        <f>_xlfn.XLOOKUP($B178,Logistics!$M$6:$BM$6,Logistics!$M$10:$BM$10,0)</f>
        <v>OD</v>
      </c>
      <c r="N179" s="127" t="str">
        <f>_xlfn.XLOOKUP($B178,Engineering!$M$22:$BM$22,Engineering!$M$26:$BM$26,0)</f>
        <v>TBC</v>
      </c>
      <c r="O179" s="127" t="str">
        <f>_xlfn.XLOOKUP($B178,'Quality MB'!$M$6:$BM$6,'Quality MB'!$M$10:$BM$10,0)</f>
        <v>G</v>
      </c>
      <c r="P179" s="127" t="str">
        <f>_xlfn.XLOOKUP($B178,Procurement!$M$6:$BM$6,Procurement!$M$10:$BM$10,0)</f>
        <v>R</v>
      </c>
      <c r="Q179" s="11" t="str">
        <f>_xlfn.XLOOKUP($B178,IT!$M$6:$BM$6,IT!$M$10:$BM$10,0)</f>
        <v>Undefined</v>
      </c>
      <c r="R179" s="11" t="str">
        <f>_xlfn.XLOOKUP($B178,Marketing!$M$6:$BM$6,Marketing!$M$10:$BM$10,0)</f>
        <v>G</v>
      </c>
      <c r="S179" s="11" t="str">
        <f>_xlfn.XLOOKUP($B178,Finance!$M$6:$BM$6,Finance!$M$10:$BM$10,0)</f>
        <v>R</v>
      </c>
      <c r="U179" s="127" t="str">
        <f>IF(B178&gt;='KPI Linked Table for Report'!$C$1,"",_xlfn.XLOOKUP($T178,'HR mthly'!$I$6:$BM$6,'HR mthly'!$I$11:$BM$11,0))</f>
        <v>G</v>
      </c>
      <c r="V179" s="127" t="str">
        <f>IF(B178&gt;='KPI Linked Table for Report'!$C$1,"",_xlfn.XLOOKUP($T178,'HR mthly'!$I$6:$BM$6,'HR mthly'!$I$14:$BM$14,0))</f>
        <v>G</v>
      </c>
    </row>
    <row r="180" spans="2:22" ht="42.45" customHeight="1" x14ac:dyDescent="0.3">
      <c r="B180" s="971" t="s">
        <v>172</v>
      </c>
      <c r="C180" s="971"/>
      <c r="D180" s="11" t="str">
        <f>_xlfn.XLOOKUP($B178,EHS!$M$6:$BM$6,EHS!$M$13:$BM$13,0)</f>
        <v>R</v>
      </c>
      <c r="E180" s="127" t="str">
        <f>_xlfn.XLOOKUP($B178,Estimating!$M$6:$BM$6,Estimating!$M$13:$BM$13,0)</f>
        <v>R</v>
      </c>
      <c r="F180" s="11" t="str">
        <f>_xlfn.XLOOKUP($B178,SOP!$M$6:$BM$6,SOP!$M$13:$BM$13,0)</f>
        <v>R</v>
      </c>
      <c r="G180" s="11" t="str">
        <f>_xlfn.XLOOKUP($B178,Design!$M$6:$BM$6,Design!$M$13:$BM$13,0)</f>
        <v>R</v>
      </c>
      <c r="H180" s="11" t="str">
        <f>_xlfn.XLOOKUP($B178,'Product Design'!$M$6:$BM$6,'Product Design'!$M$13:$BM$13,0)</f>
        <v>R</v>
      </c>
      <c r="I180" s="11" t="str">
        <f>_xlfn.XLOOKUP($B178,'Product Eng - BE'!$M$6:$BM$6,'Product Eng - BE'!$M$13:$BM$13,0)</f>
        <v>G</v>
      </c>
      <c r="J180" s="11" t="str">
        <f>_xlfn.XLOOKUP($B178,'Product Eng - MB'!$M$6:$BM$6,'Product Eng - MB'!$M$13:$BM$13,0)</f>
        <v>G</v>
      </c>
      <c r="K180" s="11" t="str">
        <f>_xlfn.XLOOKUP($B178,'Bridgend Manuf'!$M$6:$BM$6,'Bridgend Manuf'!$M$13:$BM$13,0)</f>
        <v>R</v>
      </c>
      <c r="L180" s="11" t="str">
        <f>_xlfn.XLOOKUP($B178,'Maybole Manuf'!$M$6:$BM$6,'Maybole Manuf'!$M$13:$BM$13,0)</f>
        <v>A</v>
      </c>
      <c r="M180" s="127" t="str">
        <f>_xlfn.XLOOKUP($B178,Logistics!$M$6:$BM$6,Logistics!$M$13:$BM$13,0)</f>
        <v>OD</v>
      </c>
      <c r="N180" s="127" t="e">
        <f>_xlfn.XLOOKUP($B178,Engineering!$M$22:$BM$22,Engineering!#REF!,0)</f>
        <v>#REF!</v>
      </c>
      <c r="O180" s="127" t="str">
        <f>_xlfn.XLOOKUP($B178,'Quality MB'!$M$6:$BM$6,'Quality MB'!$M$13:$BM$13,0)</f>
        <v>R</v>
      </c>
      <c r="P180" s="127" t="str">
        <f>_xlfn.XLOOKUP($B178,Procurement!$M$6:$BM$6,Procurement!$M$13:$BM$13,0)</f>
        <v>A</v>
      </c>
      <c r="Q180" s="11" t="str">
        <f>_xlfn.XLOOKUP($B178,IT!$M$6:$BM$6,IT!$M$13:$BM$13,0)</f>
        <v>TBC</v>
      </c>
      <c r="R180" s="11" t="str">
        <f>_xlfn.XLOOKUP($B178,Marketing!$M$6:$BM$6,Marketing!$M$13:$BM$13,0)</f>
        <v>G</v>
      </c>
      <c r="S180" s="11" t="str">
        <f>IF(B178&gt;'KPI Linked Table for Report'!$C$2,"",_xlfn.XLOOKUP($T178,Finance!$M$16:$X$16,Finance!$M$21:$X$21,0))</f>
        <v/>
      </c>
      <c r="U180" s="127" t="str">
        <f>IF(B178&gt;='KPI Linked Table for Report'!$C$1,"",_xlfn.XLOOKUP($T178,'HR mthly'!$I$6:$BM$6,'HR mthly'!$I$18:$BM$18,0))</f>
        <v>G</v>
      </c>
      <c r="V180" s="127" t="str">
        <f>IF(B178&gt;='KPI Linked Table for Report'!$C$1,"",_xlfn.XLOOKUP($T178,'HR mthly'!$I$6:$BM$6,'HR mthly'!$I$21:$BM$21,0))</f>
        <v>G</v>
      </c>
    </row>
    <row r="181" spans="2:22" ht="42.45" customHeight="1" x14ac:dyDescent="0.3">
      <c r="B181" s="971" t="s">
        <v>173</v>
      </c>
      <c r="C181" s="971"/>
      <c r="D181" s="11" t="s">
        <v>174</v>
      </c>
      <c r="E181" s="11" t="s">
        <v>174</v>
      </c>
      <c r="F181" s="11" t="str">
        <f>_xlfn.XLOOKUP($B178,SOP!$M$6:$BM$6,SOP!$M$16:$BM$16,0)</f>
        <v>R</v>
      </c>
      <c r="G181" s="11" t="s">
        <v>174</v>
      </c>
      <c r="H181" s="11" t="str">
        <f>_xlfn.XLOOKUP($B178,'Product Design'!$M$6:$BM$6,'Product Design'!$M$16:$BM$16,0)</f>
        <v>R</v>
      </c>
      <c r="I181" s="11" t="str">
        <f>_xlfn.XLOOKUP($B178,'Product Eng - BE'!$M$6:$BM$6,'Product Eng - BE'!$M$16:$BM$16,0)</f>
        <v>R</v>
      </c>
      <c r="J181" s="11" t="str">
        <f>_xlfn.XLOOKUP($B178,'Product Eng - MB'!$M$6:$BM$6,'Product Eng - MB'!$M$16:$BM$16,0)</f>
        <v>R</v>
      </c>
      <c r="K181" s="11" t="s">
        <v>174</v>
      </c>
      <c r="L181" s="11" t="s">
        <v>174</v>
      </c>
      <c r="M181" s="11" t="s">
        <v>174</v>
      </c>
      <c r="N181" s="11" t="s">
        <v>174</v>
      </c>
      <c r="O181" s="11" t="s">
        <v>174</v>
      </c>
      <c r="P181" s="11" t="s">
        <v>174</v>
      </c>
      <c r="Q181" s="11" t="s">
        <v>174</v>
      </c>
      <c r="R181" s="11" t="s">
        <v>174</v>
      </c>
      <c r="S181" s="11" t="s">
        <v>174</v>
      </c>
      <c r="U181" s="11" t="s">
        <v>174</v>
      </c>
      <c r="V181" s="11" t="s">
        <v>174</v>
      </c>
    </row>
    <row r="182" spans="2:22" ht="42.45" customHeight="1" x14ac:dyDescent="0.3">
      <c r="B182" s="971" t="s">
        <v>32</v>
      </c>
      <c r="C182" s="971"/>
      <c r="D182" s="11" t="str">
        <f>_xlfn.XLOOKUP($B178,EHS!$M$6:$BM$6,EHS!$M$16:$BM$16,0)</f>
        <v>R</v>
      </c>
      <c r="E182" s="127" t="str">
        <f>_xlfn.XLOOKUP($B178,Estimating!$M$6:$BM$6,Estimating!$M$16:$BM$16,0)</f>
        <v>A</v>
      </c>
      <c r="F182" s="11" t="str">
        <f>_xlfn.XLOOKUP($B178,SOP!$M$6:$BM$6,SOP!$M$19:$BM$19,0)</f>
        <v>G</v>
      </c>
      <c r="G182" s="11" t="str">
        <f>_xlfn.XLOOKUP($B178,Design!$M$6:$BM$6,Design!$M$16:$BM$16,0)</f>
        <v>R</v>
      </c>
      <c r="H182" s="11" t="str">
        <f>_xlfn.XLOOKUP($B178,'Product Design'!$M$6:$BM$6,'Product Design'!$M$19:$BM$19,0)</f>
        <v>G</v>
      </c>
      <c r="I182" s="11" t="str">
        <f>_xlfn.XLOOKUP($B178,'Product Eng - BE'!$M$6:$BM$6,'Product Eng - BE'!$M$19:$BM$19,0)</f>
        <v>G</v>
      </c>
      <c r="J182" s="11" t="str">
        <f>_xlfn.XLOOKUP($B178,'Product Eng - MB'!$M$6:$BM$6,'Product Eng - MB'!$M$19:$BM$19,0)</f>
        <v>R</v>
      </c>
      <c r="K182" s="11" t="str">
        <f>_xlfn.XLOOKUP($B178,'Bridgend Manuf'!$M$6:$BM$6,'Bridgend Manuf'!$M$16:$BM$16,0)</f>
        <v>R</v>
      </c>
      <c r="L182" s="11" t="str">
        <f>_xlfn.XLOOKUP($B178,'Maybole Manuf'!$M$6:$BM$6,'Maybole Manuf'!$M$16:$BM$16,0)</f>
        <v>G</v>
      </c>
      <c r="M182" s="127" t="str">
        <f>_xlfn.XLOOKUP($B178,Logistics!$M$6:$BM$6,Logistics!$M$16:$BM$16,0)</f>
        <v>Missed</v>
      </c>
      <c r="N182" s="127" t="e">
        <f>_xlfn.XLOOKUP($B178,Engineering!$M$22:$BM$22,Engineering!#REF!,0)</f>
        <v>#REF!</v>
      </c>
      <c r="O182" s="127" t="str">
        <f>_xlfn.XLOOKUP($B178,'Quality MB'!$M$6:$BM$6,'Quality MB'!$M$16:$BM$16,0)</f>
        <v>G</v>
      </c>
      <c r="P182" s="127" t="str">
        <f>_xlfn.XLOOKUP($B178,Procurement!$M$6:$BM$6,Procurement!$M$16:$BM$16,0)</f>
        <v>G</v>
      </c>
      <c r="Q182" s="11" t="str">
        <f>_xlfn.XLOOKUP($B178,IT!$M$6:$BM$6,IT!$M$16:$BM$16,0)</f>
        <v>TBC</v>
      </c>
      <c r="R182" s="11" t="str">
        <f>_xlfn.XLOOKUP($B178,Marketing!$M$6:$BM$6,Marketing!$M$16:$BM$16,0)</f>
        <v>G</v>
      </c>
      <c r="S182" s="11" t="str">
        <f>IF(B178&gt;'KPI Linked Table for Report'!$C$2,"",_xlfn.XLOOKUP($T178,Finance!$M$16:$X$16,Finance!$M$24:$X$24,0))</f>
        <v/>
      </c>
      <c r="U182" s="127" t="str">
        <f>IF(B178&gt;='KPI Linked Table for Report'!$C$1,"",_xlfn.XLOOKUP($T178,'HR mthly'!$I$6:$BM$6,'HR mthly'!$I$26:$BM$26,0))</f>
        <v>R</v>
      </c>
      <c r="V182" s="127" t="str">
        <f>IF(B178&gt;='KPI Linked Table for Report'!$C$1,"",_xlfn.XLOOKUP($T178,'HR mthly'!$I$6:$BM$6,'HR mthly'!$I$29:$BM$29,0))</f>
        <v>A</v>
      </c>
    </row>
    <row r="183" spans="2:22" ht="42.45" customHeight="1" x14ac:dyDescent="0.3">
      <c r="B183" s="971" t="s">
        <v>31</v>
      </c>
      <c r="C183" s="971"/>
      <c r="D183" s="11" t="str">
        <f>_xlfn.XLOOKUP($B178,EHS!$M$6:$BM$6,EHS!$M$19:$BM$19,0)</f>
        <v>G</v>
      </c>
      <c r="E183" s="127" t="str">
        <f>_xlfn.XLOOKUP($B178,Estimating!$M$6:$BM$6,Estimating!$M$19:$BM$19,0)</f>
        <v>G</v>
      </c>
      <c r="F183" s="11" t="str">
        <f>_xlfn.XLOOKUP($B178,SOP!$M$6:$BM$6,SOP!$M$22:$BM$22,0)</f>
        <v>G</v>
      </c>
      <c r="G183" s="11" t="str">
        <f>_xlfn.XLOOKUP($B178,Design!$M$6:$BM$6,Design!$M$19:$BM$19,0)</f>
        <v>G</v>
      </c>
      <c r="H183" s="11" t="str">
        <f>_xlfn.XLOOKUP($B178,'Product Design'!$M$6:$BM$6,'Product Design'!$M$22:$BM$22,0)</f>
        <v>Undefined</v>
      </c>
      <c r="I183" s="11" t="str">
        <f>_xlfn.XLOOKUP($B178,'Product Eng - BE'!$M$6:$BM$6,'Product Eng - BE'!$M$22:$BM$22,0)</f>
        <v>R</v>
      </c>
      <c r="J183" s="11" t="str">
        <f>_xlfn.XLOOKUP($B178,'Product Eng - MB'!$M$6:$BM$6,'Product Eng - MB'!$M$22:$BM$22,0)</f>
        <v>G</v>
      </c>
      <c r="K183" s="11" t="str">
        <f>_xlfn.XLOOKUP($B178,'Bridgend Manuf'!$M$6:$BM$6,'Bridgend Manuf'!$M$19:$BM$19,0)</f>
        <v>R</v>
      </c>
      <c r="L183" s="11" t="str">
        <f>_xlfn.XLOOKUP($B178,'Maybole Manuf'!$M$6:$BM$6,'Maybole Manuf'!$M$19:$BM$19,0)</f>
        <v>G</v>
      </c>
      <c r="M183" s="127" t="str">
        <f>_xlfn.XLOOKUP($B178,Logistics!$M$6:$BM$6,Logistics!$M$19:$BM$19,0)</f>
        <v>Undefined</v>
      </c>
      <c r="N183" s="127" t="e">
        <f>_xlfn.XLOOKUP($B178,Engineering!$M$22:$BM$22,Engineering!#REF!,0)</f>
        <v>#REF!</v>
      </c>
      <c r="O183" s="127" t="str">
        <f>_xlfn.XLOOKUP($B178,'Quality MB'!$M$6:$BM$6,'Quality MB'!$M$19:$BM$19,0)</f>
        <v>G</v>
      </c>
      <c r="P183" s="127" t="str">
        <f>_xlfn.XLOOKUP($B178,Procurement!$M$6:$BM$6,Procurement!$M$19:$BM$19,0)</f>
        <v>G</v>
      </c>
      <c r="Q183" s="11" t="str">
        <f>_xlfn.XLOOKUP($B178,IT!$M$6:$BM$6,IT!$M$19:$BM$19,0)</f>
        <v>G</v>
      </c>
      <c r="R183" s="11" t="str">
        <f>_xlfn.XLOOKUP($B178,Marketing!$M$6:$BM$6,Marketing!$M$19:$BM$19,0)</f>
        <v>G</v>
      </c>
      <c r="S183" s="11" t="str">
        <f>IF(B178&gt;'KPI Linked Table for Report'!$C$2,"",_xlfn.XLOOKUP($T178,Finance!$M$16:$X$16,Finance!$M$27:$X$27,0))</f>
        <v/>
      </c>
      <c r="U183" s="127" t="str">
        <f>IF(B178&gt;='KPI Linked Table for Report'!$C$1,"",_xlfn.XLOOKUP($T178,'HR mthly'!$I$6:$BM$6,'HR mthly'!$I$33:$BM$33,0))</f>
        <v>A</v>
      </c>
      <c r="V183" s="127" t="str">
        <f>IF(B178&gt;='KPI Linked Table for Report'!$C$1,"",_xlfn.XLOOKUP($T178,'HR mthly'!$I$6:$BM$6,'HR mthly'!$I$36:$BM$36,0))</f>
        <v>G</v>
      </c>
    </row>
    <row r="185" spans="2:22" ht="42.45" customHeight="1" x14ac:dyDescent="0.3">
      <c r="B185" s="973" t="s">
        <v>7</v>
      </c>
      <c r="C185" s="974"/>
      <c r="D185" s="6" t="str">
        <f>+D$9</f>
        <v>EHS</v>
      </c>
      <c r="E185" s="6" t="str">
        <f>+E$9</f>
        <v>Estimating</v>
      </c>
      <c r="F185" s="6" t="str">
        <f t="shared" ref="F185:R185" si="42">+F$9</f>
        <v>SOP</v>
      </c>
      <c r="G185" s="6" t="str">
        <f>+G$9</f>
        <v>Design and R&amp;D</v>
      </c>
      <c r="H185" s="6" t="str">
        <f t="shared" si="42"/>
        <v>Product Design</v>
      </c>
      <c r="I185" s="6" t="str">
        <f t="shared" si="42"/>
        <v>Product Engineering Bridgend</v>
      </c>
      <c r="J185" s="6" t="str">
        <f t="shared" si="42"/>
        <v>Product Engineering Maybole</v>
      </c>
      <c r="K185" s="6" t="str">
        <f t="shared" si="42"/>
        <v>Bridgend
Manuf</v>
      </c>
      <c r="L185" s="6" t="str">
        <f t="shared" si="42"/>
        <v>Maybole
Manuf</v>
      </c>
      <c r="M185" s="6" t="str">
        <f>+M$9</f>
        <v>Logistics</v>
      </c>
      <c r="N185" s="6" t="str">
        <f>+N$9</f>
        <v>Engineering</v>
      </c>
      <c r="O185" s="6" t="str">
        <f>+O$9</f>
        <v>Quality
Maybole</v>
      </c>
      <c r="P185" s="6" t="str">
        <f>+P$9</f>
        <v>Procurement</v>
      </c>
      <c r="Q185" s="6" t="str">
        <f>+Q$9</f>
        <v>IT</v>
      </c>
      <c r="R185" s="6" t="str">
        <f t="shared" si="42"/>
        <v>Marketing</v>
      </c>
      <c r="S185" s="6" t="str">
        <f>+S$9</f>
        <v>Finance</v>
      </c>
      <c r="T185" s="7" t="s">
        <v>409</v>
      </c>
      <c r="U185" s="6" t="str">
        <f>+U$9</f>
        <v>HR</v>
      </c>
      <c r="V185" s="6" t="str">
        <f>+V$9</f>
        <v>HR</v>
      </c>
    </row>
    <row r="186" spans="2:22" ht="42.45" customHeight="1" x14ac:dyDescent="0.3">
      <c r="B186" s="7">
        <f>B178+1</f>
        <v>23</v>
      </c>
      <c r="C186" s="8">
        <f>C178+7</f>
        <v>45814</v>
      </c>
      <c r="D186" s="10" t="str">
        <f>+D$10</f>
        <v>Neil 
Laing</v>
      </c>
      <c r="E186" s="9" t="s">
        <v>645</v>
      </c>
      <c r="F186" s="10" t="str">
        <f t="shared" ref="F186:R186" si="43">+F$10</f>
        <v>Sam Westwood</v>
      </c>
      <c r="G186" s="10" t="str">
        <f>+G$10</f>
        <v>Andrew Skitt</v>
      </c>
      <c r="H186" s="10" t="str">
        <f t="shared" si="43"/>
        <v>Paul 
Dolan</v>
      </c>
      <c r="I186" s="10" t="str">
        <f t="shared" si="43"/>
        <v>Paul 
Dolan</v>
      </c>
      <c r="J186" s="10" t="str">
        <f t="shared" si="43"/>
        <v>Paul 
Dolan</v>
      </c>
      <c r="K186" s="10" t="str">
        <f t="shared" si="43"/>
        <v>Garin Bowen</v>
      </c>
      <c r="L186" s="10" t="str">
        <f t="shared" si="43"/>
        <v>Scott McMillan</v>
      </c>
      <c r="M186" s="10" t="str">
        <f>+M$10</f>
        <v>Scott McMillan</v>
      </c>
      <c r="N186" s="10" t="str">
        <f>+N$10</f>
        <v>Garin Bowen</v>
      </c>
      <c r="O186" s="10" t="str">
        <f>+O$10</f>
        <v>Scott McMIllan</v>
      </c>
      <c r="P186" s="10" t="str">
        <f>+P$10</f>
        <v>Matt 
Pope</v>
      </c>
      <c r="Q186" s="10" t="str">
        <f>+Q$10</f>
        <v>Rhian 
Owen</v>
      </c>
      <c r="R186" s="10" t="str">
        <f t="shared" si="43"/>
        <v>Katherine 
Sanganee</v>
      </c>
      <c r="S186" s="10" t="str">
        <f>+S$10</f>
        <v>Gethin Davies</v>
      </c>
      <c r="T186" s="7">
        <v>5</v>
      </c>
      <c r="U186" s="10" t="str">
        <f>+U$10</f>
        <v>Bethan Grant</v>
      </c>
      <c r="V186" s="10" t="str">
        <f>+V$10</f>
        <v>Bethan Grant</v>
      </c>
    </row>
    <row r="187" spans="2:22" ht="42.45" customHeight="1" x14ac:dyDescent="0.3">
      <c r="B187" s="971" t="s">
        <v>30</v>
      </c>
      <c r="C187" s="971"/>
      <c r="D187" s="11" t="str">
        <f>_xlfn.XLOOKUP($B186,EHS!$M$6:$BM$6,EHS!$M$10:$BM$10,0)</f>
        <v>R</v>
      </c>
      <c r="E187" s="127" t="str">
        <f>_xlfn.XLOOKUP($B186,Estimating!$M$6:$BM$6,Estimating!$M$10:$BM$10,0)</f>
        <v>R</v>
      </c>
      <c r="F187" s="11" t="str">
        <f>_xlfn.XLOOKUP($B186,SOP!$M$6:$BM$6,SOP!$M$10:$BM$10,0)</f>
        <v>G</v>
      </c>
      <c r="G187" s="11" t="str">
        <f>_xlfn.XLOOKUP($B186,Design!$M$6:$BM$6,Design!$M$10:$BM$10,0)</f>
        <v>R</v>
      </c>
      <c r="H187" s="11" t="str">
        <f>_xlfn.XLOOKUP($B186,'Product Design'!$M$6:$BM$6,'Product Design'!$M$10:$BM$10,0)</f>
        <v>G</v>
      </c>
      <c r="I187" s="11" t="str">
        <f>_xlfn.XLOOKUP($B186,'Product Eng - BE'!$M$6:$BM$6,'Product Eng - BE'!$M$10:$BM$10,0)</f>
        <v>G</v>
      </c>
      <c r="J187" s="11" t="str">
        <f>_xlfn.XLOOKUP($B186,'Product Eng - MB'!$M$6:$BM$6,'Product Eng - MB'!$M$10:$BM$10,0)</f>
        <v>G</v>
      </c>
      <c r="K187" s="11" t="str">
        <f>_xlfn.XLOOKUP($B186,'Bridgend Manuf'!$M$6:$BM$6,'Bridgend Manuf'!$M$10:$BM$10,0)</f>
        <v>R</v>
      </c>
      <c r="L187" s="11" t="str">
        <f>_xlfn.XLOOKUP($B186,'Maybole Manuf'!$M$6:$BM$6,'Maybole Manuf'!$M$10:$BM$10,0)</f>
        <v>R</v>
      </c>
      <c r="M187" s="127" t="str">
        <f>_xlfn.XLOOKUP($B186,Logistics!$M$6:$BM$6,Logistics!$M$10:$BM$10,0)</f>
        <v>OD</v>
      </c>
      <c r="N187" s="127" t="str">
        <f>_xlfn.XLOOKUP($B186,Engineering!$M$22:$BM$22,Engineering!$M$26:$BM$26,0)</f>
        <v>TBC</v>
      </c>
      <c r="O187" s="127" t="str">
        <f>_xlfn.XLOOKUP($B186,'Quality MB'!$M$6:$BM$6,'Quality MB'!$M$10:$BM$10,0)</f>
        <v>G</v>
      </c>
      <c r="P187" s="127" t="str">
        <f>_xlfn.XLOOKUP($B186,Procurement!$M$6:$BM$6,Procurement!$M$10:$BM$10,0)</f>
        <v>R</v>
      </c>
      <c r="Q187" s="11" t="str">
        <f>_xlfn.XLOOKUP($B186,IT!$M$6:$BM$6,IT!$M$10:$BM$10,0)</f>
        <v>Undefined</v>
      </c>
      <c r="R187" s="11" t="str">
        <f>_xlfn.XLOOKUP($B186,Marketing!$M$6:$BM$6,Marketing!$M$10:$BM$10,0)</f>
        <v>G</v>
      </c>
      <c r="S187" s="11" t="str">
        <f>_xlfn.XLOOKUP($B186,Finance!$M$6:$BM$6,Finance!$M$10:$BM$10,0)</f>
        <v>G</v>
      </c>
      <c r="U187" s="127" t="str">
        <f>IF(B186&gt;='KPI Linked Table for Report'!$C$1,"",_xlfn.XLOOKUP($T186,'HR mthly'!$I$6:$BM$6,'HR mthly'!$I$11:$BM$11,0))</f>
        <v>G</v>
      </c>
      <c r="V187" s="127" t="str">
        <f>IF(B186&gt;='KPI Linked Table for Report'!$C$1,"",_xlfn.XLOOKUP($T186,'HR mthly'!$I$6:$BM$6,'HR mthly'!$I$14:$BM$14,0))</f>
        <v>G</v>
      </c>
    </row>
    <row r="188" spans="2:22" ht="42.45" customHeight="1" x14ac:dyDescent="0.3">
      <c r="B188" s="971" t="s">
        <v>172</v>
      </c>
      <c r="C188" s="971"/>
      <c r="D188" s="11" t="str">
        <f>_xlfn.XLOOKUP($B186,EHS!$M$6:$BM$6,EHS!$M$13:$BM$13,0)</f>
        <v>G</v>
      </c>
      <c r="E188" s="127" t="str">
        <f>_xlfn.XLOOKUP($B186,Estimating!$M$6:$BM$6,Estimating!$M$13:$BM$13,0)</f>
        <v>R</v>
      </c>
      <c r="F188" s="11" t="str">
        <f>_xlfn.XLOOKUP($B186,SOP!$M$6:$BM$6,SOP!$M$13:$BM$13,0)</f>
        <v>R</v>
      </c>
      <c r="G188" s="11" t="str">
        <f>_xlfn.XLOOKUP($B186,Design!$M$6:$BM$6,Design!$M$13:$BM$13,0)</f>
        <v>R</v>
      </c>
      <c r="H188" s="11" t="str">
        <f>_xlfn.XLOOKUP($B186,'Product Design'!$M$6:$BM$6,'Product Design'!$M$13:$BM$13,0)</f>
        <v>R</v>
      </c>
      <c r="I188" s="11" t="str">
        <f>_xlfn.XLOOKUP($B186,'Product Eng - BE'!$M$6:$BM$6,'Product Eng - BE'!$M$13:$BM$13,0)</f>
        <v>G</v>
      </c>
      <c r="J188" s="11" t="str">
        <f>_xlfn.XLOOKUP($B186,'Product Eng - MB'!$M$6:$BM$6,'Product Eng - MB'!$M$13:$BM$13,0)</f>
        <v>G</v>
      </c>
      <c r="K188" s="11" t="str">
        <f>_xlfn.XLOOKUP($B186,'Bridgend Manuf'!$M$6:$BM$6,'Bridgend Manuf'!$M$13:$BM$13,0)</f>
        <v>G</v>
      </c>
      <c r="L188" s="11" t="str">
        <f>_xlfn.XLOOKUP($B186,'Maybole Manuf'!$M$6:$BM$6,'Maybole Manuf'!$M$13:$BM$13,0)</f>
        <v>G</v>
      </c>
      <c r="M188" s="127" t="str">
        <f>_xlfn.XLOOKUP($B186,Logistics!$M$6:$BM$6,Logistics!$M$13:$BM$13,0)</f>
        <v>OD</v>
      </c>
      <c r="N188" s="127" t="e">
        <f>_xlfn.XLOOKUP($B186,Engineering!$M$22:$BM$22,Engineering!#REF!,0)</f>
        <v>#REF!</v>
      </c>
      <c r="O188" s="127" t="str">
        <f>_xlfn.XLOOKUP($B186,'Quality MB'!$M$6:$BM$6,'Quality MB'!$M$13:$BM$13,0)</f>
        <v>G</v>
      </c>
      <c r="P188" s="127" t="str">
        <f>_xlfn.XLOOKUP($B186,Procurement!$M$6:$BM$6,Procurement!$M$13:$BM$13,0)</f>
        <v>A</v>
      </c>
      <c r="Q188" s="11" t="str">
        <f>_xlfn.XLOOKUP($B186,IT!$M$6:$BM$6,IT!$M$13:$BM$13,0)</f>
        <v>G</v>
      </c>
      <c r="R188" s="11" t="str">
        <f>_xlfn.XLOOKUP($B186,Marketing!$M$6:$BM$6,Marketing!$M$13:$BM$13,0)</f>
        <v>G</v>
      </c>
      <c r="S188" s="11" t="str">
        <f>IF(B186&gt;'KPI Linked Table for Report'!$C$2,"",_xlfn.XLOOKUP($T186,Finance!$M$16:$X$16,Finance!$M$21:$X$21,0))</f>
        <v/>
      </c>
      <c r="U188" s="127" t="str">
        <f>IF(B186&gt;='KPI Linked Table for Report'!$C$1,"",_xlfn.XLOOKUP($T186,'HR mthly'!$I$6:$BM$6,'HR mthly'!$I$18:$BM$18,0))</f>
        <v>G</v>
      </c>
      <c r="V188" s="127" t="str">
        <f>IF(B186&gt;='KPI Linked Table for Report'!$C$1,"",_xlfn.XLOOKUP($T186,'HR mthly'!$I$6:$BM$6,'HR mthly'!$I$21:$BM$21,0))</f>
        <v>R</v>
      </c>
    </row>
    <row r="189" spans="2:22" ht="42.45" customHeight="1" x14ac:dyDescent="0.3">
      <c r="B189" s="971" t="s">
        <v>173</v>
      </c>
      <c r="C189" s="971"/>
      <c r="D189" s="11" t="s">
        <v>174</v>
      </c>
      <c r="E189" s="11" t="s">
        <v>174</v>
      </c>
      <c r="F189" s="11" t="str">
        <f>_xlfn.XLOOKUP($B186,SOP!$M$6:$BM$6,SOP!$M$16:$BM$16,0)</f>
        <v>R</v>
      </c>
      <c r="G189" s="11" t="s">
        <v>174</v>
      </c>
      <c r="H189" s="11" t="str">
        <f>_xlfn.XLOOKUP($B186,'Product Design'!$M$6:$BM$6,'Product Design'!$M$16:$BM$16,0)</f>
        <v>A</v>
      </c>
      <c r="I189" s="11" t="str">
        <f>_xlfn.XLOOKUP($B186,'Product Eng - BE'!$M$6:$BM$6,'Product Eng - BE'!$M$16:$BM$16,0)</f>
        <v>R</v>
      </c>
      <c r="J189" s="11" t="str">
        <f>_xlfn.XLOOKUP($B186,'Product Eng - MB'!$M$6:$BM$6,'Product Eng - MB'!$M$16:$BM$16,0)</f>
        <v>G</v>
      </c>
      <c r="K189" s="11" t="s">
        <v>174</v>
      </c>
      <c r="L189" s="11" t="s">
        <v>174</v>
      </c>
      <c r="M189" s="11" t="s">
        <v>174</v>
      </c>
      <c r="N189" s="11" t="s">
        <v>174</v>
      </c>
      <c r="O189" s="11" t="s">
        <v>174</v>
      </c>
      <c r="P189" s="11" t="s">
        <v>174</v>
      </c>
      <c r="Q189" s="11" t="s">
        <v>174</v>
      </c>
      <c r="R189" s="11" t="s">
        <v>174</v>
      </c>
      <c r="S189" s="11" t="s">
        <v>174</v>
      </c>
      <c r="U189" s="11" t="s">
        <v>174</v>
      </c>
      <c r="V189" s="11" t="s">
        <v>174</v>
      </c>
    </row>
    <row r="190" spans="2:22" ht="42.45" customHeight="1" x14ac:dyDescent="0.3">
      <c r="B190" s="971" t="s">
        <v>32</v>
      </c>
      <c r="C190" s="971"/>
      <c r="D190" s="11" t="str">
        <f>_xlfn.XLOOKUP($B186,EHS!$M$6:$BM$6,EHS!$M$16:$BM$16,0)</f>
        <v>A</v>
      </c>
      <c r="E190" s="127" t="str">
        <f>_xlfn.XLOOKUP($B186,Estimating!$M$6:$BM$6,Estimating!$M$16:$BM$16,0)</f>
        <v>G</v>
      </c>
      <c r="F190" s="11" t="str">
        <f>_xlfn.XLOOKUP($B186,SOP!$M$6:$BM$6,SOP!$M$19:$BM$19,0)</f>
        <v>R</v>
      </c>
      <c r="G190" s="11" t="str">
        <f>_xlfn.XLOOKUP($B186,Design!$M$6:$BM$6,Design!$M$16:$BM$16,0)</f>
        <v>G</v>
      </c>
      <c r="H190" s="11" t="str">
        <f>_xlfn.XLOOKUP($B186,'Product Design'!$M$6:$BM$6,'Product Design'!$M$19:$BM$19,0)</f>
        <v>G</v>
      </c>
      <c r="I190" s="11" t="str">
        <f>_xlfn.XLOOKUP($B186,'Product Eng - BE'!$M$6:$BM$6,'Product Eng - BE'!$M$19:$BM$19,0)</f>
        <v>R</v>
      </c>
      <c r="J190" s="11" t="str">
        <f>_xlfn.XLOOKUP($B186,'Product Eng - MB'!$M$6:$BM$6,'Product Eng - MB'!$M$19:$BM$19,0)</f>
        <v>G</v>
      </c>
      <c r="K190" s="11" t="str">
        <f>_xlfn.XLOOKUP($B186,'Bridgend Manuf'!$M$6:$BM$6,'Bridgend Manuf'!$M$16:$BM$16,0)</f>
        <v>G</v>
      </c>
      <c r="L190" s="11" t="str">
        <f>_xlfn.XLOOKUP($B186,'Maybole Manuf'!$M$6:$BM$6,'Maybole Manuf'!$M$16:$BM$16,0)</f>
        <v>G</v>
      </c>
      <c r="M190" s="127" t="str">
        <f>_xlfn.XLOOKUP($B186,Logistics!$M$6:$BM$6,Logistics!$M$16:$BM$16,0)</f>
        <v>Missed</v>
      </c>
      <c r="N190" s="127" t="e">
        <f>_xlfn.XLOOKUP($B186,Engineering!$M$22:$BM$22,Engineering!#REF!,0)</f>
        <v>#REF!</v>
      </c>
      <c r="O190" s="127" t="str">
        <f>_xlfn.XLOOKUP($B186,'Quality MB'!$M$6:$BM$6,'Quality MB'!$M$16:$BM$16,0)</f>
        <v>G</v>
      </c>
      <c r="P190" s="127" t="str">
        <f>_xlfn.XLOOKUP($B186,Procurement!$M$6:$BM$6,Procurement!$M$16:$BM$16,0)</f>
        <v>R</v>
      </c>
      <c r="Q190" s="11" t="str">
        <f>_xlfn.XLOOKUP($B186,IT!$M$6:$BM$6,IT!$M$16:$BM$16,0)</f>
        <v>G</v>
      </c>
      <c r="R190" s="11" t="str">
        <f>_xlfn.XLOOKUP($B186,Marketing!$M$6:$BM$6,Marketing!$M$16:$BM$16,0)</f>
        <v>R</v>
      </c>
      <c r="S190" s="11" t="str">
        <f>IF(B186&gt;'KPI Linked Table for Report'!$C$2,"",_xlfn.XLOOKUP($T186,Finance!$M$16:$X$16,Finance!$M$24:$X$24,0))</f>
        <v/>
      </c>
      <c r="U190" s="127" t="str">
        <f>IF(B186&gt;='KPI Linked Table for Report'!$C$1,"",_xlfn.XLOOKUP($T186,'HR mthly'!$I$6:$BM$6,'HR mthly'!$I$26:$BM$26,0))</f>
        <v>R</v>
      </c>
      <c r="V190" s="127" t="str">
        <f>IF(B186&gt;='KPI Linked Table for Report'!$C$1,"",_xlfn.XLOOKUP($T186,'HR mthly'!$I$6:$BM$6,'HR mthly'!$I$29:$BM$29,0))</f>
        <v>A</v>
      </c>
    </row>
    <row r="191" spans="2:22" ht="42.45" customHeight="1" x14ac:dyDescent="0.3">
      <c r="B191" s="971" t="s">
        <v>31</v>
      </c>
      <c r="C191" s="971"/>
      <c r="D191" s="11" t="str">
        <f>_xlfn.XLOOKUP($B186,EHS!$M$6:$BM$6,EHS!$M$19:$BM$19,0)</f>
        <v>G</v>
      </c>
      <c r="E191" s="127" t="str">
        <f>_xlfn.XLOOKUP($B186,Estimating!$M$6:$BM$6,Estimating!$M$19:$BM$19,0)</f>
        <v>G</v>
      </c>
      <c r="F191" s="11" t="str">
        <f>_xlfn.XLOOKUP($B186,SOP!$M$6:$BM$6,SOP!$M$22:$BM$22,0)</f>
        <v>G</v>
      </c>
      <c r="G191" s="11" t="str">
        <f>_xlfn.XLOOKUP($B186,Design!$M$6:$BM$6,Design!$M$19:$BM$19,0)</f>
        <v>G</v>
      </c>
      <c r="H191" s="11" t="str">
        <f>_xlfn.XLOOKUP($B186,'Product Design'!$M$6:$BM$6,'Product Design'!$M$22:$BM$22,0)</f>
        <v>Undefined</v>
      </c>
      <c r="I191" s="11" t="str">
        <f>_xlfn.XLOOKUP($B186,'Product Eng - BE'!$M$6:$BM$6,'Product Eng - BE'!$M$22:$BM$22,0)</f>
        <v>G</v>
      </c>
      <c r="J191" s="11" t="str">
        <f>_xlfn.XLOOKUP($B186,'Product Eng - MB'!$M$6:$BM$6,'Product Eng - MB'!$M$22:$BM$22,0)</f>
        <v>R</v>
      </c>
      <c r="K191" s="11" t="str">
        <f>_xlfn.XLOOKUP($B186,'Bridgend Manuf'!$M$6:$BM$6,'Bridgend Manuf'!$M$19:$BM$19,0)</f>
        <v>G</v>
      </c>
      <c r="L191" s="11" t="str">
        <f>_xlfn.XLOOKUP($B186,'Maybole Manuf'!$M$6:$BM$6,'Maybole Manuf'!$M$19:$BM$19,0)</f>
        <v>R</v>
      </c>
      <c r="M191" s="127" t="str">
        <f>_xlfn.XLOOKUP($B186,Logistics!$M$6:$BM$6,Logistics!$M$19:$BM$19,0)</f>
        <v>Undefined</v>
      </c>
      <c r="N191" s="127" t="e">
        <f>_xlfn.XLOOKUP($B186,Engineering!$M$22:$BM$22,Engineering!#REF!,0)</f>
        <v>#REF!</v>
      </c>
      <c r="O191" s="127" t="str">
        <f>_xlfn.XLOOKUP($B186,'Quality MB'!$M$6:$BM$6,'Quality MB'!$M$19:$BM$19,0)</f>
        <v>G</v>
      </c>
      <c r="P191" s="127" t="str">
        <f>_xlfn.XLOOKUP($B186,Procurement!$M$6:$BM$6,Procurement!$M$19:$BM$19,0)</f>
        <v>G</v>
      </c>
      <c r="Q191" s="11" t="str">
        <f>_xlfn.XLOOKUP($B186,IT!$M$6:$BM$6,IT!$M$19:$BM$19,0)</f>
        <v>R</v>
      </c>
      <c r="R191" s="11" t="str">
        <f>_xlfn.XLOOKUP($B186,Marketing!$M$6:$BM$6,Marketing!$M$19:$BM$19,0)</f>
        <v>G</v>
      </c>
      <c r="S191" s="11" t="str">
        <f>IF(B186&gt;'KPI Linked Table for Report'!$C$2,"",_xlfn.XLOOKUP($T186,Finance!$M$16:$X$16,Finance!$M$27:$X$27,0))</f>
        <v/>
      </c>
      <c r="U191" s="127" t="str">
        <f>IF(B186&gt;='KPI Linked Table for Report'!$C$1,"",_xlfn.XLOOKUP($T186,'HR mthly'!$I$6:$BM$6,'HR mthly'!$I$33:$BM$33,0))</f>
        <v>A</v>
      </c>
      <c r="V191" s="127" t="str">
        <f>IF(B186&gt;='KPI Linked Table for Report'!$C$1,"",_xlfn.XLOOKUP($T186,'HR mthly'!$I$6:$BM$6,'HR mthly'!$I$36:$BM$36,0))</f>
        <v>R</v>
      </c>
    </row>
    <row r="193" spans="2:22" ht="42.45" customHeight="1" x14ac:dyDescent="0.3">
      <c r="B193" s="973" t="s">
        <v>7</v>
      </c>
      <c r="C193" s="974"/>
      <c r="D193" s="6" t="str">
        <f>+D$9</f>
        <v>EHS</v>
      </c>
      <c r="E193" s="6" t="str">
        <f>+E$9</f>
        <v>Estimating</v>
      </c>
      <c r="F193" s="6" t="str">
        <f t="shared" ref="F193:R193" si="44">+F$9</f>
        <v>SOP</v>
      </c>
      <c r="G193" s="6" t="str">
        <f>+G$9</f>
        <v>Design and R&amp;D</v>
      </c>
      <c r="H193" s="6" t="str">
        <f t="shared" si="44"/>
        <v>Product Design</v>
      </c>
      <c r="I193" s="6" t="str">
        <f t="shared" si="44"/>
        <v>Product Engineering Bridgend</v>
      </c>
      <c r="J193" s="6" t="str">
        <f t="shared" si="44"/>
        <v>Product Engineering Maybole</v>
      </c>
      <c r="K193" s="6" t="str">
        <f t="shared" si="44"/>
        <v>Bridgend
Manuf</v>
      </c>
      <c r="L193" s="6" t="str">
        <f t="shared" si="44"/>
        <v>Maybole
Manuf</v>
      </c>
      <c r="M193" s="6" t="str">
        <f>+M$9</f>
        <v>Logistics</v>
      </c>
      <c r="N193" s="6" t="str">
        <f>+N$9</f>
        <v>Engineering</v>
      </c>
      <c r="O193" s="6" t="str">
        <f>+O$9</f>
        <v>Quality
Maybole</v>
      </c>
      <c r="P193" s="6" t="str">
        <f>+P$9</f>
        <v>Procurement</v>
      </c>
      <c r="Q193" s="6" t="str">
        <f>+Q$9</f>
        <v>IT</v>
      </c>
      <c r="R193" s="6" t="str">
        <f t="shared" si="44"/>
        <v>Marketing</v>
      </c>
      <c r="S193" s="6" t="str">
        <f>+S$9</f>
        <v>Finance</v>
      </c>
      <c r="T193" s="7" t="s">
        <v>409</v>
      </c>
      <c r="U193" s="6" t="str">
        <f>+U$9</f>
        <v>HR</v>
      </c>
      <c r="V193" s="6" t="str">
        <f>+V$9</f>
        <v>HR</v>
      </c>
    </row>
    <row r="194" spans="2:22" ht="42.45" customHeight="1" x14ac:dyDescent="0.3">
      <c r="B194" s="7">
        <f>B186+1</f>
        <v>24</v>
      </c>
      <c r="C194" s="8">
        <f>C186+7</f>
        <v>45821</v>
      </c>
      <c r="D194" s="10" t="str">
        <f>+D$10</f>
        <v>Neil 
Laing</v>
      </c>
      <c r="E194" s="9" t="str">
        <f>+E$186</f>
        <v>Julian Sparrow</v>
      </c>
      <c r="F194" s="10" t="str">
        <f t="shared" ref="F194:R194" si="45">+F$10</f>
        <v>Sam Westwood</v>
      </c>
      <c r="G194" s="10" t="str">
        <f>+G$10</f>
        <v>Andrew Skitt</v>
      </c>
      <c r="H194" s="10" t="str">
        <f t="shared" si="45"/>
        <v>Paul 
Dolan</v>
      </c>
      <c r="I194" s="10" t="str">
        <f t="shared" si="45"/>
        <v>Paul 
Dolan</v>
      </c>
      <c r="J194" s="10" t="str">
        <f t="shared" si="45"/>
        <v>Paul 
Dolan</v>
      </c>
      <c r="K194" s="10" t="str">
        <f t="shared" si="45"/>
        <v>Garin Bowen</v>
      </c>
      <c r="L194" s="10" t="str">
        <f t="shared" si="45"/>
        <v>Scott McMillan</v>
      </c>
      <c r="M194" s="10" t="str">
        <f>+M$10</f>
        <v>Scott McMillan</v>
      </c>
      <c r="N194" s="10" t="str">
        <f>+N$10</f>
        <v>Garin Bowen</v>
      </c>
      <c r="O194" s="10" t="str">
        <f>+O$10</f>
        <v>Scott McMIllan</v>
      </c>
      <c r="P194" s="10" t="str">
        <f>+P$10</f>
        <v>Matt 
Pope</v>
      </c>
      <c r="Q194" s="10" t="str">
        <f>+Q$10</f>
        <v>Rhian 
Owen</v>
      </c>
      <c r="R194" s="10" t="str">
        <f t="shared" si="45"/>
        <v>Katherine 
Sanganee</v>
      </c>
      <c r="S194" s="10" t="str">
        <f>+S$10</f>
        <v>Gethin Davies</v>
      </c>
      <c r="T194" s="7">
        <v>5</v>
      </c>
      <c r="U194" s="10" t="str">
        <f>+U$10</f>
        <v>Bethan Grant</v>
      </c>
      <c r="V194" s="10" t="str">
        <f>+V$10</f>
        <v>Bethan Grant</v>
      </c>
    </row>
    <row r="195" spans="2:22" ht="42.45" customHeight="1" x14ac:dyDescent="0.3">
      <c r="B195" s="971" t="s">
        <v>30</v>
      </c>
      <c r="C195" s="971"/>
      <c r="D195" s="127" t="str">
        <f>_xlfn.XLOOKUP($B194,EHS!$M$6:$BM$6,EHS!$M$10:$BM$10,0)</f>
        <v>R</v>
      </c>
      <c r="E195" s="127" t="str">
        <f>_xlfn.XLOOKUP($B194,Estimating!$M$6:$BM$6,Estimating!$M$10:$BM$10,0)</f>
        <v>R</v>
      </c>
      <c r="F195" s="127" t="str">
        <f>_xlfn.XLOOKUP($B194,SOP!$M$6:$BM$6,SOP!$M$10:$BM$10,0)</f>
        <v>R</v>
      </c>
      <c r="G195" s="127" t="str">
        <f>_xlfn.XLOOKUP($B194,Design!$M$6:$BM$6,Design!$M$10:$BM$10,0)</f>
        <v>R</v>
      </c>
      <c r="H195" s="127" t="str">
        <f>_xlfn.XLOOKUP($B194,'Product Design'!$M$6:$BM$6,'Product Design'!$M$10:$BM$10,0)</f>
        <v>G</v>
      </c>
      <c r="I195" s="127" t="str">
        <f>_xlfn.XLOOKUP($B194,'Product Eng - BE'!$M$6:$BM$6,'Product Eng - BE'!$M$10:$BM$10,0)</f>
        <v>G</v>
      </c>
      <c r="J195" s="127" t="str">
        <f>_xlfn.XLOOKUP($B194,'Product Eng - MB'!$M$6:$BM$6,'Product Eng - MB'!$M$10:$BM$10,0)</f>
        <v>G</v>
      </c>
      <c r="K195" s="127" t="str">
        <f>_xlfn.XLOOKUP($B194,'Bridgend Manuf'!$M$6:$BM$6,'Bridgend Manuf'!$M$10:$BM$10,0)</f>
        <v>R</v>
      </c>
      <c r="L195" s="127" t="str">
        <f>_xlfn.XLOOKUP($B194,'Maybole Manuf'!$M$6:$BM$6,'Maybole Manuf'!$M$10:$BM$10,0)</f>
        <v>R</v>
      </c>
      <c r="M195" s="127" t="str">
        <f>_xlfn.XLOOKUP($B194,Logistics!$M$6:$BM$6,Logistics!$M$10:$BM$10,0)</f>
        <v>OD</v>
      </c>
      <c r="N195" s="127" t="str">
        <f>_xlfn.XLOOKUP($B194,Engineering!$M$22:$BM$22,Engineering!$M$26:$BM$26,0)</f>
        <v>R</v>
      </c>
      <c r="O195" s="127" t="str">
        <f>_xlfn.XLOOKUP($B194,'Quality MB'!$M$6:$BM$6,'Quality MB'!$M$10:$BM$10,0)</f>
        <v>G</v>
      </c>
      <c r="P195" s="127" t="str">
        <f>_xlfn.XLOOKUP($B194,Procurement!$M$6:$BM$6,Procurement!$M$10:$BM$10,0)</f>
        <v>R</v>
      </c>
      <c r="Q195" s="127" t="str">
        <f>_xlfn.XLOOKUP($B194,IT!$M$6:$BM$6,IT!$M$10:$BM$10,0)</f>
        <v>Undefined</v>
      </c>
      <c r="R195" s="127" t="str">
        <f>_xlfn.XLOOKUP($B194,Marketing!$M$6:$BM$6,Marketing!$M$10:$BM$10,0)</f>
        <v>G</v>
      </c>
      <c r="S195" s="127" t="str">
        <f>_xlfn.XLOOKUP($B194,Finance!$M$6:$BM$6,Finance!$M$10:$BM$10,0)</f>
        <v>G</v>
      </c>
      <c r="U195" s="127" t="str">
        <f>IF(B194&gt;='KPI Linked Table for Report'!$C$1,"",_xlfn.XLOOKUP($T194,'HR mthly'!$I$6:$BM$6,'HR mthly'!$I$11:$BM$11,0))</f>
        <v>G</v>
      </c>
      <c r="V195" s="127" t="str">
        <f>IF(B194&gt;='KPI Linked Table for Report'!$C$1,"",_xlfn.XLOOKUP($T194,'HR mthly'!$I$6:$BM$6,'HR mthly'!$I$14:$BM$14,0))</f>
        <v>G</v>
      </c>
    </row>
    <row r="196" spans="2:22" ht="42.45" customHeight="1" x14ac:dyDescent="0.3">
      <c r="B196" s="971" t="s">
        <v>172</v>
      </c>
      <c r="C196" s="971"/>
      <c r="D196" s="127" t="str">
        <f>_xlfn.XLOOKUP($B194,EHS!$M$6:$BM$6,EHS!$M$13:$BM$13,0)</f>
        <v>G</v>
      </c>
      <c r="E196" s="127" t="str">
        <f>_xlfn.XLOOKUP($B194,Estimating!$M$6:$BM$6,Estimating!$M$13:$BM$13,0)</f>
        <v>R</v>
      </c>
      <c r="F196" s="127" t="str">
        <f>_xlfn.XLOOKUP($B194,SOP!$M$6:$BM$6,SOP!$M$13:$BM$13,0)</f>
        <v>R</v>
      </c>
      <c r="G196" s="127" t="str">
        <f>_xlfn.XLOOKUP($B194,Design!$M$6:$BM$6,Design!$M$13:$BM$13,0)</f>
        <v>R</v>
      </c>
      <c r="H196" s="127" t="str">
        <f>_xlfn.XLOOKUP($B194,'Product Design'!$M$6:$BM$6,'Product Design'!$M$13:$BM$13,0)</f>
        <v>R</v>
      </c>
      <c r="I196" s="127" t="str">
        <f>_xlfn.XLOOKUP($B194,'Product Eng - BE'!$M$6:$BM$6,'Product Eng - BE'!$M$13:$BM$13,0)</f>
        <v>G</v>
      </c>
      <c r="J196" s="127" t="str">
        <f>_xlfn.XLOOKUP($B194,'Product Eng - MB'!$M$6:$BM$6,'Product Eng - MB'!$M$13:$BM$13,0)</f>
        <v>G</v>
      </c>
      <c r="K196" s="127" t="str">
        <f>_xlfn.XLOOKUP($B194,'Bridgend Manuf'!$M$6:$BM$6,'Bridgend Manuf'!$M$13:$BM$13,0)</f>
        <v>A</v>
      </c>
      <c r="L196" s="127" t="str">
        <f>_xlfn.XLOOKUP($B194,'Maybole Manuf'!$M$6:$BM$6,'Maybole Manuf'!$M$13:$BM$13,0)</f>
        <v>G</v>
      </c>
      <c r="M196" s="127" t="str">
        <f>_xlfn.XLOOKUP($B194,Logistics!$M$6:$BM$6,Logistics!$M$13:$BM$13,0)</f>
        <v>OD</v>
      </c>
      <c r="N196" s="127" t="e">
        <f>_xlfn.XLOOKUP($B194,Engineering!$M$22:$BM$22,Engineering!#REF!,0)</f>
        <v>#REF!</v>
      </c>
      <c r="O196" s="127" t="str">
        <f>_xlfn.XLOOKUP($B194,'Quality MB'!$M$6:$BM$6,'Quality MB'!$M$13:$BM$13,0)</f>
        <v>G</v>
      </c>
      <c r="P196" s="127" t="str">
        <f>_xlfn.XLOOKUP($B194,Procurement!$M$6:$BM$6,Procurement!$M$13:$BM$13,0)</f>
        <v>A</v>
      </c>
      <c r="Q196" s="127" t="str">
        <f>_xlfn.XLOOKUP($B194,IT!$M$6:$BM$6,IT!$M$13:$BM$13,0)</f>
        <v>G</v>
      </c>
      <c r="R196" s="127" t="str">
        <f>_xlfn.XLOOKUP($B194,Marketing!$M$6:$BM$6,Marketing!$M$13:$BM$13,0)</f>
        <v>R</v>
      </c>
      <c r="S196" s="127" t="str">
        <f>IF(B194&gt;'KPI Linked Table for Report'!$C$2,"",_xlfn.XLOOKUP($T194,Finance!$M$16:$X$16,Finance!$M$21:$X$21,0))</f>
        <v/>
      </c>
      <c r="U196" s="127" t="str">
        <f>IF(B194&gt;='KPI Linked Table for Report'!$C$1,"",_xlfn.XLOOKUP($T194,'HR mthly'!$I$6:$BM$6,'HR mthly'!$I$18:$BM$18,0))</f>
        <v>G</v>
      </c>
      <c r="V196" s="127" t="str">
        <f>IF(B194&gt;='KPI Linked Table for Report'!$C$1,"",_xlfn.XLOOKUP($T194,'HR mthly'!$I$6:$BM$6,'HR mthly'!$I$21:$BM$21,0))</f>
        <v>R</v>
      </c>
    </row>
    <row r="197" spans="2:22" ht="42.45" customHeight="1" x14ac:dyDescent="0.3">
      <c r="B197" s="971" t="s">
        <v>173</v>
      </c>
      <c r="C197" s="971"/>
      <c r="D197" s="11" t="s">
        <v>174</v>
      </c>
      <c r="E197" s="11" t="s">
        <v>174</v>
      </c>
      <c r="F197" s="11" t="str">
        <f>_xlfn.XLOOKUP($B194,SOP!$M$6:$BM$6,SOP!$M$16:$BM$16,0)</f>
        <v>R</v>
      </c>
      <c r="G197" s="11" t="s">
        <v>174</v>
      </c>
      <c r="H197" s="11" t="str">
        <f>_xlfn.XLOOKUP($B194,'Product Design'!$M$6:$BM$6,'Product Design'!$M$16:$BM$16,0)</f>
        <v>A</v>
      </c>
      <c r="I197" s="11" t="str">
        <f>_xlfn.XLOOKUP($B194,'Product Eng - BE'!$M$6:$BM$6,'Product Eng - BE'!$M$16:$BM$16,0)</f>
        <v>R</v>
      </c>
      <c r="J197" s="11" t="str">
        <f>_xlfn.XLOOKUP($B194,'Product Eng - MB'!$M$6:$BM$6,'Product Eng - MB'!$M$16:$BM$16,0)</f>
        <v>G</v>
      </c>
      <c r="K197" s="11" t="s">
        <v>174</v>
      </c>
      <c r="L197" s="11" t="s">
        <v>174</v>
      </c>
      <c r="M197" s="11" t="s">
        <v>174</v>
      </c>
      <c r="N197" s="11" t="s">
        <v>174</v>
      </c>
      <c r="O197" s="11" t="s">
        <v>174</v>
      </c>
      <c r="P197" s="11" t="s">
        <v>174</v>
      </c>
      <c r="Q197" s="11" t="s">
        <v>174</v>
      </c>
      <c r="R197" s="11" t="s">
        <v>174</v>
      </c>
      <c r="S197" s="11" t="s">
        <v>174</v>
      </c>
      <c r="U197" s="11" t="s">
        <v>174</v>
      </c>
      <c r="V197" s="11" t="s">
        <v>174</v>
      </c>
    </row>
    <row r="198" spans="2:22" ht="42.45" customHeight="1" x14ac:dyDescent="0.3">
      <c r="B198" s="971" t="s">
        <v>32</v>
      </c>
      <c r="C198" s="971"/>
      <c r="D198" s="127" t="str">
        <f>_xlfn.XLOOKUP($B194,EHS!$M$6:$BM$6,EHS!$M$16:$BM$16,0)</f>
        <v>R</v>
      </c>
      <c r="E198" s="127" t="str">
        <f>_xlfn.XLOOKUP($B194,Estimating!$M$6:$BM$6,Estimating!$M$16:$BM$16,0)</f>
        <v>R</v>
      </c>
      <c r="F198" s="127" t="str">
        <f>_xlfn.XLOOKUP($B194,SOP!$M$6:$BM$6,SOP!$M$19:$BM$19,0)</f>
        <v>R</v>
      </c>
      <c r="G198" s="127" t="str">
        <f>_xlfn.XLOOKUP($B194,Design!$M$6:$BM$6,Design!$M$16:$BM$16,0)</f>
        <v>R</v>
      </c>
      <c r="H198" s="127" t="str">
        <f>_xlfn.XLOOKUP($B194,'Product Design'!$M$6:$BM$6,'Product Design'!$M$19:$BM$19,0)</f>
        <v>G</v>
      </c>
      <c r="I198" s="127" t="str">
        <f>_xlfn.XLOOKUP($B194,'Product Eng - BE'!$M$6:$BM$6,'Product Eng - BE'!$M$19:$BM$19,0)</f>
        <v>R</v>
      </c>
      <c r="J198" s="127" t="str">
        <f>_xlfn.XLOOKUP($B194,'Product Eng - MB'!$M$6:$BM$6,'Product Eng - MB'!$M$19:$BM$19,0)</f>
        <v>G</v>
      </c>
      <c r="K198" s="127" t="str">
        <f>_xlfn.XLOOKUP($B194,'Bridgend Manuf'!$M$6:$BM$6,'Bridgend Manuf'!$M$16:$BM$16,0)</f>
        <v>G</v>
      </c>
      <c r="L198" s="127" t="str">
        <f>_xlfn.XLOOKUP($B194,'Maybole Manuf'!$M$6:$BM$6,'Maybole Manuf'!$M$16:$BM$16,0)</f>
        <v>G</v>
      </c>
      <c r="M198" s="127" t="str">
        <f>_xlfn.XLOOKUP($B194,Logistics!$M$6:$BM$6,Logistics!$M$16:$BM$16,0)</f>
        <v>Missed</v>
      </c>
      <c r="N198" s="127" t="e">
        <f>_xlfn.XLOOKUP($B194,Engineering!$M$22:$BM$22,Engineering!#REF!,0)</f>
        <v>#REF!</v>
      </c>
      <c r="O198" s="127" t="str">
        <f>_xlfn.XLOOKUP($B194,'Quality MB'!$M$6:$BM$6,'Quality MB'!$M$16:$BM$16,0)</f>
        <v>G</v>
      </c>
      <c r="P198" s="127" t="str">
        <f>_xlfn.XLOOKUP($B194,Procurement!$M$6:$BM$6,Procurement!$M$16:$BM$16,0)</f>
        <v>G</v>
      </c>
      <c r="Q198" s="127" t="str">
        <f>_xlfn.XLOOKUP($B194,IT!$M$6:$BM$6,IT!$M$16:$BM$16,0)</f>
        <v>G</v>
      </c>
      <c r="R198" s="127" t="str">
        <f>_xlfn.XLOOKUP($B194,Marketing!$M$6:$BM$6,Marketing!$M$16:$BM$16,0)</f>
        <v>R</v>
      </c>
      <c r="S198" s="127" t="str">
        <f>IF(B194&gt;'KPI Linked Table for Report'!$C$2,"",_xlfn.XLOOKUP($T194,Finance!$M$16:$X$16,Finance!$M$24:$X$24,0))</f>
        <v/>
      </c>
      <c r="U198" s="127" t="str">
        <f>IF(B194&gt;='KPI Linked Table for Report'!$C$1,"",_xlfn.XLOOKUP($T194,'HR mthly'!$I$6:$BM$6,'HR mthly'!$I$26:$BM$26,0))</f>
        <v>R</v>
      </c>
      <c r="V198" s="127" t="str">
        <f>IF(B194&gt;='KPI Linked Table for Report'!$C$1,"",_xlfn.XLOOKUP($T194,'HR mthly'!$I$6:$BM$6,'HR mthly'!$I$29:$BM$29,0))</f>
        <v>A</v>
      </c>
    </row>
    <row r="199" spans="2:22" ht="42.45" customHeight="1" x14ac:dyDescent="0.3">
      <c r="B199" s="971" t="s">
        <v>31</v>
      </c>
      <c r="C199" s="971"/>
      <c r="D199" s="127" t="str">
        <f>_xlfn.XLOOKUP($B194,EHS!$M$6:$BM$6,EHS!$M$19:$BM$19,0)</f>
        <v>G</v>
      </c>
      <c r="E199" s="127" t="str">
        <f>_xlfn.XLOOKUP($B194,Estimating!$M$6:$BM$6,Estimating!$M$19:$BM$19,0)</f>
        <v>G</v>
      </c>
      <c r="F199" s="127" t="str">
        <f>_xlfn.XLOOKUP($B194,SOP!$M$6:$BM$6,SOP!$M$22:$BM$22,0)</f>
        <v>R</v>
      </c>
      <c r="G199" s="127" t="str">
        <f>_xlfn.XLOOKUP($B194,Design!$M$6:$BM$6,Design!$M$19:$BM$19,0)</f>
        <v>A</v>
      </c>
      <c r="H199" s="127" t="str">
        <f>_xlfn.XLOOKUP($B194,'Product Design'!$M$6:$BM$6,'Product Design'!$M$22:$BM$22,0)</f>
        <v>Undefined</v>
      </c>
      <c r="I199" s="127" t="str">
        <f>_xlfn.XLOOKUP($B194,'Product Eng - BE'!$M$6:$BM$6,'Product Eng - BE'!$M$22:$BM$22,0)</f>
        <v>G</v>
      </c>
      <c r="J199" s="127" t="str">
        <f>_xlfn.XLOOKUP($B194,'Product Eng - MB'!$M$6:$BM$6,'Product Eng - MB'!$M$22:$BM$22,0)</f>
        <v>R</v>
      </c>
      <c r="K199" s="127" t="str">
        <f>_xlfn.XLOOKUP($B194,'Bridgend Manuf'!$M$6:$BM$6,'Bridgend Manuf'!$M$19:$BM$19,0)</f>
        <v>R</v>
      </c>
      <c r="L199" s="127" t="str">
        <f>_xlfn.XLOOKUP($B194,'Maybole Manuf'!$M$6:$BM$6,'Maybole Manuf'!$M$19:$BM$19,0)</f>
        <v>R</v>
      </c>
      <c r="M199" s="127" t="str">
        <f>_xlfn.XLOOKUP($B194,Logistics!$M$6:$BM$6,Logistics!$M$19:$BM$19,0)</f>
        <v>Undefined</v>
      </c>
      <c r="N199" s="127" t="e">
        <f>_xlfn.XLOOKUP($B194,Engineering!$M$22:$BM$22,Engineering!#REF!,0)</f>
        <v>#REF!</v>
      </c>
      <c r="O199" s="127" t="str">
        <f>_xlfn.XLOOKUP($B194,'Quality MB'!$M$6:$BM$6,'Quality MB'!$M$19:$BM$19,0)</f>
        <v>G</v>
      </c>
      <c r="P199" s="127" t="str">
        <f>_xlfn.XLOOKUP($B194,Procurement!$M$6:$BM$6,Procurement!$M$19:$BM$19,0)</f>
        <v>G</v>
      </c>
      <c r="Q199" s="127" t="str">
        <f>_xlfn.XLOOKUP($B194,IT!$M$6:$BM$6,IT!$M$19:$BM$19,0)</f>
        <v>R</v>
      </c>
      <c r="R199" s="127" t="str">
        <f>_xlfn.XLOOKUP($B194,Marketing!$M$6:$BM$6,Marketing!$M$19:$BM$19,0)</f>
        <v>G</v>
      </c>
      <c r="S199" s="127" t="str">
        <f>IF(B194&gt;'KPI Linked Table for Report'!$C$2,"",_xlfn.XLOOKUP($T194,Finance!$M$16:$X$16,Finance!$M$27:$X$27,0))</f>
        <v/>
      </c>
      <c r="U199" s="127" t="str">
        <f>IF(B194&gt;='KPI Linked Table for Report'!$C$1,"",_xlfn.XLOOKUP($T194,'HR mthly'!$I$6:$BM$6,'HR mthly'!$I$33:$BM$33,0))</f>
        <v>A</v>
      </c>
      <c r="V199" s="127" t="str">
        <f>IF(B194&gt;='KPI Linked Table for Report'!$C$1,"",_xlfn.XLOOKUP($T194,'HR mthly'!$I$6:$BM$6,'HR mthly'!$I$36:$BM$36,0))</f>
        <v>R</v>
      </c>
    </row>
    <row r="201" spans="2:22" ht="42.45" customHeight="1" x14ac:dyDescent="0.3">
      <c r="B201" s="973" t="s">
        <v>7</v>
      </c>
      <c r="C201" s="974"/>
      <c r="D201" s="6" t="str">
        <f>+D$9</f>
        <v>EHS</v>
      </c>
      <c r="E201" s="6" t="str">
        <f>+E$9</f>
        <v>Estimating</v>
      </c>
      <c r="F201" s="6" t="str">
        <f t="shared" ref="F201:R201" si="46">+F$9</f>
        <v>SOP</v>
      </c>
      <c r="G201" s="6" t="str">
        <f>+G$9</f>
        <v>Design and R&amp;D</v>
      </c>
      <c r="H201" s="6" t="str">
        <f t="shared" si="46"/>
        <v>Product Design</v>
      </c>
      <c r="I201" s="6" t="str">
        <f t="shared" si="46"/>
        <v>Product Engineering Bridgend</v>
      </c>
      <c r="J201" s="6" t="str">
        <f t="shared" si="46"/>
        <v>Product Engineering Maybole</v>
      </c>
      <c r="K201" s="6" t="str">
        <f t="shared" si="46"/>
        <v>Bridgend
Manuf</v>
      </c>
      <c r="L201" s="6" t="str">
        <f t="shared" si="46"/>
        <v>Maybole
Manuf</v>
      </c>
      <c r="M201" s="6" t="str">
        <f>+M$9</f>
        <v>Logistics</v>
      </c>
      <c r="N201" s="6" t="str">
        <f>+N$9</f>
        <v>Engineering</v>
      </c>
      <c r="O201" s="6" t="str">
        <f>+O$9</f>
        <v>Quality
Maybole</v>
      </c>
      <c r="P201" s="6" t="str">
        <f>+P$9</f>
        <v>Procurement</v>
      </c>
      <c r="Q201" s="6" t="str">
        <f>+Q$9</f>
        <v>IT</v>
      </c>
      <c r="R201" s="6" t="str">
        <f t="shared" si="46"/>
        <v>Marketing</v>
      </c>
      <c r="S201" s="6" t="str">
        <f>+S$9</f>
        <v>Finance</v>
      </c>
      <c r="T201" s="7" t="s">
        <v>409</v>
      </c>
      <c r="U201" s="6" t="str">
        <f>+U$9</f>
        <v>HR</v>
      </c>
      <c r="V201" s="6" t="str">
        <f>+V$9</f>
        <v>HR</v>
      </c>
    </row>
    <row r="202" spans="2:22" ht="42.45" customHeight="1" x14ac:dyDescent="0.3">
      <c r="B202" s="7">
        <f>B194+1</f>
        <v>25</v>
      </c>
      <c r="C202" s="8">
        <f>C194+7</f>
        <v>45828</v>
      </c>
      <c r="D202" s="10" t="s">
        <v>24</v>
      </c>
      <c r="E202" s="9" t="str">
        <f>+E$186</f>
        <v>Julian Sparrow</v>
      </c>
      <c r="F202" s="10" t="s">
        <v>19</v>
      </c>
      <c r="G202" s="10" t="s">
        <v>20</v>
      </c>
      <c r="H202" s="10" t="s">
        <v>24</v>
      </c>
      <c r="I202" s="10" t="s">
        <v>24</v>
      </c>
      <c r="J202" s="10" t="s">
        <v>21</v>
      </c>
      <c r="K202" s="10" t="s">
        <v>22</v>
      </c>
      <c r="L202" s="10" t="s">
        <v>23</v>
      </c>
      <c r="M202" s="10" t="str">
        <f>+M$10</f>
        <v>Scott McMillan</v>
      </c>
      <c r="N202" s="10" t="str">
        <f>+N$10</f>
        <v>Garin Bowen</v>
      </c>
      <c r="O202" s="10" t="str">
        <f>+O$10</f>
        <v>Scott McMIllan</v>
      </c>
      <c r="P202" s="10" t="str">
        <f>+P$10</f>
        <v>Matt 
Pope</v>
      </c>
      <c r="Q202" s="10" t="s">
        <v>29</v>
      </c>
      <c r="R202" s="10" t="s">
        <v>25</v>
      </c>
      <c r="S202" s="10" t="s">
        <v>26</v>
      </c>
      <c r="T202" s="7">
        <v>5</v>
      </c>
      <c r="U202" s="10" t="str">
        <f>+U$10</f>
        <v>Bethan Grant</v>
      </c>
      <c r="V202" s="10" t="str">
        <f>+V$10</f>
        <v>Bethan Grant</v>
      </c>
    </row>
    <row r="203" spans="2:22" ht="42.45" customHeight="1" x14ac:dyDescent="0.3">
      <c r="B203" s="971" t="s">
        <v>30</v>
      </c>
      <c r="C203" s="971"/>
      <c r="D203" s="127" t="str">
        <f>_xlfn.XLOOKUP($B202,EHS!$M$6:$BM$6,EHS!$M$10:$BM$10,0)</f>
        <v>R</v>
      </c>
      <c r="E203" s="127" t="str">
        <f>_xlfn.XLOOKUP($B202,Estimating!$M$6:$BM$6,Estimating!$M$10:$BM$10,0)</f>
        <v>G</v>
      </c>
      <c r="F203" s="127" t="str">
        <f>_xlfn.XLOOKUP($B202,SOP!$M$6:$BM$6,SOP!$M$10:$BM$10,0)</f>
        <v>G</v>
      </c>
      <c r="G203" s="127" t="str">
        <f>_xlfn.XLOOKUP($B202,Design!$M$6:$BM$6,Design!$M$10:$BM$10,0)</f>
        <v>R</v>
      </c>
      <c r="H203" s="127" t="str">
        <f>_xlfn.XLOOKUP($B202,'Product Design'!$M$6:$BM$6,'Product Design'!$M$10:$BM$10,0)</f>
        <v>G</v>
      </c>
      <c r="I203" s="127" t="str">
        <f>_xlfn.XLOOKUP($B202,'Product Eng - BE'!$M$6:$BM$6,'Product Eng - BE'!$M$10:$BM$10,0)</f>
        <v>G</v>
      </c>
      <c r="J203" s="127" t="str">
        <f>_xlfn.XLOOKUP($B202,'Product Eng - MB'!$M$6:$BM$6,'Product Eng - MB'!$M$10:$BM$10,0)</f>
        <v>G</v>
      </c>
      <c r="K203" s="127" t="str">
        <f>_xlfn.XLOOKUP($B202,'Bridgend Manuf'!$M$6:$BM$6,'Bridgend Manuf'!$M$10:$BM$10,0)</f>
        <v>R</v>
      </c>
      <c r="L203" s="127" t="str">
        <f>_xlfn.XLOOKUP($B202,'Maybole Manuf'!$M$6:$BM$6,'Maybole Manuf'!$M$10:$BM$10,0)</f>
        <v>R</v>
      </c>
      <c r="M203" s="127" t="str">
        <f>_xlfn.XLOOKUP($B202,Logistics!$M$6:$BM$6,Logistics!$M$10:$BM$10,0)</f>
        <v>OD</v>
      </c>
      <c r="N203" s="127" t="str">
        <f>_xlfn.XLOOKUP($B202,Engineering!$M$22:$BM$22,Engineering!$M$26:$BM$26,0)</f>
        <v>R</v>
      </c>
      <c r="O203" s="127" t="str">
        <f>_xlfn.XLOOKUP($B202,'Quality MB'!$M$6:$BM$6,'Quality MB'!$M$10:$BM$10,0)</f>
        <v>G</v>
      </c>
      <c r="P203" s="127" t="str">
        <f>_xlfn.XLOOKUP($B202,Procurement!$M$6:$BM$6,Procurement!$M$10:$BM$10,0)</f>
        <v>R</v>
      </c>
      <c r="Q203" s="127" t="str">
        <f>_xlfn.XLOOKUP($B202,IT!$M$6:$BM$6,IT!$M$10:$BM$10,0)</f>
        <v>Undefined</v>
      </c>
      <c r="R203" s="127" t="str">
        <f>_xlfn.XLOOKUP($B202,Marketing!$M$6:$BM$6,Marketing!$M$10:$BM$10,0)</f>
        <v>G</v>
      </c>
      <c r="S203" s="127" t="str">
        <f>_xlfn.XLOOKUP($B202,Finance!$M$6:$BM$6,Finance!$M$10:$BM$10,0)</f>
        <v>G</v>
      </c>
      <c r="U203" s="127" t="str">
        <f>IF(B202&gt;='KPI Linked Table for Report'!$C$1,"",_xlfn.XLOOKUP($T202,'HR mthly'!$I$6:$BM$6,'HR mthly'!$I$11:$BM$11,0))</f>
        <v>G</v>
      </c>
      <c r="V203" s="127" t="str">
        <f>IF(B202&gt;='KPI Linked Table for Report'!$C$1,"",_xlfn.XLOOKUP($T202,'HR mthly'!$I$6:$BM$6,'HR mthly'!$I$14:$BM$14,0))</f>
        <v>G</v>
      </c>
    </row>
    <row r="204" spans="2:22" ht="42.45" customHeight="1" x14ac:dyDescent="0.3">
      <c r="B204" s="971" t="s">
        <v>172</v>
      </c>
      <c r="C204" s="971"/>
      <c r="D204" s="127" t="str">
        <f>_xlfn.XLOOKUP($B202,EHS!$M$6:$BM$6,EHS!$M$13:$BM$13,0)</f>
        <v>G</v>
      </c>
      <c r="E204" s="127" t="str">
        <f>_xlfn.XLOOKUP($B202,Estimating!$M$6:$BM$6,Estimating!$M$13:$BM$13,0)</f>
        <v>R</v>
      </c>
      <c r="F204" s="127" t="str">
        <f>_xlfn.XLOOKUP($B202,SOP!$M$6:$BM$6,SOP!$M$13:$BM$13,0)</f>
        <v>R</v>
      </c>
      <c r="G204" s="127" t="str">
        <f>_xlfn.XLOOKUP($B202,Design!$M$6:$BM$6,Design!$M$13:$BM$13,0)</f>
        <v>R</v>
      </c>
      <c r="H204" s="127" t="str">
        <f>_xlfn.XLOOKUP($B202,'Product Design'!$M$6:$BM$6,'Product Design'!$M$13:$BM$13,0)</f>
        <v>R</v>
      </c>
      <c r="I204" s="127" t="str">
        <f>_xlfn.XLOOKUP($B202,'Product Eng - BE'!$M$6:$BM$6,'Product Eng - BE'!$M$13:$BM$13,0)</f>
        <v>G</v>
      </c>
      <c r="J204" s="127" t="str">
        <f>_xlfn.XLOOKUP($B202,'Product Eng - MB'!$M$6:$BM$6,'Product Eng - MB'!$M$13:$BM$13,0)</f>
        <v>G</v>
      </c>
      <c r="K204" s="127" t="str">
        <f>_xlfn.XLOOKUP($B202,'Bridgend Manuf'!$M$6:$BM$6,'Bridgend Manuf'!$M$13:$BM$13,0)</f>
        <v>G</v>
      </c>
      <c r="L204" s="127" t="str">
        <f>_xlfn.XLOOKUP($B202,'Maybole Manuf'!$M$6:$BM$6,'Maybole Manuf'!$M$13:$BM$13,0)</f>
        <v>G</v>
      </c>
      <c r="M204" s="127" t="str">
        <f>_xlfn.XLOOKUP($B202,Logistics!$M$6:$BM$6,Logistics!$M$13:$BM$13,0)</f>
        <v>OD</v>
      </c>
      <c r="N204" s="127" t="e">
        <f>_xlfn.XLOOKUP($B202,Engineering!$M$22:$BM$22,Engineering!#REF!,0)</f>
        <v>#REF!</v>
      </c>
      <c r="O204" s="127" t="str">
        <f>_xlfn.XLOOKUP($B202,'Quality MB'!$M$6:$BM$6,'Quality MB'!$M$13:$BM$13,0)</f>
        <v>G</v>
      </c>
      <c r="P204" s="127" t="str">
        <f>_xlfn.XLOOKUP($B202,Procurement!$M$6:$BM$6,Procurement!$M$13:$BM$13,0)</f>
        <v>A</v>
      </c>
      <c r="Q204" s="127" t="str">
        <f>_xlfn.XLOOKUP($B202,IT!$M$6:$BM$6,IT!$M$13:$BM$13,0)</f>
        <v>G</v>
      </c>
      <c r="R204" s="127" t="str">
        <f>_xlfn.XLOOKUP($B202,Marketing!$M$6:$BM$6,Marketing!$M$13:$BM$13,0)</f>
        <v>G</v>
      </c>
      <c r="S204" s="127" t="str">
        <f>IF(B202&gt;'KPI Linked Table for Report'!$C$2,"",_xlfn.XLOOKUP($T202,Finance!$M$16:$X$16,Finance!$M$21:$X$21,0))</f>
        <v/>
      </c>
      <c r="U204" s="127" t="str">
        <f>IF(B202&gt;='KPI Linked Table for Report'!$C$1,"",_xlfn.XLOOKUP($T202,'HR mthly'!$I$6:$BM$6,'HR mthly'!$I$18:$BM$18,0))</f>
        <v>G</v>
      </c>
      <c r="V204" s="127" t="str">
        <f>IF(B202&gt;='KPI Linked Table for Report'!$C$1,"",_xlfn.XLOOKUP($T202,'HR mthly'!$I$6:$BM$6,'HR mthly'!$I$21:$BM$21,0))</f>
        <v>R</v>
      </c>
    </row>
    <row r="205" spans="2:22" ht="42.45" customHeight="1" x14ac:dyDescent="0.3">
      <c r="B205" s="971" t="s">
        <v>173</v>
      </c>
      <c r="C205" s="971"/>
      <c r="D205" s="11" t="s">
        <v>174</v>
      </c>
      <c r="E205" s="11" t="s">
        <v>174</v>
      </c>
      <c r="F205" s="11" t="str">
        <f>_xlfn.XLOOKUP($B202,SOP!$M$6:$BM$6,SOP!$M$16:$BM$16,0)</f>
        <v>R</v>
      </c>
      <c r="G205" s="11" t="s">
        <v>174</v>
      </c>
      <c r="H205" s="11" t="str">
        <f>_xlfn.XLOOKUP($B202,'Product Design'!$M$6:$BM$6,'Product Design'!$M$16:$BM$16,0)</f>
        <v>A</v>
      </c>
      <c r="I205" s="11" t="str">
        <f>_xlfn.XLOOKUP($B202,'Product Eng - BE'!$M$6:$BM$6,'Product Eng - BE'!$M$16:$BM$16,0)</f>
        <v>R</v>
      </c>
      <c r="J205" s="11" t="str">
        <f>_xlfn.XLOOKUP($B202,'Product Eng - MB'!$M$6:$BM$6,'Product Eng - MB'!$M$16:$BM$16,0)</f>
        <v>G</v>
      </c>
      <c r="K205" s="11" t="s">
        <v>174</v>
      </c>
      <c r="L205" s="11" t="s">
        <v>174</v>
      </c>
      <c r="M205" s="11" t="s">
        <v>174</v>
      </c>
      <c r="N205" s="11" t="s">
        <v>174</v>
      </c>
      <c r="O205" s="11" t="s">
        <v>174</v>
      </c>
      <c r="P205" s="11" t="s">
        <v>174</v>
      </c>
      <c r="Q205" s="11" t="s">
        <v>174</v>
      </c>
      <c r="R205" s="11" t="s">
        <v>174</v>
      </c>
      <c r="S205" s="11" t="s">
        <v>174</v>
      </c>
      <c r="U205" s="11" t="s">
        <v>174</v>
      </c>
      <c r="V205" s="11" t="s">
        <v>174</v>
      </c>
    </row>
    <row r="206" spans="2:22" ht="42.45" customHeight="1" x14ac:dyDescent="0.3">
      <c r="B206" s="971" t="s">
        <v>32</v>
      </c>
      <c r="C206" s="971"/>
      <c r="D206" s="127" t="str">
        <f>_xlfn.XLOOKUP($B202,EHS!$M$6:$BM$6,EHS!$M$16:$BM$16,0)</f>
        <v>A</v>
      </c>
      <c r="E206" s="127" t="str">
        <f>_xlfn.XLOOKUP($B202,Estimating!$M$6:$BM$6,Estimating!$M$16:$BM$16,0)</f>
        <v>R</v>
      </c>
      <c r="F206" s="127" t="str">
        <f>_xlfn.XLOOKUP($B202,SOP!$M$6:$BM$6,SOP!$M$19:$BM$19,0)</f>
        <v>R</v>
      </c>
      <c r="G206" s="127" t="str">
        <f>_xlfn.XLOOKUP($B202,Design!$M$6:$BM$6,Design!$M$16:$BM$16,0)</f>
        <v>R</v>
      </c>
      <c r="H206" s="127" t="str">
        <f>_xlfn.XLOOKUP($B202,'Product Design'!$M$6:$BM$6,'Product Design'!$M$19:$BM$19,0)</f>
        <v>G</v>
      </c>
      <c r="I206" s="127" t="str">
        <f>_xlfn.XLOOKUP($B202,'Product Eng - BE'!$M$6:$BM$6,'Product Eng - BE'!$M$19:$BM$19,0)</f>
        <v>G</v>
      </c>
      <c r="J206" s="127" t="str">
        <f>_xlfn.XLOOKUP($B202,'Product Eng - MB'!$M$6:$BM$6,'Product Eng - MB'!$M$19:$BM$19,0)</f>
        <v>G</v>
      </c>
      <c r="K206" s="127" t="str">
        <f>_xlfn.XLOOKUP($B202,'Bridgend Manuf'!$M$6:$BM$6,'Bridgend Manuf'!$M$16:$BM$16,0)</f>
        <v>G</v>
      </c>
      <c r="L206" s="127" t="str">
        <f>_xlfn.XLOOKUP($B202,'Maybole Manuf'!$M$6:$BM$6,'Maybole Manuf'!$M$16:$BM$16,0)</f>
        <v>G</v>
      </c>
      <c r="M206" s="127" t="str">
        <f>_xlfn.XLOOKUP($B202,Logistics!$M$6:$BM$6,Logistics!$M$16:$BM$16,0)</f>
        <v>Missed</v>
      </c>
      <c r="N206" s="127" t="e">
        <f>_xlfn.XLOOKUP($B202,Engineering!$M$22:$BM$22,Engineering!#REF!,0)</f>
        <v>#REF!</v>
      </c>
      <c r="O206" s="127" t="str">
        <f>_xlfn.XLOOKUP($B202,'Quality MB'!$M$6:$BM$6,'Quality MB'!$M$16:$BM$16,0)</f>
        <v>G</v>
      </c>
      <c r="P206" s="127" t="str">
        <f>_xlfn.XLOOKUP($B202,Procurement!$M$6:$BM$6,Procurement!$M$16:$BM$16,0)</f>
        <v>G</v>
      </c>
      <c r="Q206" s="127" t="str">
        <f>_xlfn.XLOOKUP($B202,IT!$M$6:$BM$6,IT!$M$16:$BM$16,0)</f>
        <v>G</v>
      </c>
      <c r="R206" s="127" t="str">
        <f>_xlfn.XLOOKUP($B202,Marketing!$M$6:$BM$6,Marketing!$M$16:$BM$16,0)</f>
        <v>R</v>
      </c>
      <c r="S206" s="127" t="str">
        <f>IF(B202&gt;'KPI Linked Table for Report'!$C$2,"",_xlfn.XLOOKUP($T202,Finance!$M$16:$X$16,Finance!$M$24:$X$24,0))</f>
        <v/>
      </c>
      <c r="U206" s="127" t="str">
        <f>IF(B202&gt;='KPI Linked Table for Report'!$C$1,"",_xlfn.XLOOKUP($T202,'HR mthly'!$I$6:$BM$6,'HR mthly'!$I$26:$BM$26,0))</f>
        <v>R</v>
      </c>
      <c r="V206" s="127" t="str">
        <f>IF(B202&gt;='KPI Linked Table for Report'!$C$1,"",_xlfn.XLOOKUP($T202,'HR mthly'!$I$6:$BM$6,'HR mthly'!$I$29:$BM$29,0))</f>
        <v>A</v>
      </c>
    </row>
    <row r="207" spans="2:22" ht="42.45" customHeight="1" x14ac:dyDescent="0.3">
      <c r="B207" s="971" t="s">
        <v>31</v>
      </c>
      <c r="C207" s="971"/>
      <c r="D207" s="127" t="str">
        <f>_xlfn.XLOOKUP($B202,EHS!$M$6:$BM$6,EHS!$M$19:$BM$19,0)</f>
        <v>A</v>
      </c>
      <c r="E207" s="127" t="str">
        <f>_xlfn.XLOOKUP($B202,Estimating!$M$6:$BM$6,Estimating!$M$19:$BM$19,0)</f>
        <v>G</v>
      </c>
      <c r="F207" s="127" t="str">
        <f>_xlfn.XLOOKUP($B202,SOP!$M$6:$BM$6,SOP!$M$22:$BM$22,0)</f>
        <v>R</v>
      </c>
      <c r="G207" s="127" t="str">
        <f>_xlfn.XLOOKUP($B202,Design!$M$6:$BM$6,Design!$M$19:$BM$19,0)</f>
        <v>G</v>
      </c>
      <c r="H207" s="127" t="str">
        <f>_xlfn.XLOOKUP($B202,'Product Design'!$M$6:$BM$6,'Product Design'!$M$22:$BM$22,0)</f>
        <v>Undefined</v>
      </c>
      <c r="I207" s="127" t="str">
        <f>_xlfn.XLOOKUP($B202,'Product Eng - BE'!$M$6:$BM$6,'Product Eng - BE'!$M$22:$BM$22,0)</f>
        <v>G</v>
      </c>
      <c r="J207" s="127" t="str">
        <f>_xlfn.XLOOKUP($B202,'Product Eng - MB'!$M$6:$BM$6,'Product Eng - MB'!$M$22:$BM$22,0)</f>
        <v>G</v>
      </c>
      <c r="K207" s="127" t="str">
        <f>_xlfn.XLOOKUP($B202,'Bridgend Manuf'!$M$6:$BM$6,'Bridgend Manuf'!$M$19:$BM$19,0)</f>
        <v>G</v>
      </c>
      <c r="L207" s="127" t="str">
        <f>_xlfn.XLOOKUP($B202,'Maybole Manuf'!$M$6:$BM$6,'Maybole Manuf'!$M$19:$BM$19,0)</f>
        <v>R</v>
      </c>
      <c r="M207" s="127" t="str">
        <f>_xlfn.XLOOKUP($B202,Logistics!$M$6:$BM$6,Logistics!$M$19:$BM$19,0)</f>
        <v>Undefined</v>
      </c>
      <c r="N207" s="127" t="e">
        <f>_xlfn.XLOOKUP($B202,Engineering!$M$22:$BM$22,Engineering!#REF!,0)</f>
        <v>#REF!</v>
      </c>
      <c r="O207" s="127" t="str">
        <f>_xlfn.XLOOKUP($B202,'Quality MB'!$M$6:$BM$6,'Quality MB'!$M$19:$BM$19,0)</f>
        <v>G</v>
      </c>
      <c r="P207" s="127" t="str">
        <f>_xlfn.XLOOKUP($B202,Procurement!$M$6:$BM$6,Procurement!$M$19:$BM$19,0)</f>
        <v>G</v>
      </c>
      <c r="Q207" s="127" t="str">
        <f>_xlfn.XLOOKUP($B202,IT!$M$6:$BM$6,IT!$M$19:$BM$19,0)</f>
        <v>R</v>
      </c>
      <c r="R207" s="127" t="str">
        <f>_xlfn.XLOOKUP($B202,Marketing!$M$6:$BM$6,Marketing!$M$19:$BM$19,0)</f>
        <v>G</v>
      </c>
      <c r="S207" s="127" t="str">
        <f>IF(B202&gt;'KPI Linked Table for Report'!$C$2,"",_xlfn.XLOOKUP($T202,Finance!$M$16:$X$16,Finance!$M$27:$X$27,0))</f>
        <v/>
      </c>
      <c r="U207" s="127" t="str">
        <f>IF(B202&gt;='KPI Linked Table for Report'!$C$1,"",_xlfn.XLOOKUP($T202,'HR mthly'!$I$6:$BM$6,'HR mthly'!$I$33:$BM$33,0))</f>
        <v>A</v>
      </c>
      <c r="V207" s="127" t="str">
        <f>IF(B202&gt;='KPI Linked Table for Report'!$C$1,"",_xlfn.XLOOKUP($T202,'HR mthly'!$I$6:$BM$6,'HR mthly'!$I$36:$BM$36,0))</f>
        <v>R</v>
      </c>
    </row>
    <row r="209" spans="2:22" ht="42.45" customHeight="1" x14ac:dyDescent="0.3">
      <c r="B209" s="973" t="s">
        <v>7</v>
      </c>
      <c r="C209" s="974"/>
      <c r="D209" s="6" t="str">
        <f>+D$9</f>
        <v>EHS</v>
      </c>
      <c r="E209" s="6" t="str">
        <f>+E$9</f>
        <v>Estimating</v>
      </c>
      <c r="F209" s="6" t="str">
        <f t="shared" ref="F209:R209" si="47">+F$9</f>
        <v>SOP</v>
      </c>
      <c r="G209" s="6" t="str">
        <f>+G$9</f>
        <v>Design and R&amp;D</v>
      </c>
      <c r="H209" s="6" t="str">
        <f t="shared" si="47"/>
        <v>Product Design</v>
      </c>
      <c r="I209" s="6" t="str">
        <f t="shared" si="47"/>
        <v>Product Engineering Bridgend</v>
      </c>
      <c r="J209" s="6" t="str">
        <f t="shared" si="47"/>
        <v>Product Engineering Maybole</v>
      </c>
      <c r="K209" s="6" t="str">
        <f t="shared" si="47"/>
        <v>Bridgend
Manuf</v>
      </c>
      <c r="L209" s="6" t="str">
        <f t="shared" si="47"/>
        <v>Maybole
Manuf</v>
      </c>
      <c r="M209" s="6" t="str">
        <f>+M$9</f>
        <v>Logistics</v>
      </c>
      <c r="N209" s="6" t="str">
        <f>+N$9</f>
        <v>Engineering</v>
      </c>
      <c r="O209" s="6" t="str">
        <f>+O$9</f>
        <v>Quality
Maybole</v>
      </c>
      <c r="P209" s="6" t="str">
        <f>+P$9</f>
        <v>Procurement</v>
      </c>
      <c r="Q209" s="6" t="str">
        <f>+Q$9</f>
        <v>IT</v>
      </c>
      <c r="R209" s="6" t="str">
        <f t="shared" si="47"/>
        <v>Marketing</v>
      </c>
      <c r="S209" s="6" t="str">
        <f>+S$9</f>
        <v>Finance</v>
      </c>
      <c r="T209" s="7" t="s">
        <v>409</v>
      </c>
      <c r="U209" s="6" t="str">
        <f>+U$9</f>
        <v>HR</v>
      </c>
      <c r="V209" s="6" t="str">
        <f>+V$9</f>
        <v>HR</v>
      </c>
    </row>
    <row r="210" spans="2:22" ht="42.45" customHeight="1" x14ac:dyDescent="0.3">
      <c r="B210" s="7">
        <f>B202+1</f>
        <v>26</v>
      </c>
      <c r="C210" s="8">
        <f>C202+7</f>
        <v>45835</v>
      </c>
      <c r="D210" s="10" t="s">
        <v>24</v>
      </c>
      <c r="E210" s="9" t="str">
        <f>+E$186</f>
        <v>Julian Sparrow</v>
      </c>
      <c r="F210" s="10" t="s">
        <v>19</v>
      </c>
      <c r="G210" s="10" t="s">
        <v>20</v>
      </c>
      <c r="H210" s="10" t="s">
        <v>24</v>
      </c>
      <c r="I210" s="10" t="s">
        <v>24</v>
      </c>
      <c r="J210" s="10" t="s">
        <v>21</v>
      </c>
      <c r="K210" s="10" t="s">
        <v>22</v>
      </c>
      <c r="L210" s="10" t="s">
        <v>23</v>
      </c>
      <c r="M210" s="10" t="str">
        <f>+M$10</f>
        <v>Scott McMillan</v>
      </c>
      <c r="N210" s="10" t="str">
        <f>+N$10</f>
        <v>Garin Bowen</v>
      </c>
      <c r="O210" s="10" t="str">
        <f>+O$10</f>
        <v>Scott McMIllan</v>
      </c>
      <c r="P210" s="10" t="str">
        <f>+P$10</f>
        <v>Matt 
Pope</v>
      </c>
      <c r="Q210" s="10" t="s">
        <v>29</v>
      </c>
      <c r="R210" s="10" t="s">
        <v>25</v>
      </c>
      <c r="S210" s="10" t="s">
        <v>26</v>
      </c>
      <c r="T210" s="7">
        <v>5</v>
      </c>
      <c r="U210" s="10" t="str">
        <f>+U$10</f>
        <v>Bethan Grant</v>
      </c>
      <c r="V210" s="10" t="str">
        <f>+V$10</f>
        <v>Bethan Grant</v>
      </c>
    </row>
    <row r="211" spans="2:22" ht="42.45" customHeight="1" x14ac:dyDescent="0.3">
      <c r="B211" s="971" t="s">
        <v>30</v>
      </c>
      <c r="C211" s="971"/>
      <c r="D211" s="127" t="str">
        <f>_xlfn.XLOOKUP($B210,EHS!$M$6:$BM$6,EHS!$M$10:$BM$10,0)</f>
        <v>R</v>
      </c>
      <c r="E211" s="127" t="str">
        <f>_xlfn.XLOOKUP($B210,Estimating!$M$6:$BM$6,Estimating!$M$10:$BM$10,0)</f>
        <v>G</v>
      </c>
      <c r="F211" s="127" t="str">
        <f>_xlfn.XLOOKUP($B210,SOP!$M$6:$BM$6,SOP!$M$10:$BM$10,0)</f>
        <v>G</v>
      </c>
      <c r="G211" s="127" t="str">
        <f>_xlfn.XLOOKUP($B210,Design!$M$6:$BM$6,Design!$M$10:$BM$10,0)</f>
        <v>G</v>
      </c>
      <c r="H211" s="127" t="str">
        <f>_xlfn.XLOOKUP($B210,'Product Design'!$M$6:$BM$6,'Product Design'!$M$10:$BM$10,0)</f>
        <v>G</v>
      </c>
      <c r="I211" s="127" t="str">
        <f>_xlfn.XLOOKUP($B210,'Product Eng - BE'!$M$6:$BM$6,'Product Eng - BE'!$M$10:$BM$10,0)</f>
        <v>A</v>
      </c>
      <c r="J211" s="127" t="str">
        <f>_xlfn.XLOOKUP($B210,'Product Eng - MB'!$M$6:$BM$6,'Product Eng - MB'!$M$10:$BM$10,0)</f>
        <v>G</v>
      </c>
      <c r="K211" s="127" t="str">
        <f>_xlfn.XLOOKUP($B210,'Bridgend Manuf'!$M$6:$BM$6,'Bridgend Manuf'!$M$10:$BM$10,0)</f>
        <v>R</v>
      </c>
      <c r="L211" s="127" t="str">
        <f>_xlfn.XLOOKUP($B210,'Maybole Manuf'!$M$6:$BM$6,'Maybole Manuf'!$M$10:$BM$10,0)</f>
        <v>G</v>
      </c>
      <c r="M211" s="127" t="str">
        <f>_xlfn.XLOOKUP($B210,Logistics!$M$6:$BM$6,Logistics!$M$10:$BM$10,0)</f>
        <v>OD</v>
      </c>
      <c r="N211" s="127" t="str">
        <f>_xlfn.XLOOKUP($B210,Engineering!$M$22:$BM$22,Engineering!$M$26:$BM$26,0)</f>
        <v>G</v>
      </c>
      <c r="O211" s="127" t="str">
        <f>_xlfn.XLOOKUP($B210,'Quality MB'!$M$6:$BM$6,'Quality MB'!$M$10:$BM$10,0)</f>
        <v>G</v>
      </c>
      <c r="P211" s="127" t="str">
        <f>_xlfn.XLOOKUP($B210,Procurement!$M$6:$BM$6,Procurement!$M$10:$BM$10,0)</f>
        <v>R</v>
      </c>
      <c r="Q211" s="127" t="str">
        <f>_xlfn.XLOOKUP($B210,IT!$M$6:$BM$6,IT!$M$10:$BM$10,0)</f>
        <v>Undefined</v>
      </c>
      <c r="R211" s="127" t="str">
        <f>_xlfn.XLOOKUP($B210,Marketing!$M$6:$BM$6,Marketing!$M$10:$BM$10,0)</f>
        <v>G</v>
      </c>
      <c r="S211" s="127" t="str">
        <f>_xlfn.XLOOKUP($B210,Finance!$M$6:$BM$6,Finance!$M$10:$BM$10,0)</f>
        <v>G</v>
      </c>
      <c r="U211" s="127" t="str">
        <f>IF(B210&gt;='KPI Linked Table for Report'!$C$1,"",_xlfn.XLOOKUP($T210,'HR mthly'!$I$6:$BM$6,'HR mthly'!$I$11:$BM$11,0))</f>
        <v>G</v>
      </c>
      <c r="V211" s="127" t="str">
        <f>IF(B210&gt;='KPI Linked Table for Report'!$C$1,"",_xlfn.XLOOKUP($T210,'HR mthly'!$I$6:$BM$6,'HR mthly'!$I$14:$BM$14,0))</f>
        <v>G</v>
      </c>
    </row>
    <row r="212" spans="2:22" ht="42.45" customHeight="1" x14ac:dyDescent="0.3">
      <c r="B212" s="971" t="s">
        <v>172</v>
      </c>
      <c r="C212" s="971"/>
      <c r="D212" s="127" t="str">
        <f>_xlfn.XLOOKUP($B210,EHS!$M$6:$BM$6,EHS!$M$13:$BM$13,0)</f>
        <v>G</v>
      </c>
      <c r="E212" s="127" t="str">
        <f>_xlfn.XLOOKUP($B210,Estimating!$M$6:$BM$6,Estimating!$M$13:$BM$13,0)</f>
        <v>R</v>
      </c>
      <c r="F212" s="127" t="str">
        <f>_xlfn.XLOOKUP($B210,SOP!$M$6:$BM$6,SOP!$M$13:$BM$13,0)</f>
        <v>R</v>
      </c>
      <c r="G212" s="127" t="str">
        <f>_xlfn.XLOOKUP($B210,Design!$M$6:$BM$6,Design!$M$13:$BM$13,0)</f>
        <v>R</v>
      </c>
      <c r="H212" s="127" t="str">
        <f>_xlfn.XLOOKUP($B210,'Product Design'!$M$6:$BM$6,'Product Design'!$M$13:$BM$13,0)</f>
        <v>R</v>
      </c>
      <c r="I212" s="127" t="str">
        <f>_xlfn.XLOOKUP($B210,'Product Eng - BE'!$M$6:$BM$6,'Product Eng - BE'!$M$13:$BM$13,0)</f>
        <v>G</v>
      </c>
      <c r="J212" s="127" t="str">
        <f>_xlfn.XLOOKUP($B210,'Product Eng - MB'!$M$6:$BM$6,'Product Eng - MB'!$M$13:$BM$13,0)</f>
        <v>G</v>
      </c>
      <c r="K212" s="127" t="str">
        <f>_xlfn.XLOOKUP($B210,'Bridgend Manuf'!$M$6:$BM$6,'Bridgend Manuf'!$M$13:$BM$13,0)</f>
        <v>G</v>
      </c>
      <c r="L212" s="127" t="str">
        <f>_xlfn.XLOOKUP($B210,'Maybole Manuf'!$M$6:$BM$6,'Maybole Manuf'!$M$13:$BM$13,0)</f>
        <v>A</v>
      </c>
      <c r="M212" s="127" t="str">
        <f>_xlfn.XLOOKUP($B210,Logistics!$M$6:$BM$6,Logistics!$M$13:$BM$13,0)</f>
        <v>OD</v>
      </c>
      <c r="N212" s="127" t="e">
        <f>_xlfn.XLOOKUP($B210,Engineering!$M$22:$BM$22,Engineering!#REF!,0)</f>
        <v>#REF!</v>
      </c>
      <c r="O212" s="127" t="str">
        <f>_xlfn.XLOOKUP($B210,'Quality MB'!$M$6:$BM$6,'Quality MB'!$M$13:$BM$13,0)</f>
        <v>R</v>
      </c>
      <c r="P212" s="127" t="str">
        <f>_xlfn.XLOOKUP($B210,Procurement!$M$6:$BM$6,Procurement!$M$13:$BM$13,0)</f>
        <v>A</v>
      </c>
      <c r="Q212" s="127" t="str">
        <f>_xlfn.XLOOKUP($B210,IT!$M$6:$BM$6,IT!$M$13:$BM$13,0)</f>
        <v>R</v>
      </c>
      <c r="R212" s="127" t="str">
        <f>_xlfn.XLOOKUP($B210,Marketing!$M$6:$BM$6,Marketing!$M$13:$BM$13,0)</f>
        <v>R</v>
      </c>
      <c r="S212" s="127" t="str">
        <f>IF(B210&gt;'KPI Linked Table for Report'!$C$2,"",_xlfn.XLOOKUP($T210,Finance!$M$16:$X$16,Finance!$M$21:$X$21,0))</f>
        <v/>
      </c>
      <c r="U212" s="127" t="str">
        <f>IF(B210&gt;='KPI Linked Table for Report'!$C$1,"",_xlfn.XLOOKUP($T210,'HR mthly'!$I$6:$BM$6,'HR mthly'!$I$18:$BM$18,0))</f>
        <v>G</v>
      </c>
      <c r="V212" s="127" t="str">
        <f>IF(B210&gt;='KPI Linked Table for Report'!$C$1,"",_xlfn.XLOOKUP($T210,'HR mthly'!$I$6:$BM$6,'HR mthly'!$I$21:$BM$21,0))</f>
        <v>R</v>
      </c>
    </row>
    <row r="213" spans="2:22" ht="42.45" customHeight="1" x14ac:dyDescent="0.3">
      <c r="B213" s="971" t="s">
        <v>173</v>
      </c>
      <c r="C213" s="971"/>
      <c r="D213" s="11" t="s">
        <v>174</v>
      </c>
      <c r="E213" s="11" t="s">
        <v>174</v>
      </c>
      <c r="F213" s="11" t="str">
        <f>_xlfn.XLOOKUP($B210,SOP!$M$6:$BM$6,SOP!$M$16:$BM$16,0)</f>
        <v>R</v>
      </c>
      <c r="G213" s="11" t="s">
        <v>174</v>
      </c>
      <c r="H213" s="11" t="str">
        <f>_xlfn.XLOOKUP($B210,'Product Design'!$M$6:$BM$6,'Product Design'!$M$16:$BM$16,0)</f>
        <v>G</v>
      </c>
      <c r="I213" s="11" t="str">
        <f>_xlfn.XLOOKUP($B210,'Product Eng - BE'!$M$6:$BM$6,'Product Eng - BE'!$M$16:$BM$16,0)</f>
        <v>R</v>
      </c>
      <c r="J213" s="11" t="str">
        <f>_xlfn.XLOOKUP($B210,'Product Eng - MB'!$M$6:$BM$6,'Product Eng - MB'!$M$16:$BM$16,0)</f>
        <v>G</v>
      </c>
      <c r="K213" s="11" t="s">
        <v>174</v>
      </c>
      <c r="L213" s="11" t="s">
        <v>174</v>
      </c>
      <c r="M213" s="11" t="s">
        <v>174</v>
      </c>
      <c r="N213" s="11" t="s">
        <v>174</v>
      </c>
      <c r="O213" s="11" t="s">
        <v>174</v>
      </c>
      <c r="P213" s="11" t="s">
        <v>174</v>
      </c>
      <c r="Q213" s="11" t="s">
        <v>174</v>
      </c>
      <c r="R213" s="11" t="s">
        <v>174</v>
      </c>
      <c r="S213" s="11" t="s">
        <v>174</v>
      </c>
      <c r="U213" s="11" t="s">
        <v>174</v>
      </c>
      <c r="V213" s="11" t="s">
        <v>174</v>
      </c>
    </row>
    <row r="214" spans="2:22" ht="42.45" customHeight="1" x14ac:dyDescent="0.3">
      <c r="B214" s="971" t="s">
        <v>32</v>
      </c>
      <c r="C214" s="971"/>
      <c r="D214" s="127" t="str">
        <f>_xlfn.XLOOKUP($B210,EHS!$M$6:$BM$6,EHS!$M$16:$BM$16,0)</f>
        <v>A</v>
      </c>
      <c r="E214" s="127" t="str">
        <f>_xlfn.XLOOKUP($B210,Estimating!$M$6:$BM$6,Estimating!$M$16:$BM$16,0)</f>
        <v>R</v>
      </c>
      <c r="F214" s="127" t="str">
        <f>_xlfn.XLOOKUP($B210,SOP!$M$6:$BM$6,SOP!$M$19:$BM$19,0)</f>
        <v>R</v>
      </c>
      <c r="G214" s="127" t="str">
        <f>_xlfn.XLOOKUP($B210,Design!$M$6:$BM$6,Design!$M$16:$BM$16,0)</f>
        <v>R</v>
      </c>
      <c r="H214" s="127" t="str">
        <f>_xlfn.XLOOKUP($B210,'Product Design'!$M$6:$BM$6,'Product Design'!$M$19:$BM$19,0)</f>
        <v>G</v>
      </c>
      <c r="I214" s="127" t="str">
        <f>_xlfn.XLOOKUP($B210,'Product Eng - BE'!$M$6:$BM$6,'Product Eng - BE'!$M$19:$BM$19,0)</f>
        <v>R</v>
      </c>
      <c r="J214" s="127" t="str">
        <f>_xlfn.XLOOKUP($B210,'Product Eng - MB'!$M$6:$BM$6,'Product Eng - MB'!$M$19:$BM$19,0)</f>
        <v>G</v>
      </c>
      <c r="K214" s="127" t="str">
        <f>_xlfn.XLOOKUP($B210,'Bridgend Manuf'!$M$6:$BM$6,'Bridgend Manuf'!$M$16:$BM$16,0)</f>
        <v>R</v>
      </c>
      <c r="L214" s="127" t="str">
        <f>_xlfn.XLOOKUP($B210,'Maybole Manuf'!$M$6:$BM$6,'Maybole Manuf'!$M$16:$BM$16,0)</f>
        <v>R</v>
      </c>
      <c r="M214" s="127" t="str">
        <f>_xlfn.XLOOKUP($B210,Logistics!$M$6:$BM$6,Logistics!$M$16:$BM$16,0)</f>
        <v>Missed</v>
      </c>
      <c r="N214" s="127" t="e">
        <f>_xlfn.XLOOKUP($B210,Engineering!$M$22:$BM$22,Engineering!#REF!,0)</f>
        <v>#REF!</v>
      </c>
      <c r="O214" s="127" t="str">
        <f>_xlfn.XLOOKUP($B210,'Quality MB'!$M$6:$BM$6,'Quality MB'!$M$16:$BM$16,0)</f>
        <v>R</v>
      </c>
      <c r="P214" s="127" t="str">
        <f>_xlfn.XLOOKUP($B210,Procurement!$M$6:$BM$6,Procurement!$M$16:$BM$16,0)</f>
        <v>G</v>
      </c>
      <c r="Q214" s="127" t="str">
        <f>_xlfn.XLOOKUP($B210,IT!$M$6:$BM$6,IT!$M$16:$BM$16,0)</f>
        <v>G</v>
      </c>
      <c r="R214" s="127" t="str">
        <f>_xlfn.XLOOKUP($B210,Marketing!$M$6:$BM$6,Marketing!$M$16:$BM$16,0)</f>
        <v>G</v>
      </c>
      <c r="S214" s="127" t="str">
        <f>IF(B210&gt;'KPI Linked Table for Report'!$C$2,"",_xlfn.XLOOKUP($T210,Finance!$M$16:$X$16,Finance!$M$24:$X$24,0))</f>
        <v/>
      </c>
      <c r="U214" s="127" t="str">
        <f>IF(B210&gt;='KPI Linked Table for Report'!$C$1,"",_xlfn.XLOOKUP($T210,'HR mthly'!$I$6:$BM$6,'HR mthly'!$I$26:$BM$26,0))</f>
        <v>R</v>
      </c>
      <c r="V214" s="127" t="str">
        <f>IF(B210&gt;='KPI Linked Table for Report'!$C$1,"",_xlfn.XLOOKUP($T210,'HR mthly'!$I$6:$BM$6,'HR mthly'!$I$29:$BM$29,0))</f>
        <v>A</v>
      </c>
    </row>
    <row r="215" spans="2:22" ht="42.45" customHeight="1" x14ac:dyDescent="0.3">
      <c r="B215" s="971" t="s">
        <v>31</v>
      </c>
      <c r="C215" s="971"/>
      <c r="D215" s="127" t="str">
        <f>_xlfn.XLOOKUP($B210,EHS!$M$6:$BM$6,EHS!$M$19:$BM$19,0)</f>
        <v>R</v>
      </c>
      <c r="E215" s="127" t="str">
        <f>_xlfn.XLOOKUP($B210,Estimating!$M$6:$BM$6,Estimating!$M$19:$BM$19,0)</f>
        <v>A</v>
      </c>
      <c r="F215" s="127" t="str">
        <f>_xlfn.XLOOKUP($B210,SOP!$M$6:$BM$6,SOP!$M$22:$BM$22,0)</f>
        <v>G</v>
      </c>
      <c r="G215" s="127" t="str">
        <f>_xlfn.XLOOKUP($B210,Design!$M$6:$BM$6,Design!$M$19:$BM$19,0)</f>
        <v>G</v>
      </c>
      <c r="H215" s="127" t="str">
        <f>_xlfn.XLOOKUP($B210,'Product Design'!$M$6:$BM$6,'Product Design'!$M$22:$BM$22,0)</f>
        <v>Undefined</v>
      </c>
      <c r="I215" s="127" t="str">
        <f>_xlfn.XLOOKUP($B210,'Product Eng - BE'!$M$6:$BM$6,'Product Eng - BE'!$M$22:$BM$22,0)</f>
        <v>R</v>
      </c>
      <c r="J215" s="127" t="str">
        <f>_xlfn.XLOOKUP($B210,'Product Eng - MB'!$M$6:$BM$6,'Product Eng - MB'!$M$22:$BM$22,0)</f>
        <v>G</v>
      </c>
      <c r="K215" s="127" t="str">
        <f>_xlfn.XLOOKUP($B210,'Bridgend Manuf'!$M$6:$BM$6,'Bridgend Manuf'!$M$19:$BM$19,0)</f>
        <v>G</v>
      </c>
      <c r="L215" s="127" t="str">
        <f>_xlfn.XLOOKUP($B210,'Maybole Manuf'!$M$6:$BM$6,'Maybole Manuf'!$M$19:$BM$19,0)</f>
        <v>G</v>
      </c>
      <c r="M215" s="127" t="str">
        <f>_xlfn.XLOOKUP($B210,Logistics!$M$6:$BM$6,Logistics!$M$19:$BM$19,0)</f>
        <v>Undefined</v>
      </c>
      <c r="N215" s="127" t="e">
        <f>_xlfn.XLOOKUP($B210,Engineering!$M$22:$BM$22,Engineering!#REF!,0)</f>
        <v>#REF!</v>
      </c>
      <c r="O215" s="127" t="str">
        <f>_xlfn.XLOOKUP($B210,'Quality MB'!$M$6:$BM$6,'Quality MB'!$M$19:$BM$19,0)</f>
        <v>G</v>
      </c>
      <c r="P215" s="127" t="str">
        <f>_xlfn.XLOOKUP($B210,Procurement!$M$6:$BM$6,Procurement!$M$19:$BM$19,0)</f>
        <v>G</v>
      </c>
      <c r="Q215" s="127" t="str">
        <f>_xlfn.XLOOKUP($B210,IT!$M$6:$BM$6,IT!$M$19:$BM$19,0)</f>
        <v>R</v>
      </c>
      <c r="R215" s="127" t="str">
        <f>_xlfn.XLOOKUP($B210,Marketing!$M$6:$BM$6,Marketing!$M$19:$BM$19,0)</f>
        <v>G</v>
      </c>
      <c r="S215" s="127" t="str">
        <f>IF(B210&gt;'KPI Linked Table for Report'!$C$2,"",_xlfn.XLOOKUP($T210,Finance!$M$16:$X$16,Finance!$M$27:$X$27,0))</f>
        <v/>
      </c>
      <c r="U215" s="127" t="str">
        <f>IF(B210&gt;='KPI Linked Table for Report'!$C$1,"",_xlfn.XLOOKUP($T210,'HR mthly'!$I$6:$BM$6,'HR mthly'!$I$33:$BM$33,0))</f>
        <v>A</v>
      </c>
      <c r="V215" s="127" t="str">
        <f>IF(B210&gt;='KPI Linked Table for Report'!$C$1,"",_xlfn.XLOOKUP($T210,'HR mthly'!$I$6:$BM$6,'HR mthly'!$I$36:$BM$36,0))</f>
        <v>R</v>
      </c>
    </row>
    <row r="217" spans="2:22" ht="42.45" customHeight="1" x14ac:dyDescent="0.3">
      <c r="B217" s="973" t="s">
        <v>7</v>
      </c>
      <c r="C217" s="974"/>
      <c r="D217" s="6" t="str">
        <f>+D$9</f>
        <v>EHS</v>
      </c>
      <c r="E217" s="6" t="str">
        <f>+E$9</f>
        <v>Estimating</v>
      </c>
      <c r="F217" s="6" t="str">
        <f t="shared" ref="F217:R217" si="48">+F$9</f>
        <v>SOP</v>
      </c>
      <c r="G217" s="6" t="str">
        <f>+G$9</f>
        <v>Design and R&amp;D</v>
      </c>
      <c r="H217" s="6" t="str">
        <f t="shared" si="48"/>
        <v>Product Design</v>
      </c>
      <c r="I217" s="6" t="str">
        <f t="shared" si="48"/>
        <v>Product Engineering Bridgend</v>
      </c>
      <c r="J217" s="6" t="str">
        <f t="shared" si="48"/>
        <v>Product Engineering Maybole</v>
      </c>
      <c r="K217" s="6" t="str">
        <f t="shared" si="48"/>
        <v>Bridgend
Manuf</v>
      </c>
      <c r="L217" s="6" t="str">
        <f t="shared" si="48"/>
        <v>Maybole
Manuf</v>
      </c>
      <c r="M217" s="6" t="str">
        <f>+M$9</f>
        <v>Logistics</v>
      </c>
      <c r="N217" s="6" t="str">
        <f>+N$9</f>
        <v>Engineering</v>
      </c>
      <c r="O217" s="6" t="str">
        <f>+O$9</f>
        <v>Quality
Maybole</v>
      </c>
      <c r="P217" s="6" t="str">
        <f>+P$9</f>
        <v>Procurement</v>
      </c>
      <c r="Q217" s="6" t="str">
        <f>+Q$9</f>
        <v>IT</v>
      </c>
      <c r="R217" s="6" t="str">
        <f t="shared" si="48"/>
        <v>Marketing</v>
      </c>
      <c r="S217" s="6" t="str">
        <f>+S$9</f>
        <v>Finance</v>
      </c>
      <c r="T217" s="7" t="s">
        <v>409</v>
      </c>
      <c r="U217" s="6" t="str">
        <f>+U$9</f>
        <v>HR</v>
      </c>
      <c r="V217" s="6" t="str">
        <f>+V$9</f>
        <v>HR</v>
      </c>
    </row>
    <row r="218" spans="2:22" ht="42.45" customHeight="1" x14ac:dyDescent="0.3">
      <c r="B218" s="7">
        <f>B210+1</f>
        <v>27</v>
      </c>
      <c r="C218" s="8">
        <f>C210+7</f>
        <v>45842</v>
      </c>
      <c r="D218" s="10" t="s">
        <v>24</v>
      </c>
      <c r="E218" s="9" t="str">
        <f>+E$186</f>
        <v>Julian Sparrow</v>
      </c>
      <c r="F218" s="10" t="s">
        <v>19</v>
      </c>
      <c r="G218" s="10" t="s">
        <v>20</v>
      </c>
      <c r="H218" s="10" t="s">
        <v>24</v>
      </c>
      <c r="I218" s="10" t="s">
        <v>24</v>
      </c>
      <c r="J218" s="10" t="s">
        <v>21</v>
      </c>
      <c r="K218" s="10" t="s">
        <v>22</v>
      </c>
      <c r="L218" s="10" t="s">
        <v>23</v>
      </c>
      <c r="M218" s="10" t="str">
        <f>+M$10</f>
        <v>Scott McMillan</v>
      </c>
      <c r="N218" s="10" t="str">
        <f>+N$10</f>
        <v>Garin Bowen</v>
      </c>
      <c r="O218" s="10" t="str">
        <f>+O$10</f>
        <v>Scott McMIllan</v>
      </c>
      <c r="P218" s="10" t="str">
        <f>+P$10</f>
        <v>Matt 
Pope</v>
      </c>
      <c r="Q218" s="10" t="s">
        <v>29</v>
      </c>
      <c r="R218" s="10" t="s">
        <v>25</v>
      </c>
      <c r="S218" s="10" t="s">
        <v>26</v>
      </c>
      <c r="T218" s="7">
        <v>6</v>
      </c>
      <c r="U218" s="10" t="str">
        <f>+U$10</f>
        <v>Bethan Grant</v>
      </c>
      <c r="V218" s="10" t="str">
        <f>+V$10</f>
        <v>Bethan Grant</v>
      </c>
    </row>
    <row r="219" spans="2:22" ht="42.45" customHeight="1" x14ac:dyDescent="0.3">
      <c r="B219" s="971" t="s">
        <v>30</v>
      </c>
      <c r="C219" s="971"/>
      <c r="D219" s="127" t="str">
        <f>_xlfn.XLOOKUP($B218,EHS!$M$6:$BM$6,EHS!$M$10:$BM$10,0)</f>
        <v>R</v>
      </c>
      <c r="E219" s="127" t="str">
        <f>_xlfn.XLOOKUP($B218,Estimating!$M$6:$BM$6,Estimating!$M$10:$BM$10,0)</f>
        <v>G</v>
      </c>
      <c r="F219" s="127" t="str">
        <f>_xlfn.XLOOKUP($B218,SOP!$M$6:$BM$6,SOP!$M$10:$BM$10,0)</f>
        <v>G</v>
      </c>
      <c r="G219" s="127" t="str">
        <f>_xlfn.XLOOKUP($B218,Design!$M$6:$BM$6,Design!$M$10:$BM$10,0)</f>
        <v>G</v>
      </c>
      <c r="H219" s="127" t="str">
        <f>_xlfn.XLOOKUP($B218,'Product Design'!$M$6:$BM$6,'Product Design'!$M$10:$BM$10,0)</f>
        <v>OD</v>
      </c>
      <c r="I219" s="127" t="str">
        <f>_xlfn.XLOOKUP($B218,'Product Eng - BE'!$M$6:$BM$6,'Product Eng - BE'!$M$10:$BM$10,0)</f>
        <v>G</v>
      </c>
      <c r="J219" s="127" t="str">
        <f>_xlfn.XLOOKUP($B218,'Product Eng - MB'!$M$6:$BM$6,'Product Eng - MB'!$M$10:$BM$10,0)</f>
        <v>G</v>
      </c>
      <c r="K219" s="127" t="str">
        <f>_xlfn.XLOOKUP($B218,'Bridgend Manuf'!$M$6:$BM$6,'Bridgend Manuf'!$M$10:$BM$10,0)</f>
        <v>R</v>
      </c>
      <c r="L219" s="127" t="str">
        <f>_xlfn.XLOOKUP($B218,'Maybole Manuf'!$M$6:$BM$6,'Maybole Manuf'!$M$10:$BM$10,0)</f>
        <v>R</v>
      </c>
      <c r="M219" s="127" t="str">
        <f>_xlfn.XLOOKUP($B218,Logistics!$M$6:$BM$6,Logistics!$M$10:$BM$10,0)</f>
        <v>OD</v>
      </c>
      <c r="N219" s="127" t="str">
        <f>_xlfn.XLOOKUP($B218,Engineering!$M$22:$BM$22,Engineering!$M$26:$BM$26,0)</f>
        <v>G</v>
      </c>
      <c r="O219" s="127" t="str">
        <f>_xlfn.XLOOKUP($B218,'Quality MB'!$M$6:$BM$6,'Quality MB'!$M$10:$BM$10,0)</f>
        <v>G</v>
      </c>
      <c r="P219" s="127" t="str">
        <f>_xlfn.XLOOKUP($B218,Procurement!$M$6:$BM$6,Procurement!$M$10:$BM$10,0)</f>
        <v>R</v>
      </c>
      <c r="Q219" s="127" t="str">
        <f>_xlfn.XLOOKUP($B218,IT!$M$6:$BM$6,IT!$M$10:$BM$10,0)</f>
        <v>Undefined</v>
      </c>
      <c r="R219" s="127" t="str">
        <f>_xlfn.XLOOKUP($B218,Marketing!$M$6:$BM$6,Marketing!$M$10:$BM$10,0)</f>
        <v>G</v>
      </c>
      <c r="S219" s="127" t="str">
        <f>_xlfn.XLOOKUP($B218,Finance!$M$6:$BM$6,Finance!$M$10:$BM$10,0)</f>
        <v>G</v>
      </c>
      <c r="U219" s="127" t="str">
        <f>IF(B218&gt;='KPI Linked Table for Report'!$C$1,"",_xlfn.XLOOKUP($T218,'HR mthly'!$I$6:$BM$6,'HR mthly'!$I$11:$BM$11,0))</f>
        <v>G</v>
      </c>
      <c r="V219" s="127" t="str">
        <f>IF(B218&gt;='KPI Linked Table for Report'!$C$1,"",_xlfn.XLOOKUP($T218,'HR mthly'!$I$6:$BM$6,'HR mthly'!$I$14:$BM$14,0))</f>
        <v>G</v>
      </c>
    </row>
    <row r="220" spans="2:22" ht="42.45" customHeight="1" x14ac:dyDescent="0.3">
      <c r="B220" s="971" t="s">
        <v>172</v>
      </c>
      <c r="C220" s="971"/>
      <c r="D220" s="127" t="str">
        <f>_xlfn.XLOOKUP($B218,EHS!$M$6:$BM$6,EHS!$M$13:$BM$13,0)</f>
        <v>G</v>
      </c>
      <c r="E220" s="127" t="str">
        <f>_xlfn.XLOOKUP($B218,Estimating!$M$6:$BM$6,Estimating!$M$13:$BM$13,0)</f>
        <v>R</v>
      </c>
      <c r="F220" s="127" t="str">
        <f>_xlfn.XLOOKUP($B218,SOP!$M$6:$BM$6,SOP!$M$13:$BM$13,0)</f>
        <v>R</v>
      </c>
      <c r="G220" s="127" t="str">
        <f>_xlfn.XLOOKUP($B218,Design!$M$6:$BM$6,Design!$M$13:$BM$13,0)</f>
        <v>R</v>
      </c>
      <c r="H220" s="127" t="str">
        <f>_xlfn.XLOOKUP($B218,'Product Design'!$M$6:$BM$6,'Product Design'!$M$13:$BM$13,0)</f>
        <v>OD</v>
      </c>
      <c r="I220" s="127" t="str">
        <f>_xlfn.XLOOKUP($B218,'Product Eng - BE'!$M$6:$BM$6,'Product Eng - BE'!$M$13:$BM$13,0)</f>
        <v>G</v>
      </c>
      <c r="J220" s="127" t="str">
        <f>_xlfn.XLOOKUP($B218,'Product Eng - MB'!$M$6:$BM$6,'Product Eng - MB'!$M$13:$BM$13,0)</f>
        <v>G</v>
      </c>
      <c r="K220" s="127" t="str">
        <f>_xlfn.XLOOKUP($B218,'Bridgend Manuf'!$M$6:$BM$6,'Bridgend Manuf'!$M$13:$BM$13,0)</f>
        <v>A</v>
      </c>
      <c r="L220" s="127" t="str">
        <f>_xlfn.XLOOKUP($B218,'Maybole Manuf'!$M$6:$BM$6,'Maybole Manuf'!$M$13:$BM$13,0)</f>
        <v>A</v>
      </c>
      <c r="M220" s="127" t="str">
        <f>_xlfn.XLOOKUP($B218,Logistics!$M$6:$BM$6,Logistics!$M$13:$BM$13,0)</f>
        <v>OD</v>
      </c>
      <c r="N220" s="127" t="e">
        <f>_xlfn.XLOOKUP($B218,Engineering!$M$22:$BM$22,Engineering!#REF!,0)</f>
        <v>#REF!</v>
      </c>
      <c r="O220" s="127" t="str">
        <f>_xlfn.XLOOKUP($B218,'Quality MB'!$M$6:$BM$6,'Quality MB'!$M$13:$BM$13,0)</f>
        <v>G</v>
      </c>
      <c r="P220" s="127" t="str">
        <f>_xlfn.XLOOKUP($B218,Procurement!$M$6:$BM$6,Procurement!$M$13:$BM$13,0)</f>
        <v>A</v>
      </c>
      <c r="Q220" s="127" t="str">
        <f>_xlfn.XLOOKUP($B218,IT!$M$6:$BM$6,IT!$M$13:$BM$13,0)</f>
        <v>G</v>
      </c>
      <c r="R220" s="127" t="str">
        <f>_xlfn.XLOOKUP($B218,Marketing!$M$6:$BM$6,Marketing!$M$13:$BM$13,0)</f>
        <v>R</v>
      </c>
      <c r="S220" s="127" t="str">
        <f>IF(B218&gt;'KPI Linked Table for Report'!$C$2,"",_xlfn.XLOOKUP($T218,Finance!$M$16:$X$16,Finance!$M$21:$X$21,0))</f>
        <v/>
      </c>
      <c r="U220" s="127" t="str">
        <f>IF(B218&gt;='KPI Linked Table for Report'!$C$1,"",_xlfn.XLOOKUP($T218,'HR mthly'!$I$6:$BM$6,'HR mthly'!$I$18:$BM$18,0))</f>
        <v>R</v>
      </c>
      <c r="V220" s="127" t="str">
        <f>IF(B218&gt;='KPI Linked Table for Report'!$C$1,"",_xlfn.XLOOKUP($T218,'HR mthly'!$I$6:$BM$6,'HR mthly'!$I$21:$BM$21,0))</f>
        <v>R</v>
      </c>
    </row>
    <row r="221" spans="2:22" ht="42.45" customHeight="1" x14ac:dyDescent="0.3">
      <c r="B221" s="971" t="s">
        <v>173</v>
      </c>
      <c r="C221" s="971"/>
      <c r="D221" s="11" t="s">
        <v>174</v>
      </c>
      <c r="E221" s="11" t="s">
        <v>174</v>
      </c>
      <c r="F221" s="11" t="str">
        <f>_xlfn.XLOOKUP($B218,SOP!$M$6:$BM$6,SOP!$M$16:$BM$16,0)</f>
        <v>R</v>
      </c>
      <c r="G221" s="11" t="s">
        <v>174</v>
      </c>
      <c r="H221" s="11" t="str">
        <f>_xlfn.XLOOKUP($B218,'Product Design'!$M$6:$BM$6,'Product Design'!$M$16:$BM$16,0)</f>
        <v>OD</v>
      </c>
      <c r="I221" s="11" t="str">
        <f>_xlfn.XLOOKUP($B218,'Product Eng - BE'!$M$6:$BM$6,'Product Eng - BE'!$M$16:$BM$16,0)</f>
        <v>R</v>
      </c>
      <c r="J221" s="11" t="str">
        <f>_xlfn.XLOOKUP($B218,'Product Eng - MB'!$M$6:$BM$6,'Product Eng - MB'!$M$16:$BM$16,0)</f>
        <v>R</v>
      </c>
      <c r="K221" s="11" t="s">
        <v>174</v>
      </c>
      <c r="L221" s="11" t="s">
        <v>174</v>
      </c>
      <c r="M221" s="11" t="s">
        <v>174</v>
      </c>
      <c r="N221" s="11" t="s">
        <v>174</v>
      </c>
      <c r="O221" s="11" t="s">
        <v>174</v>
      </c>
      <c r="P221" s="11" t="s">
        <v>174</v>
      </c>
      <c r="Q221" s="11" t="s">
        <v>174</v>
      </c>
      <c r="R221" s="11" t="s">
        <v>174</v>
      </c>
      <c r="S221" s="11" t="s">
        <v>174</v>
      </c>
      <c r="U221" s="11" t="s">
        <v>174</v>
      </c>
      <c r="V221" s="11" t="s">
        <v>174</v>
      </c>
    </row>
    <row r="222" spans="2:22" ht="42.45" customHeight="1" x14ac:dyDescent="0.3">
      <c r="B222" s="971" t="s">
        <v>32</v>
      </c>
      <c r="C222" s="971"/>
      <c r="D222" s="127" t="str">
        <f>_xlfn.XLOOKUP($B218,EHS!$M$6:$BM$6,EHS!$M$16:$BM$16,0)</f>
        <v>A</v>
      </c>
      <c r="E222" s="127" t="str">
        <f>_xlfn.XLOOKUP($B218,Estimating!$M$6:$BM$6,Estimating!$M$16:$BM$16,0)</f>
        <v>G</v>
      </c>
      <c r="F222" s="127" t="str">
        <f>_xlfn.XLOOKUP($B218,SOP!$M$6:$BM$6,SOP!$M$19:$BM$19,0)</f>
        <v>R</v>
      </c>
      <c r="G222" s="127" t="str">
        <f>_xlfn.XLOOKUP($B218,Design!$M$6:$BM$6,Design!$M$16:$BM$16,0)</f>
        <v>R</v>
      </c>
      <c r="H222" s="127" t="str">
        <f>_xlfn.XLOOKUP($B218,'Product Design'!$M$6:$BM$6,'Product Design'!$M$19:$BM$19,0)</f>
        <v>OD</v>
      </c>
      <c r="I222" s="127" t="str">
        <f>_xlfn.XLOOKUP($B218,'Product Eng - BE'!$M$6:$BM$6,'Product Eng - BE'!$M$19:$BM$19,0)</f>
        <v>R</v>
      </c>
      <c r="J222" s="127" t="str">
        <f>_xlfn.XLOOKUP($B218,'Product Eng - MB'!$M$6:$BM$6,'Product Eng - MB'!$M$19:$BM$19,0)</f>
        <v>G</v>
      </c>
      <c r="K222" s="127" t="str">
        <f>_xlfn.XLOOKUP($B218,'Bridgend Manuf'!$M$6:$BM$6,'Bridgend Manuf'!$M$16:$BM$16,0)</f>
        <v>R</v>
      </c>
      <c r="L222" s="127" t="str">
        <f>_xlfn.XLOOKUP($B218,'Maybole Manuf'!$M$6:$BM$6,'Maybole Manuf'!$M$16:$BM$16,0)</f>
        <v>R</v>
      </c>
      <c r="M222" s="127" t="str">
        <f>_xlfn.XLOOKUP($B218,Logistics!$M$6:$BM$6,Logistics!$M$16:$BM$16,0)</f>
        <v>Missed</v>
      </c>
      <c r="N222" s="127" t="e">
        <f>_xlfn.XLOOKUP($B218,Engineering!$M$22:$BM$22,Engineering!#REF!,0)</f>
        <v>#REF!</v>
      </c>
      <c r="O222" s="127" t="str">
        <f>_xlfn.XLOOKUP($B218,'Quality MB'!$M$6:$BM$6,'Quality MB'!$M$16:$BM$16,0)</f>
        <v>G</v>
      </c>
      <c r="P222" s="127" t="str">
        <f>_xlfn.XLOOKUP($B218,Procurement!$M$6:$BM$6,Procurement!$M$16:$BM$16,0)</f>
        <v>G</v>
      </c>
      <c r="Q222" s="127" t="str">
        <f>_xlfn.XLOOKUP($B218,IT!$M$6:$BM$6,IT!$M$16:$BM$16,0)</f>
        <v>G</v>
      </c>
      <c r="R222" s="127" t="str">
        <f>_xlfn.XLOOKUP($B218,Marketing!$M$6:$BM$6,Marketing!$M$16:$BM$16,0)</f>
        <v>G</v>
      </c>
      <c r="S222" s="127" t="str">
        <f>IF(B218&gt;'KPI Linked Table for Report'!$C$2,"",_xlfn.XLOOKUP($T218,Finance!$M$16:$X$16,Finance!$M$24:$X$24,0))</f>
        <v/>
      </c>
      <c r="U222" s="127" t="str">
        <f>IF(B218&gt;='KPI Linked Table for Report'!$C$1,"",_xlfn.XLOOKUP($T218,'HR mthly'!$I$6:$BM$6,'HR mthly'!$I$26:$BM$26,0))</f>
        <v>R</v>
      </c>
      <c r="V222" s="127" t="str">
        <f>IF(B218&gt;='KPI Linked Table for Report'!$C$1,"",_xlfn.XLOOKUP($T218,'HR mthly'!$I$6:$BM$6,'HR mthly'!$I$29:$BM$29,0))</f>
        <v>A</v>
      </c>
    </row>
    <row r="223" spans="2:22" ht="42.45" customHeight="1" x14ac:dyDescent="0.3">
      <c r="B223" s="971" t="s">
        <v>31</v>
      </c>
      <c r="C223" s="971"/>
      <c r="D223" s="127" t="str">
        <f>_xlfn.XLOOKUP($B218,EHS!$M$6:$BM$6,EHS!$M$19:$BM$19,0)</f>
        <v>R</v>
      </c>
      <c r="E223" s="127" t="str">
        <f>_xlfn.XLOOKUP($B218,Estimating!$M$6:$BM$6,Estimating!$M$19:$BM$19,0)</f>
        <v>G</v>
      </c>
      <c r="F223" s="127" t="str">
        <f>_xlfn.XLOOKUP($B218,SOP!$M$6:$BM$6,SOP!$M$22:$BM$22,0)</f>
        <v>G</v>
      </c>
      <c r="G223" s="127" t="str">
        <f>_xlfn.XLOOKUP($B218,Design!$M$6:$BM$6,Design!$M$19:$BM$19,0)</f>
        <v>G</v>
      </c>
      <c r="H223" s="127" t="str">
        <f>_xlfn.XLOOKUP($B218,'Product Design'!$M$6:$BM$6,'Product Design'!$M$22:$BM$22,0)</f>
        <v>Undefined</v>
      </c>
      <c r="I223" s="127" t="str">
        <f>_xlfn.XLOOKUP($B218,'Product Eng - BE'!$M$6:$BM$6,'Product Eng - BE'!$M$22:$BM$22,0)</f>
        <v>R</v>
      </c>
      <c r="J223" s="127" t="str">
        <f>_xlfn.XLOOKUP($B218,'Product Eng - MB'!$M$6:$BM$6,'Product Eng - MB'!$M$22:$BM$22,0)</f>
        <v>G</v>
      </c>
      <c r="K223" s="127" t="str">
        <f>_xlfn.XLOOKUP($B218,'Bridgend Manuf'!$M$6:$BM$6,'Bridgend Manuf'!$M$19:$BM$19,0)</f>
        <v>R</v>
      </c>
      <c r="L223" s="127" t="str">
        <f>_xlfn.XLOOKUP($B218,'Maybole Manuf'!$M$6:$BM$6,'Maybole Manuf'!$M$19:$BM$19,0)</f>
        <v>R</v>
      </c>
      <c r="M223" s="127" t="str">
        <f>_xlfn.XLOOKUP($B218,Logistics!$M$6:$BM$6,Logistics!$M$19:$BM$19,0)</f>
        <v>Undefined</v>
      </c>
      <c r="N223" s="127" t="e">
        <f>_xlfn.XLOOKUP($B218,Engineering!$M$22:$BM$22,Engineering!#REF!,0)</f>
        <v>#REF!</v>
      </c>
      <c r="O223" s="127" t="str">
        <f>_xlfn.XLOOKUP($B218,'Quality MB'!$M$6:$BM$6,'Quality MB'!$M$19:$BM$19,0)</f>
        <v>G</v>
      </c>
      <c r="P223" s="127" t="str">
        <f>_xlfn.XLOOKUP($B218,Procurement!$M$6:$BM$6,Procurement!$M$19:$BM$19,0)</f>
        <v>G</v>
      </c>
      <c r="Q223" s="127" t="str">
        <f>_xlfn.XLOOKUP($B218,IT!$M$6:$BM$6,IT!$M$19:$BM$19,0)</f>
        <v>G</v>
      </c>
      <c r="R223" s="127" t="str">
        <f>_xlfn.XLOOKUP($B218,Marketing!$M$6:$BM$6,Marketing!$M$19:$BM$19,0)</f>
        <v>G</v>
      </c>
      <c r="S223" s="127" t="str">
        <f>IF(B218&gt;'KPI Linked Table for Report'!$C$2,"",_xlfn.XLOOKUP($T218,Finance!$M$16:$X$16,Finance!$M$27:$X$27,0))</f>
        <v/>
      </c>
      <c r="U223" s="127" t="str">
        <f>IF(B218&gt;='KPI Linked Table for Report'!$C$1,"",_xlfn.XLOOKUP($T218,'HR mthly'!$I$6:$BM$6,'HR mthly'!$I$33:$BM$33,0))</f>
        <v>A</v>
      </c>
      <c r="V223" s="127" t="str">
        <f>IF(B218&gt;='KPI Linked Table for Report'!$C$1,"",_xlfn.XLOOKUP($T218,'HR mthly'!$I$6:$BM$6,'HR mthly'!$I$36:$BM$36,0))</f>
        <v>R</v>
      </c>
    </row>
    <row r="225" spans="2:22" ht="42.45" customHeight="1" x14ac:dyDescent="0.3">
      <c r="B225" s="973" t="s">
        <v>7</v>
      </c>
      <c r="C225" s="974"/>
      <c r="D225" s="6" t="str">
        <f>+D$9</f>
        <v>EHS</v>
      </c>
      <c r="E225" s="6" t="str">
        <f>+E$9</f>
        <v>Estimating</v>
      </c>
      <c r="F225" s="6" t="str">
        <f t="shared" ref="F225:R225" si="49">+F$9</f>
        <v>SOP</v>
      </c>
      <c r="G225" s="6" t="str">
        <f>+G$9</f>
        <v>Design and R&amp;D</v>
      </c>
      <c r="H225" s="6" t="str">
        <f t="shared" si="49"/>
        <v>Product Design</v>
      </c>
      <c r="I225" s="6" t="str">
        <f t="shared" si="49"/>
        <v>Product Engineering Bridgend</v>
      </c>
      <c r="J225" s="6" t="str">
        <f t="shared" si="49"/>
        <v>Product Engineering Maybole</v>
      </c>
      <c r="K225" s="6" t="str">
        <f t="shared" si="49"/>
        <v>Bridgend
Manuf</v>
      </c>
      <c r="L225" s="6" t="str">
        <f t="shared" si="49"/>
        <v>Maybole
Manuf</v>
      </c>
      <c r="M225" s="6" t="str">
        <f>+M$9</f>
        <v>Logistics</v>
      </c>
      <c r="N225" s="6" t="str">
        <f>+N$9</f>
        <v>Engineering</v>
      </c>
      <c r="O225" s="6" t="str">
        <f>+O$9</f>
        <v>Quality
Maybole</v>
      </c>
      <c r="P225" s="6" t="str">
        <f>+P$9</f>
        <v>Procurement</v>
      </c>
      <c r="Q225" s="6" t="str">
        <f>+Q$9</f>
        <v>IT</v>
      </c>
      <c r="R225" s="6" t="str">
        <f t="shared" si="49"/>
        <v>Marketing</v>
      </c>
      <c r="S225" s="6" t="str">
        <f>+S$9</f>
        <v>Finance</v>
      </c>
      <c r="T225" s="7" t="s">
        <v>409</v>
      </c>
      <c r="U225" s="6" t="str">
        <f>+U$9</f>
        <v>HR</v>
      </c>
      <c r="V225" s="6" t="str">
        <f>+V$9</f>
        <v>HR</v>
      </c>
    </row>
    <row r="226" spans="2:22" ht="42.45" customHeight="1" x14ac:dyDescent="0.3">
      <c r="B226" s="7">
        <f>B218+1</f>
        <v>28</v>
      </c>
      <c r="C226" s="8">
        <f>C218+7</f>
        <v>45849</v>
      </c>
      <c r="D226" s="10" t="s">
        <v>24</v>
      </c>
      <c r="E226" s="9" t="str">
        <f>+E$186</f>
        <v>Julian Sparrow</v>
      </c>
      <c r="F226" s="10" t="s">
        <v>19</v>
      </c>
      <c r="G226" s="10" t="s">
        <v>20</v>
      </c>
      <c r="H226" s="10" t="s">
        <v>24</v>
      </c>
      <c r="I226" s="10" t="s">
        <v>24</v>
      </c>
      <c r="J226" s="10" t="s">
        <v>21</v>
      </c>
      <c r="K226" s="10" t="s">
        <v>22</v>
      </c>
      <c r="L226" s="10" t="s">
        <v>23</v>
      </c>
      <c r="M226" s="10" t="str">
        <f>+M$10</f>
        <v>Scott McMillan</v>
      </c>
      <c r="N226" s="10" t="str">
        <f>+N$10</f>
        <v>Garin Bowen</v>
      </c>
      <c r="O226" s="10" t="str">
        <f>+O$10</f>
        <v>Scott McMIllan</v>
      </c>
      <c r="P226" s="10" t="str">
        <f>+P$10</f>
        <v>Matt 
Pope</v>
      </c>
      <c r="Q226" s="10" t="s">
        <v>29</v>
      </c>
      <c r="R226" s="10" t="s">
        <v>25</v>
      </c>
      <c r="S226" s="10" t="s">
        <v>26</v>
      </c>
      <c r="T226" s="7">
        <v>6</v>
      </c>
      <c r="U226" s="10" t="str">
        <f>+U$10</f>
        <v>Bethan Grant</v>
      </c>
      <c r="V226" s="10" t="str">
        <f>+V$10</f>
        <v>Bethan Grant</v>
      </c>
    </row>
    <row r="227" spans="2:22" ht="42.45" customHeight="1" x14ac:dyDescent="0.3">
      <c r="B227" s="971" t="s">
        <v>30</v>
      </c>
      <c r="C227" s="971"/>
      <c r="D227" s="127" t="str">
        <f>_xlfn.XLOOKUP($B226,EHS!$M$6:$BM$6,EHS!$M$10:$BM$10,0)</f>
        <v>R</v>
      </c>
      <c r="E227" s="127" t="str">
        <f>_xlfn.XLOOKUP($B226,Estimating!$M$6:$BM$6,Estimating!$M$10:$BM$10,0)</f>
        <v>A</v>
      </c>
      <c r="F227" s="127" t="str">
        <f>_xlfn.XLOOKUP($B226,SOP!$M$6:$BM$6,SOP!$M$10:$BM$10,0)</f>
        <v>R</v>
      </c>
      <c r="G227" s="127" t="str">
        <f>_xlfn.XLOOKUP($B226,Design!$M$6:$BM$6,Design!$M$10:$BM$10,0)</f>
        <v>R</v>
      </c>
      <c r="H227" s="127" t="str">
        <f>_xlfn.XLOOKUP($B226,'Product Design'!$M$6:$BM$6,'Product Design'!$M$10:$BM$10,0)</f>
        <v>R</v>
      </c>
      <c r="I227" s="127" t="str">
        <f>_xlfn.XLOOKUP($B226,'Product Eng - BE'!$M$6:$BM$6,'Product Eng - BE'!$M$10:$BM$10,0)</f>
        <v>R</v>
      </c>
      <c r="J227" s="127" t="str">
        <f>_xlfn.XLOOKUP($B226,'Product Eng - MB'!$M$6:$BM$6,'Product Eng - MB'!$M$10:$BM$10,0)</f>
        <v>R</v>
      </c>
      <c r="K227" s="127" t="str">
        <f>_xlfn.XLOOKUP($B226,'Bridgend Manuf'!$M$6:$BM$6,'Bridgend Manuf'!$M$10:$BM$10,0)</f>
        <v>R</v>
      </c>
      <c r="L227" s="127" t="str">
        <f>_xlfn.XLOOKUP($B226,'Maybole Manuf'!$M$6:$BM$6,'Maybole Manuf'!$M$10:$BM$10,0)</f>
        <v>G</v>
      </c>
      <c r="M227" s="127" t="str">
        <f>_xlfn.XLOOKUP($B226,Logistics!$M$6:$BM$6,Logistics!$M$10:$BM$10,0)</f>
        <v>OD</v>
      </c>
      <c r="N227" s="127" t="str">
        <f>_xlfn.XLOOKUP($B226,Engineering!$M$22:$BM$22,Engineering!$M$26:$BM$26,0)</f>
        <v>G</v>
      </c>
      <c r="O227" s="127" t="str">
        <f>_xlfn.XLOOKUP($B226,'Quality MB'!$M$6:$BM$6,'Quality MB'!$M$10:$BM$10,0)</f>
        <v>G</v>
      </c>
      <c r="P227" s="127" t="str">
        <f>_xlfn.XLOOKUP($B226,Procurement!$M$6:$BM$6,Procurement!$M$10:$BM$10,0)</f>
        <v>R</v>
      </c>
      <c r="Q227" s="127" t="str">
        <f>_xlfn.XLOOKUP($B226,IT!$M$6:$BM$6,IT!$M$10:$BM$10,0)</f>
        <v>Undefined</v>
      </c>
      <c r="R227" s="127" t="str">
        <f>_xlfn.XLOOKUP($B226,Marketing!$M$6:$BM$6,Marketing!$M$10:$BM$10,0)</f>
        <v>G</v>
      </c>
      <c r="S227" s="127" t="str">
        <f>_xlfn.XLOOKUP($B226,Finance!$M$6:$BM$6,Finance!$M$10:$BM$10,0)</f>
        <v>G</v>
      </c>
      <c r="U227" s="127" t="str">
        <f>IF(B226&gt;='KPI Linked Table for Report'!$C$1,"",_xlfn.XLOOKUP($T226,'HR mthly'!$I$6:$BM$6,'HR mthly'!$I$11:$BM$11,0))</f>
        <v>G</v>
      </c>
      <c r="V227" s="127" t="str">
        <f>IF(B226&gt;='KPI Linked Table for Report'!$C$1,"",_xlfn.XLOOKUP($T226,'HR mthly'!$I$6:$BM$6,'HR mthly'!$I$14:$BM$14,0))</f>
        <v>G</v>
      </c>
    </row>
    <row r="228" spans="2:22" ht="42.45" customHeight="1" x14ac:dyDescent="0.3">
      <c r="B228" s="971" t="s">
        <v>172</v>
      </c>
      <c r="C228" s="971"/>
      <c r="D228" s="127" t="str">
        <f>_xlfn.XLOOKUP($B226,EHS!$M$6:$BM$6,EHS!$M$13:$BM$13,0)</f>
        <v>G</v>
      </c>
      <c r="E228" s="127" t="str">
        <f>_xlfn.XLOOKUP($B226,Estimating!$M$6:$BM$6,Estimating!$M$13:$BM$13,0)</f>
        <v>G</v>
      </c>
      <c r="F228" s="127" t="str">
        <f>_xlfn.XLOOKUP($B226,SOP!$M$6:$BM$6,SOP!$M$13:$BM$13,0)</f>
        <v>R</v>
      </c>
      <c r="G228" s="127" t="str">
        <f>_xlfn.XLOOKUP($B226,Design!$M$6:$BM$6,Design!$M$13:$BM$13,0)</f>
        <v>R</v>
      </c>
      <c r="H228" s="127" t="str">
        <f>_xlfn.XLOOKUP($B226,'Product Design'!$M$6:$BM$6,'Product Design'!$M$13:$BM$13,0)</f>
        <v>R</v>
      </c>
      <c r="I228" s="127" t="str">
        <f>_xlfn.XLOOKUP($B226,'Product Eng - BE'!$M$6:$BM$6,'Product Eng - BE'!$M$13:$BM$13,0)</f>
        <v>G</v>
      </c>
      <c r="J228" s="127" t="str">
        <f>_xlfn.XLOOKUP($B226,'Product Eng - MB'!$M$6:$BM$6,'Product Eng - MB'!$M$13:$BM$13,0)</f>
        <v>G</v>
      </c>
      <c r="K228" s="127" t="str">
        <f>_xlfn.XLOOKUP($B226,'Bridgend Manuf'!$M$6:$BM$6,'Bridgend Manuf'!$M$13:$BM$13,0)</f>
        <v>G</v>
      </c>
      <c r="L228" s="127" t="str">
        <f>_xlfn.XLOOKUP($B226,'Maybole Manuf'!$M$6:$BM$6,'Maybole Manuf'!$M$13:$BM$13,0)</f>
        <v>R</v>
      </c>
      <c r="M228" s="127" t="str">
        <f>_xlfn.XLOOKUP($B226,Logistics!$M$6:$BM$6,Logistics!$M$13:$BM$13,0)</f>
        <v>OD</v>
      </c>
      <c r="N228" s="127" t="e">
        <f>_xlfn.XLOOKUP($B226,Engineering!$M$22:$BM$22,Engineering!#REF!,0)</f>
        <v>#REF!</v>
      </c>
      <c r="O228" s="127" t="str">
        <f>_xlfn.XLOOKUP($B226,'Quality MB'!$M$6:$BM$6,'Quality MB'!$M$13:$BM$13,0)</f>
        <v>G</v>
      </c>
      <c r="P228" s="127" t="str">
        <f>_xlfn.XLOOKUP($B226,Procurement!$M$6:$BM$6,Procurement!$M$13:$BM$13,0)</f>
        <v>A</v>
      </c>
      <c r="Q228" s="127" t="str">
        <f>_xlfn.XLOOKUP($B226,IT!$M$6:$BM$6,IT!$M$13:$BM$13,0)</f>
        <v>G</v>
      </c>
      <c r="R228" s="127" t="str">
        <f>_xlfn.XLOOKUP($B226,Marketing!$M$6:$BM$6,Marketing!$M$13:$BM$13,0)</f>
        <v>G</v>
      </c>
      <c r="S228" s="127" t="str">
        <f>IF(B226&gt;'KPI Linked Table for Report'!$C$2,"",_xlfn.XLOOKUP($T226,Finance!$M$16:$X$16,Finance!$M$21:$X$21,0))</f>
        <v/>
      </c>
      <c r="U228" s="127" t="str">
        <f>IF(B226&gt;='KPI Linked Table for Report'!$C$1,"",_xlfn.XLOOKUP($T226,'HR mthly'!$I$6:$BM$6,'HR mthly'!$I$18:$BM$18,0))</f>
        <v>R</v>
      </c>
      <c r="V228" s="127" t="str">
        <f>IF(B226&gt;='KPI Linked Table for Report'!$C$1,"",_xlfn.XLOOKUP($T226,'HR mthly'!$I$6:$BM$6,'HR mthly'!$I$21:$BM$21,0))</f>
        <v>R</v>
      </c>
    </row>
    <row r="229" spans="2:22" ht="42.45" customHeight="1" x14ac:dyDescent="0.3">
      <c r="B229" s="971" t="s">
        <v>173</v>
      </c>
      <c r="C229" s="971"/>
      <c r="D229" s="11" t="s">
        <v>174</v>
      </c>
      <c r="E229" s="11" t="s">
        <v>174</v>
      </c>
      <c r="F229" s="11" t="str">
        <f>_xlfn.XLOOKUP($B226,SOP!$M$6:$BM$6,SOP!$M$16:$BM$16,0)</f>
        <v>R</v>
      </c>
      <c r="G229" s="11" t="s">
        <v>174</v>
      </c>
      <c r="H229" s="11" t="str">
        <f>_xlfn.XLOOKUP($B226,'Product Design'!$M$6:$BM$6,'Product Design'!$M$16:$BM$16,0)</f>
        <v>R</v>
      </c>
      <c r="I229" s="11" t="str">
        <f>_xlfn.XLOOKUP($B226,'Product Eng - BE'!$M$6:$BM$6,'Product Eng - BE'!$M$16:$BM$16,0)</f>
        <v>R</v>
      </c>
      <c r="J229" s="11" t="str">
        <f>_xlfn.XLOOKUP($B226,'Product Eng - MB'!$M$6:$BM$6,'Product Eng - MB'!$M$16:$BM$16,0)</f>
        <v>R</v>
      </c>
      <c r="K229" s="11" t="s">
        <v>174</v>
      </c>
      <c r="L229" s="11" t="s">
        <v>174</v>
      </c>
      <c r="M229" s="11" t="s">
        <v>174</v>
      </c>
      <c r="N229" s="11" t="s">
        <v>174</v>
      </c>
      <c r="O229" s="11" t="s">
        <v>174</v>
      </c>
      <c r="P229" s="11" t="s">
        <v>174</v>
      </c>
      <c r="Q229" s="11" t="s">
        <v>174</v>
      </c>
      <c r="R229" s="11" t="s">
        <v>174</v>
      </c>
      <c r="S229" s="11" t="s">
        <v>174</v>
      </c>
      <c r="U229" s="11" t="s">
        <v>174</v>
      </c>
      <c r="V229" s="11" t="s">
        <v>174</v>
      </c>
    </row>
    <row r="230" spans="2:22" ht="42.45" customHeight="1" x14ac:dyDescent="0.3">
      <c r="B230" s="971" t="s">
        <v>32</v>
      </c>
      <c r="C230" s="971"/>
      <c r="D230" s="127" t="str">
        <f>_xlfn.XLOOKUP($B226,EHS!$M$6:$BM$6,EHS!$M$16:$BM$16,0)</f>
        <v>A</v>
      </c>
      <c r="E230" s="127" t="str">
        <f>_xlfn.XLOOKUP($B226,Estimating!$M$6:$BM$6,Estimating!$M$16:$BM$16,0)</f>
        <v>G</v>
      </c>
      <c r="F230" s="127" t="str">
        <f>_xlfn.XLOOKUP($B226,SOP!$M$6:$BM$6,SOP!$M$19:$BM$19,0)</f>
        <v>G</v>
      </c>
      <c r="G230" s="127" t="str">
        <f>_xlfn.XLOOKUP($B226,Design!$M$6:$BM$6,Design!$M$16:$BM$16,0)</f>
        <v>R</v>
      </c>
      <c r="H230" s="127" t="str">
        <f>_xlfn.XLOOKUP($B226,'Product Design'!$M$6:$BM$6,'Product Design'!$M$19:$BM$19,0)</f>
        <v>G</v>
      </c>
      <c r="I230" s="127" t="str">
        <f>_xlfn.XLOOKUP($B226,'Product Eng - BE'!$M$6:$BM$6,'Product Eng - BE'!$M$19:$BM$19,0)</f>
        <v>R</v>
      </c>
      <c r="J230" s="127" t="str">
        <f>_xlfn.XLOOKUP($B226,'Product Eng - MB'!$M$6:$BM$6,'Product Eng - MB'!$M$19:$BM$19,0)</f>
        <v>G</v>
      </c>
      <c r="K230" s="127" t="str">
        <f>_xlfn.XLOOKUP($B226,'Bridgend Manuf'!$M$6:$BM$6,'Bridgend Manuf'!$M$16:$BM$16,0)</f>
        <v>G</v>
      </c>
      <c r="L230" s="127" t="str">
        <f>_xlfn.XLOOKUP($B226,'Maybole Manuf'!$M$6:$BM$6,'Maybole Manuf'!$M$16:$BM$16,0)</f>
        <v>R</v>
      </c>
      <c r="M230" s="127" t="str">
        <f>_xlfn.XLOOKUP($B226,Logistics!$M$6:$BM$6,Logistics!$M$16:$BM$16,0)</f>
        <v>Missed</v>
      </c>
      <c r="N230" s="127" t="e">
        <f>_xlfn.XLOOKUP($B226,Engineering!$M$22:$BM$22,Engineering!#REF!,0)</f>
        <v>#REF!</v>
      </c>
      <c r="O230" s="127" t="str">
        <f>_xlfn.XLOOKUP($B226,'Quality MB'!$M$6:$BM$6,'Quality MB'!$M$16:$BM$16,0)</f>
        <v>R</v>
      </c>
      <c r="P230" s="127" t="str">
        <f>_xlfn.XLOOKUP($B226,Procurement!$M$6:$BM$6,Procurement!$M$16:$BM$16,0)</f>
        <v>G</v>
      </c>
      <c r="Q230" s="127" t="str">
        <f>_xlfn.XLOOKUP($B226,IT!$M$6:$BM$6,IT!$M$16:$BM$16,0)</f>
        <v>G</v>
      </c>
      <c r="R230" s="127" t="str">
        <f>_xlfn.XLOOKUP($B226,Marketing!$M$6:$BM$6,Marketing!$M$16:$BM$16,0)</f>
        <v>G</v>
      </c>
      <c r="S230" s="127" t="str">
        <f>IF(B226&gt;'KPI Linked Table for Report'!$C$2,"",_xlfn.XLOOKUP($T226,Finance!$M$16:$X$16,Finance!$M$24:$X$24,0))</f>
        <v/>
      </c>
      <c r="U230" s="127" t="str">
        <f>IF(B226&gt;='KPI Linked Table for Report'!$C$1,"",_xlfn.XLOOKUP($T226,'HR mthly'!$I$6:$BM$6,'HR mthly'!$I$26:$BM$26,0))</f>
        <v>R</v>
      </c>
      <c r="V230" s="127" t="str">
        <f>IF(B226&gt;='KPI Linked Table for Report'!$C$1,"",_xlfn.XLOOKUP($T226,'HR mthly'!$I$6:$BM$6,'HR mthly'!$I$29:$BM$29,0))</f>
        <v>A</v>
      </c>
    </row>
    <row r="231" spans="2:22" ht="42.45" customHeight="1" x14ac:dyDescent="0.3">
      <c r="B231" s="971" t="s">
        <v>31</v>
      </c>
      <c r="C231" s="971"/>
      <c r="D231" s="127" t="str">
        <f>_xlfn.XLOOKUP($B226,EHS!$M$6:$BM$6,EHS!$M$19:$BM$19,0)</f>
        <v>R</v>
      </c>
      <c r="E231" s="127" t="str">
        <f>_xlfn.XLOOKUP($B226,Estimating!$M$6:$BM$6,Estimating!$M$19:$BM$19,0)</f>
        <v>G</v>
      </c>
      <c r="F231" s="127" t="str">
        <f>_xlfn.XLOOKUP($B226,SOP!$M$6:$BM$6,SOP!$M$22:$BM$22,0)</f>
        <v>R</v>
      </c>
      <c r="G231" s="127" t="str">
        <f>_xlfn.XLOOKUP($B226,Design!$M$6:$BM$6,Design!$M$19:$BM$19,0)</f>
        <v>G</v>
      </c>
      <c r="H231" s="127" t="str">
        <f>_xlfn.XLOOKUP($B226,'Product Design'!$M$6:$BM$6,'Product Design'!$M$22:$BM$22,0)</f>
        <v>Undefined</v>
      </c>
      <c r="I231" s="127" t="str">
        <f>_xlfn.XLOOKUP($B226,'Product Eng - BE'!$M$6:$BM$6,'Product Eng - BE'!$M$22:$BM$22,0)</f>
        <v>G</v>
      </c>
      <c r="J231" s="127" t="str">
        <f>_xlfn.XLOOKUP($B226,'Product Eng - MB'!$M$6:$BM$6,'Product Eng - MB'!$M$22:$BM$22,0)</f>
        <v>R</v>
      </c>
      <c r="K231" s="127" t="str">
        <f>_xlfn.XLOOKUP($B226,'Bridgend Manuf'!$M$6:$BM$6,'Bridgend Manuf'!$M$19:$BM$19,0)</f>
        <v>R</v>
      </c>
      <c r="L231" s="127" t="str">
        <f>_xlfn.XLOOKUP($B226,'Maybole Manuf'!$M$6:$BM$6,'Maybole Manuf'!$M$19:$BM$19,0)</f>
        <v>G</v>
      </c>
      <c r="M231" s="127" t="str">
        <f>_xlfn.XLOOKUP($B226,Logistics!$M$6:$BM$6,Logistics!$M$19:$BM$19,0)</f>
        <v>Undefined</v>
      </c>
      <c r="N231" s="127" t="e">
        <f>_xlfn.XLOOKUP($B226,Engineering!$M$22:$BM$22,Engineering!#REF!,0)</f>
        <v>#REF!</v>
      </c>
      <c r="O231" s="127" t="str">
        <f>_xlfn.XLOOKUP($B226,'Quality MB'!$M$6:$BM$6,'Quality MB'!$M$19:$BM$19,0)</f>
        <v>G</v>
      </c>
      <c r="P231" s="127" t="str">
        <f>_xlfn.XLOOKUP($B226,Procurement!$M$6:$BM$6,Procurement!$M$19:$BM$19,0)</f>
        <v>G</v>
      </c>
      <c r="Q231" s="127" t="str">
        <f>_xlfn.XLOOKUP($B226,IT!$M$6:$BM$6,IT!$M$19:$BM$19,0)</f>
        <v>R</v>
      </c>
      <c r="R231" s="127" t="str">
        <f>_xlfn.XLOOKUP($B226,Marketing!$M$6:$BM$6,Marketing!$M$19:$BM$19,0)</f>
        <v>G</v>
      </c>
      <c r="S231" s="127" t="str">
        <f>IF(B226&gt;'KPI Linked Table for Report'!$C$2,"",_xlfn.XLOOKUP($T226,Finance!$M$16:$X$16,Finance!$M$27:$X$27,0))</f>
        <v/>
      </c>
      <c r="U231" s="127" t="str">
        <f>IF(B226&gt;='KPI Linked Table for Report'!$C$1,"",_xlfn.XLOOKUP($T226,'HR mthly'!$I$6:$BM$6,'HR mthly'!$I$33:$BM$33,0))</f>
        <v>A</v>
      </c>
      <c r="V231" s="127" t="str">
        <f>IF(B226&gt;='KPI Linked Table for Report'!$C$1,"",_xlfn.XLOOKUP($T226,'HR mthly'!$I$6:$BM$6,'HR mthly'!$I$36:$BM$36,0))</f>
        <v>R</v>
      </c>
    </row>
    <row r="233" spans="2:22" ht="42.45" customHeight="1" x14ac:dyDescent="0.3">
      <c r="B233" s="973" t="s">
        <v>7</v>
      </c>
      <c r="C233" s="974"/>
      <c r="D233" s="6" t="str">
        <f>+D$9</f>
        <v>EHS</v>
      </c>
      <c r="E233" s="6" t="str">
        <f>+E$9</f>
        <v>Estimating</v>
      </c>
      <c r="F233" s="6" t="str">
        <f t="shared" ref="F233:R233" si="50">+F$9</f>
        <v>SOP</v>
      </c>
      <c r="G233" s="6" t="str">
        <f>+G$9</f>
        <v>Design and R&amp;D</v>
      </c>
      <c r="H233" s="6" t="str">
        <f t="shared" si="50"/>
        <v>Product Design</v>
      </c>
      <c r="I233" s="6" t="str">
        <f t="shared" si="50"/>
        <v>Product Engineering Bridgend</v>
      </c>
      <c r="J233" s="6" t="str">
        <f t="shared" si="50"/>
        <v>Product Engineering Maybole</v>
      </c>
      <c r="K233" s="6" t="str">
        <f t="shared" si="50"/>
        <v>Bridgend
Manuf</v>
      </c>
      <c r="L233" s="6" t="str">
        <f t="shared" si="50"/>
        <v>Maybole
Manuf</v>
      </c>
      <c r="M233" s="6" t="str">
        <f>+M$9</f>
        <v>Logistics</v>
      </c>
      <c r="N233" s="6" t="str">
        <f>+N$9</f>
        <v>Engineering</v>
      </c>
      <c r="O233" s="6" t="str">
        <f>+O$9</f>
        <v>Quality
Maybole</v>
      </c>
      <c r="P233" s="6" t="str">
        <f>+P$9</f>
        <v>Procurement</v>
      </c>
      <c r="Q233" s="6" t="str">
        <f>+Q$9</f>
        <v>IT</v>
      </c>
      <c r="R233" s="6" t="str">
        <f t="shared" si="50"/>
        <v>Marketing</v>
      </c>
      <c r="S233" s="6" t="str">
        <f>+S$9</f>
        <v>Finance</v>
      </c>
      <c r="T233" s="7" t="s">
        <v>409</v>
      </c>
      <c r="U233" s="6" t="str">
        <f>+U$9</f>
        <v>HR</v>
      </c>
      <c r="V233" s="6" t="str">
        <f>+V$9</f>
        <v>HR</v>
      </c>
    </row>
    <row r="234" spans="2:22" ht="42.45" customHeight="1" x14ac:dyDescent="0.3">
      <c r="B234" s="7">
        <f>B226+1</f>
        <v>29</v>
      </c>
      <c r="C234" s="8">
        <f>C226+7</f>
        <v>45856</v>
      </c>
      <c r="D234" s="10" t="s">
        <v>24</v>
      </c>
      <c r="E234" s="9" t="str">
        <f>+E$186</f>
        <v>Julian Sparrow</v>
      </c>
      <c r="F234" s="10" t="s">
        <v>19</v>
      </c>
      <c r="G234" s="10" t="s">
        <v>20</v>
      </c>
      <c r="H234" s="10" t="s">
        <v>24</v>
      </c>
      <c r="I234" s="10" t="s">
        <v>24</v>
      </c>
      <c r="J234" s="10" t="s">
        <v>21</v>
      </c>
      <c r="K234" s="10" t="s">
        <v>22</v>
      </c>
      <c r="L234" s="10" t="s">
        <v>23</v>
      </c>
      <c r="M234" s="10" t="str">
        <f>+M$10</f>
        <v>Scott McMillan</v>
      </c>
      <c r="N234" s="10" t="str">
        <f>+N$10</f>
        <v>Garin Bowen</v>
      </c>
      <c r="O234" s="10" t="str">
        <f>+O$10</f>
        <v>Scott McMIllan</v>
      </c>
      <c r="P234" s="10" t="str">
        <f>+P$10</f>
        <v>Matt 
Pope</v>
      </c>
      <c r="Q234" s="10" t="s">
        <v>29</v>
      </c>
      <c r="R234" s="10" t="s">
        <v>25</v>
      </c>
      <c r="S234" s="10" t="s">
        <v>26</v>
      </c>
      <c r="T234" s="7">
        <v>6</v>
      </c>
      <c r="U234" s="10" t="str">
        <f>+U$10</f>
        <v>Bethan Grant</v>
      </c>
      <c r="V234" s="10" t="str">
        <f>+V$10</f>
        <v>Bethan Grant</v>
      </c>
    </row>
    <row r="235" spans="2:22" ht="42.45" customHeight="1" x14ac:dyDescent="0.3">
      <c r="B235" s="971" t="s">
        <v>30</v>
      </c>
      <c r="C235" s="971"/>
      <c r="D235" s="127" t="str">
        <f>_xlfn.XLOOKUP($B234,EHS!$M$6:$BM$6,EHS!$M$10:$BM$10,0)</f>
        <v>G</v>
      </c>
      <c r="E235" s="127" t="str">
        <f>_xlfn.XLOOKUP($B234,Estimating!$M$6:$BM$6,Estimating!$M$10:$BM$10,0)</f>
        <v>R</v>
      </c>
      <c r="F235" s="127" t="str">
        <f>_xlfn.XLOOKUP($B234,SOP!$M$6:$BM$6,SOP!$M$10:$BM$10,0)</f>
        <v>R</v>
      </c>
      <c r="G235" s="127" t="str">
        <f>_xlfn.XLOOKUP($B234,Design!$M$6:$BM$6,Design!$M$10:$BM$10,0)</f>
        <v>R</v>
      </c>
      <c r="H235" s="127" t="str">
        <f>_xlfn.XLOOKUP($B234,'Product Design'!$M$6:$BM$6,'Product Design'!$M$10:$BM$10,0)</f>
        <v>G</v>
      </c>
      <c r="I235" s="127" t="str">
        <f>_xlfn.XLOOKUP($B234,'Product Eng - BE'!$M$6:$BM$6,'Product Eng - BE'!$M$10:$BM$10,0)</f>
        <v>R</v>
      </c>
      <c r="J235" s="127" t="str">
        <f>_xlfn.XLOOKUP($B234,'Product Eng - MB'!$M$6:$BM$6,'Product Eng - MB'!$M$10:$BM$10,0)</f>
        <v>G</v>
      </c>
      <c r="K235" s="127" t="str">
        <f>_xlfn.XLOOKUP($B234,'Bridgend Manuf'!$M$6:$BM$6,'Bridgend Manuf'!$M$10:$BM$10,0)</f>
        <v>R</v>
      </c>
      <c r="L235" s="127" t="str">
        <f>_xlfn.XLOOKUP($B234,'Maybole Manuf'!$M$6:$BM$6,'Maybole Manuf'!$M$10:$BM$10,0)</f>
        <v>R</v>
      </c>
      <c r="M235" s="127" t="str">
        <f>_xlfn.XLOOKUP($B234,Logistics!$M$6:$BM$6,Logistics!$M$10:$BM$10,0)</f>
        <v>OD</v>
      </c>
      <c r="N235" s="127" t="str">
        <f>_xlfn.XLOOKUP($B234,Engineering!$M$22:$BM$22,Engineering!$M$26:$BM$26,0)</f>
        <v>G</v>
      </c>
      <c r="O235" s="127" t="str">
        <f>_xlfn.XLOOKUP($B234,'Quality MB'!$M$6:$BM$6,'Quality MB'!$M$10:$BM$10,0)</f>
        <v>G</v>
      </c>
      <c r="P235" s="127" t="str">
        <f>_xlfn.XLOOKUP($B234,Procurement!$M$6:$BM$6,Procurement!$M$10:$BM$10,0)</f>
        <v>R</v>
      </c>
      <c r="Q235" s="127" t="str">
        <f>_xlfn.XLOOKUP($B234,IT!$M$6:$BM$6,IT!$M$10:$BM$10,0)</f>
        <v>Undefined</v>
      </c>
      <c r="R235" s="127" t="str">
        <f>_xlfn.XLOOKUP($B234,Marketing!$M$6:$BM$6,Marketing!$M$10:$BM$10,0)</f>
        <v>G</v>
      </c>
      <c r="S235" s="127" t="str">
        <f>_xlfn.XLOOKUP($B234,Finance!$M$6:$BM$6,Finance!$M$10:$BM$10,0)</f>
        <v>G</v>
      </c>
      <c r="U235" s="127" t="str">
        <f>IF(B234&gt;='KPI Linked Table for Report'!$C$1,"",_xlfn.XLOOKUP($T234,'HR mthly'!$I$6:$BM$6,'HR mthly'!$I$11:$BM$11,0))</f>
        <v>G</v>
      </c>
      <c r="V235" s="127" t="str">
        <f>IF(B234&gt;='KPI Linked Table for Report'!$C$1,"",_xlfn.XLOOKUP($T234,'HR mthly'!$I$6:$BM$6,'HR mthly'!$I$14:$BM$14,0))</f>
        <v>G</v>
      </c>
    </row>
    <row r="236" spans="2:22" ht="42.45" customHeight="1" x14ac:dyDescent="0.3">
      <c r="B236" s="971" t="s">
        <v>172</v>
      </c>
      <c r="C236" s="971"/>
      <c r="D236" s="127" t="str">
        <f>_xlfn.XLOOKUP($B234,EHS!$M$6:$BM$6,EHS!$M$13:$BM$13,0)</f>
        <v>G</v>
      </c>
      <c r="E236" s="127" t="str">
        <f>_xlfn.XLOOKUP($B234,Estimating!$M$6:$BM$6,Estimating!$M$13:$BM$13,0)</f>
        <v>R</v>
      </c>
      <c r="F236" s="127" t="str">
        <f>_xlfn.XLOOKUP($B234,SOP!$M$6:$BM$6,SOP!$M$13:$BM$13,0)</f>
        <v>R</v>
      </c>
      <c r="G236" s="127" t="str">
        <f>_xlfn.XLOOKUP($B234,Design!$M$6:$BM$6,Design!$M$13:$BM$13,0)</f>
        <v>R</v>
      </c>
      <c r="H236" s="127" t="str">
        <f>_xlfn.XLOOKUP($B234,'Product Design'!$M$6:$BM$6,'Product Design'!$M$13:$BM$13,0)</f>
        <v>R</v>
      </c>
      <c r="I236" s="127" t="str">
        <f>_xlfn.XLOOKUP($B234,'Product Eng - BE'!$M$6:$BM$6,'Product Eng - BE'!$M$13:$BM$13,0)</f>
        <v>G</v>
      </c>
      <c r="J236" s="127" t="str">
        <f>_xlfn.XLOOKUP($B234,'Product Eng - MB'!$M$6:$BM$6,'Product Eng - MB'!$M$13:$BM$13,0)</f>
        <v>G</v>
      </c>
      <c r="K236" s="127" t="str">
        <f>_xlfn.XLOOKUP($B234,'Bridgend Manuf'!$M$6:$BM$6,'Bridgend Manuf'!$M$13:$BM$13,0)</f>
        <v>G</v>
      </c>
      <c r="L236" s="127" t="str">
        <f>_xlfn.XLOOKUP($B234,'Maybole Manuf'!$M$6:$BM$6,'Maybole Manuf'!$M$13:$BM$13,0)</f>
        <v>R</v>
      </c>
      <c r="M236" s="127" t="str">
        <f>_xlfn.XLOOKUP($B234,Logistics!$M$6:$BM$6,Logistics!$M$13:$BM$13,0)</f>
        <v>OD</v>
      </c>
      <c r="N236" s="127" t="e">
        <f>_xlfn.XLOOKUP($B234,Engineering!$M$22:$BM$22,Engineering!#REF!,0)</f>
        <v>#REF!</v>
      </c>
      <c r="O236" s="127" t="str">
        <f>_xlfn.XLOOKUP($B234,'Quality MB'!$M$6:$BM$6,'Quality MB'!$M$13:$BM$13,0)</f>
        <v>R</v>
      </c>
      <c r="P236" s="127" t="str">
        <f>_xlfn.XLOOKUP($B234,Procurement!$M$6:$BM$6,Procurement!$M$13:$BM$13,0)</f>
        <v>A</v>
      </c>
      <c r="Q236" s="127" t="str">
        <f>_xlfn.XLOOKUP($B234,IT!$M$6:$BM$6,IT!$M$13:$BM$13,0)</f>
        <v>G</v>
      </c>
      <c r="R236" s="127" t="str">
        <f>_xlfn.XLOOKUP($B234,Marketing!$M$6:$BM$6,Marketing!$M$13:$BM$13,0)</f>
        <v>G</v>
      </c>
      <c r="S236" s="127" t="str">
        <f>IF(B234&gt;'KPI Linked Table for Report'!$C$2,"",_xlfn.XLOOKUP($T234,Finance!$M$16:$X$16,Finance!$M$21:$X$21,0))</f>
        <v/>
      </c>
      <c r="U236" s="127" t="str">
        <f>IF(B234&gt;='KPI Linked Table for Report'!$C$1,"",_xlfn.XLOOKUP($T234,'HR mthly'!$I$6:$BM$6,'HR mthly'!$I$18:$BM$18,0))</f>
        <v>R</v>
      </c>
      <c r="V236" s="127" t="str">
        <f>IF(B234&gt;='KPI Linked Table for Report'!$C$1,"",_xlfn.XLOOKUP($T234,'HR mthly'!$I$6:$BM$6,'HR mthly'!$I$21:$BM$21,0))</f>
        <v>R</v>
      </c>
    </row>
    <row r="237" spans="2:22" ht="42.45" customHeight="1" x14ac:dyDescent="0.3">
      <c r="B237" s="971" t="s">
        <v>173</v>
      </c>
      <c r="C237" s="971"/>
      <c r="D237" s="11" t="s">
        <v>174</v>
      </c>
      <c r="E237" s="11" t="s">
        <v>174</v>
      </c>
      <c r="F237" s="11" t="str">
        <f>_xlfn.XLOOKUP($B234,SOP!$M$6:$BM$6,SOP!$M$16:$BM$16,0)</f>
        <v>R</v>
      </c>
      <c r="G237" s="11" t="s">
        <v>174</v>
      </c>
      <c r="H237" s="11" t="str">
        <f>_xlfn.XLOOKUP($B234,'Product Design'!$M$6:$BM$6,'Product Design'!$M$16:$BM$16,0)</f>
        <v>G</v>
      </c>
      <c r="I237" s="11" t="str">
        <f>_xlfn.XLOOKUP($B234,'Product Eng - BE'!$M$6:$BM$6,'Product Eng - BE'!$M$16:$BM$16,0)</f>
        <v>R</v>
      </c>
      <c r="J237" s="11" t="str">
        <f>_xlfn.XLOOKUP($B234,'Product Eng - MB'!$M$6:$BM$6,'Product Eng - MB'!$M$16:$BM$16,0)</f>
        <v>R</v>
      </c>
      <c r="K237" s="11" t="s">
        <v>174</v>
      </c>
      <c r="L237" s="11" t="s">
        <v>174</v>
      </c>
      <c r="M237" s="11" t="s">
        <v>174</v>
      </c>
      <c r="N237" s="11" t="s">
        <v>174</v>
      </c>
      <c r="O237" s="11" t="s">
        <v>174</v>
      </c>
      <c r="P237" s="11" t="s">
        <v>174</v>
      </c>
      <c r="Q237" s="11" t="s">
        <v>174</v>
      </c>
      <c r="R237" s="11" t="s">
        <v>174</v>
      </c>
      <c r="S237" s="11" t="s">
        <v>174</v>
      </c>
      <c r="U237" s="11" t="s">
        <v>174</v>
      </c>
      <c r="V237" s="11" t="s">
        <v>174</v>
      </c>
    </row>
    <row r="238" spans="2:22" ht="42.45" customHeight="1" x14ac:dyDescent="0.3">
      <c r="B238" s="971" t="s">
        <v>32</v>
      </c>
      <c r="C238" s="971"/>
      <c r="D238" s="127" t="str">
        <f>_xlfn.XLOOKUP($B234,EHS!$M$6:$BM$6,EHS!$M$16:$BM$16,0)</f>
        <v>G</v>
      </c>
      <c r="E238" s="127" t="str">
        <f>_xlfn.XLOOKUP($B234,Estimating!$M$6:$BM$6,Estimating!$M$16:$BM$16,0)</f>
        <v>R</v>
      </c>
      <c r="F238" s="127" t="str">
        <f>_xlfn.XLOOKUP($B234,SOP!$M$6:$BM$6,SOP!$M$19:$BM$19,0)</f>
        <v>R</v>
      </c>
      <c r="G238" s="127" t="str">
        <f>_xlfn.XLOOKUP($B234,Design!$M$6:$BM$6,Design!$M$16:$BM$16,0)</f>
        <v>R</v>
      </c>
      <c r="H238" s="127" t="str">
        <f>_xlfn.XLOOKUP($B234,'Product Design'!$M$6:$BM$6,'Product Design'!$M$19:$BM$19,0)</f>
        <v>G</v>
      </c>
      <c r="I238" s="127" t="str">
        <f>_xlfn.XLOOKUP($B234,'Product Eng - BE'!$M$6:$BM$6,'Product Eng - BE'!$M$19:$BM$19,0)</f>
        <v>R</v>
      </c>
      <c r="J238" s="127" t="str">
        <f>_xlfn.XLOOKUP($B234,'Product Eng - MB'!$M$6:$BM$6,'Product Eng - MB'!$M$19:$BM$19,0)</f>
        <v>G</v>
      </c>
      <c r="K238" s="127" t="str">
        <f>_xlfn.XLOOKUP($B234,'Bridgend Manuf'!$M$6:$BM$6,'Bridgend Manuf'!$M$16:$BM$16,0)</f>
        <v>G</v>
      </c>
      <c r="L238" s="127" t="str">
        <f>_xlfn.XLOOKUP($B234,'Maybole Manuf'!$M$6:$BM$6,'Maybole Manuf'!$M$16:$BM$16,0)</f>
        <v>R</v>
      </c>
      <c r="M238" s="127" t="str">
        <f>_xlfn.XLOOKUP($B234,Logistics!$M$6:$BM$6,Logistics!$M$16:$BM$16,0)</f>
        <v>Missed</v>
      </c>
      <c r="N238" s="127" t="e">
        <f>_xlfn.XLOOKUP($B234,Engineering!$M$22:$BM$22,Engineering!#REF!,0)</f>
        <v>#REF!</v>
      </c>
      <c r="O238" s="127" t="str">
        <f>_xlfn.XLOOKUP($B234,'Quality MB'!$M$6:$BM$6,'Quality MB'!$M$16:$BM$16,0)</f>
        <v>R</v>
      </c>
      <c r="P238" s="127" t="str">
        <f>_xlfn.XLOOKUP($B234,Procurement!$M$6:$BM$6,Procurement!$M$16:$BM$16,0)</f>
        <v>G</v>
      </c>
      <c r="Q238" s="127" t="str">
        <f>_xlfn.XLOOKUP($B234,IT!$M$6:$BM$6,IT!$M$16:$BM$16,0)</f>
        <v>G</v>
      </c>
      <c r="R238" s="127" t="str">
        <f>_xlfn.XLOOKUP($B234,Marketing!$M$6:$BM$6,Marketing!$M$16:$BM$16,0)</f>
        <v>G</v>
      </c>
      <c r="S238" s="127" t="str">
        <f>IF(B234&gt;'KPI Linked Table for Report'!$C$2,"",_xlfn.XLOOKUP($T234,Finance!$M$16:$X$16,Finance!$M$24:$X$24,0))</f>
        <v/>
      </c>
      <c r="U238" s="127" t="str">
        <f>IF(B234&gt;='KPI Linked Table for Report'!$C$1,"",_xlfn.XLOOKUP($T234,'HR mthly'!$I$6:$BM$6,'HR mthly'!$I$26:$BM$26,0))</f>
        <v>R</v>
      </c>
      <c r="V238" s="127" t="str">
        <f>IF(B234&gt;='KPI Linked Table for Report'!$C$1,"",_xlfn.XLOOKUP($T234,'HR mthly'!$I$6:$BM$6,'HR mthly'!$I$29:$BM$29,0))</f>
        <v>A</v>
      </c>
    </row>
    <row r="239" spans="2:22" ht="42.45" customHeight="1" x14ac:dyDescent="0.3">
      <c r="B239" s="971" t="s">
        <v>31</v>
      </c>
      <c r="C239" s="971"/>
      <c r="D239" s="127" t="str">
        <f>_xlfn.XLOOKUP($B234,EHS!$M$6:$BM$6,EHS!$M$19:$BM$19,0)</f>
        <v>R</v>
      </c>
      <c r="E239" s="127" t="str">
        <f>_xlfn.XLOOKUP($B234,Estimating!$M$6:$BM$6,Estimating!$M$19:$BM$19,0)</f>
        <v>A</v>
      </c>
      <c r="F239" s="127" t="str">
        <f>_xlfn.XLOOKUP($B234,SOP!$M$6:$BM$6,SOP!$M$22:$BM$22,0)</f>
        <v>G</v>
      </c>
      <c r="G239" s="127" t="str">
        <f>_xlfn.XLOOKUP($B234,Design!$M$6:$BM$6,Design!$M$19:$BM$19,0)</f>
        <v>R</v>
      </c>
      <c r="H239" s="127" t="str">
        <f>_xlfn.XLOOKUP($B234,'Product Design'!$M$6:$BM$6,'Product Design'!$M$22:$BM$22,0)</f>
        <v>Undefined</v>
      </c>
      <c r="I239" s="127" t="str">
        <f>_xlfn.XLOOKUP($B234,'Product Eng - BE'!$M$6:$BM$6,'Product Eng - BE'!$M$22:$BM$22,0)</f>
        <v>R</v>
      </c>
      <c r="J239" s="127" t="str">
        <f>_xlfn.XLOOKUP($B234,'Product Eng - MB'!$M$6:$BM$6,'Product Eng - MB'!$M$22:$BM$22,0)</f>
        <v>R</v>
      </c>
      <c r="K239" s="127" t="str">
        <f>_xlfn.XLOOKUP($B234,'Bridgend Manuf'!$M$6:$BM$6,'Bridgend Manuf'!$M$19:$BM$19,0)</f>
        <v>G</v>
      </c>
      <c r="L239" s="127" t="str">
        <f>_xlfn.XLOOKUP($B234,'Maybole Manuf'!$M$6:$BM$6,'Maybole Manuf'!$M$19:$BM$19,0)</f>
        <v>R</v>
      </c>
      <c r="M239" s="127" t="str">
        <f>_xlfn.XLOOKUP($B234,Logistics!$M$6:$BM$6,Logistics!$M$19:$BM$19,0)</f>
        <v>Undefined</v>
      </c>
      <c r="N239" s="127" t="e">
        <f>_xlfn.XLOOKUP($B234,Engineering!$M$22:$BM$22,Engineering!#REF!,0)</f>
        <v>#REF!</v>
      </c>
      <c r="O239" s="127" t="str">
        <f>_xlfn.XLOOKUP($B234,'Quality MB'!$M$6:$BM$6,'Quality MB'!$M$19:$BM$19,0)</f>
        <v>G</v>
      </c>
      <c r="P239" s="127" t="str">
        <f>_xlfn.XLOOKUP($B234,Procurement!$M$6:$BM$6,Procurement!$M$19:$BM$19,0)</f>
        <v>G</v>
      </c>
      <c r="Q239" s="127" t="str">
        <f>_xlfn.XLOOKUP($B234,IT!$M$6:$BM$6,IT!$M$19:$BM$19,0)</f>
        <v>R</v>
      </c>
      <c r="R239" s="127" t="str">
        <f>_xlfn.XLOOKUP($B234,Marketing!$M$6:$BM$6,Marketing!$M$19:$BM$19,0)</f>
        <v>G</v>
      </c>
      <c r="S239" s="127" t="str">
        <f>IF(B234&gt;'KPI Linked Table for Report'!$C$2,"",_xlfn.XLOOKUP($T234,Finance!$M$16:$X$16,Finance!$M$27:$X$27,0))</f>
        <v/>
      </c>
      <c r="U239" s="127" t="str">
        <f>IF(B234&gt;='KPI Linked Table for Report'!$C$1,"",_xlfn.XLOOKUP($T234,'HR mthly'!$I$6:$BM$6,'HR mthly'!$I$33:$BM$33,0))</f>
        <v>A</v>
      </c>
      <c r="V239" s="127" t="str">
        <f>IF(B234&gt;='KPI Linked Table for Report'!$C$1,"",_xlfn.XLOOKUP($T234,'HR mthly'!$I$6:$BM$6,'HR mthly'!$I$36:$BM$36,0))</f>
        <v>R</v>
      </c>
    </row>
    <row r="241" spans="2:22" ht="42.45" customHeight="1" x14ac:dyDescent="0.3">
      <c r="B241" s="973" t="s">
        <v>7</v>
      </c>
      <c r="C241" s="974"/>
      <c r="D241" s="6" t="str">
        <f>+D$9</f>
        <v>EHS</v>
      </c>
      <c r="E241" s="6" t="str">
        <f>+E$9</f>
        <v>Estimating</v>
      </c>
      <c r="F241" s="6" t="str">
        <f t="shared" ref="F241:R241" si="51">+F$9</f>
        <v>SOP</v>
      </c>
      <c r="G241" s="6" t="str">
        <f>+G$9</f>
        <v>Design and R&amp;D</v>
      </c>
      <c r="H241" s="6" t="str">
        <f t="shared" si="51"/>
        <v>Product Design</v>
      </c>
      <c r="I241" s="6" t="str">
        <f t="shared" si="51"/>
        <v>Product Engineering Bridgend</v>
      </c>
      <c r="J241" s="6" t="str">
        <f t="shared" si="51"/>
        <v>Product Engineering Maybole</v>
      </c>
      <c r="K241" s="6" t="str">
        <f t="shared" si="51"/>
        <v>Bridgend
Manuf</v>
      </c>
      <c r="L241" s="6" t="str">
        <f t="shared" si="51"/>
        <v>Maybole
Manuf</v>
      </c>
      <c r="M241" s="6" t="str">
        <f>+M$9</f>
        <v>Logistics</v>
      </c>
      <c r="N241" s="6" t="str">
        <f>+N$9</f>
        <v>Engineering</v>
      </c>
      <c r="O241" s="6" t="str">
        <f>+O$9</f>
        <v>Quality
Maybole</v>
      </c>
      <c r="P241" s="6" t="str">
        <f>+P$9</f>
        <v>Procurement</v>
      </c>
      <c r="Q241" s="6" t="str">
        <f>+Q$9</f>
        <v>IT</v>
      </c>
      <c r="R241" s="6" t="str">
        <f t="shared" si="51"/>
        <v>Marketing</v>
      </c>
      <c r="S241" s="6" t="str">
        <f>+S$9</f>
        <v>Finance</v>
      </c>
      <c r="T241" s="7" t="s">
        <v>409</v>
      </c>
      <c r="U241" s="6" t="str">
        <f>+U$9</f>
        <v>HR</v>
      </c>
      <c r="V241" s="6" t="str">
        <f>+V$9</f>
        <v>HR</v>
      </c>
    </row>
    <row r="242" spans="2:22" ht="42.45" customHeight="1" x14ac:dyDescent="0.3">
      <c r="B242" s="7">
        <f>B234+1</f>
        <v>30</v>
      </c>
      <c r="C242" s="8">
        <f>C234+7</f>
        <v>45863</v>
      </c>
      <c r="D242" s="10" t="s">
        <v>24</v>
      </c>
      <c r="E242" s="9" t="str">
        <f>+E$186</f>
        <v>Julian Sparrow</v>
      </c>
      <c r="F242" s="10" t="s">
        <v>19</v>
      </c>
      <c r="G242" s="10" t="s">
        <v>20</v>
      </c>
      <c r="H242" s="10" t="s">
        <v>24</v>
      </c>
      <c r="I242" s="10" t="s">
        <v>24</v>
      </c>
      <c r="J242" s="10" t="s">
        <v>21</v>
      </c>
      <c r="K242" s="10" t="s">
        <v>22</v>
      </c>
      <c r="L242" s="10" t="s">
        <v>23</v>
      </c>
      <c r="M242" s="10" t="str">
        <f>+M$10</f>
        <v>Scott McMillan</v>
      </c>
      <c r="N242" s="10" t="str">
        <f>+N$10</f>
        <v>Garin Bowen</v>
      </c>
      <c r="O242" s="10" t="str">
        <f>+O$10</f>
        <v>Scott McMIllan</v>
      </c>
      <c r="P242" s="10" t="str">
        <f>+P$10</f>
        <v>Matt 
Pope</v>
      </c>
      <c r="Q242" s="10" t="s">
        <v>29</v>
      </c>
      <c r="R242" s="10" t="s">
        <v>25</v>
      </c>
      <c r="S242" s="10" t="s">
        <v>26</v>
      </c>
      <c r="T242" s="7">
        <v>6</v>
      </c>
      <c r="U242" s="10" t="str">
        <f>+U$10</f>
        <v>Bethan Grant</v>
      </c>
      <c r="V242" s="10" t="str">
        <f>+V$10</f>
        <v>Bethan Grant</v>
      </c>
    </row>
    <row r="243" spans="2:22" ht="42.45" customHeight="1" x14ac:dyDescent="0.3">
      <c r="B243" s="971" t="s">
        <v>30</v>
      </c>
      <c r="C243" s="971"/>
      <c r="D243" s="127" t="str">
        <f>_xlfn.XLOOKUP($B242,EHS!$M$6:$BM$6,EHS!$M$10:$BM$10,0)</f>
        <v>G</v>
      </c>
      <c r="E243" s="127" t="str">
        <f>_xlfn.XLOOKUP($B242,Estimating!$M$6:$BM$6,Estimating!$M$10:$BM$10,0)</f>
        <v>G</v>
      </c>
      <c r="F243" s="127" t="str">
        <f>_xlfn.XLOOKUP($B242,SOP!$M$6:$BM$6,SOP!$M$10:$BM$10,0)</f>
        <v>G</v>
      </c>
      <c r="G243" s="127" t="str">
        <f>_xlfn.XLOOKUP($B242,Design!$M$6:$BM$6,Design!$M$10:$BM$10,0)</f>
        <v>G</v>
      </c>
      <c r="H243" s="127" t="str">
        <f>_xlfn.XLOOKUP($B242,'Product Design'!$M$6:$BM$6,'Product Design'!$M$10:$BM$10,0)</f>
        <v>R</v>
      </c>
      <c r="I243" s="127" t="str">
        <f>_xlfn.XLOOKUP($B242,'Product Eng - BE'!$M$6:$BM$6,'Product Eng - BE'!$M$10:$BM$10,0)</f>
        <v>G</v>
      </c>
      <c r="J243" s="127" t="str">
        <f>_xlfn.XLOOKUP($B242,'Product Eng - MB'!$M$6:$BM$6,'Product Eng - MB'!$M$10:$BM$10,0)</f>
        <v>G</v>
      </c>
      <c r="K243" s="127" t="str">
        <f>_xlfn.XLOOKUP($B242,'Bridgend Manuf'!$M$6:$BM$6,'Bridgend Manuf'!$M$10:$BM$10,0)</f>
        <v>G</v>
      </c>
      <c r="L243" s="127" t="str">
        <f>_xlfn.XLOOKUP($B242,'Maybole Manuf'!$M$6:$BM$6,'Maybole Manuf'!$M$10:$BM$10,0)</f>
        <v>G</v>
      </c>
      <c r="M243" s="127" t="str">
        <f>_xlfn.XLOOKUP($B242,Logistics!$M$6:$BM$6,Logistics!$M$10:$BM$10,0)</f>
        <v>OD</v>
      </c>
      <c r="N243" s="127" t="str">
        <f>_xlfn.XLOOKUP($B242,Engineering!$M$22:$BM$22,Engineering!$M$26:$BM$26,0)</f>
        <v>A</v>
      </c>
      <c r="O243" s="127" t="str">
        <f>_xlfn.XLOOKUP($B242,'Quality MB'!$M$6:$BM$6,'Quality MB'!$M$10:$BM$10,0)</f>
        <v>G</v>
      </c>
      <c r="P243" s="127" t="str">
        <f>_xlfn.XLOOKUP($B242,Procurement!$M$6:$BM$6,Procurement!$M$10:$BM$10,0)</f>
        <v>R</v>
      </c>
      <c r="Q243" s="127" t="str">
        <f>_xlfn.XLOOKUP($B242,IT!$M$6:$BM$6,IT!$M$10:$BM$10,0)</f>
        <v>Undefined</v>
      </c>
      <c r="R243" s="127" t="str">
        <f>_xlfn.XLOOKUP($B242,Marketing!$M$6:$BM$6,Marketing!$M$10:$BM$10,0)</f>
        <v>G</v>
      </c>
      <c r="S243" s="127" t="str">
        <f>_xlfn.XLOOKUP($B242,Finance!$M$6:$BM$6,Finance!$M$10:$BM$10,0)</f>
        <v>R</v>
      </c>
      <c r="U243" s="127" t="str">
        <f>IF(B242&gt;='KPI Linked Table for Report'!$C$1,"",_xlfn.XLOOKUP($T242,'HR mthly'!$I$6:$BM$6,'HR mthly'!$I$11:$BM$11,0))</f>
        <v>G</v>
      </c>
      <c r="V243" s="127" t="str">
        <f>IF(B242&gt;='KPI Linked Table for Report'!$C$1,"",_xlfn.XLOOKUP($T242,'HR mthly'!$I$6:$BM$6,'HR mthly'!$I$14:$BM$14,0))</f>
        <v>G</v>
      </c>
    </row>
    <row r="244" spans="2:22" ht="42.45" customHeight="1" x14ac:dyDescent="0.3">
      <c r="B244" s="971" t="s">
        <v>172</v>
      </c>
      <c r="C244" s="971"/>
      <c r="D244" s="127" t="str">
        <f>_xlfn.XLOOKUP($B242,EHS!$M$6:$BM$6,EHS!$M$13:$BM$13,0)</f>
        <v>G</v>
      </c>
      <c r="E244" s="127" t="str">
        <f>_xlfn.XLOOKUP($B242,Estimating!$M$6:$BM$6,Estimating!$M$13:$BM$13,0)</f>
        <v>A</v>
      </c>
      <c r="F244" s="127" t="str">
        <f>_xlfn.XLOOKUP($B242,SOP!$M$6:$BM$6,SOP!$M$13:$BM$13,0)</f>
        <v>R</v>
      </c>
      <c r="G244" s="127" t="str">
        <f>_xlfn.XLOOKUP($B242,Design!$M$6:$BM$6,Design!$M$13:$BM$13,0)</f>
        <v>R</v>
      </c>
      <c r="H244" s="127" t="str">
        <f>_xlfn.XLOOKUP($B242,'Product Design'!$M$6:$BM$6,'Product Design'!$M$13:$BM$13,0)</f>
        <v>G</v>
      </c>
      <c r="I244" s="127" t="str">
        <f>_xlfn.XLOOKUP($B242,'Product Eng - BE'!$M$6:$BM$6,'Product Eng - BE'!$M$13:$BM$13,0)</f>
        <v>G</v>
      </c>
      <c r="J244" s="127" t="str">
        <f>_xlfn.XLOOKUP($B242,'Product Eng - MB'!$M$6:$BM$6,'Product Eng - MB'!$M$13:$BM$13,0)</f>
        <v>G</v>
      </c>
      <c r="K244" s="127" t="str">
        <f>_xlfn.XLOOKUP($B242,'Bridgend Manuf'!$M$6:$BM$6,'Bridgend Manuf'!$M$13:$BM$13,0)</f>
        <v>G</v>
      </c>
      <c r="L244" s="127" t="str">
        <f>_xlfn.XLOOKUP($B242,'Maybole Manuf'!$M$6:$BM$6,'Maybole Manuf'!$M$13:$BM$13,0)</f>
        <v>R</v>
      </c>
      <c r="M244" s="127" t="str">
        <f>_xlfn.XLOOKUP($B242,Logistics!$M$6:$BM$6,Logistics!$M$13:$BM$13,0)</f>
        <v>OD</v>
      </c>
      <c r="N244" s="127" t="e">
        <f>_xlfn.XLOOKUP($B242,Engineering!$M$22:$BM$22,Engineering!#REF!,0)</f>
        <v>#REF!</v>
      </c>
      <c r="O244" s="127" t="str">
        <f>_xlfn.XLOOKUP($B242,'Quality MB'!$M$6:$BM$6,'Quality MB'!$M$13:$BM$13,0)</f>
        <v>R</v>
      </c>
      <c r="P244" s="127" t="str">
        <f>_xlfn.XLOOKUP($B242,Procurement!$M$6:$BM$6,Procurement!$M$13:$BM$13,0)</f>
        <v>A</v>
      </c>
      <c r="Q244" s="127" t="str">
        <f>_xlfn.XLOOKUP($B242,IT!$M$6:$BM$6,IT!$M$13:$BM$13,0)</f>
        <v>G</v>
      </c>
      <c r="R244" s="127" t="str">
        <f>_xlfn.XLOOKUP($B242,Marketing!$M$6:$BM$6,Marketing!$M$13:$BM$13,0)</f>
        <v>G</v>
      </c>
      <c r="S244" s="127" t="str">
        <f>IF(B242&gt;'KPI Linked Table for Report'!$C$2,"",_xlfn.XLOOKUP($T242,Finance!$M$16:$X$16,Finance!$M$21:$X$21,0))</f>
        <v/>
      </c>
      <c r="U244" s="127" t="str">
        <f>IF(B242&gt;='KPI Linked Table for Report'!$C$1,"",_xlfn.XLOOKUP($T242,'HR mthly'!$I$6:$BM$6,'HR mthly'!$I$18:$BM$18,0))</f>
        <v>R</v>
      </c>
      <c r="V244" s="127" t="str">
        <f>IF(B242&gt;='KPI Linked Table for Report'!$C$1,"",_xlfn.XLOOKUP($T242,'HR mthly'!$I$6:$BM$6,'HR mthly'!$I$21:$BM$21,0))</f>
        <v>R</v>
      </c>
    </row>
    <row r="245" spans="2:22" ht="42.45" customHeight="1" x14ac:dyDescent="0.3">
      <c r="B245" s="971" t="s">
        <v>173</v>
      </c>
      <c r="C245" s="971"/>
      <c r="D245" s="11" t="s">
        <v>174</v>
      </c>
      <c r="E245" s="11" t="s">
        <v>174</v>
      </c>
      <c r="F245" s="11" t="str">
        <f>_xlfn.XLOOKUP($B242,SOP!$M$6:$BM$6,SOP!$M$16:$BM$16,0)</f>
        <v>R</v>
      </c>
      <c r="G245" s="11" t="s">
        <v>174</v>
      </c>
      <c r="H245" s="11" t="str">
        <f>_xlfn.XLOOKUP($B242,'Product Design'!$M$6:$BM$6,'Product Design'!$M$16:$BM$16,0)</f>
        <v>R</v>
      </c>
      <c r="I245" s="11" t="str">
        <f>_xlfn.XLOOKUP($B242,'Product Eng - BE'!$M$6:$BM$6,'Product Eng - BE'!$M$16:$BM$16,0)</f>
        <v>R</v>
      </c>
      <c r="J245" s="11" t="str">
        <f>_xlfn.XLOOKUP($B242,'Product Eng - MB'!$M$6:$BM$6,'Product Eng - MB'!$M$16:$BM$16,0)</f>
        <v>G</v>
      </c>
      <c r="K245" s="11" t="s">
        <v>174</v>
      </c>
      <c r="L245" s="11" t="s">
        <v>174</v>
      </c>
      <c r="M245" s="11" t="s">
        <v>174</v>
      </c>
      <c r="N245" s="11" t="s">
        <v>174</v>
      </c>
      <c r="O245" s="11" t="s">
        <v>174</v>
      </c>
      <c r="P245" s="11" t="s">
        <v>174</v>
      </c>
      <c r="Q245" s="11" t="s">
        <v>174</v>
      </c>
      <c r="R245" s="11" t="s">
        <v>174</v>
      </c>
      <c r="S245" s="11" t="s">
        <v>174</v>
      </c>
      <c r="U245" s="11" t="s">
        <v>174</v>
      </c>
      <c r="V245" s="11" t="s">
        <v>174</v>
      </c>
    </row>
    <row r="246" spans="2:22" ht="42.45" customHeight="1" x14ac:dyDescent="0.3">
      <c r="B246" s="971" t="s">
        <v>32</v>
      </c>
      <c r="C246" s="971"/>
      <c r="D246" s="127" t="str">
        <f>_xlfn.XLOOKUP($B242,EHS!$M$6:$BM$6,EHS!$M$16:$BM$16,0)</f>
        <v>G</v>
      </c>
      <c r="E246" s="127" t="str">
        <f>_xlfn.XLOOKUP($B242,Estimating!$M$6:$BM$6,Estimating!$M$16:$BM$16,0)</f>
        <v>A</v>
      </c>
      <c r="F246" s="127" t="str">
        <f>_xlfn.XLOOKUP($B242,SOP!$M$6:$BM$6,SOP!$M$19:$BM$19,0)</f>
        <v>R</v>
      </c>
      <c r="G246" s="127" t="str">
        <f>_xlfn.XLOOKUP($B242,Design!$M$6:$BM$6,Design!$M$16:$BM$16,0)</f>
        <v>R</v>
      </c>
      <c r="H246" s="127" t="str">
        <f>_xlfn.XLOOKUP($B242,'Product Design'!$M$6:$BM$6,'Product Design'!$M$19:$BM$19,0)</f>
        <v>G</v>
      </c>
      <c r="I246" s="127" t="str">
        <f>_xlfn.XLOOKUP($B242,'Product Eng - BE'!$M$6:$BM$6,'Product Eng - BE'!$M$19:$BM$19,0)</f>
        <v>R</v>
      </c>
      <c r="J246" s="127" t="str">
        <f>_xlfn.XLOOKUP($B242,'Product Eng - MB'!$M$6:$BM$6,'Product Eng - MB'!$M$19:$BM$19,0)</f>
        <v>G</v>
      </c>
      <c r="K246" s="127" t="str">
        <f>_xlfn.XLOOKUP($B242,'Bridgend Manuf'!$M$6:$BM$6,'Bridgend Manuf'!$M$16:$BM$16,0)</f>
        <v>G</v>
      </c>
      <c r="L246" s="127" t="str">
        <f>_xlfn.XLOOKUP($B242,'Maybole Manuf'!$M$6:$BM$6,'Maybole Manuf'!$M$16:$BM$16,0)</f>
        <v>R</v>
      </c>
      <c r="M246" s="127" t="str">
        <f>_xlfn.XLOOKUP($B242,Logistics!$M$6:$BM$6,Logistics!$M$16:$BM$16,0)</f>
        <v>Missed</v>
      </c>
      <c r="N246" s="127" t="e">
        <f>_xlfn.XLOOKUP($B242,Engineering!$M$22:$BM$22,Engineering!#REF!,0)</f>
        <v>#REF!</v>
      </c>
      <c r="O246" s="127" t="str">
        <f>_xlfn.XLOOKUP($B242,'Quality MB'!$M$6:$BM$6,'Quality MB'!$M$16:$BM$16,0)</f>
        <v>R</v>
      </c>
      <c r="P246" s="127" t="str">
        <f>_xlfn.XLOOKUP($B242,Procurement!$M$6:$BM$6,Procurement!$M$16:$BM$16,0)</f>
        <v>G</v>
      </c>
      <c r="Q246" s="127" t="str">
        <f>_xlfn.XLOOKUP($B242,IT!$M$6:$BM$6,IT!$M$16:$BM$16,0)</f>
        <v>G</v>
      </c>
      <c r="R246" s="127" t="str">
        <f>_xlfn.XLOOKUP($B242,Marketing!$M$6:$BM$6,Marketing!$M$16:$BM$16,0)</f>
        <v>R</v>
      </c>
      <c r="S246" s="127" t="str">
        <f>IF(B242&gt;'KPI Linked Table for Report'!$C$2,"",_xlfn.XLOOKUP($T242,Finance!$M$16:$X$16,Finance!$M$24:$X$24,0))</f>
        <v/>
      </c>
      <c r="U246" s="127" t="str">
        <f>IF(B242&gt;='KPI Linked Table for Report'!$C$1,"",_xlfn.XLOOKUP($T242,'HR mthly'!$I$6:$BM$6,'HR mthly'!$I$26:$BM$26,0))</f>
        <v>R</v>
      </c>
      <c r="V246" s="127" t="str">
        <f>IF(B242&gt;='KPI Linked Table for Report'!$C$1,"",_xlfn.XLOOKUP($T242,'HR mthly'!$I$6:$BM$6,'HR mthly'!$I$29:$BM$29,0))</f>
        <v>A</v>
      </c>
    </row>
    <row r="247" spans="2:22" ht="42.45" customHeight="1" x14ac:dyDescent="0.3">
      <c r="B247" s="971" t="s">
        <v>31</v>
      </c>
      <c r="C247" s="971"/>
      <c r="D247" s="127" t="str">
        <f>_xlfn.XLOOKUP($B242,EHS!$M$6:$BM$6,EHS!$M$19:$BM$19,0)</f>
        <v>R</v>
      </c>
      <c r="E247" s="127" t="str">
        <f>_xlfn.XLOOKUP($B242,Estimating!$M$6:$BM$6,Estimating!$M$19:$BM$19,0)</f>
        <v>R</v>
      </c>
      <c r="F247" s="127" t="str">
        <f>_xlfn.XLOOKUP($B242,SOP!$M$6:$BM$6,SOP!$M$22:$BM$22,0)</f>
        <v>G</v>
      </c>
      <c r="G247" s="127" t="str">
        <f>_xlfn.XLOOKUP($B242,Design!$M$6:$BM$6,Design!$M$19:$BM$19,0)</f>
        <v>G</v>
      </c>
      <c r="H247" s="127" t="str">
        <f>_xlfn.XLOOKUP($B242,'Product Design'!$M$6:$BM$6,'Product Design'!$M$22:$BM$22,0)</f>
        <v>Undefined</v>
      </c>
      <c r="I247" s="127" t="str">
        <f>_xlfn.XLOOKUP($B242,'Product Eng - BE'!$M$6:$BM$6,'Product Eng - BE'!$M$22:$BM$22,0)</f>
        <v>R</v>
      </c>
      <c r="J247" s="127" t="str">
        <f>_xlfn.XLOOKUP($B242,'Product Eng - MB'!$M$6:$BM$6,'Product Eng - MB'!$M$22:$BM$22,0)</f>
        <v>R</v>
      </c>
      <c r="K247" s="127" t="str">
        <f>_xlfn.XLOOKUP($B242,'Bridgend Manuf'!$M$6:$BM$6,'Bridgend Manuf'!$M$19:$BM$19,0)</f>
        <v>G</v>
      </c>
      <c r="L247" s="127" t="str">
        <f>_xlfn.XLOOKUP($B242,'Maybole Manuf'!$M$6:$BM$6,'Maybole Manuf'!$M$19:$BM$19,0)</f>
        <v>G</v>
      </c>
      <c r="M247" s="127" t="str">
        <f>_xlfn.XLOOKUP($B242,Logistics!$M$6:$BM$6,Logistics!$M$19:$BM$19,0)</f>
        <v>Undefined</v>
      </c>
      <c r="N247" s="127" t="e">
        <f>_xlfn.XLOOKUP($B242,Engineering!$M$22:$BM$22,Engineering!#REF!,0)</f>
        <v>#REF!</v>
      </c>
      <c r="O247" s="127" t="str">
        <f>_xlfn.XLOOKUP($B242,'Quality MB'!$M$6:$BM$6,'Quality MB'!$M$19:$BM$19,0)</f>
        <v>G</v>
      </c>
      <c r="P247" s="127" t="str">
        <f>_xlfn.XLOOKUP($B242,Procurement!$M$6:$BM$6,Procurement!$M$19:$BM$19,0)</f>
        <v>G</v>
      </c>
      <c r="Q247" s="127" t="str">
        <f>_xlfn.XLOOKUP($B242,IT!$M$6:$BM$6,IT!$M$19:$BM$19,0)</f>
        <v>G</v>
      </c>
      <c r="R247" s="127" t="str">
        <f>_xlfn.XLOOKUP($B242,Marketing!$M$6:$BM$6,Marketing!$M$19:$BM$19,0)</f>
        <v>G</v>
      </c>
      <c r="S247" s="127" t="str">
        <f>IF(B242&gt;'KPI Linked Table for Report'!$C$2,"",_xlfn.XLOOKUP($T242,Finance!$M$16:$X$16,Finance!$M$27:$X$27,0))</f>
        <v/>
      </c>
      <c r="U247" s="127" t="str">
        <f>IF(B242&gt;='KPI Linked Table for Report'!$C$1,"",_xlfn.XLOOKUP($T242,'HR mthly'!$I$6:$BM$6,'HR mthly'!$I$33:$BM$33,0))</f>
        <v>A</v>
      </c>
      <c r="V247" s="127" t="str">
        <f>IF(B242&gt;='KPI Linked Table for Report'!$C$1,"",_xlfn.XLOOKUP($T242,'HR mthly'!$I$6:$BM$6,'HR mthly'!$I$36:$BM$36,0))</f>
        <v>R</v>
      </c>
    </row>
    <row r="249" spans="2:22" ht="42.45" customHeight="1" x14ac:dyDescent="0.3">
      <c r="B249" s="973" t="s">
        <v>7</v>
      </c>
      <c r="C249" s="974"/>
      <c r="D249" s="6" t="str">
        <f>+D$9</f>
        <v>EHS</v>
      </c>
      <c r="E249" s="6" t="str">
        <f>+E$9</f>
        <v>Estimating</v>
      </c>
      <c r="F249" s="6" t="str">
        <f t="shared" ref="F249:R249" si="52">+F$9</f>
        <v>SOP</v>
      </c>
      <c r="G249" s="6" t="str">
        <f>+G$9</f>
        <v>Design and R&amp;D</v>
      </c>
      <c r="H249" s="6" t="str">
        <f t="shared" si="52"/>
        <v>Product Design</v>
      </c>
      <c r="I249" s="6" t="str">
        <f t="shared" si="52"/>
        <v>Product Engineering Bridgend</v>
      </c>
      <c r="J249" s="6" t="str">
        <f t="shared" si="52"/>
        <v>Product Engineering Maybole</v>
      </c>
      <c r="K249" s="6" t="str">
        <f t="shared" si="52"/>
        <v>Bridgend
Manuf</v>
      </c>
      <c r="L249" s="6" t="str">
        <f t="shared" si="52"/>
        <v>Maybole
Manuf</v>
      </c>
      <c r="M249" s="6" t="str">
        <f>+M$9</f>
        <v>Logistics</v>
      </c>
      <c r="N249" s="6" t="str">
        <f>+N$9</f>
        <v>Engineering</v>
      </c>
      <c r="O249" s="6" t="str">
        <f>+O$9</f>
        <v>Quality
Maybole</v>
      </c>
      <c r="P249" s="6" t="str">
        <f>+P$9</f>
        <v>Procurement</v>
      </c>
      <c r="Q249" s="6" t="str">
        <f>+Q$9</f>
        <v>IT</v>
      </c>
      <c r="R249" s="6" t="str">
        <f t="shared" si="52"/>
        <v>Marketing</v>
      </c>
      <c r="S249" s="6" t="str">
        <f>+S$9</f>
        <v>Finance</v>
      </c>
      <c r="T249" s="7" t="s">
        <v>409</v>
      </c>
      <c r="U249" s="6" t="str">
        <f>+U$9</f>
        <v>HR</v>
      </c>
      <c r="V249" s="6" t="str">
        <f>+V$9</f>
        <v>HR</v>
      </c>
    </row>
    <row r="250" spans="2:22" ht="42.45" customHeight="1" x14ac:dyDescent="0.3">
      <c r="B250" s="7">
        <f>B242+1</f>
        <v>31</v>
      </c>
      <c r="C250" s="8">
        <f>C242+7</f>
        <v>45870</v>
      </c>
      <c r="D250" s="10" t="s">
        <v>24</v>
      </c>
      <c r="E250" s="9" t="str">
        <f>+E$186</f>
        <v>Julian Sparrow</v>
      </c>
      <c r="F250" s="10" t="s">
        <v>19</v>
      </c>
      <c r="G250" s="10" t="s">
        <v>20</v>
      </c>
      <c r="H250" s="10" t="s">
        <v>24</v>
      </c>
      <c r="I250" s="10" t="s">
        <v>24</v>
      </c>
      <c r="J250" s="10" t="s">
        <v>21</v>
      </c>
      <c r="K250" s="10" t="s">
        <v>22</v>
      </c>
      <c r="L250" s="10" t="s">
        <v>23</v>
      </c>
      <c r="M250" s="10" t="str">
        <f>+M$10</f>
        <v>Scott McMillan</v>
      </c>
      <c r="N250" s="10" t="str">
        <f>+N$10</f>
        <v>Garin Bowen</v>
      </c>
      <c r="O250" s="10" t="str">
        <f>+O$10</f>
        <v>Scott McMIllan</v>
      </c>
      <c r="P250" s="10" t="str">
        <f>+P$10</f>
        <v>Matt 
Pope</v>
      </c>
      <c r="Q250" s="10" t="s">
        <v>29</v>
      </c>
      <c r="R250" s="10" t="s">
        <v>25</v>
      </c>
      <c r="S250" s="10" t="s">
        <v>26</v>
      </c>
      <c r="T250" s="7">
        <v>7</v>
      </c>
      <c r="U250" s="10" t="str">
        <f>+U$10</f>
        <v>Bethan Grant</v>
      </c>
      <c r="V250" s="10" t="str">
        <f>+V$10</f>
        <v>Bethan Grant</v>
      </c>
    </row>
    <row r="251" spans="2:22" ht="42.45" customHeight="1" x14ac:dyDescent="0.3">
      <c r="B251" s="971" t="s">
        <v>30</v>
      </c>
      <c r="C251" s="971"/>
      <c r="D251" s="127" t="str">
        <f>_xlfn.XLOOKUP($B250,EHS!$M$6:$BM$6,EHS!$M$10:$BM$10,0)</f>
        <v>G</v>
      </c>
      <c r="E251" s="127" t="str">
        <f>_xlfn.XLOOKUP($B250,Estimating!$M$6:$BM$6,Estimating!$M$10:$BM$10,0)</f>
        <v>R</v>
      </c>
      <c r="F251" s="127" t="str">
        <f>_xlfn.XLOOKUP($B250,SOP!$M$6:$BM$6,SOP!$M$10:$BM$10,0)</f>
        <v>R</v>
      </c>
      <c r="G251" s="127" t="str">
        <f>_xlfn.XLOOKUP($B250,Design!$M$6:$BM$6,Design!$M$10:$BM$10,0)</f>
        <v>R</v>
      </c>
      <c r="H251" s="127" t="str">
        <f>_xlfn.XLOOKUP($B250,'Product Design'!$M$6:$BM$6,'Product Design'!$M$10:$BM$10,0)</f>
        <v>R</v>
      </c>
      <c r="I251" s="127" t="str">
        <f>_xlfn.XLOOKUP($B250,'Product Eng - BE'!$M$6:$BM$6,'Product Eng - BE'!$M$10:$BM$10,0)</f>
        <v>R</v>
      </c>
      <c r="J251" s="127" t="str">
        <f>_xlfn.XLOOKUP($B250,'Product Eng - MB'!$M$6:$BM$6,'Product Eng - MB'!$M$10:$BM$10,0)</f>
        <v>R</v>
      </c>
      <c r="K251" s="127" t="str">
        <f>_xlfn.XLOOKUP($B250,'Bridgend Manuf'!$M$6:$BM$6,'Bridgend Manuf'!$M$10:$BM$10,0)</f>
        <v>G</v>
      </c>
      <c r="L251" s="127" t="str">
        <f>_xlfn.XLOOKUP($B250,'Maybole Manuf'!$M$6:$BM$6,'Maybole Manuf'!$M$10:$BM$10,0)</f>
        <v>R</v>
      </c>
      <c r="M251" s="127" t="str">
        <f>_xlfn.XLOOKUP($B250,Logistics!$M$6:$BM$6,Logistics!$M$10:$BM$10,0)</f>
        <v>OD</v>
      </c>
      <c r="N251" s="127" t="str">
        <f>_xlfn.XLOOKUP($B250,Engineering!$M$22:$BM$22,Engineering!$M$26:$BM$26,0)</f>
        <v>A</v>
      </c>
      <c r="O251" s="127" t="str">
        <f>_xlfn.XLOOKUP($B250,'Quality MB'!$M$6:$BM$6,'Quality MB'!$M$10:$BM$10,0)</f>
        <v>G</v>
      </c>
      <c r="P251" s="127" t="str">
        <f>_xlfn.XLOOKUP($B250,Procurement!$M$6:$BM$6,Procurement!$M$10:$BM$10,0)</f>
        <v>R</v>
      </c>
      <c r="Q251" s="127" t="str">
        <f>_xlfn.XLOOKUP($B250,IT!$M$6:$BM$6,IT!$M$10:$BM$10,0)</f>
        <v>Undefined</v>
      </c>
      <c r="R251" s="127" t="str">
        <f>_xlfn.XLOOKUP($B250,Marketing!$M$6:$BM$6,Marketing!$M$10:$BM$10,0)</f>
        <v>G</v>
      </c>
      <c r="S251" s="127" t="str">
        <f>_xlfn.XLOOKUP($B250,Finance!$M$6:$BM$6,Finance!$M$10:$BM$10,0)</f>
        <v>R</v>
      </c>
      <c r="U251" s="127" t="str">
        <f>IF(B250&gt;='KPI Linked Table for Report'!$C$1,"",_xlfn.XLOOKUP($T250,'HR mthly'!$I$6:$BM$6,'HR mthly'!$I$11:$BM$11,0))</f>
        <v>G</v>
      </c>
      <c r="V251" s="127" t="str">
        <f>IF(B250&gt;='KPI Linked Table for Report'!$C$1,"",_xlfn.XLOOKUP($T250,'HR mthly'!$I$6:$BM$6,'HR mthly'!$I$14:$BM$14,0))</f>
        <v>G</v>
      </c>
    </row>
    <row r="252" spans="2:22" ht="42.45" customHeight="1" x14ac:dyDescent="0.3">
      <c r="B252" s="971" t="s">
        <v>172</v>
      </c>
      <c r="C252" s="971"/>
      <c r="D252" s="127" t="str">
        <f>_xlfn.XLOOKUP($B250,EHS!$M$6:$BM$6,EHS!$M$13:$BM$13,0)</f>
        <v>G</v>
      </c>
      <c r="E252" s="127" t="str">
        <f>_xlfn.XLOOKUP($B250,Estimating!$M$6:$BM$6,Estimating!$M$13:$BM$13,0)</f>
        <v>R</v>
      </c>
      <c r="F252" s="127" t="str">
        <f>_xlfn.XLOOKUP($B250,SOP!$M$6:$BM$6,SOP!$M$13:$BM$13,0)</f>
        <v>R</v>
      </c>
      <c r="G252" s="127" t="str">
        <f>_xlfn.XLOOKUP($B250,Design!$M$6:$BM$6,Design!$M$13:$BM$13,0)</f>
        <v>R</v>
      </c>
      <c r="H252" s="127" t="str">
        <f>_xlfn.XLOOKUP($B250,'Product Design'!$M$6:$BM$6,'Product Design'!$M$13:$BM$13,0)</f>
        <v>R</v>
      </c>
      <c r="I252" s="127" t="str">
        <f>_xlfn.XLOOKUP($B250,'Product Eng - BE'!$M$6:$BM$6,'Product Eng - BE'!$M$13:$BM$13,0)</f>
        <v>G</v>
      </c>
      <c r="J252" s="127" t="str">
        <f>_xlfn.XLOOKUP($B250,'Product Eng - MB'!$M$6:$BM$6,'Product Eng - MB'!$M$13:$BM$13,0)</f>
        <v>G</v>
      </c>
      <c r="K252" s="127" t="str">
        <f>_xlfn.XLOOKUP($B250,'Bridgend Manuf'!$M$6:$BM$6,'Bridgend Manuf'!$M$13:$BM$13,0)</f>
        <v>A</v>
      </c>
      <c r="L252" s="127" t="str">
        <f>_xlfn.XLOOKUP($B250,'Maybole Manuf'!$M$6:$BM$6,'Maybole Manuf'!$M$13:$BM$13,0)</f>
        <v>A</v>
      </c>
      <c r="M252" s="127" t="str">
        <f>_xlfn.XLOOKUP($B250,Logistics!$M$6:$BM$6,Logistics!$M$13:$BM$13,0)</f>
        <v>OD</v>
      </c>
      <c r="N252" s="127" t="e">
        <f>_xlfn.XLOOKUP($B250,Engineering!$M$22:$BM$22,Engineering!#REF!,0)</f>
        <v>#REF!</v>
      </c>
      <c r="O252" s="127" t="str">
        <f>_xlfn.XLOOKUP($B250,'Quality MB'!$M$6:$BM$6,'Quality MB'!$M$13:$BM$13,0)</f>
        <v>R</v>
      </c>
      <c r="P252" s="127" t="str">
        <f>_xlfn.XLOOKUP($B250,Procurement!$M$6:$BM$6,Procurement!$M$13:$BM$13,0)</f>
        <v>A</v>
      </c>
      <c r="Q252" s="127" t="str">
        <f>_xlfn.XLOOKUP($B250,IT!$M$6:$BM$6,IT!$M$13:$BM$13,0)</f>
        <v>G</v>
      </c>
      <c r="R252" s="127" t="str">
        <f>_xlfn.XLOOKUP($B250,Marketing!$M$6:$BM$6,Marketing!$M$13:$BM$13,0)</f>
        <v>R</v>
      </c>
      <c r="S252" s="127" t="str">
        <f>IF(B250&gt;'KPI Linked Table for Report'!$C$2,"",_xlfn.XLOOKUP($T250,Finance!$M$16:$X$16,Finance!$M$21:$X$21,0))</f>
        <v/>
      </c>
      <c r="U252" s="127" t="str">
        <f>IF(B250&gt;='KPI Linked Table for Report'!$C$1,"",_xlfn.XLOOKUP($T250,'HR mthly'!$I$6:$BM$6,'HR mthly'!$I$18:$BM$18,0))</f>
        <v>R</v>
      </c>
      <c r="V252" s="127" t="str">
        <f>IF(B250&gt;='KPI Linked Table for Report'!$C$1,"",_xlfn.XLOOKUP($T250,'HR mthly'!$I$6:$BM$6,'HR mthly'!$I$21:$BM$21,0))</f>
        <v>R</v>
      </c>
    </row>
    <row r="253" spans="2:22" ht="42.45" customHeight="1" x14ac:dyDescent="0.3">
      <c r="B253" s="971" t="s">
        <v>173</v>
      </c>
      <c r="C253" s="971"/>
      <c r="D253" s="11" t="s">
        <v>174</v>
      </c>
      <c r="E253" s="11" t="s">
        <v>174</v>
      </c>
      <c r="F253" s="11" t="str">
        <f>_xlfn.XLOOKUP($B250,SOP!$M$6:$BM$6,SOP!$M$16:$BM$16,0)</f>
        <v>R</v>
      </c>
      <c r="G253" s="11" t="s">
        <v>174</v>
      </c>
      <c r="H253" s="11" t="str">
        <f>_xlfn.XLOOKUP($B250,'Product Design'!$M$6:$BM$6,'Product Design'!$M$16:$BM$16,0)</f>
        <v>G</v>
      </c>
      <c r="I253" s="11" t="str">
        <f>_xlfn.XLOOKUP($B250,'Product Eng - BE'!$M$6:$BM$6,'Product Eng - BE'!$M$16:$BM$16,0)</f>
        <v>R</v>
      </c>
      <c r="J253" s="11" t="str">
        <f>_xlfn.XLOOKUP($B250,'Product Eng - MB'!$M$6:$BM$6,'Product Eng - MB'!$M$16:$BM$16,0)</f>
        <v>G</v>
      </c>
      <c r="K253" s="11" t="s">
        <v>174</v>
      </c>
      <c r="L253" s="11" t="s">
        <v>174</v>
      </c>
      <c r="M253" s="11" t="s">
        <v>174</v>
      </c>
      <c r="N253" s="11" t="s">
        <v>174</v>
      </c>
      <c r="O253" s="11" t="s">
        <v>174</v>
      </c>
      <c r="P253" s="11" t="s">
        <v>174</v>
      </c>
      <c r="Q253" s="11" t="s">
        <v>174</v>
      </c>
      <c r="R253" s="11" t="s">
        <v>174</v>
      </c>
      <c r="S253" s="11" t="s">
        <v>174</v>
      </c>
      <c r="U253" s="11" t="s">
        <v>174</v>
      </c>
      <c r="V253" s="11" t="s">
        <v>174</v>
      </c>
    </row>
    <row r="254" spans="2:22" ht="42.45" customHeight="1" x14ac:dyDescent="0.3">
      <c r="B254" s="971" t="s">
        <v>32</v>
      </c>
      <c r="C254" s="971"/>
      <c r="D254" s="127" t="str">
        <f>_xlfn.XLOOKUP($B250,EHS!$M$6:$BM$6,EHS!$M$16:$BM$16,0)</f>
        <v>R</v>
      </c>
      <c r="E254" s="127" t="str">
        <f>_xlfn.XLOOKUP($B250,Estimating!$M$6:$BM$6,Estimating!$M$16:$BM$16,0)</f>
        <v>G</v>
      </c>
      <c r="F254" s="127" t="str">
        <f>_xlfn.XLOOKUP($B250,SOP!$M$6:$BM$6,SOP!$M$19:$BM$19,0)</f>
        <v>R</v>
      </c>
      <c r="G254" s="127" t="str">
        <f>_xlfn.XLOOKUP($B250,Design!$M$6:$BM$6,Design!$M$16:$BM$16,0)</f>
        <v>R</v>
      </c>
      <c r="H254" s="127" t="str">
        <f>_xlfn.XLOOKUP($B250,'Product Design'!$M$6:$BM$6,'Product Design'!$M$19:$BM$19,0)</f>
        <v>G</v>
      </c>
      <c r="I254" s="127" t="str">
        <f>_xlfn.XLOOKUP($B250,'Product Eng - BE'!$M$6:$BM$6,'Product Eng - BE'!$M$19:$BM$19,0)</f>
        <v>R</v>
      </c>
      <c r="J254" s="127" t="str">
        <f>_xlfn.XLOOKUP($B250,'Product Eng - MB'!$M$6:$BM$6,'Product Eng - MB'!$M$19:$BM$19,0)</f>
        <v>G</v>
      </c>
      <c r="K254" s="127" t="str">
        <f>_xlfn.XLOOKUP($B250,'Bridgend Manuf'!$M$6:$BM$6,'Bridgend Manuf'!$M$16:$BM$16,0)</f>
        <v>G</v>
      </c>
      <c r="L254" s="127" t="str">
        <f>_xlfn.XLOOKUP($B250,'Maybole Manuf'!$M$6:$BM$6,'Maybole Manuf'!$M$16:$BM$16,0)</f>
        <v>G</v>
      </c>
      <c r="M254" s="127" t="str">
        <f>_xlfn.XLOOKUP($B250,Logistics!$M$6:$BM$6,Logistics!$M$16:$BM$16,0)</f>
        <v>Missed</v>
      </c>
      <c r="N254" s="127" t="e">
        <f>_xlfn.XLOOKUP($B250,Engineering!$M$22:$BM$22,Engineering!#REF!,0)</f>
        <v>#REF!</v>
      </c>
      <c r="O254" s="127" t="str">
        <f>_xlfn.XLOOKUP($B250,'Quality MB'!$M$6:$BM$6,'Quality MB'!$M$16:$BM$16,0)</f>
        <v>G</v>
      </c>
      <c r="P254" s="127" t="str">
        <f>_xlfn.XLOOKUP($B250,Procurement!$M$6:$BM$6,Procurement!$M$16:$BM$16,0)</f>
        <v>G</v>
      </c>
      <c r="Q254" s="127" t="str">
        <f>_xlfn.XLOOKUP($B250,IT!$M$6:$BM$6,IT!$M$16:$BM$16,0)</f>
        <v>G</v>
      </c>
      <c r="R254" s="127" t="str">
        <f>_xlfn.XLOOKUP($B250,Marketing!$M$6:$BM$6,Marketing!$M$16:$BM$16,0)</f>
        <v>G</v>
      </c>
      <c r="S254" s="127" t="str">
        <f>IF(B250&gt;'KPI Linked Table for Report'!$C$2,"",_xlfn.XLOOKUP($T250,Finance!$M$16:$X$16,Finance!$M$24:$X$24,0))</f>
        <v/>
      </c>
      <c r="U254" s="127" t="str">
        <f>IF(B250&gt;='KPI Linked Table for Report'!$C$1,"",_xlfn.XLOOKUP($T250,'HR mthly'!$I$6:$BM$6,'HR mthly'!$I$26:$BM$26,0))</f>
        <v>R</v>
      </c>
      <c r="V254" s="127" t="str">
        <f>IF(B250&gt;='KPI Linked Table for Report'!$C$1,"",_xlfn.XLOOKUP($T250,'HR mthly'!$I$6:$BM$6,'HR mthly'!$I$29:$BM$29,0))</f>
        <v>OD</v>
      </c>
    </row>
    <row r="255" spans="2:22" ht="42.45" customHeight="1" x14ac:dyDescent="0.3">
      <c r="B255" s="971" t="s">
        <v>31</v>
      </c>
      <c r="C255" s="971"/>
      <c r="D255" s="127" t="str">
        <f>_xlfn.XLOOKUP($B250,EHS!$M$6:$BM$6,EHS!$M$19:$BM$19,0)</f>
        <v>R</v>
      </c>
      <c r="E255" s="127" t="str">
        <f>_xlfn.XLOOKUP($B250,Estimating!$M$6:$BM$6,Estimating!$M$19:$BM$19,0)</f>
        <v>G</v>
      </c>
      <c r="F255" s="127" t="str">
        <f>_xlfn.XLOOKUP($B250,SOP!$M$6:$BM$6,SOP!$M$22:$BM$22,0)</f>
        <v>R</v>
      </c>
      <c r="G255" s="127" t="str">
        <f>_xlfn.XLOOKUP($B250,Design!$M$6:$BM$6,Design!$M$19:$BM$19,0)</f>
        <v>R</v>
      </c>
      <c r="H255" s="127" t="str">
        <f>_xlfn.XLOOKUP($B250,'Product Design'!$M$6:$BM$6,'Product Design'!$M$22:$BM$22,0)</f>
        <v>Undefined</v>
      </c>
      <c r="I255" s="127" t="str">
        <f>_xlfn.XLOOKUP($B250,'Product Eng - BE'!$M$6:$BM$6,'Product Eng - BE'!$M$22:$BM$22,0)</f>
        <v>R</v>
      </c>
      <c r="J255" s="127" t="str">
        <f>_xlfn.XLOOKUP($B250,'Product Eng - MB'!$M$6:$BM$6,'Product Eng - MB'!$M$22:$BM$22,0)</f>
        <v>R</v>
      </c>
      <c r="K255" s="127" t="str">
        <f>_xlfn.XLOOKUP($B250,'Bridgend Manuf'!$M$6:$BM$6,'Bridgend Manuf'!$M$19:$BM$19,0)</f>
        <v>G</v>
      </c>
      <c r="L255" s="127" t="str">
        <f>_xlfn.XLOOKUP($B250,'Maybole Manuf'!$M$6:$BM$6,'Maybole Manuf'!$M$19:$BM$19,0)</f>
        <v>R</v>
      </c>
      <c r="M255" s="127" t="str">
        <f>_xlfn.XLOOKUP($B250,Logistics!$M$6:$BM$6,Logistics!$M$19:$BM$19,0)</f>
        <v>Undefined</v>
      </c>
      <c r="N255" s="127" t="e">
        <f>_xlfn.XLOOKUP($B250,Engineering!$M$22:$BM$22,Engineering!#REF!,0)</f>
        <v>#REF!</v>
      </c>
      <c r="O255" s="127" t="str">
        <f>_xlfn.XLOOKUP($B250,'Quality MB'!$M$6:$BM$6,'Quality MB'!$M$19:$BM$19,0)</f>
        <v>G</v>
      </c>
      <c r="P255" s="127" t="str">
        <f>_xlfn.XLOOKUP($B250,Procurement!$M$6:$BM$6,Procurement!$M$19:$BM$19,0)</f>
        <v>G</v>
      </c>
      <c r="Q255" s="127" t="str">
        <f>_xlfn.XLOOKUP($B250,IT!$M$6:$BM$6,IT!$M$19:$BM$19,0)</f>
        <v>G</v>
      </c>
      <c r="R255" s="127" t="str">
        <f>_xlfn.XLOOKUP($B250,Marketing!$M$6:$BM$6,Marketing!$M$19:$BM$19,0)</f>
        <v>G</v>
      </c>
      <c r="S255" s="127" t="str">
        <f>IF(B250&gt;'KPI Linked Table for Report'!$C$2,"",_xlfn.XLOOKUP($T250,Finance!$M$16:$X$16,Finance!$M$27:$X$27,0))</f>
        <v/>
      </c>
      <c r="U255" s="127" t="str">
        <f>IF(B250&gt;='KPI Linked Table for Report'!$C$1,"",_xlfn.XLOOKUP($T250,'HR mthly'!$I$6:$BM$6,'HR mthly'!$I$33:$BM$33,0))</f>
        <v>A</v>
      </c>
      <c r="V255" s="127" t="str">
        <f>IF(B250&gt;='KPI Linked Table for Report'!$C$1,"",_xlfn.XLOOKUP($T250,'HR mthly'!$I$6:$BM$6,'HR mthly'!$I$36:$BM$36,0))</f>
        <v>R</v>
      </c>
    </row>
    <row r="257" spans="2:22" ht="42.45" customHeight="1" x14ac:dyDescent="0.3">
      <c r="B257" s="973" t="s">
        <v>7</v>
      </c>
      <c r="C257" s="974"/>
      <c r="D257" s="6" t="str">
        <f>+D$9</f>
        <v>EHS</v>
      </c>
      <c r="E257" s="6" t="str">
        <f>+E$9</f>
        <v>Estimating</v>
      </c>
      <c r="F257" s="6" t="str">
        <f t="shared" ref="F257:R257" si="53">+F$9</f>
        <v>SOP</v>
      </c>
      <c r="G257" s="6" t="str">
        <f>+G$9</f>
        <v>Design and R&amp;D</v>
      </c>
      <c r="H257" s="6" t="str">
        <f t="shared" si="53"/>
        <v>Product Design</v>
      </c>
      <c r="I257" s="6" t="str">
        <f t="shared" si="53"/>
        <v>Product Engineering Bridgend</v>
      </c>
      <c r="J257" s="6" t="str">
        <f t="shared" si="53"/>
        <v>Product Engineering Maybole</v>
      </c>
      <c r="K257" s="6" t="str">
        <f t="shared" si="53"/>
        <v>Bridgend
Manuf</v>
      </c>
      <c r="L257" s="6" t="str">
        <f t="shared" si="53"/>
        <v>Maybole
Manuf</v>
      </c>
      <c r="M257" s="6" t="str">
        <f>+M$9</f>
        <v>Logistics</v>
      </c>
      <c r="N257" s="6" t="str">
        <f>+N$9</f>
        <v>Engineering</v>
      </c>
      <c r="O257" s="6" t="str">
        <f>+O$9</f>
        <v>Quality
Maybole</v>
      </c>
      <c r="P257" s="6" t="str">
        <f>+P$9</f>
        <v>Procurement</v>
      </c>
      <c r="Q257" s="6" t="str">
        <f>+Q$9</f>
        <v>IT</v>
      </c>
      <c r="R257" s="6" t="str">
        <f t="shared" si="53"/>
        <v>Marketing</v>
      </c>
      <c r="S257" s="6" t="str">
        <f>+S$9</f>
        <v>Finance</v>
      </c>
      <c r="T257" s="7" t="s">
        <v>409</v>
      </c>
      <c r="U257" s="6" t="str">
        <f>+U$9</f>
        <v>HR</v>
      </c>
      <c r="V257" s="6" t="str">
        <f>+V$9</f>
        <v>HR</v>
      </c>
    </row>
    <row r="258" spans="2:22" ht="42.45" customHeight="1" x14ac:dyDescent="0.3">
      <c r="B258" s="7">
        <f>B250+1</f>
        <v>32</v>
      </c>
      <c r="C258" s="8">
        <f>C250+7</f>
        <v>45877</v>
      </c>
      <c r="D258" s="10" t="s">
        <v>24</v>
      </c>
      <c r="E258" s="9" t="str">
        <f>+E$186</f>
        <v>Julian Sparrow</v>
      </c>
      <c r="F258" s="10" t="s">
        <v>19</v>
      </c>
      <c r="G258" s="10" t="s">
        <v>20</v>
      </c>
      <c r="H258" s="10" t="s">
        <v>24</v>
      </c>
      <c r="I258" s="10" t="s">
        <v>24</v>
      </c>
      <c r="J258" s="10" t="s">
        <v>21</v>
      </c>
      <c r="K258" s="10" t="s">
        <v>22</v>
      </c>
      <c r="L258" s="10" t="s">
        <v>23</v>
      </c>
      <c r="M258" s="10" t="str">
        <f>+M$10</f>
        <v>Scott McMillan</v>
      </c>
      <c r="N258" s="10" t="str">
        <f>+N$10</f>
        <v>Garin Bowen</v>
      </c>
      <c r="O258" s="10" t="str">
        <f>+O$10</f>
        <v>Scott McMIllan</v>
      </c>
      <c r="P258" s="10" t="str">
        <f>+P$10</f>
        <v>Matt 
Pope</v>
      </c>
      <c r="Q258" s="10" t="s">
        <v>29</v>
      </c>
      <c r="R258" s="10" t="s">
        <v>25</v>
      </c>
      <c r="S258" s="10" t="s">
        <v>26</v>
      </c>
      <c r="T258" s="7">
        <v>7</v>
      </c>
      <c r="U258" s="10" t="str">
        <f>+U$10</f>
        <v>Bethan Grant</v>
      </c>
      <c r="V258" s="10" t="str">
        <f>+V$10</f>
        <v>Bethan Grant</v>
      </c>
    </row>
    <row r="259" spans="2:22" ht="42.45" customHeight="1" x14ac:dyDescent="0.3">
      <c r="B259" s="971" t="s">
        <v>30</v>
      </c>
      <c r="C259" s="971"/>
      <c r="D259" s="127" t="str">
        <f>_xlfn.XLOOKUP($B258,EHS!$M$6:$BM$6,EHS!$M$10:$BM$10,0)</f>
        <v>G</v>
      </c>
      <c r="E259" s="127" t="str">
        <f>_xlfn.XLOOKUP($B258,Estimating!$M$6:$BM$6,Estimating!$M$10:$BM$10,0)</f>
        <v>G</v>
      </c>
      <c r="F259" s="127" t="str">
        <f>_xlfn.XLOOKUP($B258,SOP!$M$6:$BM$6,SOP!$M$10:$BM$10,0)</f>
        <v>R</v>
      </c>
      <c r="G259" s="127" t="str">
        <f>_xlfn.XLOOKUP($B258,Design!$M$6:$BM$6,Design!$M$10:$BM$10,0)</f>
        <v>R</v>
      </c>
      <c r="H259" s="127" t="str">
        <f>_xlfn.XLOOKUP($B258,'Product Design'!$M$6:$BM$6,'Product Design'!$M$10:$BM$10,0)</f>
        <v>R</v>
      </c>
      <c r="I259" s="127" t="str">
        <f>_xlfn.XLOOKUP($B258,'Product Eng - BE'!$M$6:$BM$6,'Product Eng - BE'!$M$10:$BM$10,0)</f>
        <v>G</v>
      </c>
      <c r="J259" s="127" t="str">
        <f>_xlfn.XLOOKUP($B258,'Product Eng - MB'!$M$6:$BM$6,'Product Eng - MB'!$M$10:$BM$10,0)</f>
        <v>R</v>
      </c>
      <c r="K259" s="127" t="str">
        <f>_xlfn.XLOOKUP($B258,'Bridgend Manuf'!$M$6:$BM$6,'Bridgend Manuf'!$M$10:$BM$10,0)</f>
        <v>A</v>
      </c>
      <c r="L259" s="127" t="str">
        <f>_xlfn.XLOOKUP($B258,'Maybole Manuf'!$M$6:$BM$6,'Maybole Manuf'!$M$10:$BM$10,0)</f>
        <v>R</v>
      </c>
      <c r="M259" s="127" t="str">
        <f>_xlfn.XLOOKUP($B258,Logistics!$M$6:$BM$6,Logistics!$M$10:$BM$10,0)</f>
        <v>OD</v>
      </c>
      <c r="N259" s="127" t="str">
        <f>_xlfn.XLOOKUP($B258,Engineering!$M$22:$BM$22,Engineering!$M$26:$BM$26,0)</f>
        <v>A</v>
      </c>
      <c r="O259" s="127" t="str">
        <f>_xlfn.XLOOKUP($B258,'Quality MB'!$M$6:$BM$6,'Quality MB'!$M$10:$BM$10,0)</f>
        <v>R</v>
      </c>
      <c r="P259" s="127" t="str">
        <f>_xlfn.XLOOKUP($B258,Procurement!$M$6:$BM$6,Procurement!$M$10:$BM$10,0)</f>
        <v>R</v>
      </c>
      <c r="Q259" s="127" t="str">
        <f>_xlfn.XLOOKUP($B258,IT!$M$6:$BM$6,IT!$M$10:$BM$10,0)</f>
        <v>Undefined</v>
      </c>
      <c r="R259" s="127" t="str">
        <f>_xlfn.XLOOKUP($B258,Marketing!$M$6:$BM$6,Marketing!$M$10:$BM$10,0)</f>
        <v>G</v>
      </c>
      <c r="S259" s="127" t="str">
        <f>_xlfn.XLOOKUP($B258,Finance!$M$6:$BM$6,Finance!$M$10:$BM$10,0)</f>
        <v>G</v>
      </c>
      <c r="U259" s="127" t="str">
        <f>IF(B258&gt;='KPI Linked Table for Report'!$C$1,"",_xlfn.XLOOKUP($T258,'HR mthly'!$I$6:$BM$6,'HR mthly'!$I$11:$BM$11,0))</f>
        <v>G</v>
      </c>
      <c r="V259" s="127" t="str">
        <f>IF(B258&gt;='KPI Linked Table for Report'!$C$1,"",_xlfn.XLOOKUP($T258,'HR mthly'!$I$6:$BM$6,'HR mthly'!$I$14:$BM$14,0))</f>
        <v>G</v>
      </c>
    </row>
    <row r="260" spans="2:22" ht="42.45" customHeight="1" x14ac:dyDescent="0.3">
      <c r="B260" s="971" t="s">
        <v>172</v>
      </c>
      <c r="C260" s="971"/>
      <c r="D260" s="127" t="str">
        <f>_xlfn.XLOOKUP($B258,EHS!$M$6:$BM$6,EHS!$M$13:$BM$13,0)</f>
        <v>G</v>
      </c>
      <c r="E260" s="127" t="str">
        <f>_xlfn.XLOOKUP($B258,Estimating!$M$6:$BM$6,Estimating!$M$13:$BM$13,0)</f>
        <v>R</v>
      </c>
      <c r="F260" s="127" t="str">
        <f>_xlfn.XLOOKUP($B258,SOP!$M$6:$BM$6,SOP!$M$13:$BM$13,0)</f>
        <v>R</v>
      </c>
      <c r="G260" s="127" t="str">
        <f>_xlfn.XLOOKUP($B258,Design!$M$6:$BM$6,Design!$M$13:$BM$13,0)</f>
        <v>R</v>
      </c>
      <c r="H260" s="127" t="str">
        <f>_xlfn.XLOOKUP($B258,'Product Design'!$M$6:$BM$6,'Product Design'!$M$13:$BM$13,0)</f>
        <v>A</v>
      </c>
      <c r="I260" s="127" t="str">
        <f>_xlfn.XLOOKUP($B258,'Product Eng - BE'!$M$6:$BM$6,'Product Eng - BE'!$M$13:$BM$13,0)</f>
        <v>G</v>
      </c>
      <c r="J260" s="127" t="str">
        <f>_xlfn.XLOOKUP($B258,'Product Eng - MB'!$M$6:$BM$6,'Product Eng - MB'!$M$13:$BM$13,0)</f>
        <v>G</v>
      </c>
      <c r="K260" s="127" t="str">
        <f>_xlfn.XLOOKUP($B258,'Bridgend Manuf'!$M$6:$BM$6,'Bridgend Manuf'!$M$13:$BM$13,0)</f>
        <v>A</v>
      </c>
      <c r="L260" s="127" t="str">
        <f>_xlfn.XLOOKUP($B258,'Maybole Manuf'!$M$6:$BM$6,'Maybole Manuf'!$M$13:$BM$13,0)</f>
        <v>R</v>
      </c>
      <c r="M260" s="127" t="str">
        <f>_xlfn.XLOOKUP($B258,Logistics!$M$6:$BM$6,Logistics!$M$13:$BM$13,0)</f>
        <v>OD</v>
      </c>
      <c r="N260" s="127" t="e">
        <f>_xlfn.XLOOKUP($B258,Engineering!$M$22:$BM$22,Engineering!#REF!,0)</f>
        <v>#REF!</v>
      </c>
      <c r="O260" s="127" t="str">
        <f>_xlfn.XLOOKUP($B258,'Quality MB'!$M$6:$BM$6,'Quality MB'!$M$13:$BM$13,0)</f>
        <v>G</v>
      </c>
      <c r="P260" s="127" t="str">
        <f>_xlfn.XLOOKUP($B258,Procurement!$M$6:$BM$6,Procurement!$M$13:$BM$13,0)</f>
        <v>A</v>
      </c>
      <c r="Q260" s="127" t="str">
        <f>_xlfn.XLOOKUP($B258,IT!$M$6:$BM$6,IT!$M$13:$BM$13,0)</f>
        <v>G</v>
      </c>
      <c r="R260" s="127" t="str">
        <f>_xlfn.XLOOKUP($B258,Marketing!$M$6:$BM$6,Marketing!$M$13:$BM$13,0)</f>
        <v>R</v>
      </c>
      <c r="S260" s="127" t="str">
        <f>IF(B258&gt;'KPI Linked Table for Report'!$C$2,"",_xlfn.XLOOKUP($T258,Finance!$M$16:$X$16,Finance!$M$21:$X$21,0))</f>
        <v/>
      </c>
      <c r="U260" s="127" t="str">
        <f>IF(B258&gt;='KPI Linked Table for Report'!$C$1,"",_xlfn.XLOOKUP($T258,'HR mthly'!$I$6:$BM$6,'HR mthly'!$I$18:$BM$18,0))</f>
        <v>R</v>
      </c>
      <c r="V260" s="127" t="str">
        <f>IF(B258&gt;='KPI Linked Table for Report'!$C$1,"",_xlfn.XLOOKUP($T258,'HR mthly'!$I$6:$BM$6,'HR mthly'!$I$21:$BM$21,0))</f>
        <v>R</v>
      </c>
    </row>
    <row r="261" spans="2:22" ht="42.45" customHeight="1" x14ac:dyDescent="0.3">
      <c r="B261" s="971" t="s">
        <v>173</v>
      </c>
      <c r="C261" s="971"/>
      <c r="D261" s="11" t="s">
        <v>174</v>
      </c>
      <c r="E261" s="11" t="s">
        <v>174</v>
      </c>
      <c r="F261" s="11" t="str">
        <f>_xlfn.XLOOKUP($B258,SOP!$M$6:$BM$6,SOP!$M$16:$BM$16,0)</f>
        <v>R</v>
      </c>
      <c r="G261" s="11" t="s">
        <v>174</v>
      </c>
      <c r="H261" s="11" t="str">
        <f>_xlfn.XLOOKUP($B258,'Product Design'!$M$6:$BM$6,'Product Design'!$M$16:$BM$16,0)</f>
        <v>R</v>
      </c>
      <c r="I261" s="11" t="str">
        <f>_xlfn.XLOOKUP($B258,'Product Eng - BE'!$M$6:$BM$6,'Product Eng - BE'!$M$16:$BM$16,0)</f>
        <v>R</v>
      </c>
      <c r="J261" s="11" t="str">
        <f>_xlfn.XLOOKUP($B258,'Product Eng - MB'!$M$6:$BM$6,'Product Eng - MB'!$M$16:$BM$16,0)</f>
        <v>R</v>
      </c>
      <c r="K261" s="11" t="s">
        <v>174</v>
      </c>
      <c r="L261" s="11" t="s">
        <v>174</v>
      </c>
      <c r="M261" s="11" t="s">
        <v>174</v>
      </c>
      <c r="N261" s="11" t="s">
        <v>174</v>
      </c>
      <c r="O261" s="11" t="s">
        <v>174</v>
      </c>
      <c r="P261" s="11" t="s">
        <v>174</v>
      </c>
      <c r="Q261" s="11" t="s">
        <v>174</v>
      </c>
      <c r="R261" s="11" t="s">
        <v>174</v>
      </c>
      <c r="S261" s="11" t="s">
        <v>174</v>
      </c>
      <c r="U261" s="11" t="s">
        <v>174</v>
      </c>
      <c r="V261" s="11" t="s">
        <v>174</v>
      </c>
    </row>
    <row r="262" spans="2:22" ht="42.45" customHeight="1" x14ac:dyDescent="0.3">
      <c r="B262" s="971" t="s">
        <v>32</v>
      </c>
      <c r="C262" s="971"/>
      <c r="D262" s="127" t="str">
        <f>_xlfn.XLOOKUP($B258,EHS!$M$6:$BM$6,EHS!$M$16:$BM$16,0)</f>
        <v>G</v>
      </c>
      <c r="E262" s="127" t="str">
        <f>_xlfn.XLOOKUP($B258,Estimating!$M$6:$BM$6,Estimating!$M$16:$BM$16,0)</f>
        <v>R</v>
      </c>
      <c r="F262" s="127" t="str">
        <f>_xlfn.XLOOKUP($B258,SOP!$M$6:$BM$6,SOP!$M$19:$BM$19,0)</f>
        <v>R</v>
      </c>
      <c r="G262" s="127" t="str">
        <f>_xlfn.XLOOKUP($B258,Design!$M$6:$BM$6,Design!$M$16:$BM$16,0)</f>
        <v>G</v>
      </c>
      <c r="H262" s="127" t="str">
        <f>_xlfn.XLOOKUP($B258,'Product Design'!$M$6:$BM$6,'Product Design'!$M$19:$BM$19,0)</f>
        <v>G</v>
      </c>
      <c r="I262" s="127" t="str">
        <f>_xlfn.XLOOKUP($B258,'Product Eng - BE'!$M$6:$BM$6,'Product Eng - BE'!$M$19:$BM$19,0)</f>
        <v>R</v>
      </c>
      <c r="J262" s="127" t="str">
        <f>_xlfn.XLOOKUP($B258,'Product Eng - MB'!$M$6:$BM$6,'Product Eng - MB'!$M$19:$BM$19,0)</f>
        <v>G</v>
      </c>
      <c r="K262" s="127" t="str">
        <f>_xlfn.XLOOKUP($B258,'Bridgend Manuf'!$M$6:$BM$6,'Bridgend Manuf'!$M$16:$BM$16,0)</f>
        <v>G</v>
      </c>
      <c r="L262" s="127" t="str">
        <f>_xlfn.XLOOKUP($B258,'Maybole Manuf'!$M$6:$BM$6,'Maybole Manuf'!$M$16:$BM$16,0)</f>
        <v>G</v>
      </c>
      <c r="M262" s="127" t="str">
        <f>_xlfn.XLOOKUP($B258,Logistics!$M$6:$BM$6,Logistics!$M$16:$BM$16,0)</f>
        <v>Missed</v>
      </c>
      <c r="N262" s="127" t="e">
        <f>_xlfn.XLOOKUP($B258,Engineering!$M$22:$BM$22,Engineering!#REF!,0)</f>
        <v>#REF!</v>
      </c>
      <c r="O262" s="127" t="str">
        <f>_xlfn.XLOOKUP($B258,'Quality MB'!$M$6:$BM$6,'Quality MB'!$M$16:$BM$16,0)</f>
        <v>G</v>
      </c>
      <c r="P262" s="127" t="str">
        <f>_xlfn.XLOOKUP($B258,Procurement!$M$6:$BM$6,Procurement!$M$16:$BM$16,0)</f>
        <v>G</v>
      </c>
      <c r="Q262" s="127" t="str">
        <f>_xlfn.XLOOKUP($B258,IT!$M$6:$BM$6,IT!$M$16:$BM$16,0)</f>
        <v>G</v>
      </c>
      <c r="R262" s="127" t="str">
        <f>_xlfn.XLOOKUP($B258,Marketing!$M$6:$BM$6,Marketing!$M$16:$BM$16,0)</f>
        <v>R</v>
      </c>
      <c r="S262" s="127" t="str">
        <f>IF(B258&gt;'KPI Linked Table for Report'!$C$2,"",_xlfn.XLOOKUP($T258,Finance!$M$16:$X$16,Finance!$M$24:$X$24,0))</f>
        <v/>
      </c>
      <c r="U262" s="127" t="str">
        <f>IF(B258&gt;='KPI Linked Table for Report'!$C$1,"",_xlfn.XLOOKUP($T258,'HR mthly'!$I$6:$BM$6,'HR mthly'!$I$26:$BM$26,0))</f>
        <v>R</v>
      </c>
      <c r="V262" s="127" t="str">
        <f>IF(B258&gt;='KPI Linked Table for Report'!$C$1,"",_xlfn.XLOOKUP($T258,'HR mthly'!$I$6:$BM$6,'HR mthly'!$I$29:$BM$29,0))</f>
        <v>OD</v>
      </c>
    </row>
    <row r="263" spans="2:22" ht="42.45" customHeight="1" x14ac:dyDescent="0.3">
      <c r="B263" s="971" t="s">
        <v>31</v>
      </c>
      <c r="C263" s="971"/>
      <c r="D263" s="127" t="str">
        <f>_xlfn.XLOOKUP($B258,EHS!$M$6:$BM$6,EHS!$M$19:$BM$19,0)</f>
        <v>A</v>
      </c>
      <c r="E263" s="127" t="str">
        <f>_xlfn.XLOOKUP($B258,Estimating!$M$6:$BM$6,Estimating!$M$19:$BM$19,0)</f>
        <v>R</v>
      </c>
      <c r="F263" s="127" t="str">
        <f>_xlfn.XLOOKUP($B258,SOP!$M$6:$BM$6,SOP!$M$22:$BM$22,0)</f>
        <v>G</v>
      </c>
      <c r="G263" s="127" t="str">
        <f>_xlfn.XLOOKUP($B258,Design!$M$6:$BM$6,Design!$M$19:$BM$19,0)</f>
        <v>R</v>
      </c>
      <c r="H263" s="127" t="str">
        <f>_xlfn.XLOOKUP($B258,'Product Design'!$M$6:$BM$6,'Product Design'!$M$22:$BM$22,0)</f>
        <v>Undefined</v>
      </c>
      <c r="I263" s="127" t="str">
        <f>_xlfn.XLOOKUP($B258,'Product Eng - BE'!$M$6:$BM$6,'Product Eng - BE'!$M$22:$BM$22,0)</f>
        <v>R</v>
      </c>
      <c r="J263" s="127" t="str">
        <f>_xlfn.XLOOKUP($B258,'Product Eng - MB'!$M$6:$BM$6,'Product Eng - MB'!$M$22:$BM$22,0)</f>
        <v>R</v>
      </c>
      <c r="K263" s="127" t="str">
        <f>_xlfn.XLOOKUP($B258,'Bridgend Manuf'!$M$6:$BM$6,'Bridgend Manuf'!$M$19:$BM$19,0)</f>
        <v>G</v>
      </c>
      <c r="L263" s="127" t="str">
        <f>_xlfn.XLOOKUP($B258,'Maybole Manuf'!$M$6:$BM$6,'Maybole Manuf'!$M$19:$BM$19,0)</f>
        <v>R</v>
      </c>
      <c r="M263" s="127" t="str">
        <f>_xlfn.XLOOKUP($B258,Logistics!$M$6:$BM$6,Logistics!$M$19:$BM$19,0)</f>
        <v>OD</v>
      </c>
      <c r="N263" s="127" t="e">
        <f>_xlfn.XLOOKUP($B258,Engineering!$M$22:$BM$22,Engineering!#REF!,0)</f>
        <v>#REF!</v>
      </c>
      <c r="O263" s="127" t="str">
        <f>_xlfn.XLOOKUP($B258,'Quality MB'!$M$6:$BM$6,'Quality MB'!$M$19:$BM$19,0)</f>
        <v>G</v>
      </c>
      <c r="P263" s="127" t="str">
        <f>_xlfn.XLOOKUP($B258,Procurement!$M$6:$BM$6,Procurement!$M$19:$BM$19,0)</f>
        <v>G</v>
      </c>
      <c r="Q263" s="127" t="str">
        <f>_xlfn.XLOOKUP($B258,IT!$M$6:$BM$6,IT!$M$19:$BM$19,0)</f>
        <v>R</v>
      </c>
      <c r="R263" s="127" t="str">
        <f>_xlfn.XLOOKUP($B258,Marketing!$M$6:$BM$6,Marketing!$M$19:$BM$19,0)</f>
        <v>G</v>
      </c>
      <c r="S263" s="127" t="str">
        <f>IF(B258&gt;'KPI Linked Table for Report'!$C$2,"",_xlfn.XLOOKUP($T258,Finance!$M$16:$X$16,Finance!$M$27:$X$27,0))</f>
        <v/>
      </c>
      <c r="U263" s="127" t="str">
        <f>IF(B258&gt;='KPI Linked Table for Report'!$C$1,"",_xlfn.XLOOKUP($T258,'HR mthly'!$I$6:$BM$6,'HR mthly'!$I$33:$BM$33,0))</f>
        <v>A</v>
      </c>
      <c r="V263" s="127" t="str">
        <f>IF(B258&gt;='KPI Linked Table for Report'!$C$1,"",_xlfn.XLOOKUP($T258,'HR mthly'!$I$6:$BM$6,'HR mthly'!$I$36:$BM$36,0))</f>
        <v>R</v>
      </c>
    </row>
    <row r="265" spans="2:22" ht="42.45" customHeight="1" x14ac:dyDescent="0.3">
      <c r="B265" s="973" t="s">
        <v>7</v>
      </c>
      <c r="C265" s="974"/>
      <c r="D265" s="6" t="str">
        <f>+D$9</f>
        <v>EHS</v>
      </c>
      <c r="E265" s="6" t="str">
        <f>+E$9</f>
        <v>Estimating</v>
      </c>
      <c r="F265" s="6" t="str">
        <f t="shared" ref="F265:R265" si="54">+F$9</f>
        <v>SOP</v>
      </c>
      <c r="G265" s="6" t="str">
        <f>+G$9</f>
        <v>Design and R&amp;D</v>
      </c>
      <c r="H265" s="6" t="str">
        <f t="shared" si="54"/>
        <v>Product Design</v>
      </c>
      <c r="I265" s="6" t="str">
        <f t="shared" si="54"/>
        <v>Product Engineering Bridgend</v>
      </c>
      <c r="J265" s="6" t="str">
        <f t="shared" si="54"/>
        <v>Product Engineering Maybole</v>
      </c>
      <c r="K265" s="6" t="str">
        <f t="shared" si="54"/>
        <v>Bridgend
Manuf</v>
      </c>
      <c r="L265" s="6" t="str">
        <f t="shared" si="54"/>
        <v>Maybole
Manuf</v>
      </c>
      <c r="M265" s="6" t="str">
        <f>+M$9</f>
        <v>Logistics</v>
      </c>
      <c r="N265" s="6" t="str">
        <f>+N$9</f>
        <v>Engineering</v>
      </c>
      <c r="O265" s="6" t="str">
        <f>+O$9</f>
        <v>Quality
Maybole</v>
      </c>
      <c r="P265" s="6" t="str">
        <f>+P$9</f>
        <v>Procurement</v>
      </c>
      <c r="Q265" s="6" t="str">
        <f>+Q$9</f>
        <v>IT</v>
      </c>
      <c r="R265" s="6" t="str">
        <f t="shared" si="54"/>
        <v>Marketing</v>
      </c>
      <c r="S265" s="6" t="str">
        <f>+S$9</f>
        <v>Finance</v>
      </c>
      <c r="T265" s="7" t="s">
        <v>409</v>
      </c>
      <c r="U265" s="6" t="str">
        <f>+U$9</f>
        <v>HR</v>
      </c>
      <c r="V265" s="6" t="str">
        <f>+V$9</f>
        <v>HR</v>
      </c>
    </row>
    <row r="266" spans="2:22" ht="42.45" customHeight="1" x14ac:dyDescent="0.3">
      <c r="B266" s="7">
        <f>B258+1</f>
        <v>33</v>
      </c>
      <c r="C266" s="8">
        <f>C258+7</f>
        <v>45884</v>
      </c>
      <c r="D266" s="10" t="s">
        <v>24</v>
      </c>
      <c r="E266" s="9" t="str">
        <f>+E$186</f>
        <v>Julian Sparrow</v>
      </c>
      <c r="F266" s="10" t="s">
        <v>19</v>
      </c>
      <c r="G266" s="10" t="s">
        <v>20</v>
      </c>
      <c r="H266" s="10" t="s">
        <v>24</v>
      </c>
      <c r="I266" s="10" t="s">
        <v>24</v>
      </c>
      <c r="J266" s="10" t="s">
        <v>21</v>
      </c>
      <c r="K266" s="10" t="s">
        <v>22</v>
      </c>
      <c r="L266" s="10" t="s">
        <v>23</v>
      </c>
      <c r="M266" s="10" t="str">
        <f>+M$10</f>
        <v>Scott McMillan</v>
      </c>
      <c r="N266" s="10" t="str">
        <f>+N$10</f>
        <v>Garin Bowen</v>
      </c>
      <c r="O266" s="10" t="str">
        <f>+O$10</f>
        <v>Scott McMIllan</v>
      </c>
      <c r="P266" s="10" t="str">
        <f>+P$10</f>
        <v>Matt 
Pope</v>
      </c>
      <c r="Q266" s="10" t="s">
        <v>29</v>
      </c>
      <c r="R266" s="10" t="s">
        <v>25</v>
      </c>
      <c r="S266" s="10" t="s">
        <v>26</v>
      </c>
      <c r="T266" s="7">
        <v>7</v>
      </c>
      <c r="U266" s="10" t="str">
        <f>+U$10</f>
        <v>Bethan Grant</v>
      </c>
      <c r="V266" s="10" t="str">
        <f>+V$10</f>
        <v>Bethan Grant</v>
      </c>
    </row>
    <row r="267" spans="2:22" ht="42.45" customHeight="1" x14ac:dyDescent="0.3">
      <c r="B267" s="971" t="s">
        <v>30</v>
      </c>
      <c r="C267" s="971"/>
      <c r="D267" s="127" t="str">
        <f>_xlfn.XLOOKUP($B266,EHS!$M$6:$BM$6,EHS!$M$10:$BM$10,0)</f>
        <v>G</v>
      </c>
      <c r="E267" s="127" t="str">
        <f>_xlfn.XLOOKUP($B266,Estimating!$M$6:$BM$6,Estimating!$M$10:$BM$10,0)</f>
        <v>R</v>
      </c>
      <c r="F267" s="127" t="str">
        <f>_xlfn.XLOOKUP($B266,SOP!$M$6:$BM$6,SOP!$M$10:$BM$10,0)</f>
        <v>R</v>
      </c>
      <c r="G267" s="127" t="str">
        <f>_xlfn.XLOOKUP($B266,Design!$M$6:$BM$6,Design!$M$10:$BM$10,0)</f>
        <v>R</v>
      </c>
      <c r="H267" s="127" t="str">
        <f>_xlfn.XLOOKUP($B266,'Product Design'!$M$6:$BM$6,'Product Design'!$M$10:$BM$10,0)</f>
        <v>R</v>
      </c>
      <c r="I267" s="127" t="str">
        <f>_xlfn.XLOOKUP($B266,'Product Eng - BE'!$M$6:$BM$6,'Product Eng - BE'!$M$10:$BM$10,0)</f>
        <v>G</v>
      </c>
      <c r="J267" s="127" t="str">
        <f>_xlfn.XLOOKUP($B266,'Product Eng - MB'!$M$6:$BM$6,'Product Eng - MB'!$M$10:$BM$10,0)</f>
        <v>R</v>
      </c>
      <c r="K267" s="127" t="str">
        <f>_xlfn.XLOOKUP($B266,'Bridgend Manuf'!$M$6:$BM$6,'Bridgend Manuf'!$M$10:$BM$10,0)</f>
        <v>R</v>
      </c>
      <c r="L267" s="127" t="str">
        <f>_xlfn.XLOOKUP($B266,'Maybole Manuf'!$M$6:$BM$6,'Maybole Manuf'!$M$10:$BM$10,0)</f>
        <v>R</v>
      </c>
      <c r="M267" s="127" t="str">
        <f>_xlfn.XLOOKUP($B266,Logistics!$M$6:$BM$6,Logistics!$M$10:$BM$10,0)</f>
        <v>OD</v>
      </c>
      <c r="N267" s="127" t="str">
        <f>_xlfn.XLOOKUP($B266,Engineering!$M$22:$BM$22,Engineering!$M$26:$BM$26,0)</f>
        <v>A</v>
      </c>
      <c r="O267" s="127" t="str">
        <f>_xlfn.XLOOKUP($B266,'Quality MB'!$M$6:$BM$6,'Quality MB'!$M$10:$BM$10,0)</f>
        <v>R</v>
      </c>
      <c r="P267" s="127" t="str">
        <f>_xlfn.XLOOKUP($B266,Procurement!$M$6:$BM$6,Procurement!$M$10:$BM$10,0)</f>
        <v>R</v>
      </c>
      <c r="Q267" s="127" t="str">
        <f>_xlfn.XLOOKUP($B266,IT!$M$6:$BM$6,IT!$M$10:$BM$10,0)</f>
        <v>Undefined</v>
      </c>
      <c r="R267" s="127" t="str">
        <f>_xlfn.XLOOKUP($B266,Marketing!$M$6:$BM$6,Marketing!$M$10:$BM$10,0)</f>
        <v>G</v>
      </c>
      <c r="S267" s="127" t="str">
        <f>_xlfn.XLOOKUP($B266,Finance!$M$6:$BM$6,Finance!$M$10:$BM$10,0)</f>
        <v>G</v>
      </c>
      <c r="U267" s="127" t="str">
        <f>IF(B266&gt;='KPI Linked Table for Report'!$C$1,"",_xlfn.XLOOKUP($T266,'HR mthly'!$I$6:$BM$6,'HR mthly'!$I$11:$BM$11,0))</f>
        <v>G</v>
      </c>
      <c r="V267" s="127" t="str">
        <f>IF(B266&gt;='KPI Linked Table for Report'!$C$1,"",_xlfn.XLOOKUP($T266,'HR mthly'!$I$6:$BM$6,'HR mthly'!$I$14:$BM$14,0))</f>
        <v>G</v>
      </c>
    </row>
    <row r="268" spans="2:22" ht="42.45" customHeight="1" x14ac:dyDescent="0.3">
      <c r="B268" s="971" t="s">
        <v>172</v>
      </c>
      <c r="C268" s="971"/>
      <c r="D268" s="127" t="str">
        <f>_xlfn.XLOOKUP($B266,EHS!$M$6:$BM$6,EHS!$M$13:$BM$13,0)</f>
        <v>A</v>
      </c>
      <c r="E268" s="127" t="str">
        <f>_xlfn.XLOOKUP($B266,Estimating!$M$6:$BM$6,Estimating!$M$13:$BM$13,0)</f>
        <v>R</v>
      </c>
      <c r="F268" s="127" t="str">
        <f>_xlfn.XLOOKUP($B266,SOP!$M$6:$BM$6,SOP!$M$13:$BM$13,0)</f>
        <v>R</v>
      </c>
      <c r="G268" s="127" t="str">
        <f>_xlfn.XLOOKUP($B266,Design!$M$6:$BM$6,Design!$M$13:$BM$13,0)</f>
        <v>R</v>
      </c>
      <c r="H268" s="127" t="str">
        <f>_xlfn.XLOOKUP($B266,'Product Design'!$M$6:$BM$6,'Product Design'!$M$13:$BM$13,0)</f>
        <v>A</v>
      </c>
      <c r="I268" s="127" t="str">
        <f>_xlfn.XLOOKUP($B266,'Product Eng - BE'!$M$6:$BM$6,'Product Eng - BE'!$M$13:$BM$13,0)</f>
        <v>G</v>
      </c>
      <c r="J268" s="127" t="str">
        <f>_xlfn.XLOOKUP($B266,'Product Eng - MB'!$M$6:$BM$6,'Product Eng - MB'!$M$13:$BM$13,0)</f>
        <v>G</v>
      </c>
      <c r="K268" s="127" t="str">
        <f>_xlfn.XLOOKUP($B266,'Bridgend Manuf'!$M$6:$BM$6,'Bridgend Manuf'!$M$13:$BM$13,0)</f>
        <v>A</v>
      </c>
      <c r="L268" s="127" t="str">
        <f>_xlfn.XLOOKUP($B266,'Maybole Manuf'!$M$6:$BM$6,'Maybole Manuf'!$M$13:$BM$13,0)</f>
        <v>G</v>
      </c>
      <c r="M268" s="127" t="str">
        <f>_xlfn.XLOOKUP($B266,Logistics!$M$6:$BM$6,Logistics!$M$13:$BM$13,0)</f>
        <v>OD</v>
      </c>
      <c r="N268" s="127" t="e">
        <f>_xlfn.XLOOKUP($B266,Engineering!$M$22:$BM$22,Engineering!#REF!,0)</f>
        <v>#REF!</v>
      </c>
      <c r="O268" s="127" t="str">
        <f>_xlfn.XLOOKUP($B266,'Quality MB'!$M$6:$BM$6,'Quality MB'!$M$13:$BM$13,0)</f>
        <v>G</v>
      </c>
      <c r="P268" s="127" t="str">
        <f>_xlfn.XLOOKUP($B266,Procurement!$M$6:$BM$6,Procurement!$M$13:$BM$13,0)</f>
        <v>A</v>
      </c>
      <c r="Q268" s="127" t="str">
        <f>_xlfn.XLOOKUP($B266,IT!$M$6:$BM$6,IT!$M$13:$BM$13,0)</f>
        <v>G</v>
      </c>
      <c r="R268" s="127" t="str">
        <f>_xlfn.XLOOKUP($B266,Marketing!$M$6:$BM$6,Marketing!$M$13:$BM$13,0)</f>
        <v>R</v>
      </c>
      <c r="S268" s="127" t="str">
        <f>IF(B266&gt;'KPI Linked Table for Report'!$C$2,"",_xlfn.XLOOKUP($T266,Finance!$M$16:$X$16,Finance!$M$21:$X$21,0))</f>
        <v/>
      </c>
      <c r="U268" s="127" t="str">
        <f>IF(B266&gt;='KPI Linked Table for Report'!$C$1,"",_xlfn.XLOOKUP($T266,'HR mthly'!$I$6:$BM$6,'HR mthly'!$I$18:$BM$18,0))</f>
        <v>R</v>
      </c>
      <c r="V268" s="127" t="str">
        <f>IF(B266&gt;='KPI Linked Table for Report'!$C$1,"",_xlfn.XLOOKUP($T266,'HR mthly'!$I$6:$BM$6,'HR mthly'!$I$21:$BM$21,0))</f>
        <v>R</v>
      </c>
    </row>
    <row r="269" spans="2:22" ht="42.45" customHeight="1" x14ac:dyDescent="0.3">
      <c r="B269" s="971" t="s">
        <v>173</v>
      </c>
      <c r="C269" s="971"/>
      <c r="D269" s="11" t="s">
        <v>174</v>
      </c>
      <c r="E269" s="11" t="s">
        <v>174</v>
      </c>
      <c r="F269" s="11" t="str">
        <f>_xlfn.XLOOKUP($B266,SOP!$M$6:$BM$6,SOP!$M$16:$BM$16,0)</f>
        <v>R</v>
      </c>
      <c r="G269" s="11" t="s">
        <v>174</v>
      </c>
      <c r="H269" s="11" t="str">
        <f>_xlfn.XLOOKUP($B266,'Product Design'!$M$6:$BM$6,'Product Design'!$M$16:$BM$16,0)</f>
        <v>G</v>
      </c>
      <c r="I269" s="11" t="str">
        <f>_xlfn.XLOOKUP($B266,'Product Eng - BE'!$M$6:$BM$6,'Product Eng - BE'!$M$16:$BM$16,0)</f>
        <v>R</v>
      </c>
      <c r="J269" s="11" t="str">
        <f>_xlfn.XLOOKUP($B266,'Product Eng - MB'!$M$6:$BM$6,'Product Eng - MB'!$M$16:$BM$16,0)</f>
        <v>R</v>
      </c>
      <c r="K269" s="11" t="s">
        <v>174</v>
      </c>
      <c r="L269" s="11" t="s">
        <v>174</v>
      </c>
      <c r="M269" s="11" t="s">
        <v>174</v>
      </c>
      <c r="N269" s="11" t="s">
        <v>174</v>
      </c>
      <c r="O269" s="11" t="s">
        <v>174</v>
      </c>
      <c r="P269" s="11" t="s">
        <v>174</v>
      </c>
      <c r="Q269" s="11" t="s">
        <v>174</v>
      </c>
      <c r="R269" s="11" t="s">
        <v>174</v>
      </c>
      <c r="S269" s="11" t="s">
        <v>174</v>
      </c>
      <c r="U269" s="11" t="s">
        <v>174</v>
      </c>
      <c r="V269" s="11" t="s">
        <v>174</v>
      </c>
    </row>
    <row r="270" spans="2:22" ht="42.45" customHeight="1" x14ac:dyDescent="0.3">
      <c r="B270" s="971" t="s">
        <v>32</v>
      </c>
      <c r="C270" s="971"/>
      <c r="D270" s="127" t="str">
        <f>_xlfn.XLOOKUP($B266,EHS!$M$6:$BM$6,EHS!$M$16:$BM$16,0)</f>
        <v>R</v>
      </c>
      <c r="E270" s="127" t="str">
        <f>_xlfn.XLOOKUP($B266,Estimating!$M$6:$BM$6,Estimating!$M$16:$BM$16,0)</f>
        <v>R</v>
      </c>
      <c r="F270" s="127" t="str">
        <f>_xlfn.XLOOKUP($B266,SOP!$M$6:$BM$6,SOP!$M$19:$BM$19,0)</f>
        <v>R</v>
      </c>
      <c r="G270" s="127" t="str">
        <f>_xlfn.XLOOKUP($B266,Design!$M$6:$BM$6,Design!$M$16:$BM$16,0)</f>
        <v>R</v>
      </c>
      <c r="H270" s="127" t="str">
        <f>_xlfn.XLOOKUP($B266,'Product Design'!$M$6:$BM$6,'Product Design'!$M$19:$BM$19,0)</f>
        <v>G</v>
      </c>
      <c r="I270" s="127" t="str">
        <f>_xlfn.XLOOKUP($B266,'Product Eng - BE'!$M$6:$BM$6,'Product Eng - BE'!$M$19:$BM$19,0)</f>
        <v>R</v>
      </c>
      <c r="J270" s="127" t="str">
        <f>_xlfn.XLOOKUP($B266,'Product Eng - MB'!$M$6:$BM$6,'Product Eng - MB'!$M$19:$BM$19,0)</f>
        <v>G</v>
      </c>
      <c r="K270" s="127" t="str">
        <f>_xlfn.XLOOKUP($B266,'Bridgend Manuf'!$M$6:$BM$6,'Bridgend Manuf'!$M$16:$BM$16,0)</f>
        <v>G</v>
      </c>
      <c r="L270" s="127" t="str">
        <f>_xlfn.XLOOKUP($B266,'Maybole Manuf'!$M$6:$BM$6,'Maybole Manuf'!$M$16:$BM$16,0)</f>
        <v>G</v>
      </c>
      <c r="M270" s="127" t="str">
        <f>_xlfn.XLOOKUP($B266,Logistics!$M$6:$BM$6,Logistics!$M$16:$BM$16,0)</f>
        <v>Missed</v>
      </c>
      <c r="N270" s="127" t="e">
        <f>_xlfn.XLOOKUP($B266,Engineering!$M$22:$BM$22,Engineering!#REF!,0)</f>
        <v>#REF!</v>
      </c>
      <c r="O270" s="127" t="str">
        <f>_xlfn.XLOOKUP($B266,'Quality MB'!$M$6:$BM$6,'Quality MB'!$M$16:$BM$16,0)</f>
        <v>G</v>
      </c>
      <c r="P270" s="127" t="str">
        <f>_xlfn.XLOOKUP($B266,Procurement!$M$6:$BM$6,Procurement!$M$16:$BM$16,0)</f>
        <v>G</v>
      </c>
      <c r="Q270" s="127" t="str">
        <f>_xlfn.XLOOKUP($B266,IT!$M$6:$BM$6,IT!$M$16:$BM$16,0)</f>
        <v>G</v>
      </c>
      <c r="R270" s="127" t="str">
        <f>_xlfn.XLOOKUP($B266,Marketing!$M$6:$BM$6,Marketing!$M$16:$BM$16,0)</f>
        <v>G</v>
      </c>
      <c r="S270" s="127" t="str">
        <f>IF(B266&gt;'KPI Linked Table for Report'!$C$2,"",_xlfn.XLOOKUP($T266,Finance!$M$16:$X$16,Finance!$M$24:$X$24,0))</f>
        <v/>
      </c>
      <c r="U270" s="127" t="str">
        <f>IF(B266&gt;='KPI Linked Table for Report'!$C$1,"",_xlfn.XLOOKUP($T266,'HR mthly'!$I$6:$BM$6,'HR mthly'!$I$26:$BM$26,0))</f>
        <v>R</v>
      </c>
      <c r="V270" s="127" t="str">
        <f>IF(B266&gt;='KPI Linked Table for Report'!$C$1,"",_xlfn.XLOOKUP($T266,'HR mthly'!$I$6:$BM$6,'HR mthly'!$I$29:$BM$29,0))</f>
        <v>OD</v>
      </c>
    </row>
    <row r="271" spans="2:22" ht="42.45" customHeight="1" x14ac:dyDescent="0.3">
      <c r="B271" s="971" t="s">
        <v>31</v>
      </c>
      <c r="C271" s="971"/>
      <c r="D271" s="127" t="str">
        <f>_xlfn.XLOOKUP($B266,EHS!$M$6:$BM$6,EHS!$M$19:$BM$19,0)</f>
        <v>R</v>
      </c>
      <c r="E271" s="127" t="str">
        <f>_xlfn.XLOOKUP($B266,Estimating!$M$6:$BM$6,Estimating!$M$19:$BM$19,0)</f>
        <v>G</v>
      </c>
      <c r="F271" s="127" t="str">
        <f>_xlfn.XLOOKUP($B266,SOP!$M$6:$BM$6,SOP!$M$22:$BM$22,0)</f>
        <v>R</v>
      </c>
      <c r="G271" s="127" t="str">
        <f>_xlfn.XLOOKUP($B266,Design!$M$6:$BM$6,Design!$M$19:$BM$19,0)</f>
        <v>R</v>
      </c>
      <c r="H271" s="127" t="str">
        <f>_xlfn.XLOOKUP($B266,'Product Design'!$M$6:$BM$6,'Product Design'!$M$22:$BM$22,0)</f>
        <v>Undefined</v>
      </c>
      <c r="I271" s="127" t="str">
        <f>_xlfn.XLOOKUP($B266,'Product Eng - BE'!$M$6:$BM$6,'Product Eng - BE'!$M$22:$BM$22,0)</f>
        <v>G</v>
      </c>
      <c r="J271" s="127" t="str">
        <f>_xlfn.XLOOKUP($B266,'Product Eng - MB'!$M$6:$BM$6,'Product Eng - MB'!$M$22:$BM$22,0)</f>
        <v>G</v>
      </c>
      <c r="K271" s="127" t="str">
        <f>_xlfn.XLOOKUP($B266,'Bridgend Manuf'!$M$6:$BM$6,'Bridgend Manuf'!$M$19:$BM$19,0)</f>
        <v>G</v>
      </c>
      <c r="L271" s="127" t="str">
        <f>_xlfn.XLOOKUP($B266,'Maybole Manuf'!$M$6:$BM$6,'Maybole Manuf'!$M$19:$BM$19,0)</f>
        <v>R</v>
      </c>
      <c r="M271" s="127" t="str">
        <f>_xlfn.XLOOKUP($B266,Logistics!$M$6:$BM$6,Logistics!$M$19:$BM$19,0)</f>
        <v>OD</v>
      </c>
      <c r="N271" s="127" t="e">
        <f>_xlfn.XLOOKUP($B266,Engineering!$M$22:$BM$22,Engineering!#REF!,0)</f>
        <v>#REF!</v>
      </c>
      <c r="O271" s="127" t="str">
        <f>_xlfn.XLOOKUP($B266,'Quality MB'!$M$6:$BM$6,'Quality MB'!$M$19:$BM$19,0)</f>
        <v>G</v>
      </c>
      <c r="P271" s="127" t="str">
        <f>_xlfn.XLOOKUP($B266,Procurement!$M$6:$BM$6,Procurement!$M$19:$BM$19,0)</f>
        <v>G</v>
      </c>
      <c r="Q271" s="127" t="str">
        <f>_xlfn.XLOOKUP($B266,IT!$M$6:$BM$6,IT!$M$19:$BM$19,0)</f>
        <v>G</v>
      </c>
      <c r="R271" s="127" t="str">
        <f>_xlfn.XLOOKUP($B266,Marketing!$M$6:$BM$6,Marketing!$M$19:$BM$19,0)</f>
        <v>G</v>
      </c>
      <c r="S271" s="127" t="str">
        <f>IF(B266&gt;'KPI Linked Table for Report'!$C$2,"",_xlfn.XLOOKUP($T266,Finance!$M$16:$X$16,Finance!$M$27:$X$27,0))</f>
        <v/>
      </c>
      <c r="U271" s="127" t="str">
        <f>IF(B266&gt;='KPI Linked Table for Report'!$C$1,"",_xlfn.XLOOKUP($T266,'HR mthly'!$I$6:$BM$6,'HR mthly'!$I$33:$BM$33,0))</f>
        <v>A</v>
      </c>
      <c r="V271" s="127" t="str">
        <f>IF(B266&gt;='KPI Linked Table for Report'!$C$1,"",_xlfn.XLOOKUP($T266,'HR mthly'!$I$6:$BM$6,'HR mthly'!$I$36:$BM$36,0))</f>
        <v>R</v>
      </c>
    </row>
    <row r="273" spans="2:22" ht="42.45" customHeight="1" x14ac:dyDescent="0.3">
      <c r="B273" s="973" t="s">
        <v>7</v>
      </c>
      <c r="C273" s="974"/>
      <c r="D273" s="6" t="str">
        <f>+D$9</f>
        <v>EHS</v>
      </c>
      <c r="E273" s="6" t="str">
        <f>+E$9</f>
        <v>Estimating</v>
      </c>
      <c r="F273" s="6" t="str">
        <f t="shared" ref="F273:R273" si="55">+F$9</f>
        <v>SOP</v>
      </c>
      <c r="G273" s="6" t="str">
        <f>+G$9</f>
        <v>Design and R&amp;D</v>
      </c>
      <c r="H273" s="6" t="str">
        <f t="shared" si="55"/>
        <v>Product Design</v>
      </c>
      <c r="I273" s="6" t="str">
        <f t="shared" si="55"/>
        <v>Product Engineering Bridgend</v>
      </c>
      <c r="J273" s="6" t="str">
        <f t="shared" si="55"/>
        <v>Product Engineering Maybole</v>
      </c>
      <c r="K273" s="6" t="str">
        <f t="shared" si="55"/>
        <v>Bridgend
Manuf</v>
      </c>
      <c r="L273" s="6" t="str">
        <f t="shared" si="55"/>
        <v>Maybole
Manuf</v>
      </c>
      <c r="M273" s="6" t="str">
        <f>+M$9</f>
        <v>Logistics</v>
      </c>
      <c r="N273" s="6" t="str">
        <f>+N$9</f>
        <v>Engineering</v>
      </c>
      <c r="O273" s="6" t="str">
        <f>+O$9</f>
        <v>Quality
Maybole</v>
      </c>
      <c r="P273" s="6" t="str">
        <f>+P$9</f>
        <v>Procurement</v>
      </c>
      <c r="Q273" s="6" t="str">
        <f>+Q$9</f>
        <v>IT</v>
      </c>
      <c r="R273" s="6" t="str">
        <f t="shared" si="55"/>
        <v>Marketing</v>
      </c>
      <c r="S273" s="6" t="str">
        <f>+S$9</f>
        <v>Finance</v>
      </c>
      <c r="T273" s="7" t="s">
        <v>409</v>
      </c>
      <c r="U273" s="6" t="str">
        <f>+U$9</f>
        <v>HR</v>
      </c>
      <c r="V273" s="6" t="str">
        <f>+V$9</f>
        <v>HR</v>
      </c>
    </row>
    <row r="274" spans="2:22" ht="42.45" customHeight="1" x14ac:dyDescent="0.3">
      <c r="B274" s="7">
        <f>B266+1</f>
        <v>34</v>
      </c>
      <c r="C274" s="8">
        <f>C266+7</f>
        <v>45891</v>
      </c>
      <c r="D274" s="10" t="s">
        <v>24</v>
      </c>
      <c r="E274" s="9" t="str">
        <f>+E$186</f>
        <v>Julian Sparrow</v>
      </c>
      <c r="F274" s="10" t="s">
        <v>19</v>
      </c>
      <c r="G274" s="10" t="s">
        <v>20</v>
      </c>
      <c r="H274" s="10" t="s">
        <v>24</v>
      </c>
      <c r="I274" s="10" t="s">
        <v>24</v>
      </c>
      <c r="J274" s="10" t="s">
        <v>21</v>
      </c>
      <c r="K274" s="10" t="s">
        <v>22</v>
      </c>
      <c r="L274" s="10" t="s">
        <v>23</v>
      </c>
      <c r="M274" s="10" t="str">
        <f>+M$10</f>
        <v>Scott McMillan</v>
      </c>
      <c r="N274" s="10" t="str">
        <f>+N$10</f>
        <v>Garin Bowen</v>
      </c>
      <c r="O274" s="10" t="str">
        <f>+O$10</f>
        <v>Scott McMIllan</v>
      </c>
      <c r="P274" s="10" t="str">
        <f>+P$10</f>
        <v>Matt 
Pope</v>
      </c>
      <c r="Q274" s="10" t="s">
        <v>29</v>
      </c>
      <c r="R274" s="10" t="s">
        <v>25</v>
      </c>
      <c r="S274" s="10" t="s">
        <v>26</v>
      </c>
      <c r="T274" s="7">
        <v>7</v>
      </c>
      <c r="U274" s="10" t="str">
        <f>+U$10</f>
        <v>Bethan Grant</v>
      </c>
      <c r="V274" s="10" t="str">
        <f>+V$10</f>
        <v>Bethan Grant</v>
      </c>
    </row>
    <row r="275" spans="2:22" ht="42.45" customHeight="1" x14ac:dyDescent="0.3">
      <c r="B275" s="971" t="s">
        <v>30</v>
      </c>
      <c r="C275" s="971"/>
      <c r="D275" s="127" t="str">
        <f>_xlfn.XLOOKUP($B274,EHS!$M$6:$BM$6,EHS!$M$10:$BM$10,0)</f>
        <v>G</v>
      </c>
      <c r="E275" s="127" t="str">
        <f>_xlfn.XLOOKUP($B274,Estimating!$M$6:$BM$6,Estimating!$M$10:$BM$10,0)</f>
        <v>A</v>
      </c>
      <c r="F275" s="127" t="str">
        <f>_xlfn.XLOOKUP($B274,SOP!$M$6:$BM$6,SOP!$M$10:$BM$10,0)</f>
        <v>G</v>
      </c>
      <c r="G275" s="127" t="str">
        <f>_xlfn.XLOOKUP($B274,Design!$M$6:$BM$6,Design!$M$10:$BM$10,0)</f>
        <v>R</v>
      </c>
      <c r="H275" s="127" t="str">
        <f>_xlfn.XLOOKUP($B274,'Product Design'!$M$6:$BM$6,'Product Design'!$M$10:$BM$10,0)</f>
        <v>A</v>
      </c>
      <c r="I275" s="127" t="str">
        <f>_xlfn.XLOOKUP($B274,'Product Eng - BE'!$M$6:$BM$6,'Product Eng - BE'!$M$10:$BM$10,0)</f>
        <v>A</v>
      </c>
      <c r="J275" s="127" t="str">
        <f>_xlfn.XLOOKUP($B274,'Product Eng - MB'!$M$6:$BM$6,'Product Eng - MB'!$M$10:$BM$10,0)</f>
        <v>G</v>
      </c>
      <c r="K275" s="127" t="str">
        <f>_xlfn.XLOOKUP($B274,'Bridgend Manuf'!$M$6:$BM$6,'Bridgend Manuf'!$M$10:$BM$10,0)</f>
        <v>G</v>
      </c>
      <c r="L275" s="127" t="str">
        <f>_xlfn.XLOOKUP($B274,'Maybole Manuf'!$M$6:$BM$6,'Maybole Manuf'!$M$10:$BM$10,0)</f>
        <v>G</v>
      </c>
      <c r="M275" s="127" t="str">
        <f>_xlfn.XLOOKUP($B274,Logistics!$M$6:$BM$6,Logistics!$M$10:$BM$10,0)</f>
        <v>OD</v>
      </c>
      <c r="N275" s="127" t="str">
        <f>_xlfn.XLOOKUP($B274,Engineering!$M$22:$BM$22,Engineering!$M$26:$BM$26,0)</f>
        <v>G</v>
      </c>
      <c r="O275" s="127" t="str">
        <f>_xlfn.XLOOKUP($B274,'Quality MB'!$M$6:$BM$6,'Quality MB'!$M$10:$BM$10,0)</f>
        <v>R</v>
      </c>
      <c r="P275" s="127" t="str">
        <f>_xlfn.XLOOKUP($B274,Procurement!$M$6:$BM$6,Procurement!$M$10:$BM$10,0)</f>
        <v>R</v>
      </c>
      <c r="Q275" s="127" t="str">
        <f>_xlfn.XLOOKUP($B274,IT!$M$6:$BM$6,IT!$M$10:$BM$10,0)</f>
        <v>Undefined</v>
      </c>
      <c r="R275" s="127" t="str">
        <f>_xlfn.XLOOKUP($B274,Marketing!$M$6:$BM$6,Marketing!$M$10:$BM$10,0)</f>
        <v>G</v>
      </c>
      <c r="S275" s="127" t="str">
        <f>_xlfn.XLOOKUP($B274,Finance!$M$6:$BM$6,Finance!$M$10:$BM$10,0)</f>
        <v>G</v>
      </c>
      <c r="U275" s="127" t="str">
        <f>IF(B274&gt;='KPI Linked Table for Report'!$C$1,"",_xlfn.XLOOKUP($T274,'HR mthly'!$I$6:$BM$6,'HR mthly'!$I$11:$BM$11,0))</f>
        <v>G</v>
      </c>
      <c r="V275" s="127" t="str">
        <f>IF(B274&gt;='KPI Linked Table for Report'!$C$1,"",_xlfn.XLOOKUP($T274,'HR mthly'!$I$6:$BM$6,'HR mthly'!$I$14:$BM$14,0))</f>
        <v>G</v>
      </c>
    </row>
    <row r="276" spans="2:22" ht="42.45" customHeight="1" x14ac:dyDescent="0.3">
      <c r="B276" s="971" t="s">
        <v>172</v>
      </c>
      <c r="C276" s="971"/>
      <c r="D276" s="127" t="str">
        <f>_xlfn.XLOOKUP($B274,EHS!$M$6:$BM$6,EHS!$M$13:$BM$13,0)</f>
        <v>G</v>
      </c>
      <c r="E276" s="127" t="str">
        <f>_xlfn.XLOOKUP($B274,Estimating!$M$6:$BM$6,Estimating!$M$13:$BM$13,0)</f>
        <v>R</v>
      </c>
      <c r="F276" s="127" t="str">
        <f>_xlfn.XLOOKUP($B274,SOP!$M$6:$BM$6,SOP!$M$13:$BM$13,0)</f>
        <v>R</v>
      </c>
      <c r="G276" s="127" t="str">
        <f>_xlfn.XLOOKUP($B274,Design!$M$6:$BM$6,Design!$M$13:$BM$13,0)</f>
        <v>G</v>
      </c>
      <c r="H276" s="127" t="str">
        <f>_xlfn.XLOOKUP($B274,'Product Design'!$M$6:$BM$6,'Product Design'!$M$13:$BM$13,0)</f>
        <v>G</v>
      </c>
      <c r="I276" s="127" t="str">
        <f>_xlfn.XLOOKUP($B274,'Product Eng - BE'!$M$6:$BM$6,'Product Eng - BE'!$M$13:$BM$13,0)</f>
        <v>G</v>
      </c>
      <c r="J276" s="127" t="str">
        <f>_xlfn.XLOOKUP($B274,'Product Eng - MB'!$M$6:$BM$6,'Product Eng - MB'!$M$13:$BM$13,0)</f>
        <v>G</v>
      </c>
      <c r="K276" s="127" t="str">
        <f>_xlfn.XLOOKUP($B274,'Bridgend Manuf'!$M$6:$BM$6,'Bridgend Manuf'!$M$13:$BM$13,0)</f>
        <v>G</v>
      </c>
      <c r="L276" s="127" t="str">
        <f>_xlfn.XLOOKUP($B274,'Maybole Manuf'!$M$6:$BM$6,'Maybole Manuf'!$M$13:$BM$13,0)</f>
        <v>R</v>
      </c>
      <c r="M276" s="127" t="str">
        <f>_xlfn.XLOOKUP($B274,Logistics!$M$6:$BM$6,Logistics!$M$13:$BM$13,0)</f>
        <v>OD</v>
      </c>
      <c r="N276" s="127" t="e">
        <f>_xlfn.XLOOKUP($B274,Engineering!$M$22:$BM$22,Engineering!#REF!,0)</f>
        <v>#REF!</v>
      </c>
      <c r="O276" s="127" t="str">
        <f>_xlfn.XLOOKUP($B274,'Quality MB'!$M$6:$BM$6,'Quality MB'!$M$13:$BM$13,0)</f>
        <v>G</v>
      </c>
      <c r="P276" s="127" t="str">
        <f>_xlfn.XLOOKUP($B274,Procurement!$M$6:$BM$6,Procurement!$M$13:$BM$13,0)</f>
        <v>A</v>
      </c>
      <c r="Q276" s="127" t="str">
        <f>_xlfn.XLOOKUP($B274,IT!$M$6:$BM$6,IT!$M$13:$BM$13,0)</f>
        <v>G</v>
      </c>
      <c r="R276" s="127" t="str">
        <f>_xlfn.XLOOKUP($B274,Marketing!$M$6:$BM$6,Marketing!$M$13:$BM$13,0)</f>
        <v>R</v>
      </c>
      <c r="S276" s="127" t="str">
        <f>IF(B274&gt;'KPI Linked Table for Report'!$C$2,"",_xlfn.XLOOKUP($T274,Finance!$M$16:$X$16,Finance!$M$21:$X$21,0))</f>
        <v/>
      </c>
      <c r="U276" s="127" t="str">
        <f>IF(B274&gt;='KPI Linked Table for Report'!$C$1,"",_xlfn.XLOOKUP($T274,'HR mthly'!$I$6:$BM$6,'HR mthly'!$I$18:$BM$18,0))</f>
        <v>R</v>
      </c>
      <c r="V276" s="127" t="str">
        <f>IF(B274&gt;='KPI Linked Table for Report'!$C$1,"",_xlfn.XLOOKUP($T274,'HR mthly'!$I$6:$BM$6,'HR mthly'!$I$21:$BM$21,0))</f>
        <v>R</v>
      </c>
    </row>
    <row r="277" spans="2:22" ht="42.45" customHeight="1" x14ac:dyDescent="0.3">
      <c r="B277" s="971" t="s">
        <v>173</v>
      </c>
      <c r="C277" s="971"/>
      <c r="D277" s="11" t="s">
        <v>174</v>
      </c>
      <c r="E277" s="11" t="s">
        <v>174</v>
      </c>
      <c r="F277" s="11" t="str">
        <f>_xlfn.XLOOKUP($B274,SOP!$M$6:$BM$6,SOP!$M$16:$BM$16,0)</f>
        <v>R</v>
      </c>
      <c r="G277" s="11" t="s">
        <v>174</v>
      </c>
      <c r="H277" s="11" t="str">
        <f>_xlfn.XLOOKUP($B274,'Product Design'!$M$6:$BM$6,'Product Design'!$M$16:$BM$16,0)</f>
        <v>G</v>
      </c>
      <c r="I277" s="11" t="str">
        <f>_xlfn.XLOOKUP($B274,'Product Eng - BE'!$M$6:$BM$6,'Product Eng - BE'!$M$16:$BM$16,0)</f>
        <v>R</v>
      </c>
      <c r="J277" s="11" t="str">
        <f>_xlfn.XLOOKUP($B274,'Product Eng - MB'!$M$6:$BM$6,'Product Eng - MB'!$M$16:$BM$16,0)</f>
        <v>R</v>
      </c>
      <c r="K277" s="11" t="s">
        <v>174</v>
      </c>
      <c r="L277" s="11" t="s">
        <v>174</v>
      </c>
      <c r="M277" s="11" t="s">
        <v>174</v>
      </c>
      <c r="N277" s="11" t="s">
        <v>174</v>
      </c>
      <c r="O277" s="11" t="s">
        <v>174</v>
      </c>
      <c r="P277" s="11" t="s">
        <v>174</v>
      </c>
      <c r="Q277" s="11" t="s">
        <v>174</v>
      </c>
      <c r="R277" s="11" t="s">
        <v>174</v>
      </c>
      <c r="S277" s="11" t="s">
        <v>174</v>
      </c>
      <c r="U277" s="11" t="s">
        <v>174</v>
      </c>
      <c r="V277" s="11" t="s">
        <v>174</v>
      </c>
    </row>
    <row r="278" spans="2:22" ht="42.45" customHeight="1" x14ac:dyDescent="0.3">
      <c r="B278" s="971" t="s">
        <v>32</v>
      </c>
      <c r="C278" s="971"/>
      <c r="D278" s="127" t="str">
        <f>_xlfn.XLOOKUP($B274,EHS!$M$6:$BM$6,EHS!$M$16:$BM$16,0)</f>
        <v>A</v>
      </c>
      <c r="E278" s="127" t="str">
        <f>_xlfn.XLOOKUP($B274,Estimating!$M$6:$BM$6,Estimating!$M$16:$BM$16,0)</f>
        <v>R</v>
      </c>
      <c r="F278" s="127" t="str">
        <f>_xlfn.XLOOKUP($B274,SOP!$M$6:$BM$6,SOP!$M$19:$BM$19,0)</f>
        <v>R</v>
      </c>
      <c r="G278" s="127" t="str">
        <f>_xlfn.XLOOKUP($B274,Design!$M$6:$BM$6,Design!$M$16:$BM$16,0)</f>
        <v>R</v>
      </c>
      <c r="H278" s="127" t="str">
        <f>_xlfn.XLOOKUP($B274,'Product Design'!$M$6:$BM$6,'Product Design'!$M$19:$BM$19,0)</f>
        <v>G</v>
      </c>
      <c r="I278" s="127" t="str">
        <f>_xlfn.XLOOKUP($B274,'Product Eng - BE'!$M$6:$BM$6,'Product Eng - BE'!$M$19:$BM$19,0)</f>
        <v>R</v>
      </c>
      <c r="J278" s="127" t="str">
        <f>_xlfn.XLOOKUP($B274,'Product Eng - MB'!$M$6:$BM$6,'Product Eng - MB'!$M$19:$BM$19,0)</f>
        <v>G</v>
      </c>
      <c r="K278" s="127" t="str">
        <f>_xlfn.XLOOKUP($B274,'Bridgend Manuf'!$M$6:$BM$6,'Bridgend Manuf'!$M$16:$BM$16,0)</f>
        <v>G</v>
      </c>
      <c r="L278" s="127" t="str">
        <f>_xlfn.XLOOKUP($B274,'Maybole Manuf'!$M$6:$BM$6,'Maybole Manuf'!$M$16:$BM$16,0)</f>
        <v>R</v>
      </c>
      <c r="M278" s="127" t="str">
        <f>_xlfn.XLOOKUP($B274,Logistics!$M$6:$BM$6,Logistics!$M$16:$BM$16,0)</f>
        <v>Missed</v>
      </c>
      <c r="N278" s="127" t="e">
        <f>_xlfn.XLOOKUP($B274,Engineering!$M$22:$BM$22,Engineering!#REF!,0)</f>
        <v>#REF!</v>
      </c>
      <c r="O278" s="127" t="str">
        <f>_xlfn.XLOOKUP($B274,'Quality MB'!$M$6:$BM$6,'Quality MB'!$M$16:$BM$16,0)</f>
        <v>G</v>
      </c>
      <c r="P278" s="127" t="str">
        <f>_xlfn.XLOOKUP($B274,Procurement!$M$6:$BM$6,Procurement!$M$16:$BM$16,0)</f>
        <v>G</v>
      </c>
      <c r="Q278" s="127" t="str">
        <f>_xlfn.XLOOKUP($B274,IT!$M$6:$BM$6,IT!$M$16:$BM$16,0)</f>
        <v>G</v>
      </c>
      <c r="R278" s="127" t="str">
        <f>_xlfn.XLOOKUP($B274,Marketing!$M$6:$BM$6,Marketing!$M$16:$BM$16,0)</f>
        <v>R</v>
      </c>
      <c r="S278" s="127" t="str">
        <f>IF(B274&gt;'KPI Linked Table for Report'!$C$2,"",_xlfn.XLOOKUP($T274,Finance!$M$16:$X$16,Finance!$M$24:$X$24,0))</f>
        <v/>
      </c>
      <c r="U278" s="127" t="str">
        <f>IF(B274&gt;='KPI Linked Table for Report'!$C$1,"",_xlfn.XLOOKUP($T274,'HR mthly'!$I$6:$BM$6,'HR mthly'!$I$26:$BM$26,0))</f>
        <v>R</v>
      </c>
      <c r="V278" s="127" t="str">
        <f>IF(B274&gt;='KPI Linked Table for Report'!$C$1,"",_xlfn.XLOOKUP($T274,'HR mthly'!$I$6:$BM$6,'HR mthly'!$I$29:$BM$29,0))</f>
        <v>OD</v>
      </c>
    </row>
    <row r="279" spans="2:22" ht="42.45" customHeight="1" x14ac:dyDescent="0.3">
      <c r="B279" s="971" t="s">
        <v>31</v>
      </c>
      <c r="C279" s="971"/>
      <c r="D279" s="127" t="str">
        <f>_xlfn.XLOOKUP($B274,EHS!$M$6:$BM$6,EHS!$M$19:$BM$19,0)</f>
        <v>R</v>
      </c>
      <c r="E279" s="127" t="str">
        <f>_xlfn.XLOOKUP($B274,Estimating!$M$6:$BM$6,Estimating!$M$19:$BM$19,0)</f>
        <v>R</v>
      </c>
      <c r="F279" s="127" t="str">
        <f>_xlfn.XLOOKUP($B274,SOP!$M$6:$BM$6,SOP!$M$22:$BM$22,0)</f>
        <v>G</v>
      </c>
      <c r="G279" s="127" t="str">
        <f>_xlfn.XLOOKUP($B274,Design!$M$6:$BM$6,Design!$M$19:$BM$19,0)</f>
        <v>R</v>
      </c>
      <c r="H279" s="127" t="str">
        <f>_xlfn.XLOOKUP($B274,'Product Design'!$M$6:$BM$6,'Product Design'!$M$22:$BM$22,0)</f>
        <v>Undefined</v>
      </c>
      <c r="I279" s="127" t="str">
        <f>_xlfn.XLOOKUP($B274,'Product Eng - BE'!$M$6:$BM$6,'Product Eng - BE'!$M$22:$BM$22,0)</f>
        <v>G</v>
      </c>
      <c r="J279" s="127" t="str">
        <f>_xlfn.XLOOKUP($B274,'Product Eng - MB'!$M$6:$BM$6,'Product Eng - MB'!$M$22:$BM$22,0)</f>
        <v>G</v>
      </c>
      <c r="K279" s="127" t="str">
        <f>_xlfn.XLOOKUP($B274,'Bridgend Manuf'!$M$6:$BM$6,'Bridgend Manuf'!$M$19:$BM$19,0)</f>
        <v>G</v>
      </c>
      <c r="L279" s="127" t="str">
        <f>_xlfn.XLOOKUP($B274,'Maybole Manuf'!$M$6:$BM$6,'Maybole Manuf'!$M$19:$BM$19,0)</f>
        <v>G</v>
      </c>
      <c r="M279" s="127" t="str">
        <f>_xlfn.XLOOKUP($B274,Logistics!$M$6:$BM$6,Logistics!$M$19:$BM$19,0)</f>
        <v>OD</v>
      </c>
      <c r="N279" s="127" t="e">
        <f>_xlfn.XLOOKUP($B274,Engineering!$M$22:$BM$22,Engineering!#REF!,0)</f>
        <v>#REF!</v>
      </c>
      <c r="O279" s="127" t="str">
        <f>_xlfn.XLOOKUP($B274,'Quality MB'!$M$6:$BM$6,'Quality MB'!$M$19:$BM$19,0)</f>
        <v>G</v>
      </c>
      <c r="P279" s="127" t="str">
        <f>_xlfn.XLOOKUP($B274,Procurement!$M$6:$BM$6,Procurement!$M$19:$BM$19,0)</f>
        <v>G</v>
      </c>
      <c r="Q279" s="127" t="str">
        <f>_xlfn.XLOOKUP($B274,IT!$M$6:$BM$6,IT!$M$19:$BM$19,0)</f>
        <v>G</v>
      </c>
      <c r="R279" s="127" t="str">
        <f>_xlfn.XLOOKUP($B274,Marketing!$M$6:$BM$6,Marketing!$M$19:$BM$19,0)</f>
        <v>G</v>
      </c>
      <c r="S279" s="127" t="str">
        <f>IF(B274&gt;'KPI Linked Table for Report'!$C$2,"",_xlfn.XLOOKUP($T274,Finance!$M$16:$X$16,Finance!$M$27:$X$27,0))</f>
        <v/>
      </c>
      <c r="U279" s="127" t="str">
        <f>IF(B274&gt;='KPI Linked Table for Report'!$C$1,"",_xlfn.XLOOKUP($T274,'HR mthly'!$I$6:$BM$6,'HR mthly'!$I$33:$BM$33,0))</f>
        <v>A</v>
      </c>
      <c r="V279" s="127" t="str">
        <f>IF(B274&gt;='KPI Linked Table for Report'!$C$1,"",_xlfn.XLOOKUP($T274,'HR mthly'!$I$6:$BM$6,'HR mthly'!$I$36:$BM$36,0))</f>
        <v>R</v>
      </c>
    </row>
    <row r="281" spans="2:22" ht="42.45" customHeight="1" x14ac:dyDescent="0.3">
      <c r="B281" s="973" t="s">
        <v>7</v>
      </c>
      <c r="C281" s="974"/>
      <c r="D281" s="6" t="str">
        <f>+D$9</f>
        <v>EHS</v>
      </c>
      <c r="E281" s="6" t="str">
        <f>+E$9</f>
        <v>Estimating</v>
      </c>
      <c r="F281" s="6" t="str">
        <f t="shared" ref="F281:R281" si="56">+F$9</f>
        <v>SOP</v>
      </c>
      <c r="G281" s="6" t="str">
        <f>+G$9</f>
        <v>Design and R&amp;D</v>
      </c>
      <c r="H281" s="6" t="str">
        <f t="shared" si="56"/>
        <v>Product Design</v>
      </c>
      <c r="I281" s="6" t="str">
        <f t="shared" si="56"/>
        <v>Product Engineering Bridgend</v>
      </c>
      <c r="J281" s="6" t="str">
        <f t="shared" si="56"/>
        <v>Product Engineering Maybole</v>
      </c>
      <c r="K281" s="6" t="str">
        <f t="shared" si="56"/>
        <v>Bridgend
Manuf</v>
      </c>
      <c r="L281" s="6" t="str">
        <f t="shared" si="56"/>
        <v>Maybole
Manuf</v>
      </c>
      <c r="M281" s="6" t="str">
        <f>+M$9</f>
        <v>Logistics</v>
      </c>
      <c r="N281" s="6" t="str">
        <f>+N$9</f>
        <v>Engineering</v>
      </c>
      <c r="O281" s="6" t="str">
        <f>+O$9</f>
        <v>Quality
Maybole</v>
      </c>
      <c r="P281" s="6" t="str">
        <f>+P$9</f>
        <v>Procurement</v>
      </c>
      <c r="Q281" s="6" t="str">
        <f>+Q$9</f>
        <v>IT</v>
      </c>
      <c r="R281" s="6" t="str">
        <f t="shared" si="56"/>
        <v>Marketing</v>
      </c>
      <c r="S281" s="6" t="str">
        <f>+S$9</f>
        <v>Finance</v>
      </c>
      <c r="T281" s="7" t="s">
        <v>409</v>
      </c>
      <c r="U281" s="6" t="str">
        <f>+U$9</f>
        <v>HR</v>
      </c>
      <c r="V281" s="6" t="str">
        <f>+V$9</f>
        <v>HR</v>
      </c>
    </row>
    <row r="282" spans="2:22" ht="42.45" customHeight="1" x14ac:dyDescent="0.3">
      <c r="B282" s="7">
        <f>B274+1</f>
        <v>35</v>
      </c>
      <c r="C282" s="8">
        <f>C274+7</f>
        <v>45898</v>
      </c>
      <c r="D282" s="10" t="s">
        <v>24</v>
      </c>
      <c r="E282" s="9" t="str">
        <f>+E$186</f>
        <v>Julian Sparrow</v>
      </c>
      <c r="F282" s="10" t="s">
        <v>19</v>
      </c>
      <c r="G282" s="10" t="s">
        <v>20</v>
      </c>
      <c r="H282" s="10" t="s">
        <v>24</v>
      </c>
      <c r="I282" s="10" t="s">
        <v>24</v>
      </c>
      <c r="J282" s="10" t="s">
        <v>21</v>
      </c>
      <c r="K282" s="10" t="s">
        <v>22</v>
      </c>
      <c r="L282" s="10" t="s">
        <v>23</v>
      </c>
      <c r="M282" s="10" t="str">
        <f>+M$10</f>
        <v>Scott McMillan</v>
      </c>
      <c r="N282" s="10" t="str">
        <f>+N$10</f>
        <v>Garin Bowen</v>
      </c>
      <c r="O282" s="10" t="str">
        <f>+O$10</f>
        <v>Scott McMIllan</v>
      </c>
      <c r="P282" s="10" t="str">
        <f>+P$10</f>
        <v>Matt 
Pope</v>
      </c>
      <c r="Q282" s="10" t="s">
        <v>29</v>
      </c>
      <c r="R282" s="10" t="s">
        <v>25</v>
      </c>
      <c r="S282" s="10" t="s">
        <v>26</v>
      </c>
      <c r="T282" s="7">
        <v>7</v>
      </c>
      <c r="U282" s="10" t="str">
        <f>+U$10</f>
        <v>Bethan Grant</v>
      </c>
      <c r="V282" s="10" t="str">
        <f>+V$10</f>
        <v>Bethan Grant</v>
      </c>
    </row>
    <row r="283" spans="2:22" ht="42.45" customHeight="1" x14ac:dyDescent="0.3">
      <c r="B283" s="971" t="s">
        <v>30</v>
      </c>
      <c r="C283" s="971"/>
      <c r="D283" s="127" t="str">
        <f>_xlfn.XLOOKUP($B282,EHS!$M$6:$BM$6,EHS!$M$10:$BM$10,0)</f>
        <v>G</v>
      </c>
      <c r="E283" s="127" t="str">
        <f>_xlfn.XLOOKUP($B282,Estimating!$M$6:$BM$6,Estimating!$M$10:$BM$10,0)</f>
        <v>R</v>
      </c>
      <c r="F283" s="127" t="str">
        <f>_xlfn.XLOOKUP($B282,SOP!$M$6:$BM$6,SOP!$M$10:$BM$10,0)</f>
        <v>R</v>
      </c>
      <c r="G283" s="127" t="str">
        <f>_xlfn.XLOOKUP($B282,Design!$M$6:$BM$6,Design!$M$10:$BM$10,0)</f>
        <v>G</v>
      </c>
      <c r="H283" s="127" t="str">
        <f>_xlfn.XLOOKUP($B282,'Product Design'!$M$6:$BM$6,'Product Design'!$M$10:$BM$10,0)</f>
        <v>R</v>
      </c>
      <c r="I283" s="127" t="str">
        <f>_xlfn.XLOOKUP($B282,'Product Eng - BE'!$M$6:$BM$6,'Product Eng - BE'!$M$10:$BM$10,0)</f>
        <v>R</v>
      </c>
      <c r="J283" s="127" t="str">
        <f>_xlfn.XLOOKUP($B282,'Product Eng - MB'!$M$6:$BM$6,'Product Eng - MB'!$M$10:$BM$10,0)</f>
        <v>G</v>
      </c>
      <c r="K283" s="127" t="str">
        <f>_xlfn.XLOOKUP($B282,'Bridgend Manuf'!$M$6:$BM$6,'Bridgend Manuf'!$M$10:$BM$10,0)</f>
        <v>A</v>
      </c>
      <c r="L283" s="127" t="str">
        <f>_xlfn.XLOOKUP($B282,'Maybole Manuf'!$M$6:$BM$6,'Maybole Manuf'!$M$10:$BM$10,0)</f>
        <v>A</v>
      </c>
      <c r="M283" s="127" t="str">
        <f>_xlfn.XLOOKUP($B282,Logistics!$M$6:$BM$6,Logistics!$M$10:$BM$10,0)</f>
        <v>OD</v>
      </c>
      <c r="N283" s="127" t="str">
        <f>_xlfn.XLOOKUP($B282,Engineering!$M$22:$BM$22,Engineering!$M$26:$BM$26,0)</f>
        <v>R</v>
      </c>
      <c r="O283" s="127" t="str">
        <f>_xlfn.XLOOKUP($B282,'Quality MB'!$M$6:$BM$6,'Quality MB'!$M$10:$BM$10,0)</f>
        <v>R</v>
      </c>
      <c r="P283" s="127" t="str">
        <f>_xlfn.XLOOKUP($B282,Procurement!$M$6:$BM$6,Procurement!$M$10:$BM$10,0)</f>
        <v>R</v>
      </c>
      <c r="Q283" s="127" t="str">
        <f>_xlfn.XLOOKUP($B282,IT!$M$6:$BM$6,IT!$M$10:$BM$10,0)</f>
        <v>Undefined</v>
      </c>
      <c r="R283" s="127" t="str">
        <f>_xlfn.XLOOKUP($B282,Marketing!$M$6:$BM$6,Marketing!$M$10:$BM$10,0)</f>
        <v>G</v>
      </c>
      <c r="S283" s="127" t="str">
        <f>_xlfn.XLOOKUP($B282,Finance!$M$6:$BM$6,Finance!$M$10:$BM$10,0)</f>
        <v>R</v>
      </c>
      <c r="U283" s="127" t="str">
        <f>IF(B282&gt;='KPI Linked Table for Report'!$C$1,"",_xlfn.XLOOKUP($T282,'HR mthly'!$I$6:$BM$6,'HR mthly'!$I$11:$BM$11,0))</f>
        <v>G</v>
      </c>
      <c r="V283" s="127" t="str">
        <f>IF(B282&gt;='KPI Linked Table for Report'!$C$1,"",_xlfn.XLOOKUP($T282,'HR mthly'!$I$6:$BM$6,'HR mthly'!$I$14:$BM$14,0))</f>
        <v>G</v>
      </c>
    </row>
    <row r="284" spans="2:22" ht="42.45" customHeight="1" x14ac:dyDescent="0.3">
      <c r="B284" s="971" t="s">
        <v>172</v>
      </c>
      <c r="C284" s="971"/>
      <c r="D284" s="127" t="str">
        <f>_xlfn.XLOOKUP($B282,EHS!$M$6:$BM$6,EHS!$M$13:$BM$13,0)</f>
        <v>G</v>
      </c>
      <c r="E284" s="127" t="str">
        <f>_xlfn.XLOOKUP($B282,Estimating!$M$6:$BM$6,Estimating!$M$13:$BM$13,0)</f>
        <v>G</v>
      </c>
      <c r="F284" s="127" t="str">
        <f>_xlfn.XLOOKUP($B282,SOP!$M$6:$BM$6,SOP!$M$13:$BM$13,0)</f>
        <v>R</v>
      </c>
      <c r="G284" s="127" t="str">
        <f>_xlfn.XLOOKUP($B282,Design!$M$6:$BM$6,Design!$M$13:$BM$13,0)</f>
        <v>R</v>
      </c>
      <c r="H284" s="127" t="str">
        <f>_xlfn.XLOOKUP($B282,'Product Design'!$M$6:$BM$6,'Product Design'!$M$13:$BM$13,0)</f>
        <v>G</v>
      </c>
      <c r="I284" s="127" t="str">
        <f>_xlfn.XLOOKUP($B282,'Product Eng - BE'!$M$6:$BM$6,'Product Eng - BE'!$M$13:$BM$13,0)</f>
        <v>G</v>
      </c>
      <c r="J284" s="127" t="str">
        <f>_xlfn.XLOOKUP($B282,'Product Eng - MB'!$M$6:$BM$6,'Product Eng - MB'!$M$13:$BM$13,0)</f>
        <v>G</v>
      </c>
      <c r="K284" s="127" t="str">
        <f>_xlfn.XLOOKUP($B282,'Bridgend Manuf'!$M$6:$BM$6,'Bridgend Manuf'!$M$13:$BM$13,0)</f>
        <v>R</v>
      </c>
      <c r="L284" s="127" t="str">
        <f>_xlfn.XLOOKUP($B282,'Maybole Manuf'!$M$6:$BM$6,'Maybole Manuf'!$M$13:$BM$13,0)</f>
        <v>R</v>
      </c>
      <c r="M284" s="127" t="str">
        <f>_xlfn.XLOOKUP($B282,Logistics!$M$6:$BM$6,Logistics!$M$13:$BM$13,0)</f>
        <v>OD</v>
      </c>
      <c r="N284" s="127" t="e">
        <f>_xlfn.XLOOKUP($B282,Engineering!$M$22:$BM$22,Engineering!#REF!,0)</f>
        <v>#REF!</v>
      </c>
      <c r="O284" s="127" t="str">
        <f>_xlfn.XLOOKUP($B282,'Quality MB'!$M$6:$BM$6,'Quality MB'!$M$13:$BM$13,0)</f>
        <v>G</v>
      </c>
      <c r="P284" s="127" t="str">
        <f>_xlfn.XLOOKUP($B282,Procurement!$M$6:$BM$6,Procurement!$M$13:$BM$13,0)</f>
        <v>A</v>
      </c>
      <c r="Q284" s="127" t="str">
        <f>_xlfn.XLOOKUP($B282,IT!$M$6:$BM$6,IT!$M$13:$BM$13,0)</f>
        <v>A</v>
      </c>
      <c r="R284" s="127" t="str">
        <f>_xlfn.XLOOKUP($B282,Marketing!$M$6:$BM$6,Marketing!$M$13:$BM$13,0)</f>
        <v>R</v>
      </c>
      <c r="S284" s="127" t="str">
        <f>IF(B282&gt;'KPI Linked Table for Report'!$C$2,"",_xlfn.XLOOKUP($T282,Finance!$M$16:$X$16,Finance!$M$21:$X$21,0))</f>
        <v/>
      </c>
      <c r="U284" s="127" t="str">
        <f>IF(B282&gt;='KPI Linked Table for Report'!$C$1,"",_xlfn.XLOOKUP($T282,'HR mthly'!$I$6:$BM$6,'HR mthly'!$I$18:$BM$18,0))</f>
        <v>R</v>
      </c>
      <c r="V284" s="127" t="str">
        <f>IF(B282&gt;='KPI Linked Table for Report'!$C$1,"",_xlfn.XLOOKUP($T282,'HR mthly'!$I$6:$BM$6,'HR mthly'!$I$21:$BM$21,0))</f>
        <v>R</v>
      </c>
    </row>
    <row r="285" spans="2:22" ht="42.45" customHeight="1" x14ac:dyDescent="0.3">
      <c r="B285" s="971" t="s">
        <v>173</v>
      </c>
      <c r="C285" s="971"/>
      <c r="D285" s="11" t="s">
        <v>174</v>
      </c>
      <c r="E285" s="11" t="s">
        <v>174</v>
      </c>
      <c r="F285" s="11" t="str">
        <f>_xlfn.XLOOKUP($B282,SOP!$M$6:$BM$6,SOP!$M$16:$BM$16,0)</f>
        <v>R</v>
      </c>
      <c r="G285" s="11" t="s">
        <v>174</v>
      </c>
      <c r="H285" s="11" t="str">
        <f>_xlfn.XLOOKUP($B282,'Product Design'!$M$6:$BM$6,'Product Design'!$M$16:$BM$16,0)</f>
        <v>R</v>
      </c>
      <c r="I285" s="11" t="str">
        <f>_xlfn.XLOOKUP($B282,'Product Eng - BE'!$M$6:$BM$6,'Product Eng - BE'!$M$16:$BM$16,0)</f>
        <v>R</v>
      </c>
      <c r="J285" s="11" t="str">
        <f>_xlfn.XLOOKUP($B282,'Product Eng - MB'!$M$6:$BM$6,'Product Eng - MB'!$M$16:$BM$16,0)</f>
        <v>R</v>
      </c>
      <c r="K285" s="11" t="s">
        <v>174</v>
      </c>
      <c r="L285" s="11" t="s">
        <v>174</v>
      </c>
      <c r="M285" s="11" t="s">
        <v>174</v>
      </c>
      <c r="N285" s="11" t="s">
        <v>174</v>
      </c>
      <c r="O285" s="11" t="s">
        <v>174</v>
      </c>
      <c r="P285" s="11" t="s">
        <v>174</v>
      </c>
      <c r="Q285" s="11" t="s">
        <v>174</v>
      </c>
      <c r="R285" s="11" t="s">
        <v>174</v>
      </c>
      <c r="S285" s="11" t="s">
        <v>174</v>
      </c>
      <c r="U285" s="11" t="s">
        <v>174</v>
      </c>
      <c r="V285" s="11" t="s">
        <v>174</v>
      </c>
    </row>
    <row r="286" spans="2:22" ht="42.45" customHeight="1" x14ac:dyDescent="0.3">
      <c r="B286" s="971" t="s">
        <v>32</v>
      </c>
      <c r="C286" s="971"/>
      <c r="D286" s="127" t="str">
        <f>_xlfn.XLOOKUP($B282,EHS!$M$6:$BM$6,EHS!$M$16:$BM$16,0)</f>
        <v>A</v>
      </c>
      <c r="E286" s="127" t="str">
        <f>_xlfn.XLOOKUP($B282,Estimating!$M$6:$BM$6,Estimating!$M$16:$BM$16,0)</f>
        <v>R</v>
      </c>
      <c r="F286" s="127" t="str">
        <f>_xlfn.XLOOKUP($B282,SOP!$M$6:$BM$6,SOP!$M$19:$BM$19,0)</f>
        <v>R</v>
      </c>
      <c r="G286" s="127" t="str">
        <f>_xlfn.XLOOKUP($B282,Design!$M$6:$BM$6,Design!$M$16:$BM$16,0)</f>
        <v>G</v>
      </c>
      <c r="H286" s="127" t="str">
        <f>_xlfn.XLOOKUP($B282,'Product Design'!$M$6:$BM$6,'Product Design'!$M$19:$BM$19,0)</f>
        <v>G</v>
      </c>
      <c r="I286" s="127" t="str">
        <f>_xlfn.XLOOKUP($B282,'Product Eng - BE'!$M$6:$BM$6,'Product Eng - BE'!$M$19:$BM$19,0)</f>
        <v>R</v>
      </c>
      <c r="J286" s="127" t="str">
        <f>_xlfn.XLOOKUP($B282,'Product Eng - MB'!$M$6:$BM$6,'Product Eng - MB'!$M$19:$BM$19,0)</f>
        <v>G</v>
      </c>
      <c r="K286" s="127" t="str">
        <f>_xlfn.XLOOKUP($B282,'Bridgend Manuf'!$M$6:$BM$6,'Bridgend Manuf'!$M$16:$BM$16,0)</f>
        <v>G</v>
      </c>
      <c r="L286" s="127" t="str">
        <f>_xlfn.XLOOKUP($B282,'Maybole Manuf'!$M$6:$BM$6,'Maybole Manuf'!$M$16:$BM$16,0)</f>
        <v>G</v>
      </c>
      <c r="M286" s="127" t="str">
        <f>_xlfn.XLOOKUP($B282,Logistics!$M$6:$BM$6,Logistics!$M$16:$BM$16,0)</f>
        <v>Missed</v>
      </c>
      <c r="N286" s="127" t="e">
        <f>_xlfn.XLOOKUP($B282,Engineering!$M$22:$BM$22,Engineering!#REF!,0)</f>
        <v>#REF!</v>
      </c>
      <c r="O286" s="127" t="str">
        <f>_xlfn.XLOOKUP($B282,'Quality MB'!$M$6:$BM$6,'Quality MB'!$M$16:$BM$16,0)</f>
        <v>G</v>
      </c>
      <c r="P286" s="127" t="str">
        <f>_xlfn.XLOOKUP($B282,Procurement!$M$6:$BM$6,Procurement!$M$16:$BM$16,0)</f>
        <v>G</v>
      </c>
      <c r="Q286" s="127" t="str">
        <f>_xlfn.XLOOKUP($B282,IT!$M$6:$BM$6,IT!$M$16:$BM$16,0)</f>
        <v>G</v>
      </c>
      <c r="R286" s="127" t="str">
        <f>_xlfn.XLOOKUP($B282,Marketing!$M$6:$BM$6,Marketing!$M$16:$BM$16,0)</f>
        <v>R</v>
      </c>
      <c r="S286" s="127" t="str">
        <f>IF(B282&gt;'KPI Linked Table for Report'!$C$2,"",_xlfn.XLOOKUP($T282,Finance!$M$16:$X$16,Finance!$M$24:$X$24,0))</f>
        <v/>
      </c>
      <c r="U286" s="127" t="str">
        <f>IF(B282&gt;='KPI Linked Table for Report'!$C$1,"",_xlfn.XLOOKUP($T282,'HR mthly'!$I$6:$BM$6,'HR mthly'!$I$26:$BM$26,0))</f>
        <v>R</v>
      </c>
      <c r="V286" s="127" t="str">
        <f>IF(B282&gt;='KPI Linked Table for Report'!$C$1,"",_xlfn.XLOOKUP($T282,'HR mthly'!$I$6:$BM$6,'HR mthly'!$I$29:$BM$29,0))</f>
        <v>OD</v>
      </c>
    </row>
    <row r="287" spans="2:22" ht="42.45" customHeight="1" x14ac:dyDescent="0.3">
      <c r="B287" s="971" t="s">
        <v>31</v>
      </c>
      <c r="C287" s="971"/>
      <c r="D287" s="127" t="str">
        <f>_xlfn.XLOOKUP($B282,EHS!$M$6:$BM$6,EHS!$M$19:$BM$19,0)</f>
        <v>R</v>
      </c>
      <c r="E287" s="127" t="str">
        <f>_xlfn.XLOOKUP($B282,Estimating!$M$6:$BM$6,Estimating!$M$19:$BM$19,0)</f>
        <v>G</v>
      </c>
      <c r="F287" s="127" t="str">
        <f>_xlfn.XLOOKUP($B282,SOP!$M$6:$BM$6,SOP!$M$22:$BM$22,0)</f>
        <v>R</v>
      </c>
      <c r="G287" s="127" t="str">
        <f>_xlfn.XLOOKUP($B282,Design!$M$6:$BM$6,Design!$M$19:$BM$19,0)</f>
        <v>R</v>
      </c>
      <c r="H287" s="127" t="str">
        <f>_xlfn.XLOOKUP($B282,'Product Design'!$M$6:$BM$6,'Product Design'!$M$22:$BM$22,0)</f>
        <v>Undefined</v>
      </c>
      <c r="I287" s="127" t="str">
        <f>_xlfn.XLOOKUP($B282,'Product Eng - BE'!$M$6:$BM$6,'Product Eng - BE'!$M$22:$BM$22,0)</f>
        <v>G</v>
      </c>
      <c r="J287" s="127" t="str">
        <f>_xlfn.XLOOKUP($B282,'Product Eng - MB'!$M$6:$BM$6,'Product Eng - MB'!$M$22:$BM$22,0)</f>
        <v>G</v>
      </c>
      <c r="K287" s="127" t="str">
        <f>_xlfn.XLOOKUP($B282,'Bridgend Manuf'!$M$6:$BM$6,'Bridgend Manuf'!$M$19:$BM$19,0)</f>
        <v>G</v>
      </c>
      <c r="L287" s="127" t="str">
        <f>_xlfn.XLOOKUP($B282,'Maybole Manuf'!$M$6:$BM$6,'Maybole Manuf'!$M$19:$BM$19,0)</f>
        <v>A</v>
      </c>
      <c r="M287" s="127" t="str">
        <f>_xlfn.XLOOKUP($B282,Logistics!$M$6:$BM$6,Logistics!$M$19:$BM$19,0)</f>
        <v>OD</v>
      </c>
      <c r="N287" s="127" t="e">
        <f>_xlfn.XLOOKUP($B282,Engineering!$M$22:$BM$22,Engineering!#REF!,0)</f>
        <v>#REF!</v>
      </c>
      <c r="O287" s="127" t="str">
        <f>_xlfn.XLOOKUP($B282,'Quality MB'!$M$6:$BM$6,'Quality MB'!$M$19:$BM$19,0)</f>
        <v>G</v>
      </c>
      <c r="P287" s="127" t="str">
        <f>_xlfn.XLOOKUP($B282,Procurement!$M$6:$BM$6,Procurement!$M$19:$BM$19,0)</f>
        <v>G</v>
      </c>
      <c r="Q287" s="127" t="str">
        <f>_xlfn.XLOOKUP($B282,IT!$M$6:$BM$6,IT!$M$19:$BM$19,0)</f>
        <v>G</v>
      </c>
      <c r="R287" s="127" t="str">
        <f>_xlfn.XLOOKUP($B282,Marketing!$M$6:$BM$6,Marketing!$M$19:$BM$19,0)</f>
        <v>G</v>
      </c>
      <c r="S287" s="127" t="str">
        <f>IF(B282&gt;'KPI Linked Table for Report'!$C$2,"",_xlfn.XLOOKUP($T282,Finance!$M$16:$X$16,Finance!$M$27:$X$27,0))</f>
        <v/>
      </c>
      <c r="U287" s="127" t="str">
        <f>IF(B282&gt;='KPI Linked Table for Report'!$C$1,"",_xlfn.XLOOKUP($T282,'HR mthly'!$I$6:$BM$6,'HR mthly'!$I$33:$BM$33,0))</f>
        <v>A</v>
      </c>
      <c r="V287" s="127" t="str">
        <f>IF(B282&gt;='KPI Linked Table for Report'!$C$1,"",_xlfn.XLOOKUP($T282,'HR mthly'!$I$6:$BM$6,'HR mthly'!$I$36:$BM$36,0))</f>
        <v>R</v>
      </c>
    </row>
    <row r="289" spans="2:22" ht="42.45" customHeight="1" x14ac:dyDescent="0.3">
      <c r="B289" s="973" t="s">
        <v>7</v>
      </c>
      <c r="C289" s="974"/>
      <c r="D289" s="6" t="str">
        <f>+D$9</f>
        <v>EHS</v>
      </c>
      <c r="E289" s="6" t="str">
        <f>+E$9</f>
        <v>Estimating</v>
      </c>
      <c r="F289" s="6" t="str">
        <f t="shared" ref="F289:R289" si="57">+F$9</f>
        <v>SOP</v>
      </c>
      <c r="G289" s="6" t="str">
        <f>+G$9</f>
        <v>Design and R&amp;D</v>
      </c>
      <c r="H289" s="6" t="str">
        <f t="shared" si="57"/>
        <v>Product Design</v>
      </c>
      <c r="I289" s="6" t="str">
        <f t="shared" si="57"/>
        <v>Product Engineering Bridgend</v>
      </c>
      <c r="J289" s="6" t="str">
        <f t="shared" si="57"/>
        <v>Product Engineering Maybole</v>
      </c>
      <c r="K289" s="6" t="str">
        <f t="shared" si="57"/>
        <v>Bridgend
Manuf</v>
      </c>
      <c r="L289" s="6" t="str">
        <f t="shared" si="57"/>
        <v>Maybole
Manuf</v>
      </c>
      <c r="M289" s="6" t="str">
        <f>+M$9</f>
        <v>Logistics</v>
      </c>
      <c r="N289" s="6" t="str">
        <f>+N$9</f>
        <v>Engineering</v>
      </c>
      <c r="O289" s="6" t="str">
        <f>+O$9</f>
        <v>Quality
Maybole</v>
      </c>
      <c r="P289" s="6" t="str">
        <f>+P$9</f>
        <v>Procurement</v>
      </c>
      <c r="Q289" s="6" t="str">
        <f>+Q$9</f>
        <v>IT</v>
      </c>
      <c r="R289" s="6" t="str">
        <f t="shared" si="57"/>
        <v>Marketing</v>
      </c>
      <c r="S289" s="6" t="str">
        <f>+S$9</f>
        <v>Finance</v>
      </c>
      <c r="T289" s="7" t="s">
        <v>409</v>
      </c>
      <c r="U289" s="6" t="str">
        <f>+U$9</f>
        <v>HR</v>
      </c>
      <c r="V289" s="6" t="str">
        <f>+V$9</f>
        <v>HR</v>
      </c>
    </row>
    <row r="290" spans="2:22" ht="42.45" customHeight="1" x14ac:dyDescent="0.3">
      <c r="B290" s="7">
        <f>B282+1</f>
        <v>36</v>
      </c>
      <c r="C290" s="8">
        <f>C282+7</f>
        <v>45905</v>
      </c>
      <c r="D290" s="10" t="s">
        <v>24</v>
      </c>
      <c r="E290" s="9" t="str">
        <f>+E$186</f>
        <v>Julian Sparrow</v>
      </c>
      <c r="F290" s="10" t="s">
        <v>19</v>
      </c>
      <c r="G290" s="10" t="s">
        <v>20</v>
      </c>
      <c r="H290" s="10" t="s">
        <v>24</v>
      </c>
      <c r="I290" s="10" t="s">
        <v>24</v>
      </c>
      <c r="J290" s="10" t="s">
        <v>21</v>
      </c>
      <c r="K290" s="10" t="s">
        <v>22</v>
      </c>
      <c r="L290" s="10" t="s">
        <v>23</v>
      </c>
      <c r="M290" s="10" t="str">
        <f>+M$10</f>
        <v>Scott McMillan</v>
      </c>
      <c r="N290" s="10" t="str">
        <f>+N$10</f>
        <v>Garin Bowen</v>
      </c>
      <c r="O290" s="10" t="str">
        <f>+O$10</f>
        <v>Scott McMIllan</v>
      </c>
      <c r="P290" s="10" t="str">
        <f>+P$10</f>
        <v>Matt 
Pope</v>
      </c>
      <c r="Q290" s="10" t="s">
        <v>29</v>
      </c>
      <c r="R290" s="10" t="s">
        <v>25</v>
      </c>
      <c r="S290" s="10" t="s">
        <v>26</v>
      </c>
      <c r="T290" s="7">
        <v>8</v>
      </c>
      <c r="U290" s="10" t="str">
        <f>+U$10</f>
        <v>Bethan Grant</v>
      </c>
      <c r="V290" s="10" t="str">
        <f>+V$10</f>
        <v>Bethan Grant</v>
      </c>
    </row>
    <row r="291" spans="2:22" ht="42.45" customHeight="1" x14ac:dyDescent="0.3">
      <c r="B291" s="971" t="s">
        <v>30</v>
      </c>
      <c r="C291" s="971"/>
      <c r="D291" s="127" t="str">
        <f>_xlfn.XLOOKUP($B290,EHS!$M$6:$BM$6,EHS!$M$10:$BM$10,0)</f>
        <v>G</v>
      </c>
      <c r="E291" s="127" t="str">
        <f>_xlfn.XLOOKUP($B290,Estimating!$M$6:$BM$6,Estimating!$M$10:$BM$10,0)</f>
        <v>R</v>
      </c>
      <c r="F291" s="127" t="str">
        <f>_xlfn.XLOOKUP($B290,SOP!$M$6:$BM$6,SOP!$M$10:$BM$10,0)</f>
        <v>G</v>
      </c>
      <c r="G291" s="127" t="str">
        <f>_xlfn.XLOOKUP($B290,Design!$M$6:$BM$6,Design!$M$10:$BM$10,0)</f>
        <v>R</v>
      </c>
      <c r="H291" s="127" t="str">
        <f>_xlfn.XLOOKUP($B290,'Product Design'!$M$6:$BM$6,'Product Design'!$M$10:$BM$10,0)</f>
        <v>G</v>
      </c>
      <c r="I291" s="127" t="str">
        <f>_xlfn.XLOOKUP($B290,'Product Eng - BE'!$M$6:$BM$6,'Product Eng - BE'!$M$10:$BM$10,0)</f>
        <v>G</v>
      </c>
      <c r="J291" s="127" t="str">
        <f>_xlfn.XLOOKUP($B290,'Product Eng - MB'!$M$6:$BM$6,'Product Eng - MB'!$M$10:$BM$10,0)</f>
        <v>G</v>
      </c>
      <c r="K291" s="127" t="str">
        <f>_xlfn.XLOOKUP($B290,'Bridgend Manuf'!$M$6:$BM$6,'Bridgend Manuf'!$M$10:$BM$10,0)</f>
        <v>R</v>
      </c>
      <c r="L291" s="127" t="str">
        <f>_xlfn.XLOOKUP($B290,'Maybole Manuf'!$M$6:$BM$6,'Maybole Manuf'!$M$10:$BM$10,0)</f>
        <v>R</v>
      </c>
      <c r="M291" s="127" t="str">
        <f>_xlfn.XLOOKUP($B290,Logistics!$M$6:$BM$6,Logistics!$M$10:$BM$10,0)</f>
        <v>OD</v>
      </c>
      <c r="N291" s="127" t="str">
        <f>_xlfn.XLOOKUP($B290,Engineering!$M$22:$BM$22,Engineering!$M$26:$BM$26,0)</f>
        <v>G</v>
      </c>
      <c r="O291" s="127" t="str">
        <f>_xlfn.XLOOKUP($B290,'Quality MB'!$M$6:$BM$6,'Quality MB'!$M$10:$BM$10,0)</f>
        <v>R</v>
      </c>
      <c r="P291" s="127" t="str">
        <f>_xlfn.XLOOKUP($B290,Procurement!$M$6:$BM$6,Procurement!$M$10:$BM$10,0)</f>
        <v>R</v>
      </c>
      <c r="Q291" s="127" t="str">
        <f>_xlfn.XLOOKUP($B290,IT!$M$6:$BM$6,IT!$M$10:$BM$10,0)</f>
        <v>Undefined</v>
      </c>
      <c r="R291" s="127" t="str">
        <f>_xlfn.XLOOKUP($B290,Marketing!$M$6:$BM$6,Marketing!$M$10:$BM$10,0)</f>
        <v>G</v>
      </c>
      <c r="S291" s="127" t="str">
        <f>_xlfn.XLOOKUP($B290,Finance!$M$6:$BM$6,Finance!$M$10:$BM$10,0)</f>
        <v>G</v>
      </c>
      <c r="U291" s="127" t="str">
        <f>IF(B290&gt;='KPI Linked Table for Report'!$C$1,"",_xlfn.XLOOKUP($T290,'HR mthly'!$I$6:$BM$6,'HR mthly'!$I$11:$BM$11,0))</f>
        <v>G</v>
      </c>
      <c r="V291" s="127" t="str">
        <f>IF(B290&gt;='KPI Linked Table for Report'!$C$1,"",_xlfn.XLOOKUP($T290,'HR mthly'!$I$6:$BM$6,'HR mthly'!$I$14:$BM$14,0))</f>
        <v>G</v>
      </c>
    </row>
    <row r="292" spans="2:22" ht="42.45" customHeight="1" x14ac:dyDescent="0.3">
      <c r="B292" s="971" t="s">
        <v>172</v>
      </c>
      <c r="C292" s="971"/>
      <c r="D292" s="127" t="str">
        <f>_xlfn.XLOOKUP($B290,EHS!$M$6:$BM$6,EHS!$M$13:$BM$13,0)</f>
        <v>G</v>
      </c>
      <c r="E292" s="127" t="str">
        <f>_xlfn.XLOOKUP($B290,Estimating!$M$6:$BM$6,Estimating!$M$13:$BM$13,0)</f>
        <v>G</v>
      </c>
      <c r="F292" s="127" t="str">
        <f>_xlfn.XLOOKUP($B290,SOP!$M$6:$BM$6,SOP!$M$13:$BM$13,0)</f>
        <v>R</v>
      </c>
      <c r="G292" s="127" t="str">
        <f>_xlfn.XLOOKUP($B290,Design!$M$6:$BM$6,Design!$M$13:$BM$13,0)</f>
        <v>R</v>
      </c>
      <c r="H292" s="127" t="str">
        <f>_xlfn.XLOOKUP($B290,'Product Design'!$M$6:$BM$6,'Product Design'!$M$13:$BM$13,0)</f>
        <v>G</v>
      </c>
      <c r="I292" s="127" t="str">
        <f>_xlfn.XLOOKUP($B290,'Product Eng - BE'!$M$6:$BM$6,'Product Eng - BE'!$M$13:$BM$13,0)</f>
        <v>R</v>
      </c>
      <c r="J292" s="127" t="str">
        <f>_xlfn.XLOOKUP($B290,'Product Eng - MB'!$M$6:$BM$6,'Product Eng - MB'!$M$13:$BM$13,0)</f>
        <v>G</v>
      </c>
      <c r="K292" s="127" t="str">
        <f>_xlfn.XLOOKUP($B290,'Bridgend Manuf'!$M$6:$BM$6,'Bridgend Manuf'!$M$13:$BM$13,0)</f>
        <v>R</v>
      </c>
      <c r="L292" s="127" t="str">
        <f>_xlfn.XLOOKUP($B290,'Maybole Manuf'!$M$6:$BM$6,'Maybole Manuf'!$M$13:$BM$13,0)</f>
        <v>R</v>
      </c>
      <c r="M292" s="127" t="str">
        <f>_xlfn.XLOOKUP($B290,Logistics!$M$6:$BM$6,Logistics!$M$13:$BM$13,0)</f>
        <v>OD</v>
      </c>
      <c r="N292" s="127" t="e">
        <f>_xlfn.XLOOKUP($B290,Engineering!$M$22:$BM$22,Engineering!#REF!,0)</f>
        <v>#REF!</v>
      </c>
      <c r="O292" s="127" t="str">
        <f>_xlfn.XLOOKUP($B290,'Quality MB'!$M$6:$BM$6,'Quality MB'!$M$13:$BM$13,0)</f>
        <v>G</v>
      </c>
      <c r="P292" s="127" t="str">
        <f>_xlfn.XLOOKUP($B290,Procurement!$M$6:$BM$6,Procurement!$M$13:$BM$13,0)</f>
        <v>A</v>
      </c>
      <c r="Q292" s="127" t="str">
        <f>_xlfn.XLOOKUP($B290,IT!$M$6:$BM$6,IT!$M$13:$BM$13,0)</f>
        <v>OD</v>
      </c>
      <c r="R292" s="127" t="str">
        <f>_xlfn.XLOOKUP($B290,Marketing!$M$6:$BM$6,Marketing!$M$13:$BM$13,0)</f>
        <v>G</v>
      </c>
      <c r="S292" s="127" t="str">
        <f>IF(B290&gt;'KPI Linked Table for Report'!$C$2,"",_xlfn.XLOOKUP($T290,Finance!$M$16:$X$16,Finance!$M$21:$X$21,0))</f>
        <v/>
      </c>
      <c r="U292" s="127" t="str">
        <f>IF(B290&gt;='KPI Linked Table for Report'!$C$1,"",_xlfn.XLOOKUP($T290,'HR mthly'!$I$6:$BM$6,'HR mthly'!$I$18:$BM$18,0))</f>
        <v>R</v>
      </c>
      <c r="V292" s="127" t="str">
        <f>IF(B290&gt;='KPI Linked Table for Report'!$C$1,"",_xlfn.XLOOKUP($T290,'HR mthly'!$I$6:$BM$6,'HR mthly'!$I$21:$BM$21,0))</f>
        <v>R</v>
      </c>
    </row>
    <row r="293" spans="2:22" ht="42.45" customHeight="1" x14ac:dyDescent="0.3">
      <c r="B293" s="971" t="s">
        <v>173</v>
      </c>
      <c r="C293" s="971"/>
      <c r="D293" s="11" t="s">
        <v>174</v>
      </c>
      <c r="E293" s="11" t="s">
        <v>174</v>
      </c>
      <c r="F293" s="11" t="str">
        <f>_xlfn.XLOOKUP($B290,SOP!$M$6:$BM$6,SOP!$M$16:$BM$16,0)</f>
        <v>R</v>
      </c>
      <c r="G293" s="11" t="s">
        <v>174</v>
      </c>
      <c r="H293" s="11" t="str">
        <f>_xlfn.XLOOKUP($B290,'Product Design'!$M$6:$BM$6,'Product Design'!$M$16:$BM$16,0)</f>
        <v>G</v>
      </c>
      <c r="I293" s="11" t="str">
        <f>_xlfn.XLOOKUP($B290,'Product Eng - BE'!$M$6:$BM$6,'Product Eng - BE'!$M$16:$BM$16,0)</f>
        <v>R</v>
      </c>
      <c r="J293" s="11" t="str">
        <f>_xlfn.XLOOKUP($B290,'Product Eng - MB'!$M$6:$BM$6,'Product Eng - MB'!$M$16:$BM$16,0)</f>
        <v>G</v>
      </c>
      <c r="K293" s="11" t="s">
        <v>174</v>
      </c>
      <c r="L293" s="11" t="s">
        <v>174</v>
      </c>
      <c r="M293" s="11" t="s">
        <v>174</v>
      </c>
      <c r="N293" s="11" t="s">
        <v>174</v>
      </c>
      <c r="O293" s="11" t="s">
        <v>174</v>
      </c>
      <c r="P293" s="11" t="s">
        <v>174</v>
      </c>
      <c r="Q293" s="11" t="s">
        <v>174</v>
      </c>
      <c r="R293" s="11" t="s">
        <v>174</v>
      </c>
      <c r="S293" s="11" t="s">
        <v>174</v>
      </c>
      <c r="U293" s="11" t="s">
        <v>174</v>
      </c>
      <c r="V293" s="11" t="s">
        <v>174</v>
      </c>
    </row>
    <row r="294" spans="2:22" ht="42.45" customHeight="1" x14ac:dyDescent="0.3">
      <c r="B294" s="971" t="s">
        <v>32</v>
      </c>
      <c r="C294" s="971"/>
      <c r="D294" s="127" t="str">
        <f>_xlfn.XLOOKUP($B290,EHS!$M$6:$BM$6,EHS!$M$16:$BM$16,0)</f>
        <v>G</v>
      </c>
      <c r="E294" s="127" t="str">
        <f>_xlfn.XLOOKUP($B290,Estimating!$M$6:$BM$6,Estimating!$M$16:$BM$16,0)</f>
        <v>R</v>
      </c>
      <c r="F294" s="127" t="str">
        <f>_xlfn.XLOOKUP($B290,SOP!$M$6:$BM$6,SOP!$M$19:$BM$19,0)</f>
        <v>R</v>
      </c>
      <c r="G294" s="127" t="str">
        <f>_xlfn.XLOOKUP($B290,Design!$M$6:$BM$6,Design!$M$16:$BM$16,0)</f>
        <v>R</v>
      </c>
      <c r="H294" s="127" t="str">
        <f>_xlfn.XLOOKUP($B290,'Product Design'!$M$6:$BM$6,'Product Design'!$M$19:$BM$19,0)</f>
        <v>G</v>
      </c>
      <c r="I294" s="127" t="str">
        <f>_xlfn.XLOOKUP($B290,'Product Eng - BE'!$M$6:$BM$6,'Product Eng - BE'!$M$19:$BM$19,0)</f>
        <v>R</v>
      </c>
      <c r="J294" s="127" t="str">
        <f>_xlfn.XLOOKUP($B290,'Product Eng - MB'!$M$6:$BM$6,'Product Eng - MB'!$M$19:$BM$19,0)</f>
        <v>R</v>
      </c>
      <c r="K294" s="127" t="str">
        <f>_xlfn.XLOOKUP($B290,'Bridgend Manuf'!$M$6:$BM$6,'Bridgend Manuf'!$M$16:$BM$16,0)</f>
        <v>G</v>
      </c>
      <c r="L294" s="127" t="str">
        <f>_xlfn.XLOOKUP($B290,'Maybole Manuf'!$M$6:$BM$6,'Maybole Manuf'!$M$16:$BM$16,0)</f>
        <v>G</v>
      </c>
      <c r="M294" s="127" t="str">
        <f>_xlfn.XLOOKUP($B290,Logistics!$M$6:$BM$6,Logistics!$M$16:$BM$16,0)</f>
        <v>G</v>
      </c>
      <c r="N294" s="127" t="e">
        <f>_xlfn.XLOOKUP($B290,Engineering!$M$22:$BM$22,Engineering!#REF!,0)</f>
        <v>#REF!</v>
      </c>
      <c r="O294" s="127" t="str">
        <f>_xlfn.XLOOKUP($B290,'Quality MB'!$M$6:$BM$6,'Quality MB'!$M$16:$BM$16,0)</f>
        <v>G</v>
      </c>
      <c r="P294" s="127" t="str">
        <f>_xlfn.XLOOKUP($B290,Procurement!$M$6:$BM$6,Procurement!$M$16:$BM$16,0)</f>
        <v>G</v>
      </c>
      <c r="Q294" s="127" t="str">
        <f>_xlfn.XLOOKUP($B290,IT!$M$6:$BM$6,IT!$M$16:$BM$16,0)</f>
        <v>OD</v>
      </c>
      <c r="R294" s="127" t="str">
        <f>_xlfn.XLOOKUP($B290,Marketing!$M$6:$BM$6,Marketing!$M$16:$BM$16,0)</f>
        <v>R</v>
      </c>
      <c r="S294" s="127" t="str">
        <f>IF(B290&gt;'KPI Linked Table for Report'!$C$2,"",_xlfn.XLOOKUP($T290,Finance!$M$16:$X$16,Finance!$M$24:$X$24,0))</f>
        <v/>
      </c>
      <c r="U294" s="127" t="str">
        <f>IF(B290&gt;='KPI Linked Table for Report'!$C$1,"",_xlfn.XLOOKUP($T290,'HR mthly'!$I$6:$BM$6,'HR mthly'!$I$26:$BM$26,0))</f>
        <v>R</v>
      </c>
      <c r="V294" s="127" t="str">
        <f>IF(B290&gt;='KPI Linked Table for Report'!$C$1,"",_xlfn.XLOOKUP($T290,'HR mthly'!$I$6:$BM$6,'HR mthly'!$I$29:$BM$29,0))</f>
        <v>OD</v>
      </c>
    </row>
    <row r="295" spans="2:22" ht="42.45" customHeight="1" x14ac:dyDescent="0.3">
      <c r="B295" s="971" t="s">
        <v>31</v>
      </c>
      <c r="C295" s="971"/>
      <c r="D295" s="127" t="str">
        <f>_xlfn.XLOOKUP($B290,EHS!$M$6:$BM$6,EHS!$M$19:$BM$19,0)</f>
        <v>G</v>
      </c>
      <c r="E295" s="127" t="str">
        <f>_xlfn.XLOOKUP($B290,Estimating!$M$6:$BM$6,Estimating!$M$19:$BM$19,0)</f>
        <v>R</v>
      </c>
      <c r="F295" s="127" t="str">
        <f>_xlfn.XLOOKUP($B290,SOP!$M$6:$BM$6,SOP!$M$22:$BM$22,0)</f>
        <v>R</v>
      </c>
      <c r="G295" s="127" t="str">
        <f>_xlfn.XLOOKUP($B290,Design!$M$6:$BM$6,Design!$M$19:$BM$19,0)</f>
        <v>G</v>
      </c>
      <c r="H295" s="127" t="str">
        <f>_xlfn.XLOOKUP($B290,'Product Design'!$M$6:$BM$6,'Product Design'!$M$22:$BM$22,0)</f>
        <v>Undefined</v>
      </c>
      <c r="I295" s="127" t="str">
        <f>_xlfn.XLOOKUP($B290,'Product Eng - BE'!$M$6:$BM$6,'Product Eng - BE'!$M$22:$BM$22,0)</f>
        <v>G</v>
      </c>
      <c r="J295" s="127" t="str">
        <f>_xlfn.XLOOKUP($B290,'Product Eng - MB'!$M$6:$BM$6,'Product Eng - MB'!$M$22:$BM$22,0)</f>
        <v>G</v>
      </c>
      <c r="K295" s="127" t="str">
        <f>_xlfn.XLOOKUP($B290,'Bridgend Manuf'!$M$6:$BM$6,'Bridgend Manuf'!$M$19:$BM$19,0)</f>
        <v>G</v>
      </c>
      <c r="L295" s="127" t="str">
        <f>_xlfn.XLOOKUP($B290,'Maybole Manuf'!$M$6:$BM$6,'Maybole Manuf'!$M$19:$BM$19,0)</f>
        <v>R</v>
      </c>
      <c r="M295" s="127" t="str">
        <f>_xlfn.XLOOKUP($B290,Logistics!$M$6:$BM$6,Logistics!$M$19:$BM$19,0)</f>
        <v>OD</v>
      </c>
      <c r="N295" s="127" t="e">
        <f>_xlfn.XLOOKUP($B290,Engineering!$M$22:$BM$22,Engineering!#REF!,0)</f>
        <v>#REF!</v>
      </c>
      <c r="O295" s="127" t="str">
        <f>_xlfn.XLOOKUP($B290,'Quality MB'!$M$6:$BM$6,'Quality MB'!$M$19:$BM$19,0)</f>
        <v>G</v>
      </c>
      <c r="P295" s="127" t="str">
        <f>_xlfn.XLOOKUP($B290,Procurement!$M$6:$BM$6,Procurement!$M$19:$BM$19,0)</f>
        <v>G</v>
      </c>
      <c r="Q295" s="127" t="str">
        <f>_xlfn.XLOOKUP($B290,IT!$M$6:$BM$6,IT!$M$19:$BM$19,0)</f>
        <v>OD</v>
      </c>
      <c r="R295" s="127" t="str">
        <f>_xlfn.XLOOKUP($B290,Marketing!$M$6:$BM$6,Marketing!$M$19:$BM$19,0)</f>
        <v>G</v>
      </c>
      <c r="S295" s="127" t="str">
        <f>IF(B290&gt;'KPI Linked Table for Report'!$C$2,"",_xlfn.XLOOKUP($T290,Finance!$M$16:$X$16,Finance!$M$27:$X$27,0))</f>
        <v/>
      </c>
      <c r="U295" s="127" t="str">
        <f>IF(B290&gt;='KPI Linked Table for Report'!$C$1,"",_xlfn.XLOOKUP($T290,'HR mthly'!$I$6:$BM$6,'HR mthly'!$I$33:$BM$33,0))</f>
        <v>A</v>
      </c>
      <c r="V295" s="127" t="str">
        <f>IF(B290&gt;='KPI Linked Table for Report'!$C$1,"",_xlfn.XLOOKUP($T290,'HR mthly'!$I$6:$BM$6,'HR mthly'!$I$36:$BM$36,0))</f>
        <v>R</v>
      </c>
    </row>
    <row r="297" spans="2:22" ht="42.45" customHeight="1" x14ac:dyDescent="0.3">
      <c r="B297" s="973" t="s">
        <v>7</v>
      </c>
      <c r="C297" s="974"/>
      <c r="D297" s="6" t="str">
        <f>+D$9</f>
        <v>EHS</v>
      </c>
      <c r="E297" s="6" t="str">
        <f>+E$9</f>
        <v>Estimating</v>
      </c>
      <c r="F297" s="6" t="str">
        <f t="shared" ref="F297:R297" si="58">+F$9</f>
        <v>SOP</v>
      </c>
      <c r="G297" s="6" t="str">
        <f>+G$9</f>
        <v>Design and R&amp;D</v>
      </c>
      <c r="H297" s="6" t="str">
        <f t="shared" si="58"/>
        <v>Product Design</v>
      </c>
      <c r="I297" s="6" t="str">
        <f t="shared" si="58"/>
        <v>Product Engineering Bridgend</v>
      </c>
      <c r="J297" s="6" t="str">
        <f t="shared" si="58"/>
        <v>Product Engineering Maybole</v>
      </c>
      <c r="K297" s="6" t="str">
        <f t="shared" si="58"/>
        <v>Bridgend
Manuf</v>
      </c>
      <c r="L297" s="6" t="str">
        <f t="shared" si="58"/>
        <v>Maybole
Manuf</v>
      </c>
      <c r="M297" s="6" t="str">
        <f>+M$9</f>
        <v>Logistics</v>
      </c>
      <c r="N297" s="6" t="str">
        <f>+N$9</f>
        <v>Engineering</v>
      </c>
      <c r="O297" s="6" t="str">
        <f>+O$9</f>
        <v>Quality
Maybole</v>
      </c>
      <c r="P297" s="6" t="str">
        <f>+P$9</f>
        <v>Procurement</v>
      </c>
      <c r="Q297" s="6" t="str">
        <f>+Q$9</f>
        <v>IT</v>
      </c>
      <c r="R297" s="6" t="str">
        <f t="shared" si="58"/>
        <v>Marketing</v>
      </c>
      <c r="S297" s="6" t="str">
        <f>+S$9</f>
        <v>Finance</v>
      </c>
      <c r="T297" s="7" t="s">
        <v>409</v>
      </c>
      <c r="U297" s="6" t="str">
        <f>+U$9</f>
        <v>HR</v>
      </c>
      <c r="V297" s="6" t="str">
        <f>+V$9</f>
        <v>HR</v>
      </c>
    </row>
    <row r="298" spans="2:22" ht="42.45" customHeight="1" x14ac:dyDescent="0.3">
      <c r="B298" s="7">
        <f>B290+1</f>
        <v>37</v>
      </c>
      <c r="C298" s="8">
        <f>C290+7</f>
        <v>45912</v>
      </c>
      <c r="D298" s="10" t="s">
        <v>24</v>
      </c>
      <c r="E298" s="9" t="str">
        <f>+E$186</f>
        <v>Julian Sparrow</v>
      </c>
      <c r="F298" s="10" t="s">
        <v>19</v>
      </c>
      <c r="G298" s="10" t="s">
        <v>20</v>
      </c>
      <c r="H298" s="10" t="s">
        <v>24</v>
      </c>
      <c r="I298" s="10" t="s">
        <v>24</v>
      </c>
      <c r="J298" s="10" t="s">
        <v>21</v>
      </c>
      <c r="K298" s="10" t="s">
        <v>22</v>
      </c>
      <c r="L298" s="10" t="s">
        <v>23</v>
      </c>
      <c r="M298" s="10" t="str">
        <f>+M$10</f>
        <v>Scott McMillan</v>
      </c>
      <c r="N298" s="10" t="str">
        <f>+N$10</f>
        <v>Garin Bowen</v>
      </c>
      <c r="O298" s="10" t="str">
        <f>+O$10</f>
        <v>Scott McMIllan</v>
      </c>
      <c r="P298" s="10" t="str">
        <f>+P$10</f>
        <v>Matt 
Pope</v>
      </c>
      <c r="Q298" s="10" t="s">
        <v>29</v>
      </c>
      <c r="R298" s="10" t="s">
        <v>25</v>
      </c>
      <c r="S298" s="10" t="s">
        <v>26</v>
      </c>
      <c r="T298" s="7">
        <v>8</v>
      </c>
      <c r="U298" s="10" t="str">
        <f>+U$10</f>
        <v>Bethan Grant</v>
      </c>
      <c r="V298" s="10" t="str">
        <f>+V$10</f>
        <v>Bethan Grant</v>
      </c>
    </row>
    <row r="299" spans="2:22" ht="42.45" customHeight="1" x14ac:dyDescent="0.3">
      <c r="B299" s="971" t="s">
        <v>30</v>
      </c>
      <c r="C299" s="971"/>
      <c r="D299" s="127" t="str">
        <f>_xlfn.XLOOKUP($B298,EHS!$M$6:$BM$6,EHS!$M$10:$BM$10,0)</f>
        <v>G</v>
      </c>
      <c r="E299" s="127" t="str">
        <f>_xlfn.XLOOKUP($B298,Estimating!$M$6:$BM$6,Estimating!$M$10:$BM$10,0)</f>
        <v>G</v>
      </c>
      <c r="F299" s="127" t="str">
        <f>_xlfn.XLOOKUP($B298,SOP!$M$6:$BM$6,SOP!$M$10:$BM$10,0)</f>
        <v>R</v>
      </c>
      <c r="G299" s="127" t="str">
        <f>_xlfn.XLOOKUP($B298,Design!$M$6:$BM$6,Design!$M$10:$BM$10,0)</f>
        <v>R</v>
      </c>
      <c r="H299" s="127" t="str">
        <f>_xlfn.XLOOKUP($B298,'Product Design'!$M$6:$BM$6,'Product Design'!$M$10:$BM$10,0)</f>
        <v>R</v>
      </c>
      <c r="I299" s="127" t="str">
        <f>_xlfn.XLOOKUP($B298,'Product Eng - BE'!$M$6:$BM$6,'Product Eng - BE'!$M$10:$BM$10,0)</f>
        <v>G</v>
      </c>
      <c r="J299" s="127" t="str">
        <f>_xlfn.XLOOKUP($B298,'Product Eng - MB'!$M$6:$BM$6,'Product Eng - MB'!$M$10:$BM$10,0)</f>
        <v>R</v>
      </c>
      <c r="K299" s="127" t="str">
        <f>_xlfn.XLOOKUP($B298,'Bridgend Manuf'!$M$6:$BM$6,'Bridgend Manuf'!$M$10:$BM$10,0)</f>
        <v>R</v>
      </c>
      <c r="L299" s="127" t="str">
        <f>_xlfn.XLOOKUP($B298,'Maybole Manuf'!$M$6:$BM$6,'Maybole Manuf'!$M$10:$BM$10,0)</f>
        <v>R</v>
      </c>
      <c r="M299" s="127" t="str">
        <f>_xlfn.XLOOKUP($B298,Logistics!$M$6:$BM$6,Logistics!$M$10:$BM$10,0)</f>
        <v>OD</v>
      </c>
      <c r="N299" s="127" t="str">
        <f>_xlfn.XLOOKUP($B298,Engineering!$M$22:$BM$22,Engineering!$M$26:$BM$26,0)</f>
        <v>A</v>
      </c>
      <c r="O299" s="127" t="str">
        <f>_xlfn.XLOOKUP($B298,'Quality MB'!$M$6:$BM$6,'Quality MB'!$M$10:$BM$10,0)</f>
        <v>G</v>
      </c>
      <c r="P299" s="127" t="str">
        <f>_xlfn.XLOOKUP($B298,Procurement!$M$6:$BM$6,Procurement!$M$10:$BM$10,0)</f>
        <v>R</v>
      </c>
      <c r="Q299" s="127" t="str">
        <f>_xlfn.XLOOKUP($B298,IT!$M$6:$BM$6,IT!$M$10:$BM$10,0)</f>
        <v>Undefined</v>
      </c>
      <c r="R299" s="127" t="str">
        <f>_xlfn.XLOOKUP($B298,Marketing!$M$6:$BM$6,Marketing!$M$10:$BM$10,0)</f>
        <v>G</v>
      </c>
      <c r="S299" s="127" t="str">
        <f>_xlfn.XLOOKUP($B298,Finance!$M$6:$BM$6,Finance!$M$10:$BM$10,0)</f>
        <v>G</v>
      </c>
      <c r="U299" s="127" t="str">
        <f>IF(B298&gt;='KPI Linked Table for Report'!$C$1,"",_xlfn.XLOOKUP($T298,'HR mthly'!$I$6:$BM$6,'HR mthly'!$I$11:$BM$11,0))</f>
        <v>G</v>
      </c>
      <c r="V299" s="127" t="str">
        <f>IF(B298&gt;='KPI Linked Table for Report'!$C$1,"",_xlfn.XLOOKUP($T298,'HR mthly'!$I$6:$BM$6,'HR mthly'!$I$14:$BM$14,0))</f>
        <v>G</v>
      </c>
    </row>
    <row r="300" spans="2:22" ht="42.45" customHeight="1" x14ac:dyDescent="0.3">
      <c r="B300" s="971" t="s">
        <v>172</v>
      </c>
      <c r="C300" s="971"/>
      <c r="D300" s="127" t="str">
        <f>_xlfn.XLOOKUP($B298,EHS!$M$6:$BM$6,EHS!$M$13:$BM$13,0)</f>
        <v>G</v>
      </c>
      <c r="E300" s="127" t="str">
        <f>_xlfn.XLOOKUP($B298,Estimating!$M$6:$BM$6,Estimating!$M$13:$BM$13,0)</f>
        <v>R</v>
      </c>
      <c r="F300" s="127" t="str">
        <f>_xlfn.XLOOKUP($B298,SOP!$M$6:$BM$6,SOP!$M$13:$BM$13,0)</f>
        <v>R</v>
      </c>
      <c r="G300" s="127" t="str">
        <f>_xlfn.XLOOKUP($B298,Design!$M$6:$BM$6,Design!$M$13:$BM$13,0)</f>
        <v>R</v>
      </c>
      <c r="H300" s="127" t="str">
        <f>_xlfn.XLOOKUP($B298,'Product Design'!$M$6:$BM$6,'Product Design'!$M$13:$BM$13,0)</f>
        <v>R</v>
      </c>
      <c r="I300" s="127" t="str">
        <f>_xlfn.XLOOKUP($B298,'Product Eng - BE'!$M$6:$BM$6,'Product Eng - BE'!$M$13:$BM$13,0)</f>
        <v>R</v>
      </c>
      <c r="J300" s="127" t="str">
        <f>_xlfn.XLOOKUP($B298,'Product Eng - MB'!$M$6:$BM$6,'Product Eng - MB'!$M$13:$BM$13,0)</f>
        <v>G</v>
      </c>
      <c r="K300" s="127" t="str">
        <f>_xlfn.XLOOKUP($B298,'Bridgend Manuf'!$M$6:$BM$6,'Bridgend Manuf'!$M$13:$BM$13,0)</f>
        <v>A</v>
      </c>
      <c r="L300" s="127" t="str">
        <f>_xlfn.XLOOKUP($B298,'Maybole Manuf'!$M$6:$BM$6,'Maybole Manuf'!$M$13:$BM$13,0)</f>
        <v>A</v>
      </c>
      <c r="M300" s="127" t="str">
        <f>_xlfn.XLOOKUP($B298,Logistics!$M$6:$BM$6,Logistics!$M$13:$BM$13,0)</f>
        <v>OD</v>
      </c>
      <c r="N300" s="127" t="e">
        <f>_xlfn.XLOOKUP($B298,Engineering!$M$22:$BM$22,Engineering!#REF!,0)</f>
        <v>#REF!</v>
      </c>
      <c r="O300" s="127" t="str">
        <f>_xlfn.XLOOKUP($B298,'Quality MB'!$M$6:$BM$6,'Quality MB'!$M$13:$BM$13,0)</f>
        <v>G</v>
      </c>
      <c r="P300" s="127" t="str">
        <f>_xlfn.XLOOKUP($B298,Procurement!$M$6:$BM$6,Procurement!$M$13:$BM$13,0)</f>
        <v>A</v>
      </c>
      <c r="Q300" s="127" t="str">
        <f>_xlfn.XLOOKUP($B298,IT!$M$6:$BM$6,IT!$M$13:$BM$13,0)</f>
        <v>OD</v>
      </c>
      <c r="R300" s="127" t="str">
        <f>_xlfn.XLOOKUP($B298,Marketing!$M$6:$BM$6,Marketing!$M$13:$BM$13,0)</f>
        <v>G</v>
      </c>
      <c r="S300" s="127" t="str">
        <f>IF(B298&gt;'KPI Linked Table for Report'!$C$2,"",_xlfn.XLOOKUP($T298,Finance!$M$16:$X$16,Finance!$M$21:$X$21,0))</f>
        <v/>
      </c>
      <c r="U300" s="127" t="str">
        <f>IF(B298&gt;='KPI Linked Table for Report'!$C$1,"",_xlfn.XLOOKUP($T298,'HR mthly'!$I$6:$BM$6,'HR mthly'!$I$18:$BM$18,0))</f>
        <v>R</v>
      </c>
      <c r="V300" s="127" t="str">
        <f>IF(B298&gt;='KPI Linked Table for Report'!$C$1,"",_xlfn.XLOOKUP($T298,'HR mthly'!$I$6:$BM$6,'HR mthly'!$I$21:$BM$21,0))</f>
        <v>R</v>
      </c>
    </row>
    <row r="301" spans="2:22" ht="42.45" customHeight="1" x14ac:dyDescent="0.3">
      <c r="B301" s="971" t="s">
        <v>173</v>
      </c>
      <c r="C301" s="971"/>
      <c r="D301" s="11" t="s">
        <v>174</v>
      </c>
      <c r="E301" s="11" t="s">
        <v>174</v>
      </c>
      <c r="F301" s="11" t="str">
        <f>_xlfn.XLOOKUP($B298,SOP!$M$6:$BM$6,SOP!$M$16:$BM$16,0)</f>
        <v>R</v>
      </c>
      <c r="G301" s="11" t="s">
        <v>174</v>
      </c>
      <c r="H301" s="11" t="str">
        <f>_xlfn.XLOOKUP($B298,'Product Design'!$M$6:$BM$6,'Product Design'!$M$16:$BM$16,0)</f>
        <v>G</v>
      </c>
      <c r="I301" s="11" t="str">
        <f>_xlfn.XLOOKUP($B298,'Product Eng - BE'!$M$6:$BM$6,'Product Eng - BE'!$M$16:$BM$16,0)</f>
        <v>R</v>
      </c>
      <c r="J301" s="11" t="str">
        <f>_xlfn.XLOOKUP($B298,'Product Eng - MB'!$M$6:$BM$6,'Product Eng - MB'!$M$16:$BM$16,0)</f>
        <v>G</v>
      </c>
      <c r="K301" s="11" t="s">
        <v>174</v>
      </c>
      <c r="L301" s="11" t="s">
        <v>174</v>
      </c>
      <c r="M301" s="11" t="s">
        <v>174</v>
      </c>
      <c r="N301" s="11" t="s">
        <v>174</v>
      </c>
      <c r="O301" s="11" t="s">
        <v>174</v>
      </c>
      <c r="P301" s="11" t="s">
        <v>174</v>
      </c>
      <c r="Q301" s="11" t="s">
        <v>174</v>
      </c>
      <c r="R301" s="11" t="s">
        <v>174</v>
      </c>
      <c r="S301" s="11" t="s">
        <v>174</v>
      </c>
      <c r="U301" s="11" t="s">
        <v>174</v>
      </c>
      <c r="V301" s="11" t="s">
        <v>174</v>
      </c>
    </row>
    <row r="302" spans="2:22" ht="42.45" customHeight="1" x14ac:dyDescent="0.3">
      <c r="B302" s="971" t="s">
        <v>32</v>
      </c>
      <c r="C302" s="971"/>
      <c r="D302" s="127" t="str">
        <f>_xlfn.XLOOKUP($B298,EHS!$M$6:$BM$6,EHS!$M$16:$BM$16,0)</f>
        <v>A</v>
      </c>
      <c r="E302" s="127" t="str">
        <f>_xlfn.XLOOKUP($B298,Estimating!$M$6:$BM$6,Estimating!$M$16:$BM$16,0)</f>
        <v>R</v>
      </c>
      <c r="F302" s="127" t="str">
        <f>_xlfn.XLOOKUP($B298,SOP!$M$6:$BM$6,SOP!$M$19:$BM$19,0)</f>
        <v>G</v>
      </c>
      <c r="G302" s="127" t="str">
        <f>_xlfn.XLOOKUP($B298,Design!$M$6:$BM$6,Design!$M$16:$BM$16,0)</f>
        <v>R</v>
      </c>
      <c r="H302" s="127" t="str">
        <f>_xlfn.XLOOKUP($B298,'Product Design'!$M$6:$BM$6,'Product Design'!$M$19:$BM$19,0)</f>
        <v>G</v>
      </c>
      <c r="I302" s="127" t="str">
        <f>_xlfn.XLOOKUP($B298,'Product Eng - BE'!$M$6:$BM$6,'Product Eng - BE'!$M$19:$BM$19,0)</f>
        <v>R</v>
      </c>
      <c r="J302" s="127" t="str">
        <f>_xlfn.XLOOKUP($B298,'Product Eng - MB'!$M$6:$BM$6,'Product Eng - MB'!$M$19:$BM$19,0)</f>
        <v>R</v>
      </c>
      <c r="K302" s="127" t="str">
        <f>_xlfn.XLOOKUP($B298,'Bridgend Manuf'!$M$6:$BM$6,'Bridgend Manuf'!$M$16:$BM$16,0)</f>
        <v>G</v>
      </c>
      <c r="L302" s="127" t="str">
        <f>_xlfn.XLOOKUP($B298,'Maybole Manuf'!$M$6:$BM$6,'Maybole Manuf'!$M$16:$BM$16,0)</f>
        <v>G</v>
      </c>
      <c r="M302" s="127" t="str">
        <f>_xlfn.XLOOKUP($B298,Logistics!$M$6:$BM$6,Logistics!$M$16:$BM$16,0)</f>
        <v>G</v>
      </c>
      <c r="N302" s="127" t="e">
        <f>_xlfn.XLOOKUP($B298,Engineering!$M$22:$BM$22,Engineering!#REF!,0)</f>
        <v>#REF!</v>
      </c>
      <c r="O302" s="127" t="str">
        <f>_xlfn.XLOOKUP($B298,'Quality MB'!$M$6:$BM$6,'Quality MB'!$M$16:$BM$16,0)</f>
        <v>G</v>
      </c>
      <c r="P302" s="127" t="str">
        <f>_xlfn.XLOOKUP($B298,Procurement!$M$6:$BM$6,Procurement!$M$16:$BM$16,0)</f>
        <v>G</v>
      </c>
      <c r="Q302" s="127" t="str">
        <f>_xlfn.XLOOKUP($B298,IT!$M$6:$BM$6,IT!$M$16:$BM$16,0)</f>
        <v>OD</v>
      </c>
      <c r="R302" s="127" t="str">
        <f>_xlfn.XLOOKUP($B298,Marketing!$M$6:$BM$6,Marketing!$M$16:$BM$16,0)</f>
        <v>G</v>
      </c>
      <c r="S302" s="127" t="str">
        <f>IF(B298&gt;'KPI Linked Table for Report'!$C$2,"",_xlfn.XLOOKUP($T298,Finance!$M$16:$X$16,Finance!$M$24:$X$24,0))</f>
        <v/>
      </c>
      <c r="U302" s="127" t="str">
        <f>IF(B298&gt;='KPI Linked Table for Report'!$C$1,"",_xlfn.XLOOKUP($T298,'HR mthly'!$I$6:$BM$6,'HR mthly'!$I$26:$BM$26,0))</f>
        <v>R</v>
      </c>
      <c r="V302" s="127" t="str">
        <f>IF(B298&gt;='KPI Linked Table for Report'!$C$1,"",_xlfn.XLOOKUP($T298,'HR mthly'!$I$6:$BM$6,'HR mthly'!$I$29:$BM$29,0))</f>
        <v>OD</v>
      </c>
    </row>
    <row r="303" spans="2:22" ht="42.45" customHeight="1" x14ac:dyDescent="0.3">
      <c r="B303" s="971" t="s">
        <v>31</v>
      </c>
      <c r="C303" s="971"/>
      <c r="D303" s="127" t="str">
        <f>_xlfn.XLOOKUP($B298,EHS!$M$6:$BM$6,EHS!$M$19:$BM$19,0)</f>
        <v>G</v>
      </c>
      <c r="E303" s="127" t="str">
        <f>_xlfn.XLOOKUP($B298,Estimating!$M$6:$BM$6,Estimating!$M$19:$BM$19,0)</f>
        <v>G</v>
      </c>
      <c r="F303" s="127" t="str">
        <f>_xlfn.XLOOKUP($B298,SOP!$M$6:$BM$6,SOP!$M$22:$BM$22,0)</f>
        <v>R</v>
      </c>
      <c r="G303" s="127" t="str">
        <f>_xlfn.XLOOKUP($B298,Design!$M$6:$BM$6,Design!$M$19:$BM$19,0)</f>
        <v>G</v>
      </c>
      <c r="H303" s="127" t="str">
        <f>_xlfn.XLOOKUP($B298,'Product Design'!$M$6:$BM$6,'Product Design'!$M$22:$BM$22,0)</f>
        <v>Undefined</v>
      </c>
      <c r="I303" s="127" t="str">
        <f>_xlfn.XLOOKUP($B298,'Product Eng - BE'!$M$6:$BM$6,'Product Eng - BE'!$M$22:$BM$22,0)</f>
        <v>G</v>
      </c>
      <c r="J303" s="127" t="str">
        <f>_xlfn.XLOOKUP($B298,'Product Eng - MB'!$M$6:$BM$6,'Product Eng - MB'!$M$22:$BM$22,0)</f>
        <v>G</v>
      </c>
      <c r="K303" s="127" t="str">
        <f>_xlfn.XLOOKUP($B298,'Bridgend Manuf'!$M$6:$BM$6,'Bridgend Manuf'!$M$19:$BM$19,0)</f>
        <v>G</v>
      </c>
      <c r="L303" s="127" t="str">
        <f>_xlfn.XLOOKUP($B298,'Maybole Manuf'!$M$6:$BM$6,'Maybole Manuf'!$M$19:$BM$19,0)</f>
        <v>R</v>
      </c>
      <c r="M303" s="127" t="str">
        <f>_xlfn.XLOOKUP($B298,Logistics!$M$6:$BM$6,Logistics!$M$19:$BM$19,0)</f>
        <v>OD</v>
      </c>
      <c r="N303" s="127" t="e">
        <f>_xlfn.XLOOKUP($B298,Engineering!$M$22:$BM$22,Engineering!#REF!,0)</f>
        <v>#REF!</v>
      </c>
      <c r="O303" s="127" t="str">
        <f>_xlfn.XLOOKUP($B298,'Quality MB'!$M$6:$BM$6,'Quality MB'!$M$19:$BM$19,0)</f>
        <v>G</v>
      </c>
      <c r="P303" s="127" t="str">
        <f>_xlfn.XLOOKUP($B298,Procurement!$M$6:$BM$6,Procurement!$M$19:$BM$19,0)</f>
        <v>G</v>
      </c>
      <c r="Q303" s="127" t="str">
        <f>_xlfn.XLOOKUP($B298,IT!$M$6:$BM$6,IT!$M$19:$BM$19,0)</f>
        <v>OD</v>
      </c>
      <c r="R303" s="127" t="str">
        <f>_xlfn.XLOOKUP($B298,Marketing!$M$6:$BM$6,Marketing!$M$19:$BM$19,0)</f>
        <v>G</v>
      </c>
      <c r="S303" s="127" t="str">
        <f>IF(B298&gt;'KPI Linked Table for Report'!$C$2,"",_xlfn.XLOOKUP($T298,Finance!$M$16:$X$16,Finance!$M$27:$X$27,0))</f>
        <v/>
      </c>
      <c r="U303" s="127" t="str">
        <f>IF(B298&gt;='KPI Linked Table for Report'!$C$1,"",_xlfn.XLOOKUP($T298,'HR mthly'!$I$6:$BM$6,'HR mthly'!$I$33:$BM$33,0))</f>
        <v>A</v>
      </c>
      <c r="V303" s="127" t="str">
        <f>IF(B298&gt;='KPI Linked Table for Report'!$C$1,"",_xlfn.XLOOKUP($T298,'HR mthly'!$I$6:$BM$6,'HR mthly'!$I$36:$BM$36,0))</f>
        <v>R</v>
      </c>
    </row>
    <row r="305" spans="2:22" ht="42.45" customHeight="1" x14ac:dyDescent="0.3">
      <c r="B305" s="973" t="s">
        <v>7</v>
      </c>
      <c r="C305" s="974"/>
      <c r="D305" s="6" t="str">
        <f>+D$9</f>
        <v>EHS</v>
      </c>
      <c r="E305" s="6" t="str">
        <f>+E$9</f>
        <v>Estimating</v>
      </c>
      <c r="F305" s="6" t="str">
        <f t="shared" ref="F305:R305" si="59">+F$9</f>
        <v>SOP</v>
      </c>
      <c r="G305" s="6" t="str">
        <f>+G$9</f>
        <v>Design and R&amp;D</v>
      </c>
      <c r="H305" s="6" t="str">
        <f t="shared" si="59"/>
        <v>Product Design</v>
      </c>
      <c r="I305" s="6" t="str">
        <f t="shared" si="59"/>
        <v>Product Engineering Bridgend</v>
      </c>
      <c r="J305" s="6" t="str">
        <f t="shared" si="59"/>
        <v>Product Engineering Maybole</v>
      </c>
      <c r="K305" s="6" t="str">
        <f t="shared" si="59"/>
        <v>Bridgend
Manuf</v>
      </c>
      <c r="L305" s="6" t="str">
        <f t="shared" si="59"/>
        <v>Maybole
Manuf</v>
      </c>
      <c r="M305" s="6" t="str">
        <f>+M$9</f>
        <v>Logistics</v>
      </c>
      <c r="N305" s="6" t="str">
        <f>+N$9</f>
        <v>Engineering</v>
      </c>
      <c r="O305" s="6" t="str">
        <f>+O$9</f>
        <v>Quality
Maybole</v>
      </c>
      <c r="P305" s="6" t="str">
        <f>+P$9</f>
        <v>Procurement</v>
      </c>
      <c r="Q305" s="6" t="str">
        <f>+Q$9</f>
        <v>IT</v>
      </c>
      <c r="R305" s="6" t="str">
        <f t="shared" si="59"/>
        <v>Marketing</v>
      </c>
      <c r="S305" s="6" t="str">
        <f>+S$9</f>
        <v>Finance</v>
      </c>
      <c r="U305" s="6" t="str">
        <f>+U$9</f>
        <v>HR</v>
      </c>
      <c r="V305" s="6" t="str">
        <f>+V$9</f>
        <v>HR</v>
      </c>
    </row>
    <row r="306" spans="2:22" ht="42.45" customHeight="1" x14ac:dyDescent="0.3">
      <c r="B306" s="7">
        <f>B298+1</f>
        <v>38</v>
      </c>
      <c r="C306" s="8">
        <f>C298+7</f>
        <v>45919</v>
      </c>
      <c r="D306" s="10" t="s">
        <v>24</v>
      </c>
      <c r="E306" s="9" t="str">
        <f>+E$186</f>
        <v>Julian Sparrow</v>
      </c>
      <c r="F306" s="10" t="s">
        <v>19</v>
      </c>
      <c r="G306" s="10" t="s">
        <v>20</v>
      </c>
      <c r="H306" s="10" t="s">
        <v>24</v>
      </c>
      <c r="I306" s="10" t="s">
        <v>24</v>
      </c>
      <c r="J306" s="10" t="s">
        <v>21</v>
      </c>
      <c r="K306" s="10" t="s">
        <v>22</v>
      </c>
      <c r="L306" s="10" t="s">
        <v>23</v>
      </c>
      <c r="M306" s="10" t="str">
        <f>+M$10</f>
        <v>Scott McMillan</v>
      </c>
      <c r="N306" s="10" t="str">
        <f>+N$10</f>
        <v>Garin Bowen</v>
      </c>
      <c r="O306" s="10" t="str">
        <f>+O$10</f>
        <v>Scott McMIllan</v>
      </c>
      <c r="P306" s="10" t="str">
        <f>+P$10</f>
        <v>Matt 
Pope</v>
      </c>
      <c r="Q306" s="10" t="s">
        <v>29</v>
      </c>
      <c r="R306" s="10" t="s">
        <v>25</v>
      </c>
      <c r="S306" s="10" t="s">
        <v>26</v>
      </c>
      <c r="T306" s="7" t="s">
        <v>409</v>
      </c>
      <c r="U306" s="10" t="str">
        <f>+U$10</f>
        <v>Bethan Grant</v>
      </c>
      <c r="V306" s="10" t="str">
        <f>+V$10</f>
        <v>Bethan Grant</v>
      </c>
    </row>
    <row r="307" spans="2:22" ht="42.45" customHeight="1" x14ac:dyDescent="0.3">
      <c r="B307" s="971" t="s">
        <v>30</v>
      </c>
      <c r="C307" s="971"/>
      <c r="D307" s="127" t="str">
        <f>_xlfn.XLOOKUP($B306,EHS!$M$6:$BM$6,EHS!$M$10:$BM$10,0)</f>
        <v>G</v>
      </c>
      <c r="E307" s="127" t="str">
        <f>_xlfn.XLOOKUP($B306,Estimating!$M$6:$BM$6,Estimating!$M$10:$BM$10,0)</f>
        <v>R</v>
      </c>
      <c r="F307" s="127" t="str">
        <f>_xlfn.XLOOKUP($B306,SOP!$M$6:$BM$6,SOP!$M$10:$BM$10,0)</f>
        <v>G</v>
      </c>
      <c r="G307" s="127" t="str">
        <f>_xlfn.XLOOKUP($B306,Design!$M$6:$BM$6,Design!$M$10:$BM$10,0)</f>
        <v>R</v>
      </c>
      <c r="H307" s="127" t="str">
        <f>_xlfn.XLOOKUP($B306,'Product Design'!$M$6:$BM$6,'Product Design'!$M$10:$BM$10,0)</f>
        <v>R</v>
      </c>
      <c r="I307" s="127" t="str">
        <f>_xlfn.XLOOKUP($B306,'Product Eng - BE'!$M$6:$BM$6,'Product Eng - BE'!$M$10:$BM$10,0)</f>
        <v>R</v>
      </c>
      <c r="J307" s="127" t="str">
        <f>_xlfn.XLOOKUP($B306,'Product Eng - MB'!$M$6:$BM$6,'Product Eng - MB'!$M$10:$BM$10,0)</f>
        <v>G</v>
      </c>
      <c r="K307" s="127" t="str">
        <f>_xlfn.XLOOKUP($B306,'Bridgend Manuf'!$M$6:$BM$6,'Bridgend Manuf'!$M$10:$BM$10,0)</f>
        <v>R</v>
      </c>
      <c r="L307" s="127" t="str">
        <f>_xlfn.XLOOKUP($B306,'Maybole Manuf'!$M$6:$BM$6,'Maybole Manuf'!$M$10:$BM$10,0)</f>
        <v>R</v>
      </c>
      <c r="M307" s="127" t="str">
        <f>_xlfn.XLOOKUP($B306,Logistics!$M$6:$BM$6,Logistics!$M$10:$BM$10,0)</f>
        <v>OD</v>
      </c>
      <c r="N307" s="127" t="str">
        <f>_xlfn.XLOOKUP($B306,Engineering!$M$22:$BM$22,Engineering!$M$26:$BM$26,0)</f>
        <v>A</v>
      </c>
      <c r="O307" s="127" t="str">
        <f>_xlfn.XLOOKUP($B306,'Quality MB'!$M$6:$BM$6,'Quality MB'!$M$10:$BM$10,0)</f>
        <v>G</v>
      </c>
      <c r="P307" s="127" t="str">
        <f>_xlfn.XLOOKUP($B306,Procurement!$M$6:$BM$6,Procurement!$M$10:$BM$10,0)</f>
        <v>R</v>
      </c>
      <c r="Q307" s="127" t="str">
        <f>_xlfn.XLOOKUP($B306,IT!$M$6:$BM$6,IT!$M$10:$BM$10,0)</f>
        <v>Undefined</v>
      </c>
      <c r="R307" s="127" t="str">
        <f>_xlfn.XLOOKUP($B306,Marketing!$M$6:$BM$6,Marketing!$M$10:$BM$10,0)</f>
        <v>G</v>
      </c>
      <c r="S307" s="127" t="str">
        <f>_xlfn.XLOOKUP($B306,Finance!$M$6:$BM$6,Finance!$M$10:$BM$10,0)</f>
        <v>G</v>
      </c>
      <c r="T307" s="7">
        <v>8</v>
      </c>
      <c r="U307" s="127">
        <f>IF(B306&gt;='KPI Linked Table for Report'!$C$1,"",_xlfn.XLOOKUP($T306,'HR mthly'!$I$6:$BM$6,'HR mthly'!$I$11:$BM$11,0))</f>
        <v>0</v>
      </c>
      <c r="V307" s="127">
        <f>IF(B306&gt;='KPI Linked Table for Report'!$C$1,"",_xlfn.XLOOKUP($T306,'HR mthly'!$I$6:$BM$6,'HR mthly'!$I$14:$BM$14,0))</f>
        <v>0</v>
      </c>
    </row>
    <row r="308" spans="2:22" ht="42.45" customHeight="1" x14ac:dyDescent="0.3">
      <c r="B308" s="971" t="s">
        <v>172</v>
      </c>
      <c r="C308" s="971"/>
      <c r="D308" s="127" t="str">
        <f>_xlfn.XLOOKUP($B306,EHS!$M$6:$BM$6,EHS!$M$13:$BM$13,0)</f>
        <v>G</v>
      </c>
      <c r="E308" s="127" t="str">
        <f>_xlfn.XLOOKUP($B306,Estimating!$M$6:$BM$6,Estimating!$M$13:$BM$13,0)</f>
        <v>R</v>
      </c>
      <c r="F308" s="127" t="str">
        <f>_xlfn.XLOOKUP($B306,SOP!$M$6:$BM$6,SOP!$M$13:$BM$13,0)</f>
        <v>R</v>
      </c>
      <c r="G308" s="127" t="str">
        <f>_xlfn.XLOOKUP($B306,Design!$M$6:$BM$6,Design!$M$13:$BM$13,0)</f>
        <v>R</v>
      </c>
      <c r="H308" s="127" t="str">
        <f>_xlfn.XLOOKUP($B306,'Product Design'!$M$6:$BM$6,'Product Design'!$M$13:$BM$13,0)</f>
        <v>G</v>
      </c>
      <c r="I308" s="127" t="str">
        <f>_xlfn.XLOOKUP($B306,'Product Eng - BE'!$M$6:$BM$6,'Product Eng - BE'!$M$13:$BM$13,0)</f>
        <v>R</v>
      </c>
      <c r="J308" s="127" t="str">
        <f>_xlfn.XLOOKUP($B306,'Product Eng - MB'!$M$6:$BM$6,'Product Eng - MB'!$M$13:$BM$13,0)</f>
        <v>G</v>
      </c>
      <c r="K308" s="127" t="str">
        <f>_xlfn.XLOOKUP($B306,'Bridgend Manuf'!$M$6:$BM$6,'Bridgend Manuf'!$M$13:$BM$13,0)</f>
        <v>A</v>
      </c>
      <c r="L308" s="127" t="str">
        <f>_xlfn.XLOOKUP($B306,'Maybole Manuf'!$M$6:$BM$6,'Maybole Manuf'!$M$13:$BM$13,0)</f>
        <v>A</v>
      </c>
      <c r="M308" s="127" t="str">
        <f>_xlfn.XLOOKUP($B306,Logistics!$M$6:$BM$6,Logistics!$M$13:$BM$13,0)</f>
        <v>OD</v>
      </c>
      <c r="N308" s="127" t="e">
        <f>_xlfn.XLOOKUP($B306,Engineering!$M$22:$BM$22,Engineering!#REF!,0)</f>
        <v>#REF!</v>
      </c>
      <c r="O308" s="127" t="str">
        <f>_xlfn.XLOOKUP($B306,'Quality MB'!$M$6:$BM$6,'Quality MB'!$M$13:$BM$13,0)</f>
        <v>G</v>
      </c>
      <c r="P308" s="127" t="str">
        <f>_xlfn.XLOOKUP($B306,Procurement!$M$6:$BM$6,Procurement!$M$13:$BM$13,0)</f>
        <v>A</v>
      </c>
      <c r="Q308" s="127" t="str">
        <f>_xlfn.XLOOKUP($B306,IT!$M$6:$BM$6,IT!$M$13:$BM$13,0)</f>
        <v>G</v>
      </c>
      <c r="R308" s="127" t="str">
        <f>_xlfn.XLOOKUP($B306,Marketing!$M$6:$BM$6,Marketing!$M$13:$BM$13,0)</f>
        <v>G</v>
      </c>
      <c r="S308" s="127" t="str">
        <f>IF(B306&gt;'KPI Linked Table for Report'!$C$2,"",_xlfn.XLOOKUP($T306,Finance!$M$16:$X$16,Finance!$M$21:$X$21,0))</f>
        <v/>
      </c>
      <c r="U308" s="127">
        <f>IF(B306&gt;='KPI Linked Table for Report'!$C$1,"",_xlfn.XLOOKUP($T306,'HR mthly'!$I$6:$BM$6,'HR mthly'!$I$18:$BM$18,0))</f>
        <v>0</v>
      </c>
      <c r="V308" s="127">
        <f>IF(B306&gt;='KPI Linked Table for Report'!$C$1,"",_xlfn.XLOOKUP($T306,'HR mthly'!$I$6:$BM$6,'HR mthly'!$I$21:$BM$21,0))</f>
        <v>0</v>
      </c>
    </row>
    <row r="309" spans="2:22" ht="42.45" customHeight="1" x14ac:dyDescent="0.3">
      <c r="B309" s="971" t="s">
        <v>173</v>
      </c>
      <c r="C309" s="971"/>
      <c r="D309" s="11" t="s">
        <v>174</v>
      </c>
      <c r="E309" s="11" t="s">
        <v>174</v>
      </c>
      <c r="F309" s="11" t="str">
        <f>_xlfn.XLOOKUP($B306,SOP!$M$6:$BM$6,SOP!$M$16:$BM$16,0)</f>
        <v>R</v>
      </c>
      <c r="G309" s="11" t="s">
        <v>174</v>
      </c>
      <c r="H309" s="11" t="str">
        <f>_xlfn.XLOOKUP($B306,'Product Design'!$M$6:$BM$6,'Product Design'!$M$16:$BM$16,0)</f>
        <v>G</v>
      </c>
      <c r="I309" s="11" t="str">
        <f>_xlfn.XLOOKUP($B306,'Product Eng - BE'!$M$6:$BM$6,'Product Eng - BE'!$M$16:$BM$16,0)</f>
        <v>R</v>
      </c>
      <c r="J309" s="11" t="str">
        <f>_xlfn.XLOOKUP($B306,'Product Eng - MB'!$M$6:$BM$6,'Product Eng - MB'!$M$16:$BM$16,0)</f>
        <v>G</v>
      </c>
      <c r="K309" s="11" t="s">
        <v>174</v>
      </c>
      <c r="L309" s="11" t="s">
        <v>174</v>
      </c>
      <c r="M309" s="11" t="s">
        <v>174</v>
      </c>
      <c r="N309" s="11" t="s">
        <v>174</v>
      </c>
      <c r="O309" s="11" t="s">
        <v>174</v>
      </c>
      <c r="P309" s="11" t="s">
        <v>174</v>
      </c>
      <c r="Q309" s="11" t="s">
        <v>174</v>
      </c>
      <c r="R309" s="11" t="s">
        <v>174</v>
      </c>
      <c r="S309" s="11" t="s">
        <v>174</v>
      </c>
      <c r="U309" s="11" t="s">
        <v>174</v>
      </c>
      <c r="V309" s="11" t="s">
        <v>174</v>
      </c>
    </row>
    <row r="310" spans="2:22" ht="42.45" customHeight="1" x14ac:dyDescent="0.3">
      <c r="B310" s="971" t="s">
        <v>32</v>
      </c>
      <c r="C310" s="971"/>
      <c r="D310" s="127" t="str">
        <f>_xlfn.XLOOKUP($B306,EHS!$M$6:$BM$6,EHS!$M$16:$BM$16,0)</f>
        <v>A</v>
      </c>
      <c r="E310" s="127" t="str">
        <f>_xlfn.XLOOKUP($B306,Estimating!$M$6:$BM$6,Estimating!$M$16:$BM$16,0)</f>
        <v>R</v>
      </c>
      <c r="F310" s="127" t="str">
        <f>_xlfn.XLOOKUP($B306,SOP!$M$6:$BM$6,SOP!$M$19:$BM$19,0)</f>
        <v>R</v>
      </c>
      <c r="G310" s="127" t="str">
        <f>_xlfn.XLOOKUP($B306,Design!$M$6:$BM$6,Design!$M$16:$BM$16,0)</f>
        <v>R</v>
      </c>
      <c r="H310" s="127" t="str">
        <f>_xlfn.XLOOKUP($B306,'Product Design'!$M$6:$BM$6,'Product Design'!$M$19:$BM$19,0)</f>
        <v>G</v>
      </c>
      <c r="I310" s="127" t="str">
        <f>_xlfn.XLOOKUP($B306,'Product Eng - BE'!$M$6:$BM$6,'Product Eng - BE'!$M$19:$BM$19,0)</f>
        <v>R</v>
      </c>
      <c r="J310" s="127" t="str">
        <f>_xlfn.XLOOKUP($B306,'Product Eng - MB'!$M$6:$BM$6,'Product Eng - MB'!$M$19:$BM$19,0)</f>
        <v>G</v>
      </c>
      <c r="K310" s="127" t="str">
        <f>_xlfn.XLOOKUP($B306,'Bridgend Manuf'!$M$6:$BM$6,'Bridgend Manuf'!$M$16:$BM$16,0)</f>
        <v>G</v>
      </c>
      <c r="L310" s="127" t="str">
        <f>_xlfn.XLOOKUP($B306,'Maybole Manuf'!$M$6:$BM$6,'Maybole Manuf'!$M$16:$BM$16,0)</f>
        <v>R</v>
      </c>
      <c r="M310" s="127" t="str">
        <f>_xlfn.XLOOKUP($B306,Logistics!$M$6:$BM$6,Logistics!$M$16:$BM$16,0)</f>
        <v>G</v>
      </c>
      <c r="N310" s="127" t="e">
        <f>_xlfn.XLOOKUP($B306,Engineering!$M$22:$BM$22,Engineering!#REF!,0)</f>
        <v>#REF!</v>
      </c>
      <c r="O310" s="127" t="str">
        <f>_xlfn.XLOOKUP($B306,'Quality MB'!$M$6:$BM$6,'Quality MB'!$M$16:$BM$16,0)</f>
        <v>G</v>
      </c>
      <c r="P310" s="127" t="str">
        <f>_xlfn.XLOOKUP($B306,Procurement!$M$6:$BM$6,Procurement!$M$16:$BM$16,0)</f>
        <v>G</v>
      </c>
      <c r="Q310" s="127" t="str">
        <f>_xlfn.XLOOKUP($B306,IT!$M$6:$BM$6,IT!$M$16:$BM$16,0)</f>
        <v>G</v>
      </c>
      <c r="R310" s="127" t="str">
        <f>_xlfn.XLOOKUP($B306,Marketing!$M$6:$BM$6,Marketing!$M$16:$BM$16,0)</f>
        <v>G</v>
      </c>
      <c r="S310" s="127" t="str">
        <f>IF(B306&gt;'KPI Linked Table for Report'!$C$2,"",_xlfn.XLOOKUP($T306,Finance!$M$16:$X$16,Finance!$M$24:$X$24,0))</f>
        <v/>
      </c>
      <c r="U310" s="127">
        <f>IF(B306&gt;='KPI Linked Table for Report'!$C$1,"",_xlfn.XLOOKUP($T306,'HR mthly'!$I$6:$BM$6,'HR mthly'!$I$26:$BM$26,0))</f>
        <v>0</v>
      </c>
      <c r="V310" s="127">
        <f>IF(B306&gt;='KPI Linked Table for Report'!$C$1,"",_xlfn.XLOOKUP($T306,'HR mthly'!$I$6:$BM$6,'HR mthly'!$I$29:$BM$29,0))</f>
        <v>0</v>
      </c>
    </row>
    <row r="311" spans="2:22" ht="42.45" customHeight="1" x14ac:dyDescent="0.3">
      <c r="B311" s="971" t="s">
        <v>31</v>
      </c>
      <c r="C311" s="971"/>
      <c r="D311" s="127" t="str">
        <f>_xlfn.XLOOKUP($B306,EHS!$M$6:$BM$6,EHS!$M$19:$BM$19,0)</f>
        <v>G</v>
      </c>
      <c r="E311" s="127" t="str">
        <f>_xlfn.XLOOKUP($B306,Estimating!$M$6:$BM$6,Estimating!$M$19:$BM$19,0)</f>
        <v>G</v>
      </c>
      <c r="F311" s="127" t="str">
        <f>_xlfn.XLOOKUP($B306,SOP!$M$6:$BM$6,SOP!$M$22:$BM$22,0)</f>
        <v>G</v>
      </c>
      <c r="G311" s="127" t="str">
        <f>_xlfn.XLOOKUP($B306,Design!$M$6:$BM$6,Design!$M$19:$BM$19,0)</f>
        <v>R</v>
      </c>
      <c r="H311" s="127" t="str">
        <f>_xlfn.XLOOKUP($B306,'Product Design'!$M$6:$BM$6,'Product Design'!$M$22:$BM$22,0)</f>
        <v>Undefined</v>
      </c>
      <c r="I311" s="127" t="str">
        <f>_xlfn.XLOOKUP($B306,'Product Eng - BE'!$M$6:$BM$6,'Product Eng - BE'!$M$22:$BM$22,0)</f>
        <v>G</v>
      </c>
      <c r="J311" s="127" t="str">
        <f>_xlfn.XLOOKUP($B306,'Product Eng - MB'!$M$6:$BM$6,'Product Eng - MB'!$M$22:$BM$22,0)</f>
        <v>G</v>
      </c>
      <c r="K311" s="127" t="str">
        <f>_xlfn.XLOOKUP($B306,'Bridgend Manuf'!$M$6:$BM$6,'Bridgend Manuf'!$M$19:$BM$19,0)</f>
        <v>R</v>
      </c>
      <c r="L311" s="127" t="str">
        <f>_xlfn.XLOOKUP($B306,'Maybole Manuf'!$M$6:$BM$6,'Maybole Manuf'!$M$19:$BM$19,0)</f>
        <v>R</v>
      </c>
      <c r="M311" s="127" t="str">
        <f>_xlfn.XLOOKUP($B306,Logistics!$M$6:$BM$6,Logistics!$M$19:$BM$19,0)</f>
        <v>OD</v>
      </c>
      <c r="N311" s="127" t="e">
        <f>_xlfn.XLOOKUP($B306,Engineering!$M$22:$BM$22,Engineering!#REF!,0)</f>
        <v>#REF!</v>
      </c>
      <c r="O311" s="127" t="str">
        <f>_xlfn.XLOOKUP($B306,'Quality MB'!$M$6:$BM$6,'Quality MB'!$M$19:$BM$19,0)</f>
        <v>G</v>
      </c>
      <c r="P311" s="127" t="str">
        <f>_xlfn.XLOOKUP($B306,Procurement!$M$6:$BM$6,Procurement!$M$19:$BM$19,0)</f>
        <v>G</v>
      </c>
      <c r="Q311" s="127" t="str">
        <f>_xlfn.XLOOKUP($B306,IT!$M$6:$BM$6,IT!$M$19:$BM$19,0)</f>
        <v>R</v>
      </c>
      <c r="R311" s="127" t="str">
        <f>_xlfn.XLOOKUP($B306,Marketing!$M$6:$BM$6,Marketing!$M$19:$BM$19,0)</f>
        <v>G</v>
      </c>
      <c r="S311" s="127" t="str">
        <f>IF(B306&gt;'KPI Linked Table for Report'!$C$2,"",_xlfn.XLOOKUP($T306,Finance!$M$16:$X$16,Finance!$M$27:$X$27,0))</f>
        <v/>
      </c>
      <c r="U311" s="127">
        <f>IF(B306&gt;='KPI Linked Table for Report'!$C$1,"",_xlfn.XLOOKUP($T306,'HR mthly'!$I$6:$BM$6,'HR mthly'!$I$33:$BM$33,0))</f>
        <v>0</v>
      </c>
      <c r="V311" s="127">
        <f>IF(B306&gt;='KPI Linked Table for Report'!$C$1,"",_xlfn.XLOOKUP($T306,'HR mthly'!$I$6:$BM$6,'HR mthly'!$I$36:$BM$36,0))</f>
        <v>0</v>
      </c>
    </row>
    <row r="313" spans="2:22" ht="42.45" customHeight="1" x14ac:dyDescent="0.3">
      <c r="B313" s="973" t="s">
        <v>7</v>
      </c>
      <c r="C313" s="974"/>
      <c r="D313" s="6" t="str">
        <f>+D$9</f>
        <v>EHS</v>
      </c>
      <c r="E313" s="6" t="str">
        <f>+E$9</f>
        <v>Estimating</v>
      </c>
      <c r="F313" s="6" t="str">
        <f t="shared" ref="F313:R313" si="60">+F$9</f>
        <v>SOP</v>
      </c>
      <c r="G313" s="6" t="str">
        <f>+G$9</f>
        <v>Design and R&amp;D</v>
      </c>
      <c r="H313" s="6" t="str">
        <f t="shared" si="60"/>
        <v>Product Design</v>
      </c>
      <c r="I313" s="6" t="str">
        <f t="shared" si="60"/>
        <v>Product Engineering Bridgend</v>
      </c>
      <c r="J313" s="6" t="str">
        <f t="shared" si="60"/>
        <v>Product Engineering Maybole</v>
      </c>
      <c r="K313" s="6" t="str">
        <f t="shared" si="60"/>
        <v>Bridgend
Manuf</v>
      </c>
      <c r="L313" s="6" t="str">
        <f t="shared" si="60"/>
        <v>Maybole
Manuf</v>
      </c>
      <c r="M313" s="6" t="str">
        <f>+M$9</f>
        <v>Logistics</v>
      </c>
      <c r="N313" s="6" t="str">
        <f>+N$9</f>
        <v>Engineering</v>
      </c>
      <c r="O313" s="6" t="str">
        <f>+O$9</f>
        <v>Quality
Maybole</v>
      </c>
      <c r="P313" s="6" t="str">
        <f>+P$9</f>
        <v>Procurement</v>
      </c>
      <c r="Q313" s="6" t="str">
        <f>+Q$9</f>
        <v>IT</v>
      </c>
      <c r="R313" s="6" t="str">
        <f t="shared" si="60"/>
        <v>Marketing</v>
      </c>
      <c r="S313" s="6" t="str">
        <f>+S$9</f>
        <v>Finance</v>
      </c>
      <c r="T313" s="7" t="s">
        <v>409</v>
      </c>
      <c r="U313" s="6" t="str">
        <f>+U$9</f>
        <v>HR</v>
      </c>
      <c r="V313" s="6" t="str">
        <f>+V$9</f>
        <v>HR</v>
      </c>
    </row>
    <row r="314" spans="2:22" ht="42.45" customHeight="1" x14ac:dyDescent="0.3">
      <c r="B314" s="7">
        <f>B306+1</f>
        <v>39</v>
      </c>
      <c r="C314" s="8">
        <f>C306+7</f>
        <v>45926</v>
      </c>
      <c r="D314" s="10" t="s">
        <v>24</v>
      </c>
      <c r="E314" s="9" t="str">
        <f>+E$186</f>
        <v>Julian Sparrow</v>
      </c>
      <c r="F314" s="10" t="s">
        <v>19</v>
      </c>
      <c r="G314" s="10" t="s">
        <v>20</v>
      </c>
      <c r="H314" s="10" t="s">
        <v>24</v>
      </c>
      <c r="I314" s="10" t="s">
        <v>24</v>
      </c>
      <c r="J314" s="10" t="s">
        <v>21</v>
      </c>
      <c r="K314" s="10" t="s">
        <v>22</v>
      </c>
      <c r="L314" s="10" t="s">
        <v>23</v>
      </c>
      <c r="M314" s="10" t="str">
        <f>+M$10</f>
        <v>Scott McMillan</v>
      </c>
      <c r="N314" s="10" t="str">
        <f>+N$10</f>
        <v>Garin Bowen</v>
      </c>
      <c r="O314" s="10" t="str">
        <f>+O$10</f>
        <v>Scott McMIllan</v>
      </c>
      <c r="P314" s="10" t="str">
        <f>+P$10</f>
        <v>Matt 
Pope</v>
      </c>
      <c r="Q314" s="10" t="s">
        <v>29</v>
      </c>
      <c r="R314" s="10" t="s">
        <v>25</v>
      </c>
      <c r="S314" s="10" t="s">
        <v>26</v>
      </c>
      <c r="T314" s="7">
        <v>8</v>
      </c>
      <c r="U314" s="10" t="str">
        <f>+U$10</f>
        <v>Bethan Grant</v>
      </c>
      <c r="V314" s="10" t="str">
        <f>+V$10</f>
        <v>Bethan Grant</v>
      </c>
    </row>
    <row r="315" spans="2:22" ht="42.45" customHeight="1" x14ac:dyDescent="0.3">
      <c r="B315" s="971" t="s">
        <v>30</v>
      </c>
      <c r="C315" s="971"/>
      <c r="D315" s="127" t="str">
        <f>_xlfn.XLOOKUP($B314,EHS!$M$6:$BM$6,EHS!$M$10:$BM$10,0)</f>
        <v>G</v>
      </c>
      <c r="E315" s="127" t="str">
        <f>_xlfn.XLOOKUP($B314,Estimating!$M$6:$BM$6,Estimating!$M$10:$BM$10,0)</f>
        <v>R</v>
      </c>
      <c r="F315" s="127" t="str">
        <f>_xlfn.XLOOKUP($B314,SOP!$M$6:$BM$6,SOP!$M$10:$BM$10,0)</f>
        <v>G</v>
      </c>
      <c r="G315" s="127" t="str">
        <f>_xlfn.XLOOKUP($B314,Design!$M$6:$BM$6,Design!$M$10:$BM$10,0)</f>
        <v>R</v>
      </c>
      <c r="H315" s="127" t="str">
        <f>_xlfn.XLOOKUP($B314,'Product Design'!$M$6:$BM$6,'Product Design'!$M$10:$BM$10,0)</f>
        <v>R</v>
      </c>
      <c r="I315" s="127" t="str">
        <f>_xlfn.XLOOKUP($B314,'Product Eng - BE'!$M$6:$BM$6,'Product Eng - BE'!$M$10:$BM$10,0)</f>
        <v>R</v>
      </c>
      <c r="J315" s="127" t="str">
        <f>_xlfn.XLOOKUP($B314,'Product Eng - MB'!$M$6:$BM$6,'Product Eng - MB'!$M$10:$BM$10,0)</f>
        <v>A</v>
      </c>
      <c r="K315" s="127" t="str">
        <f>_xlfn.XLOOKUP($B314,'Bridgend Manuf'!$M$6:$BM$6,'Bridgend Manuf'!$M$10:$BM$10,0)</f>
        <v>G</v>
      </c>
      <c r="L315" s="127" t="str">
        <f>_xlfn.XLOOKUP($B314,'Maybole Manuf'!$M$6:$BM$6,'Maybole Manuf'!$M$10:$BM$10,0)</f>
        <v>R</v>
      </c>
      <c r="M315" s="127" t="str">
        <f>_xlfn.XLOOKUP($B314,Logistics!$M$6:$BM$6,Logistics!$M$10:$BM$10,0)</f>
        <v>OD</v>
      </c>
      <c r="N315" s="127" t="str">
        <f>_xlfn.XLOOKUP($B314,Engineering!$M$22:$BM$22,Engineering!$M$26:$BM$26,0)</f>
        <v>OD</v>
      </c>
      <c r="O315" s="127" t="str">
        <f>_xlfn.XLOOKUP($B314,'Quality MB'!$M$6:$BM$6,'Quality MB'!$M$10:$BM$10,0)</f>
        <v>G</v>
      </c>
      <c r="P315" s="127" t="str">
        <f>_xlfn.XLOOKUP($B314,Procurement!$M$6:$BM$6,Procurement!$M$10:$BM$10,0)</f>
        <v>R</v>
      </c>
      <c r="Q315" s="127" t="str">
        <f>_xlfn.XLOOKUP($B314,IT!$M$6:$BM$6,IT!$M$10:$BM$10,0)</f>
        <v>Undefined</v>
      </c>
      <c r="R315" s="127" t="str">
        <f>_xlfn.XLOOKUP($B314,Marketing!$M$6:$BM$6,Marketing!$M$10:$BM$10,0)</f>
        <v>G</v>
      </c>
      <c r="S315" s="127" t="str">
        <f>_xlfn.XLOOKUP($B314,Finance!$M$6:$BM$6,Finance!$M$10:$BM$10,0)</f>
        <v>G</v>
      </c>
      <c r="U315" s="127" t="str">
        <f>IF(B314&gt;='KPI Linked Table for Report'!$C$1,"",_xlfn.XLOOKUP($T314,'HR mthly'!$I$6:$BM$6,'HR mthly'!$I$11:$BM$11,0))</f>
        <v>G</v>
      </c>
      <c r="V315" s="127" t="str">
        <f>IF(B314&gt;='KPI Linked Table for Report'!$C$1,"",_xlfn.XLOOKUP($T314,'HR mthly'!$I$6:$BM$6,'HR mthly'!$I$14:$BM$14,0))</f>
        <v>G</v>
      </c>
    </row>
    <row r="316" spans="2:22" ht="42.45" customHeight="1" x14ac:dyDescent="0.3">
      <c r="B316" s="971" t="s">
        <v>172</v>
      </c>
      <c r="C316" s="971"/>
      <c r="D316" s="127" t="str">
        <f>_xlfn.XLOOKUP($B314,EHS!$M$6:$BM$6,EHS!$M$13:$BM$13,0)</f>
        <v>G</v>
      </c>
      <c r="E316" s="127" t="str">
        <f>_xlfn.XLOOKUP($B314,Estimating!$M$6:$BM$6,Estimating!$M$13:$BM$13,0)</f>
        <v>R</v>
      </c>
      <c r="F316" s="127" t="str">
        <f>_xlfn.XLOOKUP($B314,SOP!$M$6:$BM$6,SOP!$M$13:$BM$13,0)</f>
        <v>R</v>
      </c>
      <c r="G316" s="127" t="str">
        <f>_xlfn.XLOOKUP($B314,Design!$M$6:$BM$6,Design!$M$13:$BM$13,0)</f>
        <v>R</v>
      </c>
      <c r="H316" s="127" t="str">
        <f>_xlfn.XLOOKUP($B314,'Product Design'!$M$6:$BM$6,'Product Design'!$M$13:$BM$13,0)</f>
        <v>G</v>
      </c>
      <c r="I316" s="127" t="str">
        <f>_xlfn.XLOOKUP($B314,'Product Eng - BE'!$M$6:$BM$6,'Product Eng - BE'!$M$13:$BM$13,0)</f>
        <v>G</v>
      </c>
      <c r="J316" s="127" t="str">
        <f>_xlfn.XLOOKUP($B314,'Product Eng - MB'!$M$6:$BM$6,'Product Eng - MB'!$M$13:$BM$13,0)</f>
        <v>G</v>
      </c>
      <c r="K316" s="127" t="str">
        <f>_xlfn.XLOOKUP($B314,'Bridgend Manuf'!$M$6:$BM$6,'Bridgend Manuf'!$M$13:$BM$13,0)</f>
        <v>G</v>
      </c>
      <c r="L316" s="127" t="str">
        <f>_xlfn.XLOOKUP($B314,'Maybole Manuf'!$M$6:$BM$6,'Maybole Manuf'!$M$13:$BM$13,0)</f>
        <v>G</v>
      </c>
      <c r="M316" s="127" t="str">
        <f>_xlfn.XLOOKUP($B314,Logistics!$M$6:$BM$6,Logistics!$M$13:$BM$13,0)</f>
        <v>OD</v>
      </c>
      <c r="N316" s="127" t="e">
        <f>_xlfn.XLOOKUP($B314,Engineering!$M$22:$BM$22,Engineering!#REF!,0)</f>
        <v>#REF!</v>
      </c>
      <c r="O316" s="127" t="str">
        <f>_xlfn.XLOOKUP($B314,'Quality MB'!$M$6:$BM$6,'Quality MB'!$M$13:$BM$13,0)</f>
        <v>G</v>
      </c>
      <c r="P316" s="127" t="str">
        <f>_xlfn.XLOOKUP($B314,Procurement!$M$6:$BM$6,Procurement!$M$13:$BM$13,0)</f>
        <v>A</v>
      </c>
      <c r="Q316" s="127" t="str">
        <f>_xlfn.XLOOKUP($B314,IT!$M$6:$BM$6,IT!$M$13:$BM$13,0)</f>
        <v>G</v>
      </c>
      <c r="R316" s="127" t="str">
        <f>_xlfn.XLOOKUP($B314,Marketing!$M$6:$BM$6,Marketing!$M$13:$BM$13,0)</f>
        <v>R</v>
      </c>
      <c r="S316" s="127" t="str">
        <f>IF(B314&gt;'KPI Linked Table for Report'!$C$2,"",_xlfn.XLOOKUP($T314,Finance!$M$16:$X$16,Finance!$M$21:$X$21,0))</f>
        <v/>
      </c>
      <c r="U316" s="127" t="str">
        <f>IF(B314&gt;='KPI Linked Table for Report'!$C$1,"",_xlfn.XLOOKUP($T314,'HR mthly'!$I$6:$BM$6,'HR mthly'!$I$18:$BM$18,0))</f>
        <v>R</v>
      </c>
      <c r="V316" s="127" t="str">
        <f>IF(B314&gt;='KPI Linked Table for Report'!$C$1,"",_xlfn.XLOOKUP($T314,'HR mthly'!$I$6:$BM$6,'HR mthly'!$I$21:$BM$21,0))</f>
        <v>R</v>
      </c>
    </row>
    <row r="317" spans="2:22" ht="42.45" customHeight="1" x14ac:dyDescent="0.3">
      <c r="B317" s="971" t="s">
        <v>173</v>
      </c>
      <c r="C317" s="971"/>
      <c r="D317" s="11" t="s">
        <v>174</v>
      </c>
      <c r="E317" s="11" t="s">
        <v>174</v>
      </c>
      <c r="F317" s="11" t="str">
        <f>_xlfn.XLOOKUP($B314,SOP!$M$6:$BM$6,SOP!$M$16:$BM$16,0)</f>
        <v>R</v>
      </c>
      <c r="G317" s="11" t="s">
        <v>174</v>
      </c>
      <c r="H317" s="11" t="str">
        <f>_xlfn.XLOOKUP($B314,'Product Design'!$M$6:$BM$6,'Product Design'!$M$16:$BM$16,0)</f>
        <v>G</v>
      </c>
      <c r="I317" s="11" t="str">
        <f>_xlfn.XLOOKUP($B314,'Product Eng - BE'!$M$6:$BM$6,'Product Eng - BE'!$M$16:$BM$16,0)</f>
        <v>R</v>
      </c>
      <c r="J317" s="11" t="str">
        <f>_xlfn.XLOOKUP($B314,'Product Eng - MB'!$M$6:$BM$6,'Product Eng - MB'!$M$16:$BM$16,0)</f>
        <v>R</v>
      </c>
      <c r="K317" s="11" t="s">
        <v>174</v>
      </c>
      <c r="L317" s="11" t="s">
        <v>174</v>
      </c>
      <c r="M317" s="11" t="s">
        <v>174</v>
      </c>
      <c r="N317" s="11" t="s">
        <v>174</v>
      </c>
      <c r="O317" s="11" t="s">
        <v>174</v>
      </c>
      <c r="P317" s="11" t="s">
        <v>174</v>
      </c>
      <c r="Q317" s="11" t="s">
        <v>174</v>
      </c>
      <c r="R317" s="11" t="s">
        <v>174</v>
      </c>
      <c r="S317" s="11" t="s">
        <v>174</v>
      </c>
      <c r="U317" s="11" t="s">
        <v>174</v>
      </c>
      <c r="V317" s="11" t="s">
        <v>174</v>
      </c>
    </row>
    <row r="318" spans="2:22" ht="42.45" customHeight="1" x14ac:dyDescent="0.3">
      <c r="B318" s="971" t="s">
        <v>32</v>
      </c>
      <c r="C318" s="971"/>
      <c r="D318" s="127" t="str">
        <f>_xlfn.XLOOKUP($B314,EHS!$M$6:$BM$6,EHS!$M$16:$BM$16,0)</f>
        <v>A</v>
      </c>
      <c r="E318" s="127" t="str">
        <f>_xlfn.XLOOKUP($B314,Estimating!$M$6:$BM$6,Estimating!$M$16:$BM$16,0)</f>
        <v>R</v>
      </c>
      <c r="F318" s="127" t="str">
        <f>_xlfn.XLOOKUP($B314,SOP!$M$6:$BM$6,SOP!$M$19:$BM$19,0)</f>
        <v>R</v>
      </c>
      <c r="G318" s="127" t="str">
        <f>_xlfn.XLOOKUP($B314,Design!$M$6:$BM$6,Design!$M$16:$BM$16,0)</f>
        <v>OD</v>
      </c>
      <c r="H318" s="127" t="str">
        <f>_xlfn.XLOOKUP($B314,'Product Design'!$M$6:$BM$6,'Product Design'!$M$19:$BM$19,0)</f>
        <v>G</v>
      </c>
      <c r="I318" s="127" t="str">
        <f>_xlfn.XLOOKUP($B314,'Product Eng - BE'!$M$6:$BM$6,'Product Eng - BE'!$M$19:$BM$19,0)</f>
        <v>R</v>
      </c>
      <c r="J318" s="127" t="str">
        <f>_xlfn.XLOOKUP($B314,'Product Eng - MB'!$M$6:$BM$6,'Product Eng - MB'!$M$19:$BM$19,0)</f>
        <v>G</v>
      </c>
      <c r="K318" s="127" t="str">
        <f>_xlfn.XLOOKUP($B314,'Bridgend Manuf'!$M$6:$BM$6,'Bridgend Manuf'!$M$16:$BM$16,0)</f>
        <v>G</v>
      </c>
      <c r="L318" s="127" t="str">
        <f>_xlfn.XLOOKUP($B314,'Maybole Manuf'!$M$6:$BM$6,'Maybole Manuf'!$M$16:$BM$16,0)</f>
        <v>G</v>
      </c>
      <c r="M318" s="127" t="str">
        <f>_xlfn.XLOOKUP($B314,Logistics!$M$6:$BM$6,Logistics!$M$16:$BM$16,0)</f>
        <v>OD</v>
      </c>
      <c r="N318" s="127" t="e">
        <f>_xlfn.XLOOKUP($B314,Engineering!$M$22:$BM$22,Engineering!#REF!,0)</f>
        <v>#REF!</v>
      </c>
      <c r="O318" s="127" t="str">
        <f>_xlfn.XLOOKUP($B314,'Quality MB'!$M$6:$BM$6,'Quality MB'!$M$16:$BM$16,0)</f>
        <v>G</v>
      </c>
      <c r="P318" s="127" t="str">
        <f>_xlfn.XLOOKUP($B314,Procurement!$M$6:$BM$6,Procurement!$M$16:$BM$16,0)</f>
        <v>G</v>
      </c>
      <c r="Q318" s="127" t="str">
        <f>_xlfn.XLOOKUP($B314,IT!$M$6:$BM$6,IT!$M$16:$BM$16,0)</f>
        <v>G</v>
      </c>
      <c r="R318" s="127" t="str">
        <f>_xlfn.XLOOKUP($B314,Marketing!$M$6:$BM$6,Marketing!$M$16:$BM$16,0)</f>
        <v>G</v>
      </c>
      <c r="S318" s="127" t="str">
        <f>IF(B314&gt;'KPI Linked Table for Report'!$C$2,"",_xlfn.XLOOKUP($T314,Finance!$M$16:$X$16,Finance!$M$24:$X$24,0))</f>
        <v/>
      </c>
      <c r="U318" s="127" t="str">
        <f>IF(B314&gt;='KPI Linked Table for Report'!$C$1,"",_xlfn.XLOOKUP($T314,'HR mthly'!$I$6:$BM$6,'HR mthly'!$I$26:$BM$26,0))</f>
        <v>R</v>
      </c>
      <c r="V318" s="127" t="str">
        <f>IF(B314&gt;='KPI Linked Table for Report'!$C$1,"",_xlfn.XLOOKUP($T314,'HR mthly'!$I$6:$BM$6,'HR mthly'!$I$29:$BM$29,0))</f>
        <v>OD</v>
      </c>
    </row>
    <row r="319" spans="2:22" ht="42.45" customHeight="1" x14ac:dyDescent="0.3">
      <c r="B319" s="971" t="s">
        <v>31</v>
      </c>
      <c r="C319" s="971"/>
      <c r="D319" s="127" t="str">
        <f>_xlfn.XLOOKUP($B314,EHS!$M$6:$BM$6,EHS!$M$19:$BM$19,0)</f>
        <v>G</v>
      </c>
      <c r="E319" s="127" t="str">
        <f>_xlfn.XLOOKUP($B314,Estimating!$M$6:$BM$6,Estimating!$M$19:$BM$19,0)</f>
        <v>G</v>
      </c>
      <c r="F319" s="127" t="str">
        <f>_xlfn.XLOOKUP($B314,SOP!$M$6:$BM$6,SOP!$M$22:$BM$22,0)</f>
        <v>R</v>
      </c>
      <c r="G319" s="127" t="str">
        <f>_xlfn.XLOOKUP($B314,Design!$M$6:$BM$6,Design!$M$19:$BM$19,0)</f>
        <v>R</v>
      </c>
      <c r="H319" s="127" t="str">
        <f>_xlfn.XLOOKUP($B314,'Product Design'!$M$6:$BM$6,'Product Design'!$M$22:$BM$22,0)</f>
        <v>Undefined</v>
      </c>
      <c r="I319" s="127" t="str">
        <f>_xlfn.XLOOKUP($B314,'Product Eng - BE'!$M$6:$BM$6,'Product Eng - BE'!$M$22:$BM$22,0)</f>
        <v>G</v>
      </c>
      <c r="J319" s="127" t="str">
        <f>_xlfn.XLOOKUP($B314,'Product Eng - MB'!$M$6:$BM$6,'Product Eng - MB'!$M$22:$BM$22,0)</f>
        <v>G</v>
      </c>
      <c r="K319" s="127" t="str">
        <f>_xlfn.XLOOKUP($B314,'Bridgend Manuf'!$M$6:$BM$6,'Bridgend Manuf'!$M$19:$BM$19,0)</f>
        <v>G</v>
      </c>
      <c r="L319" s="127" t="str">
        <f>_xlfn.XLOOKUP($B314,'Maybole Manuf'!$M$6:$BM$6,'Maybole Manuf'!$M$19:$BM$19,0)</f>
        <v>R</v>
      </c>
      <c r="M319" s="127" t="str">
        <f>_xlfn.XLOOKUP($B314,Logistics!$M$6:$BM$6,Logistics!$M$19:$BM$19,0)</f>
        <v>OD</v>
      </c>
      <c r="N319" s="127" t="e">
        <f>_xlfn.XLOOKUP($B314,Engineering!$M$22:$BM$22,Engineering!#REF!,0)</f>
        <v>#REF!</v>
      </c>
      <c r="O319" s="127" t="str">
        <f>_xlfn.XLOOKUP($B314,'Quality MB'!$M$6:$BM$6,'Quality MB'!$M$19:$BM$19,0)</f>
        <v>G</v>
      </c>
      <c r="P319" s="127" t="str">
        <f>_xlfn.XLOOKUP($B314,Procurement!$M$6:$BM$6,Procurement!$M$19:$BM$19,0)</f>
        <v>G</v>
      </c>
      <c r="Q319" s="127" t="str">
        <f>_xlfn.XLOOKUP($B314,IT!$M$6:$BM$6,IT!$M$19:$BM$19,0)</f>
        <v>R</v>
      </c>
      <c r="R319" s="127" t="str">
        <f>_xlfn.XLOOKUP($B314,Marketing!$M$6:$BM$6,Marketing!$M$19:$BM$19,0)</f>
        <v>G</v>
      </c>
      <c r="S319" s="127" t="str">
        <f>IF(B314&gt;'KPI Linked Table for Report'!$C$2,"",_xlfn.XLOOKUP($T314,Finance!$M$16:$X$16,Finance!$M$27:$X$27,0))</f>
        <v/>
      </c>
      <c r="U319" s="127" t="str">
        <f>IF(B314&gt;='KPI Linked Table for Report'!$C$1,"",_xlfn.XLOOKUP($T314,'HR mthly'!$I$6:$BM$6,'HR mthly'!$I$33:$BM$33,0))</f>
        <v>A</v>
      </c>
      <c r="V319" s="127" t="str">
        <f>IF(B314&gt;='KPI Linked Table for Report'!$C$1,"",_xlfn.XLOOKUP($T314,'HR mthly'!$I$6:$BM$6,'HR mthly'!$I$36:$BM$36,0))</f>
        <v>R</v>
      </c>
    </row>
    <row r="321" spans="2:22" ht="42.45" customHeight="1" x14ac:dyDescent="0.3">
      <c r="B321" s="973" t="s">
        <v>7</v>
      </c>
      <c r="C321" s="974"/>
      <c r="D321" s="6" t="str">
        <f>+D$9</f>
        <v>EHS</v>
      </c>
      <c r="E321" s="6" t="str">
        <f>+E$9</f>
        <v>Estimating</v>
      </c>
      <c r="F321" s="6" t="str">
        <f t="shared" ref="F321:R321" si="61">+F$9</f>
        <v>SOP</v>
      </c>
      <c r="G321" s="6" t="str">
        <f>+G$9</f>
        <v>Design and R&amp;D</v>
      </c>
      <c r="H321" s="6" t="str">
        <f t="shared" si="61"/>
        <v>Product Design</v>
      </c>
      <c r="I321" s="6" t="str">
        <f t="shared" si="61"/>
        <v>Product Engineering Bridgend</v>
      </c>
      <c r="J321" s="6" t="str">
        <f t="shared" si="61"/>
        <v>Product Engineering Maybole</v>
      </c>
      <c r="K321" s="6" t="str">
        <f t="shared" si="61"/>
        <v>Bridgend
Manuf</v>
      </c>
      <c r="L321" s="6" t="str">
        <f t="shared" si="61"/>
        <v>Maybole
Manuf</v>
      </c>
      <c r="M321" s="6" t="str">
        <f>+M$9</f>
        <v>Logistics</v>
      </c>
      <c r="N321" s="6" t="str">
        <f>+N$9</f>
        <v>Engineering</v>
      </c>
      <c r="O321" s="6" t="str">
        <f>+O$9</f>
        <v>Quality
Maybole</v>
      </c>
      <c r="P321" s="6" t="str">
        <f>+P$9</f>
        <v>Procurement</v>
      </c>
      <c r="Q321" s="6" t="str">
        <f>+Q$9</f>
        <v>IT</v>
      </c>
      <c r="R321" s="6" t="str">
        <f t="shared" si="61"/>
        <v>Marketing</v>
      </c>
      <c r="S321" s="6" t="str">
        <f>+S$9</f>
        <v>Finance</v>
      </c>
      <c r="T321" s="7" t="s">
        <v>409</v>
      </c>
      <c r="U321" s="6" t="str">
        <f>+U$9</f>
        <v>HR</v>
      </c>
      <c r="V321" s="6" t="str">
        <f>+V$9</f>
        <v>HR</v>
      </c>
    </row>
    <row r="322" spans="2:22" ht="42.45" customHeight="1" x14ac:dyDescent="0.3">
      <c r="B322" s="7">
        <f>B314+1</f>
        <v>40</v>
      </c>
      <c r="C322" s="8">
        <f>C314+7</f>
        <v>45933</v>
      </c>
      <c r="D322" s="10" t="s">
        <v>24</v>
      </c>
      <c r="E322" s="9" t="str">
        <f>+E$186</f>
        <v>Julian Sparrow</v>
      </c>
      <c r="F322" s="10" t="s">
        <v>19</v>
      </c>
      <c r="G322" s="10" t="s">
        <v>20</v>
      </c>
      <c r="H322" s="10" t="s">
        <v>24</v>
      </c>
      <c r="I322" s="10" t="s">
        <v>24</v>
      </c>
      <c r="J322" s="10" t="s">
        <v>21</v>
      </c>
      <c r="K322" s="10" t="s">
        <v>22</v>
      </c>
      <c r="L322" s="10" t="s">
        <v>23</v>
      </c>
      <c r="M322" s="10" t="str">
        <f>+M$10</f>
        <v>Scott McMillan</v>
      </c>
      <c r="N322" s="10" t="str">
        <f>+N$10</f>
        <v>Garin Bowen</v>
      </c>
      <c r="O322" s="10" t="str">
        <f>+O$10</f>
        <v>Scott McMIllan</v>
      </c>
      <c r="P322" s="10" t="str">
        <f>+P$10</f>
        <v>Matt 
Pope</v>
      </c>
      <c r="Q322" s="10" t="s">
        <v>29</v>
      </c>
      <c r="R322" s="10" t="s">
        <v>25</v>
      </c>
      <c r="S322" s="10" t="s">
        <v>26</v>
      </c>
      <c r="T322" s="7">
        <v>8</v>
      </c>
      <c r="U322" s="10" t="str">
        <f>+U$10</f>
        <v>Bethan Grant</v>
      </c>
      <c r="V322" s="10" t="str">
        <f>+V$10</f>
        <v>Bethan Grant</v>
      </c>
    </row>
    <row r="323" spans="2:22" ht="42.45" customHeight="1" x14ac:dyDescent="0.3">
      <c r="B323" s="971" t="s">
        <v>30</v>
      </c>
      <c r="C323" s="971"/>
      <c r="D323" s="127" t="str">
        <f>_xlfn.XLOOKUP($B322,EHS!$M$6:$BM$6,EHS!$M$10:$BM$10,0)</f>
        <v>G</v>
      </c>
      <c r="E323" s="127" t="str">
        <f>_xlfn.XLOOKUP($B322,Estimating!$M$6:$BM$6,Estimating!$M$10:$BM$10,0)</f>
        <v>R</v>
      </c>
      <c r="F323" s="127" t="str">
        <f>_xlfn.XLOOKUP($B322,SOP!$M$6:$BM$6,SOP!$M$10:$BM$10,0)</f>
        <v>A</v>
      </c>
      <c r="G323" s="127" t="str">
        <f>_xlfn.XLOOKUP($B322,Design!$M$6:$BM$6,Design!$M$10:$BM$10,0)</f>
        <v>R</v>
      </c>
      <c r="H323" s="127" t="str">
        <f>_xlfn.XLOOKUP($B322,'Product Design'!$M$6:$BM$6,'Product Design'!$M$10:$BM$10,0)</f>
        <v>R</v>
      </c>
      <c r="I323" s="127" t="str">
        <f>_xlfn.XLOOKUP($B322,'Product Eng - BE'!$M$6:$BM$6,'Product Eng - BE'!$M$10:$BM$10,0)</f>
        <v>G</v>
      </c>
      <c r="J323" s="127" t="str">
        <f>_xlfn.XLOOKUP($B322,'Product Eng - MB'!$M$6:$BM$6,'Product Eng - MB'!$M$10:$BM$10,0)</f>
        <v>G</v>
      </c>
      <c r="K323" s="127" t="str">
        <f>_xlfn.XLOOKUP($B322,'Bridgend Manuf'!$M$6:$BM$6,'Bridgend Manuf'!$M$10:$BM$10,0)</f>
        <v>OD</v>
      </c>
      <c r="L323" s="127" t="str">
        <f>_xlfn.XLOOKUP($B322,'Maybole Manuf'!$M$6:$BM$6,'Maybole Manuf'!$M$10:$BM$10,0)</f>
        <v>G</v>
      </c>
      <c r="M323" s="127" t="str">
        <f>_xlfn.XLOOKUP($B322,Logistics!$M$6:$BM$6,Logistics!$M$10:$BM$10,0)</f>
        <v>OD</v>
      </c>
      <c r="N323" s="127" t="str">
        <f>_xlfn.XLOOKUP($B322,Engineering!$M$22:$BM$22,Engineering!$M$26:$BM$26,0)</f>
        <v>OD</v>
      </c>
      <c r="O323" s="127" t="str">
        <f>_xlfn.XLOOKUP($B322,'Quality MB'!$M$6:$BM$6,'Quality MB'!$M$10:$BM$10,0)</f>
        <v>G</v>
      </c>
      <c r="P323" s="127" t="str">
        <f>_xlfn.XLOOKUP($B322,Procurement!$M$6:$BM$6,Procurement!$M$10:$BM$10,0)</f>
        <v>R</v>
      </c>
      <c r="Q323" s="127" t="str">
        <f>_xlfn.XLOOKUP($B322,IT!$M$6:$BM$6,IT!$M$10:$BM$10,0)</f>
        <v>Undefined</v>
      </c>
      <c r="R323" s="127" t="str">
        <f>_xlfn.XLOOKUP($B322,Marketing!$M$6:$BM$6,Marketing!$M$10:$BM$10,0)</f>
        <v>G</v>
      </c>
      <c r="S323" s="127" t="str">
        <f>_xlfn.XLOOKUP($B322,Finance!$M$6:$BM$6,Finance!$M$10:$BM$10,0)</f>
        <v>G</v>
      </c>
      <c r="U323" s="127" t="str">
        <f>IF(B322&gt;='KPI Linked Table for Report'!$C$1,"",_xlfn.XLOOKUP($T322,'HR mthly'!$I$6:$BM$6,'HR mthly'!$I$11:$BM$11,0))</f>
        <v>G</v>
      </c>
      <c r="V323" s="127" t="str">
        <f>IF(B322&gt;='KPI Linked Table for Report'!$C$1,"",_xlfn.XLOOKUP($T322,'HR mthly'!$I$6:$BM$6,'HR mthly'!$I$14:$BM$14,0))</f>
        <v>G</v>
      </c>
    </row>
    <row r="324" spans="2:22" ht="42.45" customHeight="1" x14ac:dyDescent="0.3">
      <c r="B324" s="971" t="s">
        <v>172</v>
      </c>
      <c r="C324" s="971"/>
      <c r="D324" s="127" t="str">
        <f>_xlfn.XLOOKUP($B322,EHS!$M$6:$BM$6,EHS!$M$13:$BM$13,0)</f>
        <v>G</v>
      </c>
      <c r="E324" s="127" t="str">
        <f>_xlfn.XLOOKUP($B322,Estimating!$M$6:$BM$6,Estimating!$M$13:$BM$13,0)</f>
        <v>A</v>
      </c>
      <c r="F324" s="127" t="str">
        <f>_xlfn.XLOOKUP($B322,SOP!$M$6:$BM$6,SOP!$M$13:$BM$13,0)</f>
        <v>G</v>
      </c>
      <c r="G324" s="127" t="str">
        <f>_xlfn.XLOOKUP($B322,Design!$M$6:$BM$6,Design!$M$13:$BM$13,0)</f>
        <v>R</v>
      </c>
      <c r="H324" s="127" t="str">
        <f>_xlfn.XLOOKUP($B322,'Product Design'!$M$6:$BM$6,'Product Design'!$M$13:$BM$13,0)</f>
        <v>G</v>
      </c>
      <c r="I324" s="127" t="str">
        <f>_xlfn.XLOOKUP($B322,'Product Eng - BE'!$M$6:$BM$6,'Product Eng - BE'!$M$13:$BM$13,0)</f>
        <v>R</v>
      </c>
      <c r="J324" s="127" t="str">
        <f>_xlfn.XLOOKUP($B322,'Product Eng - MB'!$M$6:$BM$6,'Product Eng - MB'!$M$13:$BM$13,0)</f>
        <v>G</v>
      </c>
      <c r="K324" s="127" t="str">
        <f>_xlfn.XLOOKUP($B322,'Bridgend Manuf'!$M$6:$BM$6,'Bridgend Manuf'!$M$13:$BM$13,0)</f>
        <v>OD</v>
      </c>
      <c r="L324" s="127" t="str">
        <f>_xlfn.XLOOKUP($B322,'Maybole Manuf'!$M$6:$BM$6,'Maybole Manuf'!$M$13:$BM$13,0)</f>
        <v>R</v>
      </c>
      <c r="M324" s="127" t="str">
        <f>_xlfn.XLOOKUP($B322,Logistics!$M$6:$BM$6,Logistics!$M$13:$BM$13,0)</f>
        <v>OD</v>
      </c>
      <c r="N324" s="127" t="e">
        <f>_xlfn.XLOOKUP($B322,Engineering!$M$22:$BM$22,Engineering!#REF!,0)</f>
        <v>#REF!</v>
      </c>
      <c r="O324" s="127" t="str">
        <f>_xlfn.XLOOKUP($B322,'Quality MB'!$M$6:$BM$6,'Quality MB'!$M$13:$BM$13,0)</f>
        <v>G</v>
      </c>
      <c r="P324" s="127" t="str">
        <f>_xlfn.XLOOKUP($B322,Procurement!$M$6:$BM$6,Procurement!$M$13:$BM$13,0)</f>
        <v>A</v>
      </c>
      <c r="Q324" s="127" t="str">
        <f>_xlfn.XLOOKUP($B322,IT!$M$6:$BM$6,IT!$M$13:$BM$13,0)</f>
        <v>G</v>
      </c>
      <c r="R324" s="127" t="str">
        <f>_xlfn.XLOOKUP($B322,Marketing!$M$6:$BM$6,Marketing!$M$13:$BM$13,0)</f>
        <v>G</v>
      </c>
      <c r="S324" s="127" t="str">
        <f>IF(B322&gt;'KPI Linked Table for Report'!$C$2,"",_xlfn.XLOOKUP($T322,Finance!$M$16:$X$16,Finance!$M$21:$X$21,0))</f>
        <v/>
      </c>
      <c r="U324" s="127" t="str">
        <f>IF(B322&gt;='KPI Linked Table for Report'!$C$1,"",_xlfn.XLOOKUP($T322,'HR mthly'!$I$6:$BM$6,'HR mthly'!$I$18:$BM$18,0))</f>
        <v>R</v>
      </c>
      <c r="V324" s="127" t="str">
        <f>IF(B322&gt;='KPI Linked Table for Report'!$C$1,"",_xlfn.XLOOKUP($T322,'HR mthly'!$I$6:$BM$6,'HR mthly'!$I$21:$BM$21,0))</f>
        <v>R</v>
      </c>
    </row>
    <row r="325" spans="2:22" ht="42.45" customHeight="1" x14ac:dyDescent="0.3">
      <c r="B325" s="971" t="s">
        <v>173</v>
      </c>
      <c r="C325" s="971"/>
      <c r="D325" s="11" t="s">
        <v>174</v>
      </c>
      <c r="E325" s="11" t="s">
        <v>174</v>
      </c>
      <c r="F325" s="11" t="str">
        <f>_xlfn.XLOOKUP($B322,SOP!$M$6:$BM$6,SOP!$M$16:$BM$16,0)</f>
        <v>A</v>
      </c>
      <c r="G325" s="11" t="s">
        <v>174</v>
      </c>
      <c r="H325" s="11" t="str">
        <f>_xlfn.XLOOKUP($B322,'Product Design'!$M$6:$BM$6,'Product Design'!$M$16:$BM$16,0)</f>
        <v>G</v>
      </c>
      <c r="I325" s="11" t="str">
        <f>_xlfn.XLOOKUP($B322,'Product Eng - BE'!$M$6:$BM$6,'Product Eng - BE'!$M$16:$BM$16,0)</f>
        <v>R</v>
      </c>
      <c r="J325" s="11" t="str">
        <f>_xlfn.XLOOKUP($B322,'Product Eng - MB'!$M$6:$BM$6,'Product Eng - MB'!$M$16:$BM$16,0)</f>
        <v>R</v>
      </c>
      <c r="K325" s="11" t="s">
        <v>174</v>
      </c>
      <c r="L325" s="11" t="s">
        <v>174</v>
      </c>
      <c r="M325" s="11" t="s">
        <v>174</v>
      </c>
      <c r="N325" s="11" t="s">
        <v>174</v>
      </c>
      <c r="O325" s="11" t="s">
        <v>174</v>
      </c>
      <c r="P325" s="11" t="s">
        <v>174</v>
      </c>
      <c r="Q325" s="11" t="s">
        <v>174</v>
      </c>
      <c r="R325" s="11" t="s">
        <v>174</v>
      </c>
      <c r="S325" s="11" t="s">
        <v>174</v>
      </c>
      <c r="U325" s="11" t="s">
        <v>174</v>
      </c>
      <c r="V325" s="11" t="s">
        <v>174</v>
      </c>
    </row>
    <row r="326" spans="2:22" ht="42.45" customHeight="1" x14ac:dyDescent="0.3">
      <c r="B326" s="971" t="s">
        <v>32</v>
      </c>
      <c r="C326" s="971"/>
      <c r="D326" s="127" t="str">
        <f>_xlfn.XLOOKUP($B322,EHS!$M$6:$BM$6,EHS!$M$16:$BM$16,0)</f>
        <v>G</v>
      </c>
      <c r="E326" s="127" t="str">
        <f>_xlfn.XLOOKUP($B322,Estimating!$M$6:$BM$6,Estimating!$M$16:$BM$16,0)</f>
        <v>R</v>
      </c>
      <c r="F326" s="127" t="str">
        <f>_xlfn.XLOOKUP($B322,SOP!$M$6:$BM$6,SOP!$M$19:$BM$19,0)</f>
        <v>R</v>
      </c>
      <c r="G326" s="127" t="str">
        <f>_xlfn.XLOOKUP($B322,Design!$M$6:$BM$6,Design!$M$16:$BM$16,0)</f>
        <v>OD</v>
      </c>
      <c r="H326" s="127" t="str">
        <f>_xlfn.XLOOKUP($B322,'Product Design'!$M$6:$BM$6,'Product Design'!$M$19:$BM$19,0)</f>
        <v>R</v>
      </c>
      <c r="I326" s="127" t="str">
        <f>_xlfn.XLOOKUP($B322,'Product Eng - BE'!$M$6:$BM$6,'Product Eng - BE'!$M$19:$BM$19,0)</f>
        <v>R</v>
      </c>
      <c r="J326" s="127" t="str">
        <f>_xlfn.XLOOKUP($B322,'Product Eng - MB'!$M$6:$BM$6,'Product Eng - MB'!$M$19:$BM$19,0)</f>
        <v>G</v>
      </c>
      <c r="K326" s="127" t="str">
        <f>_xlfn.XLOOKUP($B322,'Bridgend Manuf'!$M$6:$BM$6,'Bridgend Manuf'!$M$16:$BM$16,0)</f>
        <v>OD</v>
      </c>
      <c r="L326" s="127" t="str">
        <f>_xlfn.XLOOKUP($B322,'Maybole Manuf'!$M$6:$BM$6,'Maybole Manuf'!$M$16:$BM$16,0)</f>
        <v>G</v>
      </c>
      <c r="M326" s="127" t="str">
        <f>_xlfn.XLOOKUP($B322,Logistics!$M$6:$BM$6,Logistics!$M$16:$BM$16,0)</f>
        <v>OD</v>
      </c>
      <c r="N326" s="127" t="e">
        <f>_xlfn.XLOOKUP($B322,Engineering!$M$22:$BM$22,Engineering!#REF!,0)</f>
        <v>#REF!</v>
      </c>
      <c r="O326" s="127" t="str">
        <f>_xlfn.XLOOKUP($B322,'Quality MB'!$M$6:$BM$6,'Quality MB'!$M$16:$BM$16,0)</f>
        <v>G</v>
      </c>
      <c r="P326" s="127" t="str">
        <f>_xlfn.XLOOKUP($B322,Procurement!$M$6:$BM$6,Procurement!$M$16:$BM$16,0)</f>
        <v>G</v>
      </c>
      <c r="Q326" s="127" t="str">
        <f>_xlfn.XLOOKUP($B322,IT!$M$6:$BM$6,IT!$M$16:$BM$16,0)</f>
        <v>G</v>
      </c>
      <c r="R326" s="127" t="str">
        <f>_xlfn.XLOOKUP($B322,Marketing!$M$6:$BM$6,Marketing!$M$16:$BM$16,0)</f>
        <v>R</v>
      </c>
      <c r="S326" s="127" t="str">
        <f>IF(B322&gt;'KPI Linked Table for Report'!$C$2,"",_xlfn.XLOOKUP($T322,Finance!$M$16:$X$16,Finance!$M$24:$X$24,0))</f>
        <v/>
      </c>
      <c r="U326" s="127" t="str">
        <f>IF(B322&gt;='KPI Linked Table for Report'!$C$1,"",_xlfn.XLOOKUP($T322,'HR mthly'!$I$6:$BM$6,'HR mthly'!$I$26:$BM$26,0))</f>
        <v>R</v>
      </c>
      <c r="V326" s="127" t="str">
        <f>IF(B322&gt;='KPI Linked Table for Report'!$C$1,"",_xlfn.XLOOKUP($T322,'HR mthly'!$I$6:$BM$6,'HR mthly'!$I$29:$BM$29,0))</f>
        <v>OD</v>
      </c>
    </row>
    <row r="327" spans="2:22" ht="42.45" customHeight="1" x14ac:dyDescent="0.3">
      <c r="B327" s="971" t="s">
        <v>31</v>
      </c>
      <c r="C327" s="971"/>
      <c r="D327" s="127" t="str">
        <f>_xlfn.XLOOKUP($B322,EHS!$M$6:$BM$6,EHS!$M$19:$BM$19,0)</f>
        <v>G</v>
      </c>
      <c r="E327" s="127" t="str">
        <f>_xlfn.XLOOKUP($B322,Estimating!$M$6:$BM$6,Estimating!$M$19:$BM$19,0)</f>
        <v>G</v>
      </c>
      <c r="F327" s="127" t="str">
        <f>_xlfn.XLOOKUP($B322,SOP!$M$6:$BM$6,SOP!$M$22:$BM$22,0)</f>
        <v>R</v>
      </c>
      <c r="G327" s="127" t="str">
        <f>_xlfn.XLOOKUP($B322,Design!$M$6:$BM$6,Design!$M$19:$BM$19,0)</f>
        <v>G</v>
      </c>
      <c r="H327" s="127" t="str">
        <f>_xlfn.XLOOKUP($B322,'Product Design'!$M$6:$BM$6,'Product Design'!$M$22:$BM$22,0)</f>
        <v>Undefined</v>
      </c>
      <c r="I327" s="127" t="str">
        <f>_xlfn.XLOOKUP($B322,'Product Eng - BE'!$M$6:$BM$6,'Product Eng - BE'!$M$22:$BM$22,0)</f>
        <v>G</v>
      </c>
      <c r="J327" s="127" t="str">
        <f>_xlfn.XLOOKUP($B322,'Product Eng - MB'!$M$6:$BM$6,'Product Eng - MB'!$M$22:$BM$22,0)</f>
        <v>R</v>
      </c>
      <c r="K327" s="127" t="str">
        <f>_xlfn.XLOOKUP($B322,'Bridgend Manuf'!$M$6:$BM$6,'Bridgend Manuf'!$M$19:$BM$19,0)</f>
        <v>OD</v>
      </c>
      <c r="L327" s="127" t="str">
        <f>_xlfn.XLOOKUP($B322,'Maybole Manuf'!$M$6:$BM$6,'Maybole Manuf'!$M$19:$BM$19,0)</f>
        <v>G</v>
      </c>
      <c r="M327" s="127" t="str">
        <f>_xlfn.XLOOKUP($B322,Logistics!$M$6:$BM$6,Logistics!$M$19:$BM$19,0)</f>
        <v>OD</v>
      </c>
      <c r="N327" s="127" t="e">
        <f>_xlfn.XLOOKUP($B322,Engineering!$M$22:$BM$22,Engineering!#REF!,0)</f>
        <v>#REF!</v>
      </c>
      <c r="O327" s="127" t="str">
        <f>_xlfn.XLOOKUP($B322,'Quality MB'!$M$6:$BM$6,'Quality MB'!$M$19:$BM$19,0)</f>
        <v>R</v>
      </c>
      <c r="P327" s="127" t="str">
        <f>_xlfn.XLOOKUP($B322,Procurement!$M$6:$BM$6,Procurement!$M$19:$BM$19,0)</f>
        <v>G</v>
      </c>
      <c r="Q327" s="127" t="str">
        <f>_xlfn.XLOOKUP($B322,IT!$M$6:$BM$6,IT!$M$19:$BM$19,0)</f>
        <v>R</v>
      </c>
      <c r="R327" s="127" t="str">
        <f>_xlfn.XLOOKUP($B322,Marketing!$M$6:$BM$6,Marketing!$M$19:$BM$19,0)</f>
        <v>G</v>
      </c>
      <c r="S327" s="127" t="str">
        <f>IF(B322&gt;'KPI Linked Table for Report'!$C$2,"",_xlfn.XLOOKUP($T322,Finance!$M$16:$X$16,Finance!$M$27:$X$27,0))</f>
        <v/>
      </c>
      <c r="U327" s="127" t="str">
        <f>IF(B322&gt;='KPI Linked Table for Report'!$C$1,"",_xlfn.XLOOKUP($T322,'HR mthly'!$I$6:$BM$6,'HR mthly'!$I$33:$BM$33,0))</f>
        <v>A</v>
      </c>
      <c r="V327" s="127" t="str">
        <f>IF(B322&gt;='KPI Linked Table for Report'!$C$1,"",_xlfn.XLOOKUP($T322,'HR mthly'!$I$6:$BM$6,'HR mthly'!$I$36:$BM$36,0))</f>
        <v>R</v>
      </c>
    </row>
    <row r="329" spans="2:22" ht="42.45" customHeight="1" x14ac:dyDescent="0.3">
      <c r="B329" s="973" t="s">
        <v>7</v>
      </c>
      <c r="C329" s="974"/>
      <c r="D329" s="6" t="str">
        <f>+D$9</f>
        <v>EHS</v>
      </c>
      <c r="E329" s="6" t="str">
        <f>+E$9</f>
        <v>Estimating</v>
      </c>
      <c r="F329" s="6" t="str">
        <f t="shared" ref="F329:R329" si="62">+F$9</f>
        <v>SOP</v>
      </c>
      <c r="G329" s="6" t="str">
        <f>+G$9</f>
        <v>Design and R&amp;D</v>
      </c>
      <c r="H329" s="6" t="str">
        <f t="shared" si="62"/>
        <v>Product Design</v>
      </c>
      <c r="I329" s="6" t="str">
        <f t="shared" si="62"/>
        <v>Product Engineering Bridgend</v>
      </c>
      <c r="J329" s="6" t="str">
        <f t="shared" si="62"/>
        <v>Product Engineering Maybole</v>
      </c>
      <c r="K329" s="6" t="str">
        <f t="shared" si="62"/>
        <v>Bridgend
Manuf</v>
      </c>
      <c r="L329" s="6" t="str">
        <f t="shared" si="62"/>
        <v>Maybole
Manuf</v>
      </c>
      <c r="M329" s="6" t="str">
        <f>+M$9</f>
        <v>Logistics</v>
      </c>
      <c r="N329" s="6" t="str">
        <f>+N$9</f>
        <v>Engineering</v>
      </c>
      <c r="O329" s="6" t="str">
        <f>+O$9</f>
        <v>Quality
Maybole</v>
      </c>
      <c r="P329" s="6" t="str">
        <f>+P$9</f>
        <v>Procurement</v>
      </c>
      <c r="Q329" s="6" t="str">
        <f>+Q$9</f>
        <v>IT</v>
      </c>
      <c r="R329" s="6" t="str">
        <f t="shared" si="62"/>
        <v>Marketing</v>
      </c>
      <c r="S329" s="6" t="str">
        <f>+S$9</f>
        <v>Finance</v>
      </c>
      <c r="T329" s="7" t="s">
        <v>409</v>
      </c>
      <c r="U329" s="6" t="str">
        <f>+U$9</f>
        <v>HR</v>
      </c>
      <c r="V329" s="6" t="str">
        <f>+V$9</f>
        <v>HR</v>
      </c>
    </row>
    <row r="330" spans="2:22" ht="42.45" customHeight="1" x14ac:dyDescent="0.3">
      <c r="B330" s="7">
        <f>B322+1</f>
        <v>41</v>
      </c>
      <c r="C330" s="8">
        <f>C322+7</f>
        <v>45940</v>
      </c>
      <c r="D330" s="10" t="s">
        <v>24</v>
      </c>
      <c r="E330" s="9" t="str">
        <f>+E$186</f>
        <v>Julian Sparrow</v>
      </c>
      <c r="F330" s="10" t="s">
        <v>19</v>
      </c>
      <c r="G330" s="10" t="s">
        <v>20</v>
      </c>
      <c r="H330" s="10" t="s">
        <v>24</v>
      </c>
      <c r="I330" s="10" t="s">
        <v>24</v>
      </c>
      <c r="J330" s="10" t="s">
        <v>21</v>
      </c>
      <c r="K330" s="10" t="s">
        <v>22</v>
      </c>
      <c r="L330" s="10" t="s">
        <v>23</v>
      </c>
      <c r="M330" s="10" t="str">
        <f>+M$10</f>
        <v>Scott McMillan</v>
      </c>
      <c r="N330" s="10" t="str">
        <f>+N$10</f>
        <v>Garin Bowen</v>
      </c>
      <c r="O330" s="10" t="str">
        <f>+O$10</f>
        <v>Scott McMIllan</v>
      </c>
      <c r="P330" s="10" t="str">
        <f>+P$10</f>
        <v>Matt 
Pope</v>
      </c>
      <c r="Q330" s="10" t="s">
        <v>29</v>
      </c>
      <c r="R330" s="10" t="s">
        <v>25</v>
      </c>
      <c r="S330" s="10" t="s">
        <v>26</v>
      </c>
      <c r="T330" s="7">
        <v>9</v>
      </c>
      <c r="U330" s="10" t="str">
        <f>+U$10</f>
        <v>Bethan Grant</v>
      </c>
      <c r="V330" s="10" t="str">
        <f>+V$10</f>
        <v>Bethan Grant</v>
      </c>
    </row>
    <row r="331" spans="2:22" ht="42.45" customHeight="1" x14ac:dyDescent="0.3">
      <c r="B331" s="971" t="s">
        <v>30</v>
      </c>
      <c r="C331" s="971"/>
      <c r="D331" s="127" t="str">
        <f>_xlfn.XLOOKUP($B330,EHS!$M$6:$BM$6,EHS!$M$10:$BM$10,0)</f>
        <v>G</v>
      </c>
      <c r="E331" s="127" t="str">
        <f>_xlfn.XLOOKUP($B330,Estimating!$M$6:$BM$6,Estimating!$M$10:$BM$10,0)</f>
        <v>A</v>
      </c>
      <c r="F331" s="127" t="str">
        <f>_xlfn.XLOOKUP($B330,SOP!$M$6:$BM$6,SOP!$M$10:$BM$10,0)</f>
        <v>R</v>
      </c>
      <c r="G331" s="127" t="str">
        <f>_xlfn.XLOOKUP($B330,Design!$M$6:$BM$6,Design!$M$10:$BM$10,0)</f>
        <v>R</v>
      </c>
      <c r="H331" s="127" t="str">
        <f>_xlfn.XLOOKUP($B330,'Product Design'!$M$6:$BM$6,'Product Design'!$M$10:$BM$10,0)</f>
        <v>G</v>
      </c>
      <c r="I331" s="127" t="str">
        <f>_xlfn.XLOOKUP($B330,'Product Eng - BE'!$M$6:$BM$6,'Product Eng - BE'!$M$10:$BM$10,0)</f>
        <v>G</v>
      </c>
      <c r="J331" s="127" t="str">
        <f>_xlfn.XLOOKUP($B330,'Product Eng - MB'!$M$6:$BM$6,'Product Eng - MB'!$M$10:$BM$10,0)</f>
        <v>G</v>
      </c>
      <c r="K331" s="127" t="str">
        <f>_xlfn.XLOOKUP($B330,'Bridgend Manuf'!$M$6:$BM$6,'Bridgend Manuf'!$M$10:$BM$10,0)</f>
        <v>OD</v>
      </c>
      <c r="L331" s="127" t="str">
        <f>_xlfn.XLOOKUP($B330,'Maybole Manuf'!$M$6:$BM$6,'Maybole Manuf'!$M$10:$BM$10,0)</f>
        <v>R</v>
      </c>
      <c r="M331" s="127" t="str">
        <f>_xlfn.XLOOKUP($B330,Logistics!$M$6:$BM$6,Logistics!$M$10:$BM$10,0)</f>
        <v>OD</v>
      </c>
      <c r="N331" s="127" t="str">
        <f>_xlfn.XLOOKUP($B330,Engineering!$M$22:$BM$22,Engineering!$M$26:$BM$26,0)</f>
        <v>OD</v>
      </c>
      <c r="O331" s="127" t="str">
        <f>_xlfn.XLOOKUP($B330,'Quality MB'!$M$6:$BM$6,'Quality MB'!$M$10:$BM$10,0)</f>
        <v>G</v>
      </c>
      <c r="P331" s="127" t="str">
        <f>_xlfn.XLOOKUP($B330,Procurement!$M$6:$BM$6,Procurement!$M$10:$BM$10,0)</f>
        <v>R</v>
      </c>
      <c r="Q331" s="127" t="str">
        <f>_xlfn.XLOOKUP($B330,IT!$M$6:$BM$6,IT!$M$10:$BM$10,0)</f>
        <v>Undefined</v>
      </c>
      <c r="R331" s="127" t="str">
        <f>_xlfn.XLOOKUP($B330,Marketing!$M$6:$BM$6,Marketing!$M$10:$BM$10,0)</f>
        <v>G</v>
      </c>
      <c r="S331" s="127" t="str">
        <f>_xlfn.XLOOKUP($B330,Finance!$M$6:$BM$6,Finance!$M$10:$BM$10,0)</f>
        <v>G</v>
      </c>
      <c r="U331" s="127" t="str">
        <f>IF(B330&gt;='KPI Linked Table for Report'!$C$1,"",_xlfn.XLOOKUP($T330,'HR mthly'!$I$6:$BM$6,'HR mthly'!$I$11:$BM$11,0))</f>
        <v>G</v>
      </c>
      <c r="V331" s="127" t="str">
        <f>IF(B330&gt;='KPI Linked Table for Report'!$C$1,"",_xlfn.XLOOKUP($T330,'HR mthly'!$I$6:$BM$6,'HR mthly'!$I$14:$BM$14,0))</f>
        <v>G</v>
      </c>
    </row>
    <row r="332" spans="2:22" ht="42.45" customHeight="1" x14ac:dyDescent="0.3">
      <c r="B332" s="971" t="s">
        <v>172</v>
      </c>
      <c r="C332" s="971"/>
      <c r="D332" s="127" t="str">
        <f>_xlfn.XLOOKUP($B330,EHS!$M$6:$BM$6,EHS!$M$13:$BM$13,0)</f>
        <v>G</v>
      </c>
      <c r="E332" s="127" t="str">
        <f>_xlfn.XLOOKUP($B330,Estimating!$M$6:$BM$6,Estimating!$M$13:$BM$13,0)</f>
        <v>R</v>
      </c>
      <c r="F332" s="127" t="str">
        <f>_xlfn.XLOOKUP($B330,SOP!$M$6:$BM$6,SOP!$M$13:$BM$13,0)</f>
        <v>G</v>
      </c>
      <c r="G332" s="127" t="str">
        <f>_xlfn.XLOOKUP($B330,Design!$M$6:$BM$6,Design!$M$13:$BM$13,0)</f>
        <v>R</v>
      </c>
      <c r="H332" s="127" t="str">
        <f>_xlfn.XLOOKUP($B330,'Product Design'!$M$6:$BM$6,'Product Design'!$M$13:$BM$13,0)</f>
        <v>R</v>
      </c>
      <c r="I332" s="127" t="str">
        <f>_xlfn.XLOOKUP($B330,'Product Eng - BE'!$M$6:$BM$6,'Product Eng - BE'!$M$13:$BM$13,0)</f>
        <v>G</v>
      </c>
      <c r="J332" s="127" t="str">
        <f>_xlfn.XLOOKUP($B330,'Product Eng - MB'!$M$6:$BM$6,'Product Eng - MB'!$M$13:$BM$13,0)</f>
        <v>G</v>
      </c>
      <c r="K332" s="127" t="str">
        <f>_xlfn.XLOOKUP($B330,'Bridgend Manuf'!$M$6:$BM$6,'Bridgend Manuf'!$M$13:$BM$13,0)</f>
        <v>OD</v>
      </c>
      <c r="L332" s="127" t="str">
        <f>_xlfn.XLOOKUP($B330,'Maybole Manuf'!$M$6:$BM$6,'Maybole Manuf'!$M$13:$BM$13,0)</f>
        <v>G</v>
      </c>
      <c r="M332" s="127" t="str">
        <f>_xlfn.XLOOKUP($B330,Logistics!$M$6:$BM$6,Logistics!$M$13:$BM$13,0)</f>
        <v>OD</v>
      </c>
      <c r="N332" s="127" t="e">
        <f>_xlfn.XLOOKUP($B330,Engineering!$M$22:$BM$22,Engineering!#REF!,0)</f>
        <v>#REF!</v>
      </c>
      <c r="O332" s="127" t="str">
        <f>_xlfn.XLOOKUP($B330,'Quality MB'!$M$6:$BM$6,'Quality MB'!$M$13:$BM$13,0)</f>
        <v>G</v>
      </c>
      <c r="P332" s="127" t="str">
        <f>_xlfn.XLOOKUP($B330,Procurement!$M$6:$BM$6,Procurement!$M$13:$BM$13,0)</f>
        <v>A</v>
      </c>
      <c r="Q332" s="127" t="str">
        <f>_xlfn.XLOOKUP($B330,IT!$M$6:$BM$6,IT!$M$13:$BM$13,0)</f>
        <v>G</v>
      </c>
      <c r="R332" s="127" t="str">
        <f>_xlfn.XLOOKUP($B330,Marketing!$M$6:$BM$6,Marketing!$M$13:$BM$13,0)</f>
        <v>G</v>
      </c>
      <c r="S332" s="127" t="str">
        <f>IF(B330&gt;'KPI Linked Table for Report'!$C$2,"",_xlfn.XLOOKUP($T330,Finance!$M$16:$X$16,Finance!$M$21:$X$21,0))</f>
        <v/>
      </c>
      <c r="U332" s="127" t="str">
        <f>IF(B330&gt;='KPI Linked Table for Report'!$C$1,"",_xlfn.XLOOKUP($T330,'HR mthly'!$I$6:$BM$6,'HR mthly'!$I$18:$BM$18,0))</f>
        <v>R</v>
      </c>
      <c r="V332" s="127" t="str">
        <f>IF(B330&gt;='KPI Linked Table for Report'!$C$1,"",_xlfn.XLOOKUP($T330,'HR mthly'!$I$6:$BM$6,'HR mthly'!$I$21:$BM$21,0))</f>
        <v>G</v>
      </c>
    </row>
    <row r="333" spans="2:22" ht="42.45" customHeight="1" x14ac:dyDescent="0.3">
      <c r="B333" s="971" t="s">
        <v>173</v>
      </c>
      <c r="C333" s="971"/>
      <c r="D333" s="11" t="s">
        <v>174</v>
      </c>
      <c r="E333" s="11" t="s">
        <v>174</v>
      </c>
      <c r="F333" s="11" t="str">
        <f>_xlfn.XLOOKUP($B330,SOP!$M$6:$BM$6,SOP!$M$16:$BM$16,0)</f>
        <v>R</v>
      </c>
      <c r="G333" s="11" t="s">
        <v>174</v>
      </c>
      <c r="H333" s="11" t="str">
        <f>_xlfn.XLOOKUP($B330,'Product Design'!$M$6:$BM$6,'Product Design'!$M$16:$BM$16,0)</f>
        <v>R</v>
      </c>
      <c r="I333" s="11" t="str">
        <f>_xlfn.XLOOKUP($B330,'Product Eng - BE'!$M$6:$BM$6,'Product Eng - BE'!$M$16:$BM$16,0)</f>
        <v>R</v>
      </c>
      <c r="J333" s="11" t="str">
        <f>_xlfn.XLOOKUP($B330,'Product Eng - MB'!$M$6:$BM$6,'Product Eng - MB'!$M$16:$BM$16,0)</f>
        <v>R</v>
      </c>
      <c r="K333" s="11" t="s">
        <v>174</v>
      </c>
      <c r="L333" s="11" t="s">
        <v>174</v>
      </c>
      <c r="M333" s="11" t="s">
        <v>174</v>
      </c>
      <c r="N333" s="11" t="s">
        <v>174</v>
      </c>
      <c r="O333" s="11" t="s">
        <v>174</v>
      </c>
      <c r="P333" s="11" t="s">
        <v>174</v>
      </c>
      <c r="Q333" s="11" t="s">
        <v>174</v>
      </c>
      <c r="R333" s="11" t="s">
        <v>174</v>
      </c>
      <c r="S333" s="11" t="s">
        <v>174</v>
      </c>
      <c r="U333" s="11" t="s">
        <v>174</v>
      </c>
      <c r="V333" s="11" t="s">
        <v>174</v>
      </c>
    </row>
    <row r="334" spans="2:22" ht="42.45" customHeight="1" x14ac:dyDescent="0.3">
      <c r="B334" s="971" t="s">
        <v>32</v>
      </c>
      <c r="C334" s="971"/>
      <c r="D334" s="127" t="str">
        <f>_xlfn.XLOOKUP($B330,EHS!$M$6:$BM$6,EHS!$M$16:$BM$16,0)</f>
        <v>G</v>
      </c>
      <c r="E334" s="127" t="str">
        <f>_xlfn.XLOOKUP($B330,Estimating!$M$6:$BM$6,Estimating!$M$16:$BM$16,0)</f>
        <v>R</v>
      </c>
      <c r="F334" s="127" t="str">
        <f>_xlfn.XLOOKUP($B330,SOP!$M$6:$BM$6,SOP!$M$19:$BM$19,0)</f>
        <v>R</v>
      </c>
      <c r="G334" s="127" t="str">
        <f>_xlfn.XLOOKUP($B330,Design!$M$6:$BM$6,Design!$M$16:$BM$16,0)</f>
        <v>OD</v>
      </c>
      <c r="H334" s="127" t="str">
        <f>_xlfn.XLOOKUP($B330,'Product Design'!$M$6:$BM$6,'Product Design'!$M$19:$BM$19,0)</f>
        <v>G</v>
      </c>
      <c r="I334" s="127" t="str">
        <f>_xlfn.XLOOKUP($B330,'Product Eng - BE'!$M$6:$BM$6,'Product Eng - BE'!$M$19:$BM$19,0)</f>
        <v>R</v>
      </c>
      <c r="J334" s="127" t="str">
        <f>_xlfn.XLOOKUP($B330,'Product Eng - MB'!$M$6:$BM$6,'Product Eng - MB'!$M$19:$BM$19,0)</f>
        <v>G</v>
      </c>
      <c r="K334" s="127" t="str">
        <f>_xlfn.XLOOKUP($B330,'Bridgend Manuf'!$M$6:$BM$6,'Bridgend Manuf'!$M$16:$BM$16,0)</f>
        <v>OD</v>
      </c>
      <c r="L334" s="127" t="str">
        <f>_xlfn.XLOOKUP($B330,'Maybole Manuf'!$M$6:$BM$6,'Maybole Manuf'!$M$16:$BM$16,0)</f>
        <v>G</v>
      </c>
      <c r="M334" s="127" t="str">
        <f>_xlfn.XLOOKUP($B330,Logistics!$M$6:$BM$6,Logistics!$M$16:$BM$16,0)</f>
        <v>OD</v>
      </c>
      <c r="N334" s="127" t="e">
        <f>_xlfn.XLOOKUP($B330,Engineering!$M$22:$BM$22,Engineering!#REF!,0)</f>
        <v>#REF!</v>
      </c>
      <c r="O334" s="127" t="str">
        <f>_xlfn.XLOOKUP($B330,'Quality MB'!$M$6:$BM$6,'Quality MB'!$M$16:$BM$16,0)</f>
        <v>G</v>
      </c>
      <c r="P334" s="127" t="str">
        <f>_xlfn.XLOOKUP($B330,Procurement!$M$6:$BM$6,Procurement!$M$16:$BM$16,0)</f>
        <v>G</v>
      </c>
      <c r="Q334" s="127" t="str">
        <f>_xlfn.XLOOKUP($B330,IT!$M$6:$BM$6,IT!$M$16:$BM$16,0)</f>
        <v>G</v>
      </c>
      <c r="R334" s="127" t="str">
        <f>_xlfn.XLOOKUP($B330,Marketing!$M$6:$BM$6,Marketing!$M$16:$BM$16,0)</f>
        <v>G</v>
      </c>
      <c r="S334" s="127" t="str">
        <f>IF(B330&gt;'KPI Linked Table for Report'!$C$2,"",_xlfn.XLOOKUP($T330,Finance!$M$16:$X$16,Finance!$M$24:$X$24,0))</f>
        <v/>
      </c>
      <c r="U334" s="127" t="str">
        <f>IF(B330&gt;='KPI Linked Table for Report'!$C$1,"",_xlfn.XLOOKUP($T330,'HR mthly'!$I$6:$BM$6,'HR mthly'!$I$26:$BM$26,0))</f>
        <v>R</v>
      </c>
      <c r="V334" s="127" t="str">
        <f>IF(B330&gt;='KPI Linked Table for Report'!$C$1,"",_xlfn.XLOOKUP($T330,'HR mthly'!$I$6:$BM$6,'HR mthly'!$I$29:$BM$29,0))</f>
        <v>OD</v>
      </c>
    </row>
    <row r="335" spans="2:22" ht="42.45" customHeight="1" x14ac:dyDescent="0.3">
      <c r="B335" s="971" t="s">
        <v>31</v>
      </c>
      <c r="C335" s="971"/>
      <c r="D335" s="127" t="str">
        <f>_xlfn.XLOOKUP($B330,EHS!$M$6:$BM$6,EHS!$M$19:$BM$19,0)</f>
        <v>G</v>
      </c>
      <c r="E335" s="127" t="str">
        <f>_xlfn.XLOOKUP($B330,Estimating!$M$6:$BM$6,Estimating!$M$19:$BM$19,0)</f>
        <v>G</v>
      </c>
      <c r="F335" s="127" t="str">
        <f>_xlfn.XLOOKUP($B330,SOP!$M$6:$BM$6,SOP!$M$22:$BM$22,0)</f>
        <v>G</v>
      </c>
      <c r="G335" s="127" t="str">
        <f>_xlfn.XLOOKUP($B330,Design!$M$6:$BM$6,Design!$M$19:$BM$19,0)</f>
        <v>G</v>
      </c>
      <c r="H335" s="127" t="str">
        <f>_xlfn.XLOOKUP($B330,'Product Design'!$M$6:$BM$6,'Product Design'!$M$22:$BM$22,0)</f>
        <v>Undefined</v>
      </c>
      <c r="I335" s="127" t="str">
        <f>_xlfn.XLOOKUP($B330,'Product Eng - BE'!$M$6:$BM$6,'Product Eng - BE'!$M$22:$BM$22,0)</f>
        <v>G</v>
      </c>
      <c r="J335" s="127" t="str">
        <f>_xlfn.XLOOKUP($B330,'Product Eng - MB'!$M$6:$BM$6,'Product Eng - MB'!$M$22:$BM$22,0)</f>
        <v>G</v>
      </c>
      <c r="K335" s="127" t="str">
        <f>_xlfn.XLOOKUP($B330,'Bridgend Manuf'!$M$6:$BM$6,'Bridgend Manuf'!$M$19:$BM$19,0)</f>
        <v>OD</v>
      </c>
      <c r="L335" s="127" t="str">
        <f>_xlfn.XLOOKUP($B330,'Maybole Manuf'!$M$6:$BM$6,'Maybole Manuf'!$M$19:$BM$19,0)</f>
        <v>R</v>
      </c>
      <c r="M335" s="127" t="str">
        <f>_xlfn.XLOOKUP($B330,Logistics!$M$6:$BM$6,Logistics!$M$19:$BM$19,0)</f>
        <v>OD</v>
      </c>
      <c r="N335" s="127" t="e">
        <f>_xlfn.XLOOKUP($B330,Engineering!$M$22:$BM$22,Engineering!#REF!,0)</f>
        <v>#REF!</v>
      </c>
      <c r="O335" s="127" t="str">
        <f>_xlfn.XLOOKUP($B330,'Quality MB'!$M$6:$BM$6,'Quality MB'!$M$19:$BM$19,0)</f>
        <v>G</v>
      </c>
      <c r="P335" s="127" t="str">
        <f>_xlfn.XLOOKUP($B330,Procurement!$M$6:$BM$6,Procurement!$M$19:$BM$19,0)</f>
        <v>G</v>
      </c>
      <c r="Q335" s="127" t="str">
        <f>_xlfn.XLOOKUP($B330,IT!$M$6:$BM$6,IT!$M$19:$BM$19,0)</f>
        <v>G</v>
      </c>
      <c r="R335" s="127" t="str">
        <f>_xlfn.XLOOKUP($B330,Marketing!$M$6:$BM$6,Marketing!$M$19:$BM$19,0)</f>
        <v>G</v>
      </c>
      <c r="S335" s="127" t="str">
        <f>IF(B330&gt;'KPI Linked Table for Report'!$C$2,"",_xlfn.XLOOKUP($T330,Finance!$M$16:$X$16,Finance!$M$27:$X$27,0))</f>
        <v/>
      </c>
      <c r="U335" s="127" t="str">
        <f>IF(B330&gt;='KPI Linked Table for Report'!$C$1,"",_xlfn.XLOOKUP($T330,'HR mthly'!$I$6:$BM$6,'HR mthly'!$I$33:$BM$33,0))</f>
        <v>A</v>
      </c>
      <c r="V335" s="127" t="str">
        <f>IF(B330&gt;='KPI Linked Table for Report'!$C$1,"",_xlfn.XLOOKUP($T330,'HR mthly'!$I$6:$BM$6,'HR mthly'!$I$36:$BM$36,0))</f>
        <v>A</v>
      </c>
    </row>
    <row r="337" spans="2:22" ht="42.45" customHeight="1" x14ac:dyDescent="0.3">
      <c r="B337" s="973" t="s">
        <v>7</v>
      </c>
      <c r="C337" s="974"/>
      <c r="D337" s="6" t="str">
        <f>+D$9</f>
        <v>EHS</v>
      </c>
      <c r="E337" s="6" t="str">
        <f>+E$9</f>
        <v>Estimating</v>
      </c>
      <c r="F337" s="6" t="str">
        <f t="shared" ref="F337:R337" si="63">+F$9</f>
        <v>SOP</v>
      </c>
      <c r="G337" s="6" t="str">
        <f>+G$9</f>
        <v>Design and R&amp;D</v>
      </c>
      <c r="H337" s="6" t="str">
        <f t="shared" si="63"/>
        <v>Product Design</v>
      </c>
      <c r="I337" s="6" t="str">
        <f t="shared" si="63"/>
        <v>Product Engineering Bridgend</v>
      </c>
      <c r="J337" s="6" t="str">
        <f t="shared" si="63"/>
        <v>Product Engineering Maybole</v>
      </c>
      <c r="K337" s="6" t="str">
        <f t="shared" si="63"/>
        <v>Bridgend
Manuf</v>
      </c>
      <c r="L337" s="6" t="str">
        <f t="shared" si="63"/>
        <v>Maybole
Manuf</v>
      </c>
      <c r="M337" s="6" t="str">
        <f>+M$9</f>
        <v>Logistics</v>
      </c>
      <c r="N337" s="6" t="str">
        <f>+N$9</f>
        <v>Engineering</v>
      </c>
      <c r="O337" s="6" t="str">
        <f>+O$9</f>
        <v>Quality
Maybole</v>
      </c>
      <c r="P337" s="6" t="str">
        <f>+P$9</f>
        <v>Procurement</v>
      </c>
      <c r="Q337" s="6" t="str">
        <f>+Q$9</f>
        <v>IT</v>
      </c>
      <c r="R337" s="6" t="str">
        <f t="shared" si="63"/>
        <v>Marketing</v>
      </c>
      <c r="S337" s="6" t="str">
        <f>+S$9</f>
        <v>Finance</v>
      </c>
      <c r="T337" s="7" t="s">
        <v>409</v>
      </c>
      <c r="U337" s="6" t="str">
        <f>+U$9</f>
        <v>HR</v>
      </c>
      <c r="V337" s="6" t="str">
        <f>+V$9</f>
        <v>HR</v>
      </c>
    </row>
    <row r="338" spans="2:22" ht="42.45" customHeight="1" x14ac:dyDescent="0.3">
      <c r="B338" s="7">
        <f>B330+1</f>
        <v>42</v>
      </c>
      <c r="C338" s="8">
        <f>C330+7</f>
        <v>45947</v>
      </c>
      <c r="D338" s="10" t="s">
        <v>24</v>
      </c>
      <c r="E338" s="9" t="str">
        <f>+E$186</f>
        <v>Julian Sparrow</v>
      </c>
      <c r="F338" s="10" t="s">
        <v>19</v>
      </c>
      <c r="G338" s="10" t="s">
        <v>20</v>
      </c>
      <c r="H338" s="10" t="s">
        <v>24</v>
      </c>
      <c r="I338" s="10" t="s">
        <v>24</v>
      </c>
      <c r="J338" s="10" t="s">
        <v>21</v>
      </c>
      <c r="K338" s="10" t="s">
        <v>22</v>
      </c>
      <c r="L338" s="10" t="s">
        <v>23</v>
      </c>
      <c r="M338" s="10" t="str">
        <f>+M$10</f>
        <v>Scott McMillan</v>
      </c>
      <c r="N338" s="10" t="str">
        <f>+N$10</f>
        <v>Garin Bowen</v>
      </c>
      <c r="O338" s="10" t="str">
        <f>+O$10</f>
        <v>Scott McMIllan</v>
      </c>
      <c r="P338" s="10" t="str">
        <f>+P$10</f>
        <v>Matt 
Pope</v>
      </c>
      <c r="Q338" s="10" t="s">
        <v>29</v>
      </c>
      <c r="R338" s="10" t="s">
        <v>25</v>
      </c>
      <c r="S338" s="10" t="s">
        <v>26</v>
      </c>
      <c r="T338" s="7">
        <v>9</v>
      </c>
      <c r="U338" s="10" t="str">
        <f>+U$10</f>
        <v>Bethan Grant</v>
      </c>
      <c r="V338" s="10" t="str">
        <f>+V$10</f>
        <v>Bethan Grant</v>
      </c>
    </row>
    <row r="339" spans="2:22" ht="42.45" customHeight="1" x14ac:dyDescent="0.3">
      <c r="B339" s="971" t="s">
        <v>30</v>
      </c>
      <c r="C339" s="971"/>
      <c r="D339" s="127" t="str">
        <f>_xlfn.XLOOKUP($B338,EHS!$M$6:$BM$6,EHS!$M$10:$BM$10,0)</f>
        <v>G</v>
      </c>
      <c r="E339" s="127" t="str">
        <f>_xlfn.XLOOKUP($B338,Estimating!$M$6:$BM$6,Estimating!$M$10:$BM$10,0)</f>
        <v>A</v>
      </c>
      <c r="F339" s="127" t="str">
        <f>_xlfn.XLOOKUP($B338,SOP!$M$6:$BM$6,SOP!$M$10:$BM$10,0)</f>
        <v>R</v>
      </c>
      <c r="G339" s="127" t="str">
        <f>_xlfn.XLOOKUP($B338,Design!$M$6:$BM$6,Design!$M$10:$BM$10,0)</f>
        <v>R</v>
      </c>
      <c r="H339" s="127" t="str">
        <f>_xlfn.XLOOKUP($B338,'Product Design'!$M$6:$BM$6,'Product Design'!$M$10:$BM$10,0)</f>
        <v>OD</v>
      </c>
      <c r="I339" s="127" t="str">
        <f>_xlfn.XLOOKUP($B338,'Product Eng - BE'!$M$6:$BM$6,'Product Eng - BE'!$M$10:$BM$10,0)</f>
        <v>OD</v>
      </c>
      <c r="J339" s="127" t="str">
        <f>_xlfn.XLOOKUP($B338,'Product Eng - MB'!$M$6:$BM$6,'Product Eng - MB'!$M$10:$BM$10,0)</f>
        <v>OD</v>
      </c>
      <c r="K339" s="127" t="str">
        <f>_xlfn.XLOOKUP($B338,'Bridgend Manuf'!$M$6:$BM$6,'Bridgend Manuf'!$M$10:$BM$10,0)</f>
        <v>OD</v>
      </c>
      <c r="L339" s="127" t="str">
        <f>_xlfn.XLOOKUP($B338,'Maybole Manuf'!$M$6:$BM$6,'Maybole Manuf'!$M$10:$BM$10,0)</f>
        <v>R</v>
      </c>
      <c r="M339" s="127" t="str">
        <f>_xlfn.XLOOKUP($B338,Logistics!$M$6:$BM$6,Logistics!$M$10:$BM$10,0)</f>
        <v>OD</v>
      </c>
      <c r="N339" s="127" t="str">
        <f>_xlfn.XLOOKUP($B338,Engineering!$M$22:$BM$22,Engineering!$M$26:$BM$26,0)</f>
        <v>OD</v>
      </c>
      <c r="O339" s="127" t="str">
        <f>_xlfn.XLOOKUP($B338,'Quality MB'!$M$6:$BM$6,'Quality MB'!$M$10:$BM$10,0)</f>
        <v>G</v>
      </c>
      <c r="P339" s="127" t="str">
        <f>_xlfn.XLOOKUP($B338,Procurement!$M$6:$BM$6,Procurement!$M$10:$BM$10,0)</f>
        <v>R</v>
      </c>
      <c r="Q339" s="127" t="str">
        <f>_xlfn.XLOOKUP($B338,IT!$M$6:$BM$6,IT!$M$10:$BM$10,0)</f>
        <v>Undefined</v>
      </c>
      <c r="R339" s="127" t="str">
        <f>_xlfn.XLOOKUP($B338,Marketing!$M$6:$BM$6,Marketing!$M$10:$BM$10,0)</f>
        <v>G</v>
      </c>
      <c r="S339" s="127" t="str">
        <f>_xlfn.XLOOKUP($B338,Finance!$M$6:$BM$6,Finance!$M$10:$BM$10,0)</f>
        <v>G</v>
      </c>
      <c r="U339" s="127" t="str">
        <f>IF(B338&gt;='KPI Linked Table for Report'!$C$1,"",_xlfn.XLOOKUP($T338,'HR mthly'!$I$6:$BM$6,'HR mthly'!$I$11:$BM$11,0))</f>
        <v/>
      </c>
      <c r="V339" s="127" t="str">
        <f>IF(B338&gt;='KPI Linked Table for Report'!$C$1,"",_xlfn.XLOOKUP($T338,'HR mthly'!$I$6:$BM$6,'HR mthly'!$I$14:$BM$14,0))</f>
        <v/>
      </c>
    </row>
    <row r="340" spans="2:22" ht="42.45" customHeight="1" x14ac:dyDescent="0.3">
      <c r="B340" s="971" t="s">
        <v>172</v>
      </c>
      <c r="C340" s="971"/>
      <c r="D340" s="127" t="str">
        <f>_xlfn.XLOOKUP($B338,EHS!$M$6:$BM$6,EHS!$M$13:$BM$13,0)</f>
        <v>G</v>
      </c>
      <c r="E340" s="127" t="str">
        <f>_xlfn.XLOOKUP($B338,Estimating!$M$6:$BM$6,Estimating!$M$13:$BM$13,0)</f>
        <v>A</v>
      </c>
      <c r="F340" s="127" t="str">
        <f>_xlfn.XLOOKUP($B338,SOP!$M$6:$BM$6,SOP!$M$13:$BM$13,0)</f>
        <v>G</v>
      </c>
      <c r="G340" s="127" t="str">
        <f>_xlfn.XLOOKUP($B338,Design!$M$6:$BM$6,Design!$M$13:$BM$13,0)</f>
        <v>R</v>
      </c>
      <c r="H340" s="127" t="str">
        <f>_xlfn.XLOOKUP($B338,'Product Design'!$M$6:$BM$6,'Product Design'!$M$13:$BM$13,0)</f>
        <v>OD</v>
      </c>
      <c r="I340" s="127" t="str">
        <f>_xlfn.XLOOKUP($B338,'Product Eng - BE'!$M$6:$BM$6,'Product Eng - BE'!$M$13:$BM$13,0)</f>
        <v>OD</v>
      </c>
      <c r="J340" s="127" t="str">
        <f>_xlfn.XLOOKUP($B338,'Product Eng - MB'!$M$6:$BM$6,'Product Eng - MB'!$M$13:$BM$13,0)</f>
        <v>OD</v>
      </c>
      <c r="K340" s="127" t="str">
        <f>_xlfn.XLOOKUP($B338,'Bridgend Manuf'!$M$6:$BM$6,'Bridgend Manuf'!$M$13:$BM$13,0)</f>
        <v>OD</v>
      </c>
      <c r="L340" s="127" t="str">
        <f>_xlfn.XLOOKUP($B338,'Maybole Manuf'!$M$6:$BM$6,'Maybole Manuf'!$M$13:$BM$13,0)</f>
        <v>A</v>
      </c>
      <c r="M340" s="127" t="str">
        <f>_xlfn.XLOOKUP($B338,Logistics!$M$6:$BM$6,Logistics!$M$13:$BM$13,0)</f>
        <v>OD</v>
      </c>
      <c r="N340" s="127" t="e">
        <f>_xlfn.XLOOKUP($B338,Engineering!$M$22:$BM$22,Engineering!#REF!,0)</f>
        <v>#REF!</v>
      </c>
      <c r="O340" s="127" t="str">
        <f>_xlfn.XLOOKUP($B338,'Quality MB'!$M$6:$BM$6,'Quality MB'!$M$13:$BM$13,0)</f>
        <v>R</v>
      </c>
      <c r="P340" s="127" t="str">
        <f>_xlfn.XLOOKUP($B338,Procurement!$M$6:$BM$6,Procurement!$M$13:$BM$13,0)</f>
        <v>A</v>
      </c>
      <c r="Q340" s="127" t="str">
        <f>_xlfn.XLOOKUP($B338,IT!$M$6:$BM$6,IT!$M$13:$BM$13,0)</f>
        <v>OD</v>
      </c>
      <c r="R340" s="127" t="str">
        <f>_xlfn.XLOOKUP($B338,Marketing!$M$6:$BM$6,Marketing!$M$13:$BM$13,0)</f>
        <v>G</v>
      </c>
      <c r="S340" s="127" t="str">
        <f>IF(B338&gt;'KPI Linked Table for Report'!$C$2,"",_xlfn.XLOOKUP($T338,Finance!$M$16:$X$16,Finance!$M$21:$X$21,0))</f>
        <v/>
      </c>
      <c r="U340" s="127" t="str">
        <f>IF(B338&gt;='KPI Linked Table for Report'!$C$1,"",_xlfn.XLOOKUP($T338,'HR mthly'!$I$6:$BM$6,'HR mthly'!$I$18:$BM$18,0))</f>
        <v/>
      </c>
      <c r="V340" s="127" t="str">
        <f>IF(B338&gt;='KPI Linked Table for Report'!$C$1,"",_xlfn.XLOOKUP($T338,'HR mthly'!$I$6:$BM$6,'HR mthly'!$I$21:$BM$21,0))</f>
        <v/>
      </c>
    </row>
    <row r="341" spans="2:22" ht="42.45" customHeight="1" x14ac:dyDescent="0.3">
      <c r="B341" s="971" t="s">
        <v>173</v>
      </c>
      <c r="C341" s="971"/>
      <c r="D341" s="11" t="s">
        <v>174</v>
      </c>
      <c r="E341" s="11" t="s">
        <v>174</v>
      </c>
      <c r="F341" s="11" t="str">
        <f>_xlfn.XLOOKUP($B338,SOP!$M$6:$BM$6,SOP!$M$16:$BM$16,0)</f>
        <v>G</v>
      </c>
      <c r="G341" s="11" t="s">
        <v>174</v>
      </c>
      <c r="H341" s="11" t="str">
        <f>_xlfn.XLOOKUP($B338,'Product Design'!$M$6:$BM$6,'Product Design'!$M$16:$BM$16,0)</f>
        <v>OD</v>
      </c>
      <c r="I341" s="11" t="str">
        <f>_xlfn.XLOOKUP($B338,'Product Eng - BE'!$M$6:$BM$6,'Product Eng - BE'!$M$16:$BM$16,0)</f>
        <v>OD</v>
      </c>
      <c r="J341" s="11" t="str">
        <f>_xlfn.XLOOKUP($B338,'Product Eng - MB'!$M$6:$BM$6,'Product Eng - MB'!$M$16:$BM$16,0)</f>
        <v>OD</v>
      </c>
      <c r="K341" s="11" t="s">
        <v>174</v>
      </c>
      <c r="L341" s="11" t="s">
        <v>174</v>
      </c>
      <c r="M341" s="11" t="s">
        <v>174</v>
      </c>
      <c r="N341" s="11" t="s">
        <v>174</v>
      </c>
      <c r="O341" s="11" t="s">
        <v>174</v>
      </c>
      <c r="P341" s="11" t="s">
        <v>174</v>
      </c>
      <c r="Q341" s="11" t="s">
        <v>174</v>
      </c>
      <c r="R341" s="11" t="s">
        <v>174</v>
      </c>
      <c r="S341" s="11" t="s">
        <v>174</v>
      </c>
      <c r="U341" s="11" t="s">
        <v>174</v>
      </c>
      <c r="V341" s="11" t="s">
        <v>174</v>
      </c>
    </row>
    <row r="342" spans="2:22" ht="42.45" customHeight="1" x14ac:dyDescent="0.3">
      <c r="B342" s="971" t="s">
        <v>32</v>
      </c>
      <c r="C342" s="971"/>
      <c r="D342" s="127" t="str">
        <f>_xlfn.XLOOKUP($B338,EHS!$M$6:$BM$6,EHS!$M$16:$BM$16,0)</f>
        <v>G</v>
      </c>
      <c r="E342" s="127" t="str">
        <f>_xlfn.XLOOKUP($B338,Estimating!$M$6:$BM$6,Estimating!$M$16:$BM$16,0)</f>
        <v>G</v>
      </c>
      <c r="F342" s="127" t="str">
        <f>_xlfn.XLOOKUP($B338,SOP!$M$6:$BM$6,SOP!$M$19:$BM$19,0)</f>
        <v>G</v>
      </c>
      <c r="G342" s="127" t="str">
        <f>_xlfn.XLOOKUP($B338,Design!$M$6:$BM$6,Design!$M$16:$BM$16,0)</f>
        <v>OD</v>
      </c>
      <c r="H342" s="127" t="str">
        <f>_xlfn.XLOOKUP($B338,'Product Design'!$M$6:$BM$6,'Product Design'!$M$19:$BM$19,0)</f>
        <v>OD</v>
      </c>
      <c r="I342" s="127" t="str">
        <f>_xlfn.XLOOKUP($B338,'Product Eng - BE'!$M$6:$BM$6,'Product Eng - BE'!$M$19:$BM$19,0)</f>
        <v>OD</v>
      </c>
      <c r="J342" s="127" t="str">
        <f>_xlfn.XLOOKUP($B338,'Product Eng - MB'!$M$6:$BM$6,'Product Eng - MB'!$M$19:$BM$19,0)</f>
        <v>OD</v>
      </c>
      <c r="K342" s="127" t="str">
        <f>_xlfn.XLOOKUP($B338,'Bridgend Manuf'!$M$6:$BM$6,'Bridgend Manuf'!$M$16:$BM$16,0)</f>
        <v>OD</v>
      </c>
      <c r="L342" s="127" t="str">
        <f>_xlfn.XLOOKUP($B338,'Maybole Manuf'!$M$6:$BM$6,'Maybole Manuf'!$M$16:$BM$16,0)</f>
        <v>R</v>
      </c>
      <c r="M342" s="127" t="str">
        <f>_xlfn.XLOOKUP($B338,Logistics!$M$6:$BM$6,Logistics!$M$16:$BM$16,0)</f>
        <v>OD</v>
      </c>
      <c r="N342" s="127" t="e">
        <f>_xlfn.XLOOKUP($B338,Engineering!$M$22:$BM$22,Engineering!#REF!,0)</f>
        <v>#REF!</v>
      </c>
      <c r="O342" s="127" t="str">
        <f>_xlfn.XLOOKUP($B338,'Quality MB'!$M$6:$BM$6,'Quality MB'!$M$16:$BM$16,0)</f>
        <v>G</v>
      </c>
      <c r="P342" s="127" t="str">
        <f>_xlfn.XLOOKUP($B338,Procurement!$M$6:$BM$6,Procurement!$M$16:$BM$16,0)</f>
        <v>G</v>
      </c>
      <c r="Q342" s="127" t="str">
        <f>_xlfn.XLOOKUP($B338,IT!$M$6:$BM$6,IT!$M$16:$BM$16,0)</f>
        <v>OD</v>
      </c>
      <c r="R342" s="127" t="str">
        <f>_xlfn.XLOOKUP($B338,Marketing!$M$6:$BM$6,Marketing!$M$16:$BM$16,0)</f>
        <v>G</v>
      </c>
      <c r="S342" s="127" t="str">
        <f>IF(B338&gt;'KPI Linked Table for Report'!$C$2,"",_xlfn.XLOOKUP($T338,Finance!$M$16:$X$16,Finance!$M$24:$X$24,0))</f>
        <v/>
      </c>
      <c r="U342" s="127" t="str">
        <f>IF(B338&gt;='KPI Linked Table for Report'!$C$1,"",_xlfn.XLOOKUP($T338,'HR mthly'!$I$6:$BM$6,'HR mthly'!$I$26:$BM$26,0))</f>
        <v/>
      </c>
      <c r="V342" s="127" t="str">
        <f>IF(B338&gt;='KPI Linked Table for Report'!$C$1,"",_xlfn.XLOOKUP($T338,'HR mthly'!$I$6:$BM$6,'HR mthly'!$I$29:$BM$29,0))</f>
        <v/>
      </c>
    </row>
    <row r="343" spans="2:22" ht="42.45" customHeight="1" x14ac:dyDescent="0.3">
      <c r="B343" s="971" t="s">
        <v>31</v>
      </c>
      <c r="C343" s="971"/>
      <c r="D343" s="127" t="str">
        <f>_xlfn.XLOOKUP($B338,EHS!$M$6:$BM$6,EHS!$M$19:$BM$19,0)</f>
        <v>OD</v>
      </c>
      <c r="E343" s="127" t="str">
        <f>_xlfn.XLOOKUP($B338,Estimating!$M$6:$BM$6,Estimating!$M$19:$BM$19,0)</f>
        <v>G</v>
      </c>
      <c r="F343" s="127" t="str">
        <f>_xlfn.XLOOKUP($B338,SOP!$M$6:$BM$6,SOP!$M$22:$BM$22,0)</f>
        <v>G</v>
      </c>
      <c r="G343" s="127" t="str">
        <f>_xlfn.XLOOKUP($B338,Design!$M$6:$BM$6,Design!$M$19:$BM$19,0)</f>
        <v>G</v>
      </c>
      <c r="H343" s="127" t="str">
        <f>_xlfn.XLOOKUP($B338,'Product Design'!$M$6:$BM$6,'Product Design'!$M$22:$BM$22,0)</f>
        <v>Undefined</v>
      </c>
      <c r="I343" s="127" t="str">
        <f>_xlfn.XLOOKUP($B338,'Product Eng - BE'!$M$6:$BM$6,'Product Eng - BE'!$M$22:$BM$22,0)</f>
        <v>OD</v>
      </c>
      <c r="J343" s="127" t="str">
        <f>_xlfn.XLOOKUP($B338,'Product Eng - MB'!$M$6:$BM$6,'Product Eng - MB'!$M$22:$BM$22,0)</f>
        <v>OD</v>
      </c>
      <c r="K343" s="127" t="str">
        <f>_xlfn.XLOOKUP($B338,'Bridgend Manuf'!$M$6:$BM$6,'Bridgend Manuf'!$M$19:$BM$19,0)</f>
        <v>OD</v>
      </c>
      <c r="L343" s="127" t="str">
        <f>_xlfn.XLOOKUP($B338,'Maybole Manuf'!$M$6:$BM$6,'Maybole Manuf'!$M$19:$BM$19,0)</f>
        <v>R</v>
      </c>
      <c r="M343" s="127" t="str">
        <f>_xlfn.XLOOKUP($B338,Logistics!$M$6:$BM$6,Logistics!$M$19:$BM$19,0)</f>
        <v>OD</v>
      </c>
      <c r="N343" s="127" t="e">
        <f>_xlfn.XLOOKUP($B338,Engineering!$M$22:$BM$22,Engineering!#REF!,0)</f>
        <v>#REF!</v>
      </c>
      <c r="O343" s="127" t="str">
        <f>_xlfn.XLOOKUP($B338,'Quality MB'!$M$6:$BM$6,'Quality MB'!$M$19:$BM$19,0)</f>
        <v>G</v>
      </c>
      <c r="P343" s="127" t="str">
        <f>_xlfn.XLOOKUP($B338,Procurement!$M$6:$BM$6,Procurement!$M$19:$BM$19,0)</f>
        <v>G</v>
      </c>
      <c r="Q343" s="127" t="str">
        <f>_xlfn.XLOOKUP($B338,IT!$M$6:$BM$6,IT!$M$19:$BM$19,0)</f>
        <v>OD</v>
      </c>
      <c r="R343" s="127" t="str">
        <f>_xlfn.XLOOKUP($B338,Marketing!$M$6:$BM$6,Marketing!$M$19:$BM$19,0)</f>
        <v>G</v>
      </c>
      <c r="S343" s="127" t="str">
        <f>IF(B338&gt;'KPI Linked Table for Report'!$C$2,"",_xlfn.XLOOKUP($T338,Finance!$M$16:$X$16,Finance!$M$27:$X$27,0))</f>
        <v/>
      </c>
      <c r="U343" s="127" t="str">
        <f>IF(B338&gt;='KPI Linked Table for Report'!$C$1,"",_xlfn.XLOOKUP($T338,'HR mthly'!$I$6:$BM$6,'HR mthly'!$I$33:$BM$33,0))</f>
        <v/>
      </c>
      <c r="V343" s="127" t="str">
        <f>IF(B338&gt;='KPI Linked Table for Report'!$C$1,"",_xlfn.XLOOKUP($T338,'HR mthly'!$I$6:$BM$6,'HR mthly'!$I$36:$BM$36,0))</f>
        <v/>
      </c>
    </row>
    <row r="345" spans="2:22" ht="42.45" customHeight="1" x14ac:dyDescent="0.3">
      <c r="B345" s="973" t="s">
        <v>7</v>
      </c>
      <c r="C345" s="974"/>
      <c r="D345" s="6" t="str">
        <f>+D$9</f>
        <v>EHS</v>
      </c>
      <c r="E345" s="6" t="str">
        <f>+E$9</f>
        <v>Estimating</v>
      </c>
      <c r="F345" s="6" t="str">
        <f t="shared" ref="F345:R345" si="64">+F$9</f>
        <v>SOP</v>
      </c>
      <c r="G345" s="6" t="str">
        <f>+G$9</f>
        <v>Design and R&amp;D</v>
      </c>
      <c r="H345" s="6" t="str">
        <f t="shared" si="64"/>
        <v>Product Design</v>
      </c>
      <c r="I345" s="6" t="str">
        <f t="shared" si="64"/>
        <v>Product Engineering Bridgend</v>
      </c>
      <c r="J345" s="6" t="str">
        <f t="shared" si="64"/>
        <v>Product Engineering Maybole</v>
      </c>
      <c r="K345" s="6" t="str">
        <f t="shared" si="64"/>
        <v>Bridgend
Manuf</v>
      </c>
      <c r="L345" s="6" t="str">
        <f t="shared" si="64"/>
        <v>Maybole
Manuf</v>
      </c>
      <c r="M345" s="6" t="str">
        <f>+M$9</f>
        <v>Logistics</v>
      </c>
      <c r="N345" s="6" t="str">
        <f>+N$9</f>
        <v>Engineering</v>
      </c>
      <c r="O345" s="6" t="str">
        <f>+O$9</f>
        <v>Quality
Maybole</v>
      </c>
      <c r="P345" s="6" t="str">
        <f>+P$9</f>
        <v>Procurement</v>
      </c>
      <c r="Q345" s="6" t="str">
        <f>+Q$9</f>
        <v>IT</v>
      </c>
      <c r="R345" s="6" t="str">
        <f t="shared" si="64"/>
        <v>Marketing</v>
      </c>
      <c r="S345" s="6" t="str">
        <f>+S$9</f>
        <v>Finance</v>
      </c>
      <c r="T345" s="7" t="s">
        <v>409</v>
      </c>
      <c r="U345" s="6" t="str">
        <f>+U$9</f>
        <v>HR</v>
      </c>
      <c r="V345" s="6" t="str">
        <f>+V$9</f>
        <v>HR</v>
      </c>
    </row>
    <row r="346" spans="2:22" ht="42.45" customHeight="1" x14ac:dyDescent="0.3">
      <c r="B346" s="7">
        <f>B338+1</f>
        <v>43</v>
      </c>
      <c r="C346" s="8">
        <f>C338+7</f>
        <v>45954</v>
      </c>
      <c r="D346" s="10" t="s">
        <v>24</v>
      </c>
      <c r="E346" s="9" t="str">
        <f>+E$186</f>
        <v>Julian Sparrow</v>
      </c>
      <c r="F346" s="10" t="s">
        <v>19</v>
      </c>
      <c r="G346" s="10" t="s">
        <v>20</v>
      </c>
      <c r="H346" s="10" t="s">
        <v>24</v>
      </c>
      <c r="I346" s="10" t="s">
        <v>24</v>
      </c>
      <c r="J346" s="10" t="s">
        <v>21</v>
      </c>
      <c r="K346" s="10" t="s">
        <v>22</v>
      </c>
      <c r="L346" s="10" t="s">
        <v>23</v>
      </c>
      <c r="M346" s="10" t="str">
        <f>+M$10</f>
        <v>Scott McMillan</v>
      </c>
      <c r="N346" s="10" t="str">
        <f>+N$10</f>
        <v>Garin Bowen</v>
      </c>
      <c r="O346" s="10" t="str">
        <f>+O$10</f>
        <v>Scott McMIllan</v>
      </c>
      <c r="P346" s="10" t="str">
        <f>+P$10</f>
        <v>Matt 
Pope</v>
      </c>
      <c r="Q346" s="10" t="s">
        <v>29</v>
      </c>
      <c r="R346" s="10" t="s">
        <v>25</v>
      </c>
      <c r="S346" s="10" t="s">
        <v>26</v>
      </c>
      <c r="T346" s="7">
        <v>9</v>
      </c>
      <c r="U346" s="10" t="str">
        <f>+U$10</f>
        <v>Bethan Grant</v>
      </c>
      <c r="V346" s="10" t="str">
        <f>+V$10</f>
        <v>Bethan Grant</v>
      </c>
    </row>
    <row r="347" spans="2:22" ht="42.45" customHeight="1" x14ac:dyDescent="0.3">
      <c r="B347" s="971" t="s">
        <v>30</v>
      </c>
      <c r="C347" s="971"/>
      <c r="D347" s="127" t="str">
        <f>_xlfn.XLOOKUP($B346,EHS!$M$6:$BM$6,EHS!$M$10:$BM$10,0)</f>
        <v/>
      </c>
      <c r="E347" s="127" t="str">
        <f>_xlfn.XLOOKUP($B346,Estimating!$M$6:$BM$6,Estimating!$M$10:$BM$10,0)</f>
        <v/>
      </c>
      <c r="F347" s="127" t="str">
        <f>_xlfn.XLOOKUP($B346,SOP!$M$6:$BM$6,SOP!$M$10:$BM$10,0)</f>
        <v/>
      </c>
      <c r="G347" s="127" t="str">
        <f>_xlfn.XLOOKUP($B346,Design!$M$6:$BM$6,Design!$M$10:$BM$10,0)</f>
        <v/>
      </c>
      <c r="H347" s="127" t="str">
        <f>_xlfn.XLOOKUP($B346,'Product Design'!$M$6:$BM$6,'Product Design'!$M$10:$BM$10,0)</f>
        <v/>
      </c>
      <c r="I347" s="127" t="str">
        <f>_xlfn.XLOOKUP($B346,'Product Eng - BE'!$M$6:$BM$6,'Product Eng - BE'!$M$10:$BM$10,0)</f>
        <v/>
      </c>
      <c r="J347" s="127" t="str">
        <f>_xlfn.XLOOKUP($B346,'Product Eng - MB'!$M$6:$BM$6,'Product Eng - MB'!$M$10:$BM$10,0)</f>
        <v/>
      </c>
      <c r="K347" s="127" t="str">
        <f>_xlfn.XLOOKUP($B346,'Bridgend Manuf'!$M$6:$BM$6,'Bridgend Manuf'!$M$10:$BM$10,0)</f>
        <v/>
      </c>
      <c r="L347" s="127" t="str">
        <f>_xlfn.XLOOKUP($B346,'Maybole Manuf'!$M$6:$BM$6,'Maybole Manuf'!$M$10:$BM$10,0)</f>
        <v/>
      </c>
      <c r="M347" s="127" t="str">
        <f>_xlfn.XLOOKUP($B346,Logistics!$M$6:$BM$6,Logistics!$M$10:$BM$10,0)</f>
        <v/>
      </c>
      <c r="N347" s="127" t="str">
        <f>_xlfn.XLOOKUP($B346,Engineering!$M$22:$BM$22,Engineering!$M$26:$BM$26,0)</f>
        <v/>
      </c>
      <c r="O347" s="127" t="str">
        <f>_xlfn.XLOOKUP($B346,'Quality MB'!$M$6:$BM$6,'Quality MB'!$M$10:$BM$10,0)</f>
        <v/>
      </c>
      <c r="P347" s="127" t="str">
        <f>_xlfn.XLOOKUP($B346,Procurement!$M$6:$BM$6,Procurement!$M$10:$BM$10,0)</f>
        <v/>
      </c>
      <c r="Q347" s="127" t="str">
        <f>_xlfn.XLOOKUP($B346,IT!$M$6:$BM$6,IT!$M$10:$BM$10,0)</f>
        <v/>
      </c>
      <c r="R347" s="127" t="str">
        <f>_xlfn.XLOOKUP($B346,Marketing!$M$6:$BM$6,Marketing!$M$10:$BM$10,0)</f>
        <v/>
      </c>
      <c r="S347" s="127" t="str">
        <f>_xlfn.XLOOKUP($B346,Finance!$M$6:$BM$6,Finance!$M$10:$BM$10,0)</f>
        <v/>
      </c>
      <c r="U347" s="127" t="str">
        <f>IF(B346&gt;='KPI Linked Table for Report'!$C$1,"",_xlfn.XLOOKUP($T346,'HR mthly'!$I$6:$BM$6,'HR mthly'!$I$11:$BM$11,0))</f>
        <v/>
      </c>
      <c r="V347" s="127" t="str">
        <f>IF(B346&gt;='KPI Linked Table for Report'!$C$1,"",_xlfn.XLOOKUP($T346,'HR mthly'!$I$6:$BM$6,'HR mthly'!$I$14:$BM$14,0))</f>
        <v/>
      </c>
    </row>
    <row r="348" spans="2:22" ht="42.45" customHeight="1" x14ac:dyDescent="0.3">
      <c r="B348" s="971" t="s">
        <v>172</v>
      </c>
      <c r="C348" s="971"/>
      <c r="D348" s="127" t="str">
        <f>_xlfn.XLOOKUP($B346,EHS!$M$6:$BM$6,EHS!$M$13:$BM$13,0)</f>
        <v/>
      </c>
      <c r="E348" s="127" t="str">
        <f>_xlfn.XLOOKUP($B346,Estimating!$M$6:$BM$6,Estimating!$M$13:$BM$13,0)</f>
        <v/>
      </c>
      <c r="F348" s="127" t="str">
        <f>_xlfn.XLOOKUP($B346,SOP!$M$6:$BM$6,SOP!$M$13:$BM$13,0)</f>
        <v/>
      </c>
      <c r="G348" s="127" t="str">
        <f>_xlfn.XLOOKUP($B346,Design!$M$6:$BM$6,Design!$M$13:$BM$13,0)</f>
        <v/>
      </c>
      <c r="H348" s="127" t="str">
        <f>_xlfn.XLOOKUP($B346,'Product Design'!$M$6:$BM$6,'Product Design'!$M$13:$BM$13,0)</f>
        <v/>
      </c>
      <c r="I348" s="127" t="str">
        <f>_xlfn.XLOOKUP($B346,'Product Eng - BE'!$M$6:$BM$6,'Product Eng - BE'!$M$13:$BM$13,0)</f>
        <v/>
      </c>
      <c r="J348" s="127" t="str">
        <f>_xlfn.XLOOKUP($B346,'Product Eng - MB'!$M$6:$BM$6,'Product Eng - MB'!$M$13:$BM$13,0)</f>
        <v/>
      </c>
      <c r="K348" s="127" t="str">
        <f>_xlfn.XLOOKUP($B346,'Bridgend Manuf'!$M$6:$BM$6,'Bridgend Manuf'!$M$13:$BM$13,0)</f>
        <v/>
      </c>
      <c r="L348" s="127" t="str">
        <f>_xlfn.XLOOKUP($B346,'Maybole Manuf'!$M$6:$BM$6,'Maybole Manuf'!$M$13:$BM$13,0)</f>
        <v/>
      </c>
      <c r="M348" s="127" t="str">
        <f>_xlfn.XLOOKUP($B346,Logistics!$M$6:$BM$6,Logistics!$M$13:$BM$13,0)</f>
        <v/>
      </c>
      <c r="N348" s="127" t="e">
        <f>_xlfn.XLOOKUP($B346,Engineering!$M$22:$BM$22,Engineering!#REF!,0)</f>
        <v>#REF!</v>
      </c>
      <c r="O348" s="127" t="str">
        <f>_xlfn.XLOOKUP($B346,'Quality MB'!$M$6:$BM$6,'Quality MB'!$M$13:$BM$13,0)</f>
        <v/>
      </c>
      <c r="P348" s="127" t="str">
        <f>_xlfn.XLOOKUP($B346,Procurement!$M$6:$BM$6,Procurement!$M$13:$BM$13,0)</f>
        <v/>
      </c>
      <c r="Q348" s="127" t="str">
        <f>_xlfn.XLOOKUP($B346,IT!$M$6:$BM$6,IT!$M$13:$BM$13,0)</f>
        <v/>
      </c>
      <c r="R348" s="127" t="str">
        <f>_xlfn.XLOOKUP($B346,Marketing!$M$6:$BM$6,Marketing!$M$13:$BM$13,0)</f>
        <v/>
      </c>
      <c r="S348" s="127" t="str">
        <f>IF(B346&gt;'KPI Linked Table for Report'!$C$2,"",_xlfn.XLOOKUP($T346,Finance!$M$16:$X$16,Finance!$M$21:$X$21,0))</f>
        <v/>
      </c>
      <c r="U348" s="127" t="str">
        <f>IF(B346&gt;='KPI Linked Table for Report'!$C$1,"",_xlfn.XLOOKUP($T346,'HR mthly'!$I$6:$BM$6,'HR mthly'!$I$18:$BM$18,0))</f>
        <v/>
      </c>
      <c r="V348" s="127" t="str">
        <f>IF(B346&gt;='KPI Linked Table for Report'!$C$1,"",_xlfn.XLOOKUP($T346,'HR mthly'!$I$6:$BM$6,'HR mthly'!$I$21:$BM$21,0))</f>
        <v/>
      </c>
    </row>
    <row r="349" spans="2:22" ht="42.45" customHeight="1" x14ac:dyDescent="0.3">
      <c r="B349" s="971" t="s">
        <v>173</v>
      </c>
      <c r="C349" s="971"/>
      <c r="D349" s="11" t="s">
        <v>174</v>
      </c>
      <c r="E349" s="11" t="s">
        <v>174</v>
      </c>
      <c r="F349" s="11" t="str">
        <f>_xlfn.XLOOKUP($B346,SOP!$M$6:$BM$6,SOP!$M$16:$BM$16,0)</f>
        <v/>
      </c>
      <c r="G349" s="11" t="s">
        <v>174</v>
      </c>
      <c r="H349" s="11" t="str">
        <f>_xlfn.XLOOKUP($B346,'Product Design'!$M$6:$BM$6,'Product Design'!$M$16:$BM$16,0)</f>
        <v/>
      </c>
      <c r="I349" s="11" t="str">
        <f>_xlfn.XLOOKUP($B346,'Product Eng - BE'!$M$6:$BM$6,'Product Eng - BE'!$M$16:$BM$16,0)</f>
        <v/>
      </c>
      <c r="J349" s="11" t="str">
        <f>_xlfn.XLOOKUP($B346,'Product Eng - MB'!$M$6:$BM$6,'Product Eng - MB'!$M$16:$BM$16,0)</f>
        <v/>
      </c>
      <c r="K349" s="11" t="s">
        <v>174</v>
      </c>
      <c r="L349" s="11" t="s">
        <v>174</v>
      </c>
      <c r="M349" s="11" t="s">
        <v>174</v>
      </c>
      <c r="N349" s="11" t="s">
        <v>174</v>
      </c>
      <c r="O349" s="11" t="s">
        <v>174</v>
      </c>
      <c r="P349" s="11" t="s">
        <v>174</v>
      </c>
      <c r="Q349" s="11" t="s">
        <v>174</v>
      </c>
      <c r="R349" s="11" t="s">
        <v>174</v>
      </c>
      <c r="S349" s="11" t="s">
        <v>174</v>
      </c>
      <c r="U349" s="11" t="s">
        <v>174</v>
      </c>
      <c r="V349" s="11" t="s">
        <v>174</v>
      </c>
    </row>
    <row r="350" spans="2:22" ht="42.45" customHeight="1" x14ac:dyDescent="0.3">
      <c r="B350" s="971" t="s">
        <v>32</v>
      </c>
      <c r="C350" s="971"/>
      <c r="D350" s="127" t="str">
        <f>_xlfn.XLOOKUP($B346,EHS!$M$6:$BM$6,EHS!$M$16:$BM$16,0)</f>
        <v/>
      </c>
      <c r="E350" s="127" t="str">
        <f>_xlfn.XLOOKUP($B346,Estimating!$M$6:$BM$6,Estimating!$M$16:$BM$16,0)</f>
        <v/>
      </c>
      <c r="F350" s="127" t="str">
        <f>_xlfn.XLOOKUP($B346,SOP!$M$6:$BM$6,SOP!$M$19:$BM$19,0)</f>
        <v/>
      </c>
      <c r="G350" s="127" t="str">
        <f>_xlfn.XLOOKUP($B346,Design!$M$6:$BM$6,Design!$M$16:$BM$16,0)</f>
        <v/>
      </c>
      <c r="H350" s="127" t="str">
        <f>_xlfn.XLOOKUP($B346,'Product Design'!$M$6:$BM$6,'Product Design'!$M$19:$BM$19,0)</f>
        <v/>
      </c>
      <c r="I350" s="127" t="str">
        <f>_xlfn.XLOOKUP($B346,'Product Eng - BE'!$M$6:$BM$6,'Product Eng - BE'!$M$19:$BM$19,0)</f>
        <v/>
      </c>
      <c r="J350" s="127" t="str">
        <f>_xlfn.XLOOKUP($B346,'Product Eng - MB'!$M$6:$BM$6,'Product Eng - MB'!$M$19:$BM$19,0)</f>
        <v/>
      </c>
      <c r="K350" s="127" t="str">
        <f>_xlfn.XLOOKUP($B346,'Bridgend Manuf'!$M$6:$BM$6,'Bridgend Manuf'!$M$16:$BM$16,0)</f>
        <v/>
      </c>
      <c r="L350" s="127" t="str">
        <f>_xlfn.XLOOKUP($B346,'Maybole Manuf'!$M$6:$BM$6,'Maybole Manuf'!$M$16:$BM$16,0)</f>
        <v/>
      </c>
      <c r="M350" s="127" t="str">
        <f>_xlfn.XLOOKUP($B346,Logistics!$M$6:$BM$6,Logistics!$M$16:$BM$16,0)</f>
        <v/>
      </c>
      <c r="N350" s="127" t="e">
        <f>_xlfn.XLOOKUP($B346,Engineering!$M$22:$BM$22,Engineering!#REF!,0)</f>
        <v>#REF!</v>
      </c>
      <c r="O350" s="127" t="str">
        <f>_xlfn.XLOOKUP($B346,'Quality MB'!$M$6:$BM$6,'Quality MB'!$M$16:$BM$16,0)</f>
        <v/>
      </c>
      <c r="P350" s="127" t="str">
        <f>_xlfn.XLOOKUP($B346,Procurement!$M$6:$BM$6,Procurement!$M$16:$BM$16,0)</f>
        <v/>
      </c>
      <c r="Q350" s="127" t="str">
        <f>_xlfn.XLOOKUP($B346,IT!$M$6:$BM$6,IT!$M$16:$BM$16,0)</f>
        <v/>
      </c>
      <c r="R350" s="127" t="str">
        <f>_xlfn.XLOOKUP($B346,Marketing!$M$6:$BM$6,Marketing!$M$16:$BM$16,0)</f>
        <v/>
      </c>
      <c r="S350" s="127" t="str">
        <f>IF(B346&gt;'KPI Linked Table for Report'!$C$2,"",_xlfn.XLOOKUP($T346,Finance!$M$16:$X$16,Finance!$M$24:$X$24,0))</f>
        <v/>
      </c>
      <c r="U350" s="127" t="str">
        <f>IF(B346&gt;='KPI Linked Table for Report'!$C$1,"",_xlfn.XLOOKUP($T346,'HR mthly'!$I$6:$BM$6,'HR mthly'!$I$26:$BM$26,0))</f>
        <v/>
      </c>
      <c r="V350" s="127" t="str">
        <f>IF(B346&gt;='KPI Linked Table for Report'!$C$1,"",_xlfn.XLOOKUP($T346,'HR mthly'!$I$6:$BM$6,'HR mthly'!$I$29:$BM$29,0))</f>
        <v/>
      </c>
    </row>
    <row r="351" spans="2:22" ht="42.45" customHeight="1" x14ac:dyDescent="0.3">
      <c r="B351" s="971" t="s">
        <v>31</v>
      </c>
      <c r="C351" s="971"/>
      <c r="D351" s="127" t="str">
        <f>_xlfn.XLOOKUP($B346,EHS!$M$6:$BM$6,EHS!$M$19:$BM$19,0)</f>
        <v/>
      </c>
      <c r="E351" s="127" t="str">
        <f>_xlfn.XLOOKUP($B346,Estimating!$M$6:$BM$6,Estimating!$M$19:$BM$19,0)</f>
        <v/>
      </c>
      <c r="F351" s="127" t="str">
        <f>_xlfn.XLOOKUP($B346,SOP!$M$6:$BM$6,SOP!$M$22:$BM$22,0)</f>
        <v/>
      </c>
      <c r="G351" s="127" t="str">
        <f>_xlfn.XLOOKUP($B346,Design!$M$6:$BM$6,Design!$M$19:$BM$19,0)</f>
        <v/>
      </c>
      <c r="H351" s="127" t="str">
        <f>_xlfn.XLOOKUP($B346,'Product Design'!$M$6:$BM$6,'Product Design'!$M$22:$BM$22,0)</f>
        <v/>
      </c>
      <c r="I351" s="127" t="str">
        <f>_xlfn.XLOOKUP($B346,'Product Eng - BE'!$M$6:$BM$6,'Product Eng - BE'!$M$22:$BM$22,0)</f>
        <v/>
      </c>
      <c r="J351" s="127" t="str">
        <f>_xlfn.XLOOKUP($B346,'Product Eng - MB'!$M$6:$BM$6,'Product Eng - MB'!$M$22:$BM$22,0)</f>
        <v/>
      </c>
      <c r="K351" s="127" t="str">
        <f>_xlfn.XLOOKUP($B346,'Bridgend Manuf'!$M$6:$BM$6,'Bridgend Manuf'!$M$19:$BM$19,0)</f>
        <v/>
      </c>
      <c r="L351" s="127" t="str">
        <f>_xlfn.XLOOKUP($B346,'Maybole Manuf'!$M$6:$BM$6,'Maybole Manuf'!$M$19:$BM$19,0)</f>
        <v/>
      </c>
      <c r="M351" s="127" t="str">
        <f>_xlfn.XLOOKUP($B346,Logistics!$M$6:$BM$6,Logistics!$M$19:$BM$19,0)</f>
        <v/>
      </c>
      <c r="N351" s="127" t="e">
        <f>_xlfn.XLOOKUP($B346,Engineering!$M$22:$BM$22,Engineering!#REF!,0)</f>
        <v>#REF!</v>
      </c>
      <c r="O351" s="127" t="str">
        <f>_xlfn.XLOOKUP($B346,'Quality MB'!$M$6:$BM$6,'Quality MB'!$M$19:$BM$19,0)</f>
        <v/>
      </c>
      <c r="P351" s="127" t="str">
        <f>_xlfn.XLOOKUP($B346,Procurement!$M$6:$BM$6,Procurement!$M$19:$BM$19,0)</f>
        <v/>
      </c>
      <c r="Q351" s="127" t="str">
        <f>_xlfn.XLOOKUP($B346,IT!$M$6:$BM$6,IT!$M$19:$BM$19,0)</f>
        <v/>
      </c>
      <c r="R351" s="127" t="str">
        <f>_xlfn.XLOOKUP($B346,Marketing!$M$6:$BM$6,Marketing!$M$19:$BM$19,0)</f>
        <v/>
      </c>
      <c r="S351" s="127" t="str">
        <f>IF(B346&gt;'KPI Linked Table for Report'!$C$2,"",_xlfn.XLOOKUP($T346,Finance!$M$16:$X$16,Finance!$M$27:$X$27,0))</f>
        <v/>
      </c>
      <c r="U351" s="127" t="str">
        <f>IF(B346&gt;='KPI Linked Table for Report'!$C$1,"",_xlfn.XLOOKUP($T346,'HR mthly'!$I$6:$BM$6,'HR mthly'!$I$33:$BM$33,0))</f>
        <v/>
      </c>
      <c r="V351" s="127" t="str">
        <f>IF(B346&gt;='KPI Linked Table for Report'!$C$1,"",_xlfn.XLOOKUP($T346,'HR mthly'!$I$6:$BM$6,'HR mthly'!$I$36:$BM$36,0))</f>
        <v/>
      </c>
    </row>
    <row r="353" spans="2:22" ht="42.45" customHeight="1" x14ac:dyDescent="0.3">
      <c r="B353" s="973" t="s">
        <v>7</v>
      </c>
      <c r="C353" s="974"/>
      <c r="D353" s="6" t="str">
        <f>+D$9</f>
        <v>EHS</v>
      </c>
      <c r="E353" s="6" t="str">
        <f>+E$9</f>
        <v>Estimating</v>
      </c>
      <c r="F353" s="6" t="str">
        <f t="shared" ref="F353:R353" si="65">+F$9</f>
        <v>SOP</v>
      </c>
      <c r="G353" s="6" t="str">
        <f>+G$9</f>
        <v>Design and R&amp;D</v>
      </c>
      <c r="H353" s="6" t="str">
        <f t="shared" si="65"/>
        <v>Product Design</v>
      </c>
      <c r="I353" s="6" t="str">
        <f t="shared" si="65"/>
        <v>Product Engineering Bridgend</v>
      </c>
      <c r="J353" s="6" t="str">
        <f t="shared" si="65"/>
        <v>Product Engineering Maybole</v>
      </c>
      <c r="K353" s="6" t="str">
        <f t="shared" si="65"/>
        <v>Bridgend
Manuf</v>
      </c>
      <c r="L353" s="6" t="str">
        <f t="shared" si="65"/>
        <v>Maybole
Manuf</v>
      </c>
      <c r="M353" s="6" t="str">
        <f>+M$9</f>
        <v>Logistics</v>
      </c>
      <c r="N353" s="6" t="str">
        <f>+N$9</f>
        <v>Engineering</v>
      </c>
      <c r="O353" s="6" t="str">
        <f>+O$9</f>
        <v>Quality
Maybole</v>
      </c>
      <c r="P353" s="6" t="str">
        <f>+P$9</f>
        <v>Procurement</v>
      </c>
      <c r="Q353" s="6" t="str">
        <f>+Q$9</f>
        <v>IT</v>
      </c>
      <c r="R353" s="6" t="str">
        <f t="shared" si="65"/>
        <v>Marketing</v>
      </c>
      <c r="S353" s="6" t="str">
        <f>+S$9</f>
        <v>Finance</v>
      </c>
      <c r="T353" s="7" t="s">
        <v>409</v>
      </c>
      <c r="U353" s="6" t="str">
        <f>+U$9</f>
        <v>HR</v>
      </c>
      <c r="V353" s="6" t="str">
        <f>+V$9</f>
        <v>HR</v>
      </c>
    </row>
    <row r="354" spans="2:22" ht="42.45" customHeight="1" x14ac:dyDescent="0.3">
      <c r="B354" s="7">
        <f>B346+1</f>
        <v>44</v>
      </c>
      <c r="C354" s="8">
        <f>C346+7</f>
        <v>45961</v>
      </c>
      <c r="D354" s="10" t="s">
        <v>24</v>
      </c>
      <c r="E354" s="9" t="str">
        <f>+E$186</f>
        <v>Julian Sparrow</v>
      </c>
      <c r="F354" s="10" t="s">
        <v>19</v>
      </c>
      <c r="G354" s="10" t="s">
        <v>20</v>
      </c>
      <c r="H354" s="10" t="s">
        <v>24</v>
      </c>
      <c r="I354" s="10" t="s">
        <v>24</v>
      </c>
      <c r="J354" s="10" t="s">
        <v>21</v>
      </c>
      <c r="K354" s="10" t="s">
        <v>22</v>
      </c>
      <c r="L354" s="10" t="s">
        <v>23</v>
      </c>
      <c r="M354" s="10" t="str">
        <f>+M$10</f>
        <v>Scott McMillan</v>
      </c>
      <c r="N354" s="10" t="str">
        <f>+N$10</f>
        <v>Garin Bowen</v>
      </c>
      <c r="O354" s="10" t="str">
        <f>+O$10</f>
        <v>Scott McMIllan</v>
      </c>
      <c r="P354" s="10" t="str">
        <f>+P$10</f>
        <v>Matt 
Pope</v>
      </c>
      <c r="Q354" s="10" t="s">
        <v>29</v>
      </c>
      <c r="R354" s="10" t="s">
        <v>25</v>
      </c>
      <c r="S354" s="10" t="s">
        <v>26</v>
      </c>
      <c r="T354" s="7">
        <v>9</v>
      </c>
      <c r="U354" s="10" t="str">
        <f>+U$10</f>
        <v>Bethan Grant</v>
      </c>
      <c r="V354" s="10" t="str">
        <f>+V$10</f>
        <v>Bethan Grant</v>
      </c>
    </row>
    <row r="355" spans="2:22" ht="42.45" customHeight="1" x14ac:dyDescent="0.3">
      <c r="B355" s="971" t="s">
        <v>30</v>
      </c>
      <c r="C355" s="971"/>
      <c r="D355" s="127" t="str">
        <f>_xlfn.XLOOKUP($B354,EHS!$M$6:$BM$6,EHS!$M$10:$BM$10,0)</f>
        <v/>
      </c>
      <c r="E355" s="127" t="str">
        <f>_xlfn.XLOOKUP($B354,Estimating!$M$6:$BM$6,Estimating!$M$10:$BM$10,0)</f>
        <v/>
      </c>
      <c r="F355" s="127" t="str">
        <f>_xlfn.XLOOKUP($B354,SOP!$M$6:$BM$6,SOP!$M$10:$BM$10,0)</f>
        <v/>
      </c>
      <c r="G355" s="127" t="str">
        <f>_xlfn.XLOOKUP($B354,Design!$M$6:$BM$6,Design!$M$10:$BM$10,0)</f>
        <v/>
      </c>
      <c r="H355" s="127" t="str">
        <f>_xlfn.XLOOKUP($B354,'Product Design'!$M$6:$BM$6,'Product Design'!$M$10:$BM$10,0)</f>
        <v/>
      </c>
      <c r="I355" s="127" t="str">
        <f>_xlfn.XLOOKUP($B354,'Product Eng - BE'!$M$6:$BM$6,'Product Eng - BE'!$M$10:$BM$10,0)</f>
        <v/>
      </c>
      <c r="J355" s="127" t="str">
        <f>_xlfn.XLOOKUP($B354,'Product Eng - MB'!$M$6:$BM$6,'Product Eng - MB'!$M$10:$BM$10,0)</f>
        <v/>
      </c>
      <c r="K355" s="127" t="str">
        <f>_xlfn.XLOOKUP($B354,'Bridgend Manuf'!$M$6:$BM$6,'Bridgend Manuf'!$M$10:$BM$10,0)</f>
        <v/>
      </c>
      <c r="L355" s="127" t="str">
        <f>_xlfn.XLOOKUP($B354,'Maybole Manuf'!$M$6:$BM$6,'Maybole Manuf'!$M$10:$BM$10,0)</f>
        <v/>
      </c>
      <c r="M355" s="127" t="str">
        <f>_xlfn.XLOOKUP($B354,Logistics!$M$6:$BM$6,Logistics!$M$10:$BM$10,0)</f>
        <v/>
      </c>
      <c r="N355" s="127" t="str">
        <f>_xlfn.XLOOKUP($B354,Engineering!$M$22:$BM$22,Engineering!$M$26:$BM$26,0)</f>
        <v/>
      </c>
      <c r="O355" s="127" t="str">
        <f>_xlfn.XLOOKUP($B354,'Quality MB'!$M$6:$BM$6,'Quality MB'!$M$10:$BM$10,0)</f>
        <v/>
      </c>
      <c r="P355" s="127" t="str">
        <f>_xlfn.XLOOKUP($B354,Procurement!$M$6:$BM$6,Procurement!$M$10:$BM$10,0)</f>
        <v/>
      </c>
      <c r="Q355" s="127" t="str">
        <f>_xlfn.XLOOKUP($B354,IT!$M$6:$BM$6,IT!$M$10:$BM$10,0)</f>
        <v/>
      </c>
      <c r="R355" s="127" t="str">
        <f>_xlfn.XLOOKUP($B354,Marketing!$M$6:$BM$6,Marketing!$M$10:$BM$10,0)</f>
        <v/>
      </c>
      <c r="S355" s="127" t="str">
        <f>_xlfn.XLOOKUP($B354,Finance!$M$6:$BM$6,Finance!$M$10:$BM$10,0)</f>
        <v/>
      </c>
      <c r="U355" s="127" t="str">
        <f>IF(B354&gt;='KPI Linked Table for Report'!$C$1,"",_xlfn.XLOOKUP($T354,'HR mthly'!$I$6:$BM$6,'HR mthly'!$I$11:$BM$11,0))</f>
        <v/>
      </c>
      <c r="V355" s="127" t="str">
        <f>IF(B354&gt;='KPI Linked Table for Report'!$C$1,"",_xlfn.XLOOKUP($T354,'HR mthly'!$I$6:$BM$6,'HR mthly'!$I$14:$BM$14,0))</f>
        <v/>
      </c>
    </row>
    <row r="356" spans="2:22" ht="42.45" customHeight="1" x14ac:dyDescent="0.3">
      <c r="B356" s="971" t="s">
        <v>172</v>
      </c>
      <c r="C356" s="971"/>
      <c r="D356" s="127" t="str">
        <f>_xlfn.XLOOKUP($B354,EHS!$M$6:$BM$6,EHS!$M$13:$BM$13,0)</f>
        <v/>
      </c>
      <c r="E356" s="127" t="str">
        <f>_xlfn.XLOOKUP($B354,Estimating!$M$6:$BM$6,Estimating!$M$13:$BM$13,0)</f>
        <v/>
      </c>
      <c r="F356" s="127" t="str">
        <f>_xlfn.XLOOKUP($B354,SOP!$M$6:$BM$6,SOP!$M$13:$BM$13,0)</f>
        <v/>
      </c>
      <c r="G356" s="127" t="str">
        <f>_xlfn.XLOOKUP($B354,Design!$M$6:$BM$6,Design!$M$13:$BM$13,0)</f>
        <v/>
      </c>
      <c r="H356" s="127" t="str">
        <f>_xlfn.XLOOKUP($B354,'Product Design'!$M$6:$BM$6,'Product Design'!$M$13:$BM$13,0)</f>
        <v/>
      </c>
      <c r="I356" s="127" t="str">
        <f>_xlfn.XLOOKUP($B354,'Product Eng - BE'!$M$6:$BM$6,'Product Eng - BE'!$M$13:$BM$13,0)</f>
        <v/>
      </c>
      <c r="J356" s="127" t="str">
        <f>_xlfn.XLOOKUP($B354,'Product Eng - MB'!$M$6:$BM$6,'Product Eng - MB'!$M$13:$BM$13,0)</f>
        <v/>
      </c>
      <c r="K356" s="127" t="str">
        <f>_xlfn.XLOOKUP($B354,'Bridgend Manuf'!$M$6:$BM$6,'Bridgend Manuf'!$M$13:$BM$13,0)</f>
        <v/>
      </c>
      <c r="L356" s="127" t="str">
        <f>_xlfn.XLOOKUP($B354,'Maybole Manuf'!$M$6:$BM$6,'Maybole Manuf'!$M$13:$BM$13,0)</f>
        <v/>
      </c>
      <c r="M356" s="127" t="str">
        <f>_xlfn.XLOOKUP($B354,Logistics!$M$6:$BM$6,Logistics!$M$13:$BM$13,0)</f>
        <v/>
      </c>
      <c r="N356" s="127" t="e">
        <f>_xlfn.XLOOKUP($B354,Engineering!$M$22:$BM$22,Engineering!#REF!,0)</f>
        <v>#REF!</v>
      </c>
      <c r="O356" s="127" t="str">
        <f>_xlfn.XLOOKUP($B354,'Quality MB'!$M$6:$BM$6,'Quality MB'!$M$13:$BM$13,0)</f>
        <v/>
      </c>
      <c r="P356" s="127" t="str">
        <f>_xlfn.XLOOKUP($B354,Procurement!$M$6:$BM$6,Procurement!$M$13:$BM$13,0)</f>
        <v/>
      </c>
      <c r="Q356" s="127" t="str">
        <f>_xlfn.XLOOKUP($B354,IT!$M$6:$BM$6,IT!$M$13:$BM$13,0)</f>
        <v/>
      </c>
      <c r="R356" s="127" t="str">
        <f>_xlfn.XLOOKUP($B354,Marketing!$M$6:$BM$6,Marketing!$M$13:$BM$13,0)</f>
        <v/>
      </c>
      <c r="S356" s="127" t="str">
        <f>IF(B354&gt;'KPI Linked Table for Report'!$C$2,"",_xlfn.XLOOKUP($T354,Finance!$M$16:$X$16,Finance!$M$21:$X$21,0))</f>
        <v/>
      </c>
      <c r="U356" s="127" t="str">
        <f>IF(B354&gt;='KPI Linked Table for Report'!$C$1,"",_xlfn.XLOOKUP($T354,'HR mthly'!$I$6:$BM$6,'HR mthly'!$I$18:$BM$18,0))</f>
        <v/>
      </c>
      <c r="V356" s="127" t="str">
        <f>IF(B354&gt;='KPI Linked Table for Report'!$C$1,"",_xlfn.XLOOKUP($T354,'HR mthly'!$I$6:$BM$6,'HR mthly'!$I$21:$BM$21,0))</f>
        <v/>
      </c>
    </row>
    <row r="357" spans="2:22" ht="42.45" customHeight="1" x14ac:dyDescent="0.3">
      <c r="B357" s="971" t="s">
        <v>173</v>
      </c>
      <c r="C357" s="971"/>
      <c r="D357" s="11" t="s">
        <v>174</v>
      </c>
      <c r="E357" s="11" t="s">
        <v>174</v>
      </c>
      <c r="F357" s="11" t="str">
        <f>_xlfn.XLOOKUP($B354,SOP!$M$6:$BM$6,SOP!$M$16:$BM$16,0)</f>
        <v/>
      </c>
      <c r="G357" s="11" t="s">
        <v>174</v>
      </c>
      <c r="H357" s="11" t="str">
        <f>_xlfn.XLOOKUP($B354,'Product Design'!$M$6:$BM$6,'Product Design'!$M$16:$BM$16,0)</f>
        <v/>
      </c>
      <c r="I357" s="11" t="str">
        <f>_xlfn.XLOOKUP($B354,'Product Eng - BE'!$M$6:$BM$6,'Product Eng - BE'!$M$16:$BM$16,0)</f>
        <v/>
      </c>
      <c r="J357" s="11" t="str">
        <f>_xlfn.XLOOKUP($B354,'Product Eng - MB'!$M$6:$BM$6,'Product Eng - MB'!$M$16:$BM$16,0)</f>
        <v/>
      </c>
      <c r="K357" s="11" t="s">
        <v>174</v>
      </c>
      <c r="L357" s="11" t="s">
        <v>174</v>
      </c>
      <c r="M357" s="11" t="s">
        <v>174</v>
      </c>
      <c r="N357" s="11" t="s">
        <v>174</v>
      </c>
      <c r="O357" s="11" t="s">
        <v>174</v>
      </c>
      <c r="P357" s="11" t="s">
        <v>174</v>
      </c>
      <c r="Q357" s="11" t="s">
        <v>174</v>
      </c>
      <c r="R357" s="11" t="s">
        <v>174</v>
      </c>
      <c r="S357" s="11" t="s">
        <v>174</v>
      </c>
      <c r="U357" s="11" t="s">
        <v>174</v>
      </c>
      <c r="V357" s="11" t="s">
        <v>174</v>
      </c>
    </row>
    <row r="358" spans="2:22" ht="42.45" customHeight="1" x14ac:dyDescent="0.3">
      <c r="B358" s="971" t="s">
        <v>32</v>
      </c>
      <c r="C358" s="971"/>
      <c r="D358" s="127" t="str">
        <f>_xlfn.XLOOKUP($B354,EHS!$M$6:$BM$6,EHS!$M$16:$BM$16,0)</f>
        <v/>
      </c>
      <c r="E358" s="127" t="str">
        <f>_xlfn.XLOOKUP($B354,Estimating!$M$6:$BM$6,Estimating!$M$16:$BM$16,0)</f>
        <v/>
      </c>
      <c r="F358" s="127" t="str">
        <f>_xlfn.XLOOKUP($B354,SOP!$M$6:$BM$6,SOP!$M$19:$BM$19,0)</f>
        <v/>
      </c>
      <c r="G358" s="127" t="str">
        <f>_xlfn.XLOOKUP($B354,Design!$M$6:$BM$6,Design!$M$16:$BM$16,0)</f>
        <v/>
      </c>
      <c r="H358" s="127" t="str">
        <f>_xlfn.XLOOKUP($B354,'Product Design'!$M$6:$BM$6,'Product Design'!$M$19:$BM$19,0)</f>
        <v/>
      </c>
      <c r="I358" s="127" t="str">
        <f>_xlfn.XLOOKUP($B354,'Product Eng - BE'!$M$6:$BM$6,'Product Eng - BE'!$M$19:$BM$19,0)</f>
        <v/>
      </c>
      <c r="J358" s="127" t="str">
        <f>_xlfn.XLOOKUP($B354,'Product Eng - MB'!$M$6:$BM$6,'Product Eng - MB'!$M$19:$BM$19,0)</f>
        <v/>
      </c>
      <c r="K358" s="127" t="str">
        <f>_xlfn.XLOOKUP($B354,'Bridgend Manuf'!$M$6:$BM$6,'Bridgend Manuf'!$M$16:$BM$16,0)</f>
        <v/>
      </c>
      <c r="L358" s="127" t="str">
        <f>_xlfn.XLOOKUP($B354,'Maybole Manuf'!$M$6:$BM$6,'Maybole Manuf'!$M$16:$BM$16,0)</f>
        <v/>
      </c>
      <c r="M358" s="127" t="str">
        <f>_xlfn.XLOOKUP($B354,Logistics!$M$6:$BM$6,Logistics!$M$16:$BM$16,0)</f>
        <v/>
      </c>
      <c r="N358" s="127" t="e">
        <f>_xlfn.XLOOKUP($B354,Engineering!$M$22:$BM$22,Engineering!#REF!,0)</f>
        <v>#REF!</v>
      </c>
      <c r="O358" s="127" t="str">
        <f>_xlfn.XLOOKUP($B354,'Quality MB'!$M$6:$BM$6,'Quality MB'!$M$16:$BM$16,0)</f>
        <v/>
      </c>
      <c r="P358" s="127" t="str">
        <f>_xlfn.XLOOKUP($B354,Procurement!$M$6:$BM$6,Procurement!$M$16:$BM$16,0)</f>
        <v/>
      </c>
      <c r="Q358" s="127" t="str">
        <f>_xlfn.XLOOKUP($B354,IT!$M$6:$BM$6,IT!$M$16:$BM$16,0)</f>
        <v/>
      </c>
      <c r="R358" s="127" t="str">
        <f>_xlfn.XLOOKUP($B354,Marketing!$M$6:$BM$6,Marketing!$M$16:$BM$16,0)</f>
        <v/>
      </c>
      <c r="S358" s="127" t="str">
        <f>IF(B354&gt;'KPI Linked Table for Report'!$C$2,"",_xlfn.XLOOKUP($T354,Finance!$M$16:$X$16,Finance!$M$24:$X$24,0))</f>
        <v/>
      </c>
      <c r="U358" s="127" t="str">
        <f>IF(B354&gt;='KPI Linked Table for Report'!$C$1,"",_xlfn.XLOOKUP($T354,'HR mthly'!$I$6:$BM$6,'HR mthly'!$I$26:$BM$26,0))</f>
        <v/>
      </c>
      <c r="V358" s="127" t="str">
        <f>IF(B354&gt;='KPI Linked Table for Report'!$C$1,"",_xlfn.XLOOKUP($T354,'HR mthly'!$I$6:$BM$6,'HR mthly'!$I$29:$BM$29,0))</f>
        <v/>
      </c>
    </row>
    <row r="359" spans="2:22" ht="42.45" customHeight="1" x14ac:dyDescent="0.3">
      <c r="B359" s="971" t="s">
        <v>31</v>
      </c>
      <c r="C359" s="971"/>
      <c r="D359" s="127" t="str">
        <f>_xlfn.XLOOKUP($B354,EHS!$M$6:$BM$6,EHS!$M$19:$BM$19,0)</f>
        <v/>
      </c>
      <c r="E359" s="127" t="str">
        <f>_xlfn.XLOOKUP($B354,Estimating!$M$6:$BM$6,Estimating!$M$19:$BM$19,0)</f>
        <v/>
      </c>
      <c r="F359" s="127" t="str">
        <f>_xlfn.XLOOKUP($B354,SOP!$M$6:$BM$6,SOP!$M$22:$BM$22,0)</f>
        <v/>
      </c>
      <c r="G359" s="127" t="str">
        <f>_xlfn.XLOOKUP($B354,Design!$M$6:$BM$6,Design!$M$19:$BM$19,0)</f>
        <v/>
      </c>
      <c r="H359" s="127" t="str">
        <f>_xlfn.XLOOKUP($B354,'Product Design'!$M$6:$BM$6,'Product Design'!$M$22:$BM$22,0)</f>
        <v/>
      </c>
      <c r="I359" s="127" t="str">
        <f>_xlfn.XLOOKUP($B354,'Product Eng - BE'!$M$6:$BM$6,'Product Eng - BE'!$M$22:$BM$22,0)</f>
        <v/>
      </c>
      <c r="J359" s="127" t="str">
        <f>_xlfn.XLOOKUP($B354,'Product Eng - MB'!$M$6:$BM$6,'Product Eng - MB'!$M$22:$BM$22,0)</f>
        <v/>
      </c>
      <c r="K359" s="127" t="str">
        <f>_xlfn.XLOOKUP($B354,'Bridgend Manuf'!$M$6:$BM$6,'Bridgend Manuf'!$M$19:$BM$19,0)</f>
        <v/>
      </c>
      <c r="L359" s="127" t="str">
        <f>_xlfn.XLOOKUP($B354,'Maybole Manuf'!$M$6:$BM$6,'Maybole Manuf'!$M$19:$BM$19,0)</f>
        <v/>
      </c>
      <c r="M359" s="127" t="str">
        <f>_xlfn.XLOOKUP($B354,Logistics!$M$6:$BM$6,Logistics!$M$19:$BM$19,0)</f>
        <v/>
      </c>
      <c r="N359" s="127" t="e">
        <f>_xlfn.XLOOKUP($B354,Engineering!$M$22:$BM$22,Engineering!#REF!,0)</f>
        <v>#REF!</v>
      </c>
      <c r="O359" s="127" t="str">
        <f>_xlfn.XLOOKUP($B354,'Quality MB'!$M$6:$BM$6,'Quality MB'!$M$19:$BM$19,0)</f>
        <v/>
      </c>
      <c r="P359" s="127" t="str">
        <f>_xlfn.XLOOKUP($B354,Procurement!$M$6:$BM$6,Procurement!$M$19:$BM$19,0)</f>
        <v/>
      </c>
      <c r="Q359" s="127" t="str">
        <f>_xlfn.XLOOKUP($B354,IT!$M$6:$BM$6,IT!$M$19:$BM$19,0)</f>
        <v/>
      </c>
      <c r="R359" s="127" t="str">
        <f>_xlfn.XLOOKUP($B354,Marketing!$M$6:$BM$6,Marketing!$M$19:$BM$19,0)</f>
        <v/>
      </c>
      <c r="S359" s="127" t="str">
        <f>IF(B354&gt;'KPI Linked Table for Report'!$C$2,"",_xlfn.XLOOKUP($T354,Finance!$M$16:$X$16,Finance!$M$27:$X$27,0))</f>
        <v/>
      </c>
      <c r="U359" s="127" t="str">
        <f>IF(B354&gt;='KPI Linked Table for Report'!$C$1,"",_xlfn.XLOOKUP($T354,'HR mthly'!$I$6:$BM$6,'HR mthly'!$I$33:$BM$33,0))</f>
        <v/>
      </c>
      <c r="V359" s="127" t="str">
        <f>IF(B354&gt;='KPI Linked Table for Report'!$C$1,"",_xlfn.XLOOKUP($T354,'HR mthly'!$I$6:$BM$6,'HR mthly'!$I$36:$BM$36,0))</f>
        <v/>
      </c>
    </row>
    <row r="361" spans="2:22" ht="42.45" customHeight="1" x14ac:dyDescent="0.3">
      <c r="B361" s="973" t="s">
        <v>7</v>
      </c>
      <c r="C361" s="974"/>
      <c r="D361" s="6" t="str">
        <f>+D$9</f>
        <v>EHS</v>
      </c>
      <c r="E361" s="6" t="str">
        <f>+E$9</f>
        <v>Estimating</v>
      </c>
      <c r="F361" s="6" t="str">
        <f t="shared" ref="F361:R361" si="66">+F$9</f>
        <v>SOP</v>
      </c>
      <c r="G361" s="6" t="str">
        <f>+G$9</f>
        <v>Design and R&amp;D</v>
      </c>
      <c r="H361" s="6" t="str">
        <f t="shared" si="66"/>
        <v>Product Design</v>
      </c>
      <c r="I361" s="6" t="str">
        <f t="shared" si="66"/>
        <v>Product Engineering Bridgend</v>
      </c>
      <c r="J361" s="6" t="str">
        <f t="shared" si="66"/>
        <v>Product Engineering Maybole</v>
      </c>
      <c r="K361" s="6" t="str">
        <f t="shared" si="66"/>
        <v>Bridgend
Manuf</v>
      </c>
      <c r="L361" s="6" t="str">
        <f t="shared" si="66"/>
        <v>Maybole
Manuf</v>
      </c>
      <c r="M361" s="6" t="str">
        <f>+M$9</f>
        <v>Logistics</v>
      </c>
      <c r="N361" s="6" t="str">
        <f>+N$9</f>
        <v>Engineering</v>
      </c>
      <c r="O361" s="6" t="str">
        <f>+O$9</f>
        <v>Quality
Maybole</v>
      </c>
      <c r="P361" s="6" t="str">
        <f>+P$9</f>
        <v>Procurement</v>
      </c>
      <c r="Q361" s="6" t="str">
        <f>+Q$9</f>
        <v>IT</v>
      </c>
      <c r="R361" s="6" t="str">
        <f t="shared" si="66"/>
        <v>Marketing</v>
      </c>
      <c r="S361" s="6" t="str">
        <f>+S$9</f>
        <v>Finance</v>
      </c>
      <c r="T361" s="7" t="s">
        <v>409</v>
      </c>
      <c r="U361" s="6" t="str">
        <f>+U$9</f>
        <v>HR</v>
      </c>
      <c r="V361" s="6" t="str">
        <f>+V$9</f>
        <v>HR</v>
      </c>
    </row>
    <row r="362" spans="2:22" ht="42.45" customHeight="1" x14ac:dyDescent="0.3">
      <c r="B362" s="7">
        <f>B354+1</f>
        <v>45</v>
      </c>
      <c r="C362" s="8">
        <f>C354+7</f>
        <v>45968</v>
      </c>
      <c r="D362" s="10" t="s">
        <v>24</v>
      </c>
      <c r="E362" s="9" t="str">
        <f>+E$186</f>
        <v>Julian Sparrow</v>
      </c>
      <c r="F362" s="10" t="s">
        <v>19</v>
      </c>
      <c r="G362" s="10" t="s">
        <v>20</v>
      </c>
      <c r="H362" s="10" t="s">
        <v>24</v>
      </c>
      <c r="I362" s="10" t="s">
        <v>24</v>
      </c>
      <c r="J362" s="10" t="s">
        <v>21</v>
      </c>
      <c r="K362" s="10" t="s">
        <v>22</v>
      </c>
      <c r="L362" s="10" t="s">
        <v>23</v>
      </c>
      <c r="M362" s="10" t="str">
        <f>+M$10</f>
        <v>Scott McMillan</v>
      </c>
      <c r="N362" s="10" t="str">
        <f>+N$10</f>
        <v>Garin Bowen</v>
      </c>
      <c r="O362" s="10" t="str">
        <f>+O$10</f>
        <v>Scott McMIllan</v>
      </c>
      <c r="P362" s="10" t="str">
        <f>+P$10</f>
        <v>Matt 
Pope</v>
      </c>
      <c r="Q362" s="10" t="s">
        <v>29</v>
      </c>
      <c r="R362" s="10" t="s">
        <v>25</v>
      </c>
      <c r="S362" s="10" t="s">
        <v>26</v>
      </c>
      <c r="T362" s="7">
        <v>10</v>
      </c>
      <c r="U362" s="10" t="str">
        <f>+U$10</f>
        <v>Bethan Grant</v>
      </c>
      <c r="V362" s="10" t="str">
        <f>+V$10</f>
        <v>Bethan Grant</v>
      </c>
    </row>
    <row r="363" spans="2:22" ht="42.45" customHeight="1" x14ac:dyDescent="0.3">
      <c r="B363" s="971" t="s">
        <v>30</v>
      </c>
      <c r="C363" s="971"/>
      <c r="D363" s="127" t="str">
        <f>_xlfn.XLOOKUP($B362,EHS!$M$6:$BM$6,EHS!$M$10:$BM$10,0)</f>
        <v/>
      </c>
      <c r="E363" s="127" t="str">
        <f>_xlfn.XLOOKUP($B362,Estimating!$M$6:$BM$6,Estimating!$M$10:$BM$10,0)</f>
        <v/>
      </c>
      <c r="F363" s="127" t="str">
        <f>_xlfn.XLOOKUP($B362,SOP!$M$6:$BM$6,SOP!$M$10:$BM$10,0)</f>
        <v/>
      </c>
      <c r="G363" s="127" t="str">
        <f>_xlfn.XLOOKUP($B362,Design!$M$6:$BM$6,Design!$M$10:$BM$10,0)</f>
        <v/>
      </c>
      <c r="H363" s="127" t="str">
        <f>_xlfn.XLOOKUP($B362,'Product Design'!$M$6:$BM$6,'Product Design'!$M$10:$BM$10,0)</f>
        <v/>
      </c>
      <c r="I363" s="127" t="str">
        <f>_xlfn.XLOOKUP($B362,'Product Eng - BE'!$M$6:$BM$6,'Product Eng - BE'!$M$10:$BM$10,0)</f>
        <v/>
      </c>
      <c r="J363" s="127" t="str">
        <f>_xlfn.XLOOKUP($B362,'Product Eng - MB'!$M$6:$BM$6,'Product Eng - MB'!$M$10:$BM$10,0)</f>
        <v/>
      </c>
      <c r="K363" s="127" t="str">
        <f>_xlfn.XLOOKUP($B362,'Bridgend Manuf'!$M$6:$BM$6,'Bridgend Manuf'!$M$10:$BM$10,0)</f>
        <v/>
      </c>
      <c r="L363" s="127" t="str">
        <f>_xlfn.XLOOKUP($B362,'Maybole Manuf'!$M$6:$BM$6,'Maybole Manuf'!$M$10:$BM$10,0)</f>
        <v/>
      </c>
      <c r="M363" s="127" t="str">
        <f>_xlfn.XLOOKUP($B362,Logistics!$M$6:$BM$6,Logistics!$M$10:$BM$10,0)</f>
        <v/>
      </c>
      <c r="N363" s="127" t="str">
        <f>_xlfn.XLOOKUP($B362,Engineering!$M$22:$BM$22,Engineering!$M$26:$BM$26,0)</f>
        <v/>
      </c>
      <c r="O363" s="127" t="str">
        <f>_xlfn.XLOOKUP($B362,'Quality MB'!$M$6:$BM$6,'Quality MB'!$M$10:$BM$10,0)</f>
        <v/>
      </c>
      <c r="P363" s="127" t="str">
        <f>_xlfn.XLOOKUP($B362,Procurement!$M$6:$BM$6,Procurement!$M$10:$BM$10,0)</f>
        <v/>
      </c>
      <c r="Q363" s="127" t="str">
        <f>_xlfn.XLOOKUP($B362,IT!$M$6:$BM$6,IT!$M$10:$BM$10,0)</f>
        <v/>
      </c>
      <c r="R363" s="127" t="str">
        <f>_xlfn.XLOOKUP($B362,Marketing!$M$6:$BM$6,Marketing!$M$10:$BM$10,0)</f>
        <v/>
      </c>
      <c r="S363" s="127" t="str">
        <f>_xlfn.XLOOKUP($B362,Finance!$M$6:$BM$6,Finance!$M$10:$BM$10,0)</f>
        <v/>
      </c>
      <c r="U363" s="127" t="str">
        <f>IF(B362&gt;='KPI Linked Table for Report'!$C$1,"",_xlfn.XLOOKUP($T362,'HR mthly'!$I$6:$BM$6,'HR mthly'!$I$11:$BM$11,0))</f>
        <v/>
      </c>
      <c r="V363" s="127" t="str">
        <f>IF(B362&gt;='KPI Linked Table for Report'!$C$1,"",_xlfn.XLOOKUP($T362,'HR mthly'!$I$6:$BM$6,'HR mthly'!$I$14:$BM$14,0))</f>
        <v/>
      </c>
    </row>
    <row r="364" spans="2:22" ht="42.45" customHeight="1" x14ac:dyDescent="0.3">
      <c r="B364" s="971" t="s">
        <v>172</v>
      </c>
      <c r="C364" s="971"/>
      <c r="D364" s="127" t="str">
        <f>_xlfn.XLOOKUP($B362,EHS!$M$6:$BM$6,EHS!$M$13:$BM$13,0)</f>
        <v/>
      </c>
      <c r="E364" s="127" t="str">
        <f>_xlfn.XLOOKUP($B362,Estimating!$M$6:$BM$6,Estimating!$M$13:$BM$13,0)</f>
        <v/>
      </c>
      <c r="F364" s="127" t="str">
        <f>_xlfn.XLOOKUP($B362,SOP!$M$6:$BM$6,SOP!$M$13:$BM$13,0)</f>
        <v/>
      </c>
      <c r="G364" s="127" t="str">
        <f>_xlfn.XLOOKUP($B362,Design!$M$6:$BM$6,Design!$M$13:$BM$13,0)</f>
        <v/>
      </c>
      <c r="H364" s="127" t="str">
        <f>_xlfn.XLOOKUP($B362,'Product Design'!$M$6:$BM$6,'Product Design'!$M$13:$BM$13,0)</f>
        <v/>
      </c>
      <c r="I364" s="127" t="str">
        <f>_xlfn.XLOOKUP($B362,'Product Eng - BE'!$M$6:$BM$6,'Product Eng - BE'!$M$13:$BM$13,0)</f>
        <v/>
      </c>
      <c r="J364" s="127" t="str">
        <f>_xlfn.XLOOKUP($B362,'Product Eng - MB'!$M$6:$BM$6,'Product Eng - MB'!$M$13:$BM$13,0)</f>
        <v/>
      </c>
      <c r="K364" s="127" t="str">
        <f>_xlfn.XLOOKUP($B362,'Bridgend Manuf'!$M$6:$BM$6,'Bridgend Manuf'!$M$13:$BM$13,0)</f>
        <v/>
      </c>
      <c r="L364" s="127" t="str">
        <f>_xlfn.XLOOKUP($B362,'Maybole Manuf'!$M$6:$BM$6,'Maybole Manuf'!$M$13:$BM$13,0)</f>
        <v/>
      </c>
      <c r="M364" s="127" t="str">
        <f>_xlfn.XLOOKUP($B362,Logistics!$M$6:$BM$6,Logistics!$M$13:$BM$13,0)</f>
        <v/>
      </c>
      <c r="N364" s="127" t="e">
        <f>_xlfn.XLOOKUP($B362,Engineering!$M$22:$BM$22,Engineering!#REF!,0)</f>
        <v>#REF!</v>
      </c>
      <c r="O364" s="127" t="str">
        <f>_xlfn.XLOOKUP($B362,'Quality MB'!$M$6:$BM$6,'Quality MB'!$M$13:$BM$13,0)</f>
        <v/>
      </c>
      <c r="P364" s="127" t="str">
        <f>_xlfn.XLOOKUP($B362,Procurement!$M$6:$BM$6,Procurement!$M$13:$BM$13,0)</f>
        <v/>
      </c>
      <c r="Q364" s="127" t="str">
        <f>_xlfn.XLOOKUP($B362,IT!$M$6:$BM$6,IT!$M$13:$BM$13,0)</f>
        <v/>
      </c>
      <c r="R364" s="127" t="str">
        <f>_xlfn.XLOOKUP($B362,Marketing!$M$6:$BM$6,Marketing!$M$13:$BM$13,0)</f>
        <v/>
      </c>
      <c r="S364" s="127" t="str">
        <f>IF(B362&gt;'KPI Linked Table for Report'!$C$2,"",_xlfn.XLOOKUP($T362,Finance!$M$16:$X$16,Finance!$M$21:$X$21,0))</f>
        <v/>
      </c>
      <c r="U364" s="127" t="str">
        <f>IF(B362&gt;='KPI Linked Table for Report'!$C$1,"",_xlfn.XLOOKUP($T362,'HR mthly'!$I$6:$BM$6,'HR mthly'!$I$18:$BM$18,0))</f>
        <v/>
      </c>
      <c r="V364" s="127" t="str">
        <f>IF(B362&gt;='KPI Linked Table for Report'!$C$1,"",_xlfn.XLOOKUP($T362,'HR mthly'!$I$6:$BM$6,'HR mthly'!$I$21:$BM$21,0))</f>
        <v/>
      </c>
    </row>
    <row r="365" spans="2:22" ht="42.45" customHeight="1" x14ac:dyDescent="0.3">
      <c r="B365" s="971" t="s">
        <v>173</v>
      </c>
      <c r="C365" s="971"/>
      <c r="D365" s="11" t="s">
        <v>174</v>
      </c>
      <c r="E365" s="11" t="s">
        <v>174</v>
      </c>
      <c r="F365" s="11" t="str">
        <f>_xlfn.XLOOKUP($B362,SOP!$M$6:$BM$6,SOP!$M$16:$BM$16,0)</f>
        <v/>
      </c>
      <c r="G365" s="11" t="s">
        <v>174</v>
      </c>
      <c r="H365" s="11" t="str">
        <f>_xlfn.XLOOKUP($B362,'Product Design'!$M$6:$BM$6,'Product Design'!$M$16:$BM$16,0)</f>
        <v/>
      </c>
      <c r="I365" s="11" t="str">
        <f>_xlfn.XLOOKUP($B362,'Product Eng - BE'!$M$6:$BM$6,'Product Eng - BE'!$M$16:$BM$16,0)</f>
        <v/>
      </c>
      <c r="J365" s="11" t="str">
        <f>_xlfn.XLOOKUP($B362,'Product Eng - MB'!$M$6:$BM$6,'Product Eng - MB'!$M$16:$BM$16,0)</f>
        <v/>
      </c>
      <c r="K365" s="11" t="s">
        <v>174</v>
      </c>
      <c r="L365" s="11" t="s">
        <v>174</v>
      </c>
      <c r="M365" s="11" t="s">
        <v>174</v>
      </c>
      <c r="N365" s="11" t="s">
        <v>174</v>
      </c>
      <c r="O365" s="11" t="s">
        <v>174</v>
      </c>
      <c r="P365" s="11" t="s">
        <v>174</v>
      </c>
      <c r="Q365" s="11" t="s">
        <v>174</v>
      </c>
      <c r="R365" s="11" t="s">
        <v>174</v>
      </c>
      <c r="S365" s="11" t="s">
        <v>174</v>
      </c>
      <c r="U365" s="11" t="s">
        <v>174</v>
      </c>
      <c r="V365" s="11" t="s">
        <v>174</v>
      </c>
    </row>
    <row r="366" spans="2:22" ht="42.45" customHeight="1" x14ac:dyDescent="0.3">
      <c r="B366" s="971" t="s">
        <v>32</v>
      </c>
      <c r="C366" s="971"/>
      <c r="D366" s="127" t="str">
        <f>_xlfn.XLOOKUP($B362,EHS!$M$6:$BM$6,EHS!$M$16:$BM$16,0)</f>
        <v/>
      </c>
      <c r="E366" s="127" t="str">
        <f>_xlfn.XLOOKUP($B362,Estimating!$M$6:$BM$6,Estimating!$M$16:$BM$16,0)</f>
        <v/>
      </c>
      <c r="F366" s="127" t="str">
        <f>_xlfn.XLOOKUP($B362,SOP!$M$6:$BM$6,SOP!$M$19:$BM$19,0)</f>
        <v/>
      </c>
      <c r="G366" s="127" t="str">
        <f>_xlfn.XLOOKUP($B362,Design!$M$6:$BM$6,Design!$M$16:$BM$16,0)</f>
        <v/>
      </c>
      <c r="H366" s="127" t="str">
        <f>_xlfn.XLOOKUP($B362,'Product Design'!$M$6:$BM$6,'Product Design'!$M$19:$BM$19,0)</f>
        <v/>
      </c>
      <c r="I366" s="127" t="str">
        <f>_xlfn.XLOOKUP($B362,'Product Eng - BE'!$M$6:$BM$6,'Product Eng - BE'!$M$19:$BM$19,0)</f>
        <v/>
      </c>
      <c r="J366" s="127" t="str">
        <f>_xlfn.XLOOKUP($B362,'Product Eng - MB'!$M$6:$BM$6,'Product Eng - MB'!$M$19:$BM$19,0)</f>
        <v/>
      </c>
      <c r="K366" s="127" t="str">
        <f>_xlfn.XLOOKUP($B362,'Bridgend Manuf'!$M$6:$BM$6,'Bridgend Manuf'!$M$16:$BM$16,0)</f>
        <v/>
      </c>
      <c r="L366" s="127" t="str">
        <f>_xlfn.XLOOKUP($B362,'Maybole Manuf'!$M$6:$BM$6,'Maybole Manuf'!$M$16:$BM$16,0)</f>
        <v/>
      </c>
      <c r="M366" s="127" t="str">
        <f>_xlfn.XLOOKUP($B362,Logistics!$M$6:$BM$6,Logistics!$M$16:$BM$16,0)</f>
        <v/>
      </c>
      <c r="N366" s="127" t="e">
        <f>_xlfn.XLOOKUP($B362,Engineering!$M$22:$BM$22,Engineering!#REF!,0)</f>
        <v>#REF!</v>
      </c>
      <c r="O366" s="127" t="str">
        <f>_xlfn.XLOOKUP($B362,'Quality MB'!$M$6:$BM$6,'Quality MB'!$M$16:$BM$16,0)</f>
        <v/>
      </c>
      <c r="P366" s="127" t="str">
        <f>_xlfn.XLOOKUP($B362,Procurement!$M$6:$BM$6,Procurement!$M$16:$BM$16,0)</f>
        <v/>
      </c>
      <c r="Q366" s="127" t="str">
        <f>_xlfn.XLOOKUP($B362,IT!$M$6:$BM$6,IT!$M$16:$BM$16,0)</f>
        <v/>
      </c>
      <c r="R366" s="127" t="str">
        <f>_xlfn.XLOOKUP($B362,Marketing!$M$6:$BM$6,Marketing!$M$16:$BM$16,0)</f>
        <v/>
      </c>
      <c r="S366" s="127" t="str">
        <f>IF(B362&gt;'KPI Linked Table for Report'!$C$2,"",_xlfn.XLOOKUP($T362,Finance!$M$16:$X$16,Finance!$M$24:$X$24,0))</f>
        <v/>
      </c>
      <c r="U366" s="127" t="str">
        <f>IF(B362&gt;='KPI Linked Table for Report'!$C$1,"",_xlfn.XLOOKUP($T362,'HR mthly'!$I$6:$BM$6,'HR mthly'!$I$26:$BM$26,0))</f>
        <v/>
      </c>
      <c r="V366" s="127" t="str">
        <f>IF(B362&gt;='KPI Linked Table for Report'!$C$1,"",_xlfn.XLOOKUP($T362,'HR mthly'!$I$6:$BM$6,'HR mthly'!$I$29:$BM$29,0))</f>
        <v/>
      </c>
    </row>
    <row r="367" spans="2:22" ht="42.45" customHeight="1" x14ac:dyDescent="0.3">
      <c r="B367" s="971" t="s">
        <v>31</v>
      </c>
      <c r="C367" s="971"/>
      <c r="D367" s="127" t="str">
        <f>_xlfn.XLOOKUP($B362,EHS!$M$6:$BM$6,EHS!$M$19:$BM$19,0)</f>
        <v/>
      </c>
      <c r="E367" s="127" t="str">
        <f>_xlfn.XLOOKUP($B362,Estimating!$M$6:$BM$6,Estimating!$M$19:$BM$19,0)</f>
        <v/>
      </c>
      <c r="F367" s="127" t="str">
        <f>_xlfn.XLOOKUP($B362,SOP!$M$6:$BM$6,SOP!$M$22:$BM$22,0)</f>
        <v/>
      </c>
      <c r="G367" s="127" t="str">
        <f>_xlfn.XLOOKUP($B362,Design!$M$6:$BM$6,Design!$M$19:$BM$19,0)</f>
        <v/>
      </c>
      <c r="H367" s="127" t="str">
        <f>_xlfn.XLOOKUP($B362,'Product Design'!$M$6:$BM$6,'Product Design'!$M$22:$BM$22,0)</f>
        <v/>
      </c>
      <c r="I367" s="127" t="str">
        <f>_xlfn.XLOOKUP($B362,'Product Eng - BE'!$M$6:$BM$6,'Product Eng - BE'!$M$22:$BM$22,0)</f>
        <v/>
      </c>
      <c r="J367" s="127" t="str">
        <f>_xlfn.XLOOKUP($B362,'Product Eng - MB'!$M$6:$BM$6,'Product Eng - MB'!$M$22:$BM$22,0)</f>
        <v/>
      </c>
      <c r="K367" s="127" t="str">
        <f>_xlfn.XLOOKUP($B362,'Bridgend Manuf'!$M$6:$BM$6,'Bridgend Manuf'!$M$19:$BM$19,0)</f>
        <v/>
      </c>
      <c r="L367" s="127" t="str">
        <f>_xlfn.XLOOKUP($B362,'Maybole Manuf'!$M$6:$BM$6,'Maybole Manuf'!$M$19:$BM$19,0)</f>
        <v/>
      </c>
      <c r="M367" s="127" t="str">
        <f>_xlfn.XLOOKUP($B362,Logistics!$M$6:$BM$6,Logistics!$M$19:$BM$19,0)</f>
        <v/>
      </c>
      <c r="N367" s="127" t="e">
        <f>_xlfn.XLOOKUP($B362,Engineering!$M$22:$BM$22,Engineering!#REF!,0)</f>
        <v>#REF!</v>
      </c>
      <c r="O367" s="127" t="str">
        <f>_xlfn.XLOOKUP($B362,'Quality MB'!$M$6:$BM$6,'Quality MB'!$M$19:$BM$19,0)</f>
        <v/>
      </c>
      <c r="P367" s="127" t="str">
        <f>_xlfn.XLOOKUP($B362,Procurement!$M$6:$BM$6,Procurement!$M$19:$BM$19,0)</f>
        <v/>
      </c>
      <c r="Q367" s="127" t="str">
        <f>_xlfn.XLOOKUP($B362,IT!$M$6:$BM$6,IT!$M$19:$BM$19,0)</f>
        <v/>
      </c>
      <c r="R367" s="127" t="str">
        <f>_xlfn.XLOOKUP($B362,Marketing!$M$6:$BM$6,Marketing!$M$19:$BM$19,0)</f>
        <v/>
      </c>
      <c r="S367" s="127" t="str">
        <f>IF(B362&gt;'KPI Linked Table for Report'!$C$2,"",_xlfn.XLOOKUP($T362,Finance!$M$16:$X$16,Finance!$M$27:$X$27,0))</f>
        <v/>
      </c>
      <c r="U367" s="127" t="str">
        <f>IF(B362&gt;='KPI Linked Table for Report'!$C$1,"",_xlfn.XLOOKUP($T362,'HR mthly'!$I$6:$BM$6,'HR mthly'!$I$33:$BM$33,0))</f>
        <v/>
      </c>
      <c r="V367" s="127" t="str">
        <f>IF(B362&gt;='KPI Linked Table for Report'!$C$1,"",_xlfn.XLOOKUP($T362,'HR mthly'!$I$6:$BM$6,'HR mthly'!$I$36:$BM$36,0))</f>
        <v/>
      </c>
    </row>
    <row r="369" spans="2:22" ht="42.45" customHeight="1" x14ac:dyDescent="0.3">
      <c r="B369" s="973" t="s">
        <v>7</v>
      </c>
      <c r="C369" s="974"/>
      <c r="D369" s="6" t="str">
        <f>+D$9</f>
        <v>EHS</v>
      </c>
      <c r="E369" s="6" t="str">
        <f>+E$9</f>
        <v>Estimating</v>
      </c>
      <c r="F369" s="6" t="str">
        <f t="shared" ref="F369:R369" si="67">+F$9</f>
        <v>SOP</v>
      </c>
      <c r="G369" s="6" t="str">
        <f>+G$9</f>
        <v>Design and R&amp;D</v>
      </c>
      <c r="H369" s="6" t="str">
        <f t="shared" si="67"/>
        <v>Product Design</v>
      </c>
      <c r="I369" s="6" t="str">
        <f t="shared" si="67"/>
        <v>Product Engineering Bridgend</v>
      </c>
      <c r="J369" s="6" t="str">
        <f t="shared" si="67"/>
        <v>Product Engineering Maybole</v>
      </c>
      <c r="K369" s="6" t="str">
        <f t="shared" si="67"/>
        <v>Bridgend
Manuf</v>
      </c>
      <c r="L369" s="6" t="str">
        <f t="shared" si="67"/>
        <v>Maybole
Manuf</v>
      </c>
      <c r="M369" s="6" t="str">
        <f>+M$9</f>
        <v>Logistics</v>
      </c>
      <c r="N369" s="6" t="str">
        <f>+N$9</f>
        <v>Engineering</v>
      </c>
      <c r="O369" s="6" t="str">
        <f>+O$9</f>
        <v>Quality
Maybole</v>
      </c>
      <c r="P369" s="6" t="str">
        <f>+P$9</f>
        <v>Procurement</v>
      </c>
      <c r="Q369" s="6" t="str">
        <f>+Q$9</f>
        <v>IT</v>
      </c>
      <c r="R369" s="6" t="str">
        <f t="shared" si="67"/>
        <v>Marketing</v>
      </c>
      <c r="S369" s="6" t="str">
        <f>+S$9</f>
        <v>Finance</v>
      </c>
      <c r="T369" s="7" t="s">
        <v>409</v>
      </c>
      <c r="U369" s="6" t="str">
        <f>+U$9</f>
        <v>HR</v>
      </c>
      <c r="V369" s="6" t="str">
        <f>+V$9</f>
        <v>HR</v>
      </c>
    </row>
    <row r="370" spans="2:22" ht="42.45" customHeight="1" x14ac:dyDescent="0.3">
      <c r="B370" s="7">
        <f>B362+1</f>
        <v>46</v>
      </c>
      <c r="C370" s="8">
        <f>C362+7</f>
        <v>45975</v>
      </c>
      <c r="D370" s="10" t="s">
        <v>24</v>
      </c>
      <c r="E370" s="9" t="str">
        <f>+E$186</f>
        <v>Julian Sparrow</v>
      </c>
      <c r="F370" s="10" t="s">
        <v>19</v>
      </c>
      <c r="G370" s="10" t="s">
        <v>20</v>
      </c>
      <c r="H370" s="10" t="s">
        <v>24</v>
      </c>
      <c r="I370" s="10" t="s">
        <v>24</v>
      </c>
      <c r="J370" s="10" t="s">
        <v>21</v>
      </c>
      <c r="K370" s="10" t="s">
        <v>22</v>
      </c>
      <c r="L370" s="10" t="s">
        <v>23</v>
      </c>
      <c r="M370" s="10" t="str">
        <f>+M$10</f>
        <v>Scott McMillan</v>
      </c>
      <c r="N370" s="10" t="str">
        <f>+N$10</f>
        <v>Garin Bowen</v>
      </c>
      <c r="O370" s="10" t="str">
        <f>+O$10</f>
        <v>Scott McMIllan</v>
      </c>
      <c r="P370" s="10" t="str">
        <f>+P$10</f>
        <v>Matt 
Pope</v>
      </c>
      <c r="Q370" s="10" t="s">
        <v>29</v>
      </c>
      <c r="R370" s="10" t="s">
        <v>25</v>
      </c>
      <c r="S370" s="10" t="s">
        <v>26</v>
      </c>
      <c r="T370" s="7">
        <v>10</v>
      </c>
      <c r="U370" s="10" t="str">
        <f>+U$10</f>
        <v>Bethan Grant</v>
      </c>
      <c r="V370" s="10" t="str">
        <f>+V$10</f>
        <v>Bethan Grant</v>
      </c>
    </row>
    <row r="371" spans="2:22" ht="42.45" customHeight="1" x14ac:dyDescent="0.3">
      <c r="B371" s="971" t="s">
        <v>30</v>
      </c>
      <c r="C371" s="971"/>
      <c r="D371" s="127" t="str">
        <f>_xlfn.XLOOKUP($B370,EHS!$M$6:$BM$6,EHS!$M$10:$BM$10,0)</f>
        <v/>
      </c>
      <c r="E371" s="127" t="str">
        <f>_xlfn.XLOOKUP($B370,Estimating!$M$6:$BM$6,Estimating!$M$10:$BM$10,0)</f>
        <v/>
      </c>
      <c r="F371" s="127" t="str">
        <f>_xlfn.XLOOKUP($B370,SOP!$M$6:$BM$6,SOP!$M$10:$BM$10,0)</f>
        <v/>
      </c>
      <c r="G371" s="127" t="str">
        <f>_xlfn.XLOOKUP($B370,Design!$M$6:$BM$6,Design!$M$10:$BM$10,0)</f>
        <v/>
      </c>
      <c r="H371" s="127" t="str">
        <f>_xlfn.XLOOKUP($B370,'Product Design'!$M$6:$BM$6,'Product Design'!$M$10:$BM$10,0)</f>
        <v/>
      </c>
      <c r="I371" s="127" t="str">
        <f>_xlfn.XLOOKUP($B370,'Product Eng - BE'!$M$6:$BM$6,'Product Eng - BE'!$M$10:$BM$10,0)</f>
        <v/>
      </c>
      <c r="J371" s="127" t="str">
        <f>_xlfn.XLOOKUP($B370,'Product Eng - MB'!$M$6:$BM$6,'Product Eng - MB'!$M$10:$BM$10,0)</f>
        <v/>
      </c>
      <c r="K371" s="127" t="str">
        <f>_xlfn.XLOOKUP($B370,'Bridgend Manuf'!$M$6:$BM$6,'Bridgend Manuf'!$M$10:$BM$10,0)</f>
        <v/>
      </c>
      <c r="L371" s="127" t="str">
        <f>_xlfn.XLOOKUP($B370,'Maybole Manuf'!$M$6:$BM$6,'Maybole Manuf'!$M$10:$BM$10,0)</f>
        <v/>
      </c>
      <c r="M371" s="127" t="str">
        <f>_xlfn.XLOOKUP($B370,Logistics!$M$6:$BM$6,Logistics!$M$10:$BM$10,0)</f>
        <v/>
      </c>
      <c r="N371" s="127" t="str">
        <f>_xlfn.XLOOKUP($B370,Engineering!$M$22:$BM$22,Engineering!$M$26:$BM$26,0)</f>
        <v/>
      </c>
      <c r="O371" s="127" t="str">
        <f>_xlfn.XLOOKUP($B370,'Quality MB'!$M$6:$BM$6,'Quality MB'!$M$10:$BM$10,0)</f>
        <v/>
      </c>
      <c r="P371" s="127" t="str">
        <f>_xlfn.XLOOKUP($B370,Procurement!$M$6:$BM$6,Procurement!$M$10:$BM$10,0)</f>
        <v/>
      </c>
      <c r="Q371" s="127" t="str">
        <f>_xlfn.XLOOKUP($B370,IT!$M$6:$BM$6,IT!$M$10:$BM$10,0)</f>
        <v/>
      </c>
      <c r="R371" s="127" t="str">
        <f>_xlfn.XLOOKUP($B370,Marketing!$M$6:$BM$6,Marketing!$M$10:$BM$10,0)</f>
        <v/>
      </c>
      <c r="S371" s="127" t="str">
        <f>_xlfn.XLOOKUP($B370,Finance!$M$6:$BM$6,Finance!$M$10:$BM$10,0)</f>
        <v/>
      </c>
      <c r="U371" s="127" t="str">
        <f>IF(B370&gt;='KPI Linked Table for Report'!$C$1,"",_xlfn.XLOOKUP($T370,'HR mthly'!$I$6:$BM$6,'HR mthly'!$I$11:$BM$11,0))</f>
        <v/>
      </c>
      <c r="V371" s="127" t="str">
        <f>IF(B370&gt;='KPI Linked Table for Report'!$C$1,"",_xlfn.XLOOKUP($T370,'HR mthly'!$I$6:$BM$6,'HR mthly'!$I$14:$BM$14,0))</f>
        <v/>
      </c>
    </row>
    <row r="372" spans="2:22" ht="42.45" customHeight="1" x14ac:dyDescent="0.3">
      <c r="B372" s="971" t="s">
        <v>172</v>
      </c>
      <c r="C372" s="971"/>
      <c r="D372" s="127" t="str">
        <f>_xlfn.XLOOKUP($B370,EHS!$M$6:$BM$6,EHS!$M$13:$BM$13,0)</f>
        <v/>
      </c>
      <c r="E372" s="127" t="str">
        <f>_xlfn.XLOOKUP($B370,Estimating!$M$6:$BM$6,Estimating!$M$13:$BM$13,0)</f>
        <v/>
      </c>
      <c r="F372" s="127" t="str">
        <f>_xlfn.XLOOKUP($B370,SOP!$M$6:$BM$6,SOP!$M$13:$BM$13,0)</f>
        <v/>
      </c>
      <c r="G372" s="127" t="str">
        <f>_xlfn.XLOOKUP($B370,Design!$M$6:$BM$6,Design!$M$13:$BM$13,0)</f>
        <v/>
      </c>
      <c r="H372" s="127" t="str">
        <f>_xlfn.XLOOKUP($B370,'Product Design'!$M$6:$BM$6,'Product Design'!$M$13:$BM$13,0)</f>
        <v/>
      </c>
      <c r="I372" s="127" t="str">
        <f>_xlfn.XLOOKUP($B370,'Product Eng - BE'!$M$6:$BM$6,'Product Eng - BE'!$M$13:$BM$13,0)</f>
        <v/>
      </c>
      <c r="J372" s="127" t="str">
        <f>_xlfn.XLOOKUP($B370,'Product Eng - MB'!$M$6:$BM$6,'Product Eng - MB'!$M$13:$BM$13,0)</f>
        <v/>
      </c>
      <c r="K372" s="127" t="str">
        <f>_xlfn.XLOOKUP($B370,'Bridgend Manuf'!$M$6:$BM$6,'Bridgend Manuf'!$M$13:$BM$13,0)</f>
        <v/>
      </c>
      <c r="L372" s="127" t="str">
        <f>_xlfn.XLOOKUP($B370,'Maybole Manuf'!$M$6:$BM$6,'Maybole Manuf'!$M$13:$BM$13,0)</f>
        <v/>
      </c>
      <c r="M372" s="127" t="str">
        <f>_xlfn.XLOOKUP($B370,Logistics!$M$6:$BM$6,Logistics!$M$13:$BM$13,0)</f>
        <v/>
      </c>
      <c r="N372" s="127" t="e">
        <f>_xlfn.XLOOKUP($B370,Engineering!$M$22:$BM$22,Engineering!#REF!,0)</f>
        <v>#REF!</v>
      </c>
      <c r="O372" s="127" t="str">
        <f>_xlfn.XLOOKUP($B370,'Quality MB'!$M$6:$BM$6,'Quality MB'!$M$13:$BM$13,0)</f>
        <v/>
      </c>
      <c r="P372" s="127" t="str">
        <f>_xlfn.XLOOKUP($B370,Procurement!$M$6:$BM$6,Procurement!$M$13:$BM$13,0)</f>
        <v/>
      </c>
      <c r="Q372" s="127" t="str">
        <f>_xlfn.XLOOKUP($B370,IT!$M$6:$BM$6,IT!$M$13:$BM$13,0)</f>
        <v/>
      </c>
      <c r="R372" s="127" t="str">
        <f>_xlfn.XLOOKUP($B370,Marketing!$M$6:$BM$6,Marketing!$M$13:$BM$13,0)</f>
        <v/>
      </c>
      <c r="S372" s="127" t="str">
        <f>IF(B370&gt;'KPI Linked Table for Report'!$C$2,"",_xlfn.XLOOKUP($T370,Finance!$M$16:$X$16,Finance!$M$21:$X$21,0))</f>
        <v/>
      </c>
      <c r="U372" s="127" t="str">
        <f>IF(B370&gt;='KPI Linked Table for Report'!$C$1,"",_xlfn.XLOOKUP($T370,'HR mthly'!$I$6:$BM$6,'HR mthly'!$I$18:$BM$18,0))</f>
        <v/>
      </c>
      <c r="V372" s="127" t="str">
        <f>IF(B370&gt;='KPI Linked Table for Report'!$C$1,"",_xlfn.XLOOKUP($T370,'HR mthly'!$I$6:$BM$6,'HR mthly'!$I$21:$BM$21,0))</f>
        <v/>
      </c>
    </row>
    <row r="373" spans="2:22" ht="42.45" customHeight="1" x14ac:dyDescent="0.3">
      <c r="B373" s="971" t="s">
        <v>173</v>
      </c>
      <c r="C373" s="971"/>
      <c r="D373" s="11" t="s">
        <v>174</v>
      </c>
      <c r="E373" s="11" t="s">
        <v>174</v>
      </c>
      <c r="F373" s="11" t="str">
        <f>_xlfn.XLOOKUP($B370,SOP!$M$6:$BM$6,SOP!$M$16:$BM$16,0)</f>
        <v/>
      </c>
      <c r="G373" s="11" t="s">
        <v>174</v>
      </c>
      <c r="H373" s="11" t="str">
        <f>_xlfn.XLOOKUP($B370,'Product Design'!$M$6:$BM$6,'Product Design'!$M$16:$BM$16,0)</f>
        <v/>
      </c>
      <c r="I373" s="11" t="str">
        <f>_xlfn.XLOOKUP($B370,'Product Eng - BE'!$M$6:$BM$6,'Product Eng - BE'!$M$16:$BM$16,0)</f>
        <v/>
      </c>
      <c r="J373" s="11" t="str">
        <f>_xlfn.XLOOKUP($B370,'Product Eng - MB'!$M$6:$BM$6,'Product Eng - MB'!$M$16:$BM$16,0)</f>
        <v/>
      </c>
      <c r="K373" s="11" t="s">
        <v>174</v>
      </c>
      <c r="L373" s="11" t="s">
        <v>174</v>
      </c>
      <c r="M373" s="11" t="s">
        <v>174</v>
      </c>
      <c r="N373" s="11" t="s">
        <v>174</v>
      </c>
      <c r="O373" s="11" t="s">
        <v>174</v>
      </c>
      <c r="P373" s="11" t="s">
        <v>174</v>
      </c>
      <c r="Q373" s="11" t="s">
        <v>174</v>
      </c>
      <c r="R373" s="11" t="s">
        <v>174</v>
      </c>
      <c r="S373" s="11" t="s">
        <v>174</v>
      </c>
      <c r="U373" s="11" t="s">
        <v>174</v>
      </c>
      <c r="V373" s="11" t="s">
        <v>174</v>
      </c>
    </row>
    <row r="374" spans="2:22" ht="42.45" customHeight="1" x14ac:dyDescent="0.3">
      <c r="B374" s="971" t="s">
        <v>32</v>
      </c>
      <c r="C374" s="971"/>
      <c r="D374" s="127" t="str">
        <f>_xlfn.XLOOKUP($B370,EHS!$M$6:$BM$6,EHS!$M$16:$BM$16,0)</f>
        <v/>
      </c>
      <c r="E374" s="127" t="str">
        <f>_xlfn.XLOOKUP($B370,Estimating!$M$6:$BM$6,Estimating!$M$16:$BM$16,0)</f>
        <v/>
      </c>
      <c r="F374" s="127" t="str">
        <f>_xlfn.XLOOKUP($B370,SOP!$M$6:$BM$6,SOP!$M$19:$BM$19,0)</f>
        <v/>
      </c>
      <c r="G374" s="127" t="str">
        <f>_xlfn.XLOOKUP($B370,Design!$M$6:$BM$6,Design!$M$16:$BM$16,0)</f>
        <v/>
      </c>
      <c r="H374" s="127" t="str">
        <f>_xlfn.XLOOKUP($B370,'Product Design'!$M$6:$BM$6,'Product Design'!$M$19:$BM$19,0)</f>
        <v/>
      </c>
      <c r="I374" s="127" t="str">
        <f>_xlfn.XLOOKUP($B370,'Product Eng - BE'!$M$6:$BM$6,'Product Eng - BE'!$M$19:$BM$19,0)</f>
        <v/>
      </c>
      <c r="J374" s="127" t="str">
        <f>_xlfn.XLOOKUP($B370,'Product Eng - MB'!$M$6:$BM$6,'Product Eng - MB'!$M$19:$BM$19,0)</f>
        <v/>
      </c>
      <c r="K374" s="127" t="str">
        <f>_xlfn.XLOOKUP($B370,'Bridgend Manuf'!$M$6:$BM$6,'Bridgend Manuf'!$M$16:$BM$16,0)</f>
        <v/>
      </c>
      <c r="L374" s="127" t="str">
        <f>_xlfn.XLOOKUP($B370,'Maybole Manuf'!$M$6:$BM$6,'Maybole Manuf'!$M$16:$BM$16,0)</f>
        <v/>
      </c>
      <c r="M374" s="127" t="str">
        <f>_xlfn.XLOOKUP($B370,Logistics!$M$6:$BM$6,Logistics!$M$16:$BM$16,0)</f>
        <v/>
      </c>
      <c r="N374" s="127" t="e">
        <f>_xlfn.XLOOKUP($B370,Engineering!$M$22:$BM$22,Engineering!#REF!,0)</f>
        <v>#REF!</v>
      </c>
      <c r="O374" s="127" t="str">
        <f>_xlfn.XLOOKUP($B370,'Quality MB'!$M$6:$BM$6,'Quality MB'!$M$16:$BM$16,0)</f>
        <v/>
      </c>
      <c r="P374" s="127" t="str">
        <f>_xlfn.XLOOKUP($B370,Procurement!$M$6:$BM$6,Procurement!$M$16:$BM$16,0)</f>
        <v/>
      </c>
      <c r="Q374" s="127" t="str">
        <f>_xlfn.XLOOKUP($B370,IT!$M$6:$BM$6,IT!$M$16:$BM$16,0)</f>
        <v/>
      </c>
      <c r="R374" s="127" t="str">
        <f>_xlfn.XLOOKUP($B370,Marketing!$M$6:$BM$6,Marketing!$M$16:$BM$16,0)</f>
        <v/>
      </c>
      <c r="S374" s="127" t="str">
        <f>IF(B370&gt;'KPI Linked Table for Report'!$C$2,"",_xlfn.XLOOKUP($T370,Finance!$M$16:$X$16,Finance!$M$24:$X$24,0))</f>
        <v/>
      </c>
      <c r="U374" s="127" t="str">
        <f>IF(B370&gt;='KPI Linked Table for Report'!$C$1,"",_xlfn.XLOOKUP($T370,'HR mthly'!$I$6:$BM$6,'HR mthly'!$I$26:$BM$26,0))</f>
        <v/>
      </c>
      <c r="V374" s="127" t="str">
        <f>IF(B370&gt;='KPI Linked Table for Report'!$C$1,"",_xlfn.XLOOKUP($T370,'HR mthly'!$I$6:$BM$6,'HR mthly'!$I$29:$BM$29,0))</f>
        <v/>
      </c>
    </row>
    <row r="375" spans="2:22" ht="42.45" customHeight="1" x14ac:dyDescent="0.3">
      <c r="B375" s="971" t="s">
        <v>31</v>
      </c>
      <c r="C375" s="971"/>
      <c r="D375" s="127" t="str">
        <f>_xlfn.XLOOKUP($B370,EHS!$M$6:$BM$6,EHS!$M$19:$BM$19,0)</f>
        <v/>
      </c>
      <c r="E375" s="127" t="str">
        <f>_xlfn.XLOOKUP($B370,Estimating!$M$6:$BM$6,Estimating!$M$19:$BM$19,0)</f>
        <v/>
      </c>
      <c r="F375" s="127" t="str">
        <f>_xlfn.XLOOKUP($B370,SOP!$M$6:$BM$6,SOP!$M$22:$BM$22,0)</f>
        <v/>
      </c>
      <c r="G375" s="127" t="str">
        <f>_xlfn.XLOOKUP($B370,Design!$M$6:$BM$6,Design!$M$19:$BM$19,0)</f>
        <v/>
      </c>
      <c r="H375" s="127" t="str">
        <f>_xlfn.XLOOKUP($B370,'Product Design'!$M$6:$BM$6,'Product Design'!$M$22:$BM$22,0)</f>
        <v/>
      </c>
      <c r="I375" s="127" t="str">
        <f>_xlfn.XLOOKUP($B370,'Product Eng - BE'!$M$6:$BM$6,'Product Eng - BE'!$M$22:$BM$22,0)</f>
        <v/>
      </c>
      <c r="J375" s="127" t="str">
        <f>_xlfn.XLOOKUP($B370,'Product Eng - MB'!$M$6:$BM$6,'Product Eng - MB'!$M$22:$BM$22,0)</f>
        <v/>
      </c>
      <c r="K375" s="127" t="str">
        <f>_xlfn.XLOOKUP($B370,'Bridgend Manuf'!$M$6:$BM$6,'Bridgend Manuf'!$M$19:$BM$19,0)</f>
        <v/>
      </c>
      <c r="L375" s="127" t="str">
        <f>_xlfn.XLOOKUP($B370,'Maybole Manuf'!$M$6:$BM$6,'Maybole Manuf'!$M$19:$BM$19,0)</f>
        <v/>
      </c>
      <c r="M375" s="127" t="str">
        <f>_xlfn.XLOOKUP($B370,Logistics!$M$6:$BM$6,Logistics!$M$19:$BM$19,0)</f>
        <v/>
      </c>
      <c r="N375" s="127" t="e">
        <f>_xlfn.XLOOKUP($B370,Engineering!$M$22:$BM$22,Engineering!#REF!,0)</f>
        <v>#REF!</v>
      </c>
      <c r="O375" s="127" t="str">
        <f>_xlfn.XLOOKUP($B370,'Quality MB'!$M$6:$BM$6,'Quality MB'!$M$19:$BM$19,0)</f>
        <v/>
      </c>
      <c r="P375" s="127" t="str">
        <f>_xlfn.XLOOKUP($B370,Procurement!$M$6:$BM$6,Procurement!$M$19:$BM$19,0)</f>
        <v/>
      </c>
      <c r="Q375" s="127" t="str">
        <f>_xlfn.XLOOKUP($B370,IT!$M$6:$BM$6,IT!$M$19:$BM$19,0)</f>
        <v/>
      </c>
      <c r="R375" s="127" t="str">
        <f>_xlfn.XLOOKUP($B370,Marketing!$M$6:$BM$6,Marketing!$M$19:$BM$19,0)</f>
        <v/>
      </c>
      <c r="S375" s="127" t="str">
        <f>IF(B370&gt;'KPI Linked Table for Report'!$C$2,"",_xlfn.XLOOKUP($T370,Finance!$M$16:$X$16,Finance!$M$27:$X$27,0))</f>
        <v/>
      </c>
      <c r="U375" s="127" t="str">
        <f>IF(B370&gt;='KPI Linked Table for Report'!$C$1,"",_xlfn.XLOOKUP($T370,'HR mthly'!$I$6:$BM$6,'HR mthly'!$I$33:$BM$33,0))</f>
        <v/>
      </c>
      <c r="V375" s="127" t="str">
        <f>IF(B370&gt;='KPI Linked Table for Report'!$C$1,"",_xlfn.XLOOKUP($T370,'HR mthly'!$I$6:$BM$6,'HR mthly'!$I$36:$BM$36,0))</f>
        <v/>
      </c>
    </row>
    <row r="376" spans="2:22" ht="42" customHeight="1" x14ac:dyDescent="0.3"/>
    <row r="377" spans="2:22" ht="42.45" customHeight="1" x14ac:dyDescent="0.3">
      <c r="B377" s="973" t="s">
        <v>7</v>
      </c>
      <c r="C377" s="974"/>
      <c r="D377" s="6" t="str">
        <f>+D$9</f>
        <v>EHS</v>
      </c>
      <c r="E377" s="6" t="str">
        <f>+E$9</f>
        <v>Estimating</v>
      </c>
      <c r="F377" s="6" t="str">
        <f t="shared" ref="F377:R377" si="68">+F$9</f>
        <v>SOP</v>
      </c>
      <c r="G377" s="6" t="str">
        <f>+G$9</f>
        <v>Design and R&amp;D</v>
      </c>
      <c r="H377" s="6" t="str">
        <f t="shared" si="68"/>
        <v>Product Design</v>
      </c>
      <c r="I377" s="6" t="str">
        <f t="shared" si="68"/>
        <v>Product Engineering Bridgend</v>
      </c>
      <c r="J377" s="6" t="str">
        <f t="shared" si="68"/>
        <v>Product Engineering Maybole</v>
      </c>
      <c r="K377" s="6" t="str">
        <f t="shared" si="68"/>
        <v>Bridgend
Manuf</v>
      </c>
      <c r="L377" s="6" t="str">
        <f t="shared" si="68"/>
        <v>Maybole
Manuf</v>
      </c>
      <c r="M377" s="6" t="str">
        <f>+M$9</f>
        <v>Logistics</v>
      </c>
      <c r="N377" s="6" t="str">
        <f>+N$9</f>
        <v>Engineering</v>
      </c>
      <c r="O377" s="6" t="str">
        <f>+O$9</f>
        <v>Quality
Maybole</v>
      </c>
      <c r="P377" s="6" t="str">
        <f>+P$9</f>
        <v>Procurement</v>
      </c>
      <c r="Q377" s="6" t="str">
        <f>+Q$9</f>
        <v>IT</v>
      </c>
      <c r="R377" s="6" t="str">
        <f t="shared" si="68"/>
        <v>Marketing</v>
      </c>
      <c r="S377" s="6" t="str">
        <f>+S$9</f>
        <v>Finance</v>
      </c>
      <c r="T377" s="7" t="s">
        <v>409</v>
      </c>
      <c r="U377" s="6" t="str">
        <f>+U$9</f>
        <v>HR</v>
      </c>
      <c r="V377" s="6" t="str">
        <f>+V$9</f>
        <v>HR</v>
      </c>
    </row>
    <row r="378" spans="2:22" ht="42.45" customHeight="1" x14ac:dyDescent="0.3">
      <c r="B378" s="7">
        <f>B370+1</f>
        <v>47</v>
      </c>
      <c r="C378" s="8">
        <f>C370+7</f>
        <v>45982</v>
      </c>
      <c r="D378" s="10" t="s">
        <v>24</v>
      </c>
      <c r="E378" s="9" t="str">
        <f>+E$186</f>
        <v>Julian Sparrow</v>
      </c>
      <c r="F378" s="10" t="s">
        <v>19</v>
      </c>
      <c r="G378" s="10" t="s">
        <v>20</v>
      </c>
      <c r="H378" s="10" t="s">
        <v>24</v>
      </c>
      <c r="I378" s="10" t="s">
        <v>24</v>
      </c>
      <c r="J378" s="10" t="s">
        <v>21</v>
      </c>
      <c r="K378" s="10" t="s">
        <v>22</v>
      </c>
      <c r="L378" s="10" t="s">
        <v>23</v>
      </c>
      <c r="M378" s="10" t="str">
        <f>+M$10</f>
        <v>Scott McMillan</v>
      </c>
      <c r="N378" s="10" t="str">
        <f>+N$10</f>
        <v>Garin Bowen</v>
      </c>
      <c r="O378" s="10" t="str">
        <f>+O$10</f>
        <v>Scott McMIllan</v>
      </c>
      <c r="P378" s="10" t="str">
        <f>+P$10</f>
        <v>Matt 
Pope</v>
      </c>
      <c r="Q378" s="10" t="s">
        <v>29</v>
      </c>
      <c r="R378" s="10" t="s">
        <v>25</v>
      </c>
      <c r="S378" s="10" t="s">
        <v>26</v>
      </c>
      <c r="T378" s="7">
        <v>10</v>
      </c>
      <c r="U378" s="10" t="str">
        <f>+U$10</f>
        <v>Bethan Grant</v>
      </c>
      <c r="V378" s="10" t="str">
        <f>+V$10</f>
        <v>Bethan Grant</v>
      </c>
    </row>
    <row r="379" spans="2:22" ht="42.45" customHeight="1" x14ac:dyDescent="0.3">
      <c r="B379" s="971" t="s">
        <v>30</v>
      </c>
      <c r="C379" s="971"/>
      <c r="D379" s="127" t="str">
        <f>_xlfn.XLOOKUP($B378,EHS!$M$6:$BM$6,EHS!$M$10:$BM$10,0)</f>
        <v/>
      </c>
      <c r="E379" s="127" t="str">
        <f>_xlfn.XLOOKUP($B378,Estimating!$M$6:$BM$6,Estimating!$M$10:$BM$10,0)</f>
        <v/>
      </c>
      <c r="F379" s="127" t="str">
        <f>_xlfn.XLOOKUP($B378,SOP!$M$6:$BM$6,SOP!$M$10:$BM$10,0)</f>
        <v/>
      </c>
      <c r="G379" s="127" t="str">
        <f>_xlfn.XLOOKUP($B378,Design!$M$6:$BM$6,Design!$M$10:$BM$10,0)</f>
        <v/>
      </c>
      <c r="H379" s="127" t="str">
        <f>_xlfn.XLOOKUP($B378,'Product Design'!$M$6:$BM$6,'Product Design'!$M$10:$BM$10,0)</f>
        <v/>
      </c>
      <c r="I379" s="127" t="str">
        <f>_xlfn.XLOOKUP($B378,'Product Eng - BE'!$M$6:$BM$6,'Product Eng - BE'!$M$10:$BM$10,0)</f>
        <v/>
      </c>
      <c r="J379" s="127" t="str">
        <f>_xlfn.XLOOKUP($B378,'Product Eng - MB'!$M$6:$BM$6,'Product Eng - MB'!$M$10:$BM$10,0)</f>
        <v/>
      </c>
      <c r="K379" s="127" t="str">
        <f>_xlfn.XLOOKUP($B378,'Bridgend Manuf'!$M$6:$BM$6,'Bridgend Manuf'!$M$10:$BM$10,0)</f>
        <v/>
      </c>
      <c r="L379" s="127" t="str">
        <f>_xlfn.XLOOKUP($B378,'Maybole Manuf'!$M$6:$BM$6,'Maybole Manuf'!$M$10:$BM$10,0)</f>
        <v/>
      </c>
      <c r="M379" s="127" t="str">
        <f>_xlfn.XLOOKUP($B378,Logistics!$M$6:$BM$6,Logistics!$M$10:$BM$10,0)</f>
        <v/>
      </c>
      <c r="N379" s="127" t="str">
        <f>_xlfn.XLOOKUP($B378,Engineering!$M$22:$BM$22,Engineering!$M$26:$BM$26,0)</f>
        <v/>
      </c>
      <c r="O379" s="127" t="str">
        <f>_xlfn.XLOOKUP($B378,'Quality MB'!$M$6:$BM$6,'Quality MB'!$M$10:$BM$10,0)</f>
        <v/>
      </c>
      <c r="P379" s="127" t="str">
        <f>_xlfn.XLOOKUP($B378,Procurement!$M$6:$BM$6,Procurement!$M$10:$BM$10,0)</f>
        <v/>
      </c>
      <c r="Q379" s="127" t="str">
        <f>_xlfn.XLOOKUP($B378,IT!$M$6:$BM$6,IT!$M$10:$BM$10,0)</f>
        <v/>
      </c>
      <c r="R379" s="127" t="str">
        <f>_xlfn.XLOOKUP($B378,Marketing!$M$6:$BM$6,Marketing!$M$10:$BM$10,0)</f>
        <v/>
      </c>
      <c r="S379" s="127" t="str">
        <f>_xlfn.XLOOKUP($B378,Finance!$M$6:$BM$6,Finance!$M$10:$BM$10,0)</f>
        <v/>
      </c>
      <c r="U379" s="127" t="str">
        <f>IF(B378&gt;='KPI Linked Table for Report'!$C$1,"",_xlfn.XLOOKUP($T378,'HR mthly'!$I$6:$BM$6,'HR mthly'!$I$11:$BM$11,0))</f>
        <v/>
      </c>
      <c r="V379" s="127" t="str">
        <f>IF(B378&gt;='KPI Linked Table for Report'!$C$1,"",_xlfn.XLOOKUP($T378,'HR mthly'!$I$6:$BM$6,'HR mthly'!$I$14:$BM$14,0))</f>
        <v/>
      </c>
    </row>
    <row r="380" spans="2:22" ht="42.45" customHeight="1" x14ac:dyDescent="0.3">
      <c r="B380" s="971" t="s">
        <v>172</v>
      </c>
      <c r="C380" s="971"/>
      <c r="D380" s="127" t="str">
        <f>_xlfn.XLOOKUP($B378,EHS!$M$6:$BM$6,EHS!$M$13:$BM$13,0)</f>
        <v/>
      </c>
      <c r="E380" s="127" t="str">
        <f>_xlfn.XLOOKUP($B378,Estimating!$M$6:$BM$6,Estimating!$M$13:$BM$13,0)</f>
        <v/>
      </c>
      <c r="F380" s="127" t="str">
        <f>_xlfn.XLOOKUP($B378,SOP!$M$6:$BM$6,SOP!$M$13:$BM$13,0)</f>
        <v/>
      </c>
      <c r="G380" s="127" t="str">
        <f>_xlfn.XLOOKUP($B378,Design!$M$6:$BM$6,Design!$M$13:$BM$13,0)</f>
        <v/>
      </c>
      <c r="H380" s="127" t="str">
        <f>_xlfn.XLOOKUP($B378,'Product Design'!$M$6:$BM$6,'Product Design'!$M$13:$BM$13,0)</f>
        <v/>
      </c>
      <c r="I380" s="127" t="str">
        <f>_xlfn.XLOOKUP($B378,'Product Eng - BE'!$M$6:$BM$6,'Product Eng - BE'!$M$13:$BM$13,0)</f>
        <v/>
      </c>
      <c r="J380" s="127" t="str">
        <f>_xlfn.XLOOKUP($B378,'Product Eng - MB'!$M$6:$BM$6,'Product Eng - MB'!$M$13:$BM$13,0)</f>
        <v/>
      </c>
      <c r="K380" s="127" t="str">
        <f>_xlfn.XLOOKUP($B378,'Bridgend Manuf'!$M$6:$BM$6,'Bridgend Manuf'!$M$13:$BM$13,0)</f>
        <v/>
      </c>
      <c r="L380" s="127" t="str">
        <f>_xlfn.XLOOKUP($B378,'Maybole Manuf'!$M$6:$BM$6,'Maybole Manuf'!$M$13:$BM$13,0)</f>
        <v/>
      </c>
      <c r="M380" s="127" t="str">
        <f>_xlfn.XLOOKUP($B378,Logistics!$M$6:$BM$6,Logistics!$M$13:$BM$13,0)</f>
        <v/>
      </c>
      <c r="N380" s="127" t="e">
        <f>_xlfn.XLOOKUP($B378,Engineering!$M$22:$BM$22,Engineering!#REF!,0)</f>
        <v>#REF!</v>
      </c>
      <c r="O380" s="127" t="str">
        <f>_xlfn.XLOOKUP($B378,'Quality MB'!$M$6:$BM$6,'Quality MB'!$M$13:$BM$13,0)</f>
        <v/>
      </c>
      <c r="P380" s="127" t="str">
        <f>_xlfn.XLOOKUP($B378,Procurement!$M$6:$BM$6,Procurement!$M$13:$BM$13,0)</f>
        <v/>
      </c>
      <c r="Q380" s="127" t="str">
        <f>_xlfn.XLOOKUP($B378,IT!$M$6:$BM$6,IT!$M$13:$BM$13,0)</f>
        <v/>
      </c>
      <c r="R380" s="127" t="str">
        <f>_xlfn.XLOOKUP($B378,Marketing!$M$6:$BM$6,Marketing!$M$13:$BM$13,0)</f>
        <v/>
      </c>
      <c r="S380" s="127" t="str">
        <f>IF(B378&gt;'KPI Linked Table for Report'!$C$2,"",_xlfn.XLOOKUP($T378,Finance!$M$16:$X$16,Finance!$M$21:$X$21,0))</f>
        <v/>
      </c>
      <c r="U380" s="127" t="str">
        <f>IF(B378&gt;='KPI Linked Table for Report'!$C$1,"",_xlfn.XLOOKUP($T378,'HR mthly'!$I$6:$BM$6,'HR mthly'!$I$18:$BM$18,0))</f>
        <v/>
      </c>
      <c r="V380" s="127" t="str">
        <f>IF(B378&gt;='KPI Linked Table for Report'!$C$1,"",_xlfn.XLOOKUP($T378,'HR mthly'!$I$6:$BM$6,'HR mthly'!$I$21:$BM$21,0))</f>
        <v/>
      </c>
    </row>
    <row r="381" spans="2:22" ht="42.45" customHeight="1" x14ac:dyDescent="0.3">
      <c r="B381" s="971" t="s">
        <v>173</v>
      </c>
      <c r="C381" s="971"/>
      <c r="D381" s="11" t="s">
        <v>174</v>
      </c>
      <c r="E381" s="11" t="s">
        <v>174</v>
      </c>
      <c r="F381" s="11" t="str">
        <f>_xlfn.XLOOKUP($B378,SOP!$M$6:$BM$6,SOP!$M$16:$BM$16,0)</f>
        <v/>
      </c>
      <c r="G381" s="11" t="s">
        <v>174</v>
      </c>
      <c r="H381" s="11" t="str">
        <f>_xlfn.XLOOKUP($B378,'Product Design'!$M$6:$BM$6,'Product Design'!$M$16:$BM$16,0)</f>
        <v/>
      </c>
      <c r="I381" s="11" t="str">
        <f>_xlfn.XLOOKUP($B378,'Product Eng - BE'!$M$6:$BM$6,'Product Eng - BE'!$M$16:$BM$16,0)</f>
        <v/>
      </c>
      <c r="J381" s="11" t="str">
        <f>_xlfn.XLOOKUP($B378,'Product Eng - MB'!$M$6:$BM$6,'Product Eng - MB'!$M$16:$BM$16,0)</f>
        <v/>
      </c>
      <c r="K381" s="11" t="s">
        <v>174</v>
      </c>
      <c r="L381" s="11" t="s">
        <v>174</v>
      </c>
      <c r="M381" s="11" t="s">
        <v>174</v>
      </c>
      <c r="N381" s="11" t="s">
        <v>174</v>
      </c>
      <c r="O381" s="11" t="s">
        <v>174</v>
      </c>
      <c r="P381" s="11" t="s">
        <v>174</v>
      </c>
      <c r="Q381" s="11" t="s">
        <v>174</v>
      </c>
      <c r="R381" s="11" t="s">
        <v>174</v>
      </c>
      <c r="S381" s="11" t="s">
        <v>174</v>
      </c>
      <c r="U381" s="11" t="s">
        <v>174</v>
      </c>
      <c r="V381" s="11" t="s">
        <v>174</v>
      </c>
    </row>
    <row r="382" spans="2:22" ht="42.45" customHeight="1" x14ac:dyDescent="0.3">
      <c r="B382" s="971" t="s">
        <v>32</v>
      </c>
      <c r="C382" s="971"/>
      <c r="D382" s="127" t="str">
        <f>_xlfn.XLOOKUP($B378,EHS!$M$6:$BM$6,EHS!$M$16:$BM$16,0)</f>
        <v/>
      </c>
      <c r="E382" s="127" t="str">
        <f>_xlfn.XLOOKUP($B378,Estimating!$M$6:$BM$6,Estimating!$M$16:$BM$16,0)</f>
        <v/>
      </c>
      <c r="F382" s="127" t="str">
        <f>_xlfn.XLOOKUP($B378,SOP!$M$6:$BM$6,SOP!$M$19:$BM$19,0)</f>
        <v/>
      </c>
      <c r="G382" s="127" t="str">
        <f>_xlfn.XLOOKUP($B378,Design!$M$6:$BM$6,Design!$M$16:$BM$16,0)</f>
        <v/>
      </c>
      <c r="H382" s="127" t="str">
        <f>_xlfn.XLOOKUP($B378,'Product Design'!$M$6:$BM$6,'Product Design'!$M$19:$BM$19,0)</f>
        <v/>
      </c>
      <c r="I382" s="127" t="str">
        <f>_xlfn.XLOOKUP($B378,'Product Eng - BE'!$M$6:$BM$6,'Product Eng - BE'!$M$19:$BM$19,0)</f>
        <v/>
      </c>
      <c r="J382" s="127" t="str">
        <f>_xlfn.XLOOKUP($B378,'Product Eng - MB'!$M$6:$BM$6,'Product Eng - MB'!$M$19:$BM$19,0)</f>
        <v/>
      </c>
      <c r="K382" s="127" t="str">
        <f>_xlfn.XLOOKUP($B378,'Bridgend Manuf'!$M$6:$BM$6,'Bridgend Manuf'!$M$16:$BM$16,0)</f>
        <v/>
      </c>
      <c r="L382" s="127" t="str">
        <f>_xlfn.XLOOKUP($B378,'Maybole Manuf'!$M$6:$BM$6,'Maybole Manuf'!$M$16:$BM$16,0)</f>
        <v/>
      </c>
      <c r="M382" s="127" t="str">
        <f>_xlfn.XLOOKUP($B378,Logistics!$M$6:$BM$6,Logistics!$M$16:$BM$16,0)</f>
        <v/>
      </c>
      <c r="N382" s="127" t="e">
        <f>_xlfn.XLOOKUP($B378,Engineering!$M$22:$BM$22,Engineering!#REF!,0)</f>
        <v>#REF!</v>
      </c>
      <c r="O382" s="127" t="str">
        <f>_xlfn.XLOOKUP($B378,'Quality MB'!$M$6:$BM$6,'Quality MB'!$M$16:$BM$16,0)</f>
        <v/>
      </c>
      <c r="P382" s="127" t="str">
        <f>_xlfn.XLOOKUP($B378,Procurement!$M$6:$BM$6,Procurement!$M$16:$BM$16,0)</f>
        <v/>
      </c>
      <c r="Q382" s="127" t="str">
        <f>_xlfn.XLOOKUP($B378,IT!$M$6:$BM$6,IT!$M$16:$BM$16,0)</f>
        <v/>
      </c>
      <c r="R382" s="127" t="str">
        <f>_xlfn.XLOOKUP($B378,Marketing!$M$6:$BM$6,Marketing!$M$16:$BM$16,0)</f>
        <v/>
      </c>
      <c r="S382" s="127" t="str">
        <f>IF(B378&gt;'KPI Linked Table for Report'!$C$2,"",_xlfn.XLOOKUP($T378,Finance!$M$16:$X$16,Finance!$M$24:$X$24,0))</f>
        <v/>
      </c>
      <c r="U382" s="127" t="str">
        <f>IF(B378&gt;='KPI Linked Table for Report'!$C$1,"",_xlfn.XLOOKUP($T378,'HR mthly'!$I$6:$BM$6,'HR mthly'!$I$26:$BM$26,0))</f>
        <v/>
      </c>
      <c r="V382" s="127" t="str">
        <f>IF(B378&gt;='KPI Linked Table for Report'!$C$1,"",_xlfn.XLOOKUP($T378,'HR mthly'!$I$6:$BM$6,'HR mthly'!$I$29:$BM$29,0))</f>
        <v/>
      </c>
    </row>
    <row r="383" spans="2:22" ht="42.45" customHeight="1" x14ac:dyDescent="0.3">
      <c r="B383" s="971" t="s">
        <v>31</v>
      </c>
      <c r="C383" s="971"/>
      <c r="D383" s="127" t="str">
        <f>_xlfn.XLOOKUP($B378,EHS!$M$6:$BM$6,EHS!$M$19:$BM$19,0)</f>
        <v/>
      </c>
      <c r="E383" s="127" t="str">
        <f>_xlfn.XLOOKUP($B378,Estimating!$M$6:$BM$6,Estimating!$M$19:$BM$19,0)</f>
        <v/>
      </c>
      <c r="F383" s="127" t="str">
        <f>_xlfn.XLOOKUP($B378,SOP!$M$6:$BM$6,SOP!$M$22:$BM$22,0)</f>
        <v/>
      </c>
      <c r="G383" s="127" t="str">
        <f>_xlfn.XLOOKUP($B378,Design!$M$6:$BM$6,Design!$M$19:$BM$19,0)</f>
        <v/>
      </c>
      <c r="H383" s="127" t="str">
        <f>_xlfn.XLOOKUP($B378,'Product Design'!$M$6:$BM$6,'Product Design'!$M$22:$BM$22,0)</f>
        <v/>
      </c>
      <c r="I383" s="127" t="str">
        <f>_xlfn.XLOOKUP($B378,'Product Eng - BE'!$M$6:$BM$6,'Product Eng - BE'!$M$22:$BM$22,0)</f>
        <v/>
      </c>
      <c r="J383" s="127" t="str">
        <f>_xlfn.XLOOKUP($B378,'Product Eng - MB'!$M$6:$BM$6,'Product Eng - MB'!$M$22:$BM$22,0)</f>
        <v/>
      </c>
      <c r="K383" s="127" t="str">
        <f>_xlfn.XLOOKUP($B378,'Bridgend Manuf'!$M$6:$BM$6,'Bridgend Manuf'!$M$19:$BM$19,0)</f>
        <v/>
      </c>
      <c r="L383" s="127" t="str">
        <f>_xlfn.XLOOKUP($B378,'Maybole Manuf'!$M$6:$BM$6,'Maybole Manuf'!$M$19:$BM$19,0)</f>
        <v/>
      </c>
      <c r="M383" s="127" t="str">
        <f>_xlfn.XLOOKUP($B378,Logistics!$M$6:$BM$6,Logistics!$M$19:$BM$19,0)</f>
        <v/>
      </c>
      <c r="N383" s="127" t="e">
        <f>_xlfn.XLOOKUP($B378,Engineering!$M$22:$BM$22,Engineering!#REF!,0)</f>
        <v>#REF!</v>
      </c>
      <c r="O383" s="127" t="str">
        <f>_xlfn.XLOOKUP($B378,'Quality MB'!$M$6:$BM$6,'Quality MB'!$M$19:$BM$19,0)</f>
        <v/>
      </c>
      <c r="P383" s="127" t="str">
        <f>_xlfn.XLOOKUP($B378,Procurement!$M$6:$BM$6,Procurement!$M$19:$BM$19,0)</f>
        <v/>
      </c>
      <c r="Q383" s="127" t="str">
        <f>_xlfn.XLOOKUP($B378,IT!$M$6:$BM$6,IT!$M$19:$BM$19,0)</f>
        <v/>
      </c>
      <c r="R383" s="127" t="str">
        <f>_xlfn.XLOOKUP($B378,Marketing!$M$6:$BM$6,Marketing!$M$19:$BM$19,0)</f>
        <v/>
      </c>
      <c r="S383" s="127" t="str">
        <f>IF(B378&gt;'KPI Linked Table for Report'!$C$2,"",_xlfn.XLOOKUP($T378,Finance!$M$16:$X$16,Finance!$M$27:$X$27,0))</f>
        <v/>
      </c>
      <c r="U383" s="127" t="str">
        <f>IF(B378&gt;='KPI Linked Table for Report'!$C$1,"",_xlfn.XLOOKUP($T378,'HR mthly'!$I$6:$BM$6,'HR mthly'!$I$33:$BM$33,0))</f>
        <v/>
      </c>
      <c r="V383" s="127" t="str">
        <f>IF(B378&gt;='KPI Linked Table for Report'!$C$1,"",_xlfn.XLOOKUP($T378,'HR mthly'!$I$6:$BM$6,'HR mthly'!$I$36:$BM$36,0))</f>
        <v/>
      </c>
    </row>
    <row r="385" spans="2:22" ht="42.45" customHeight="1" x14ac:dyDescent="0.3">
      <c r="B385" s="973" t="s">
        <v>7</v>
      </c>
      <c r="C385" s="974"/>
      <c r="D385" s="6" t="str">
        <f>+D$9</f>
        <v>EHS</v>
      </c>
      <c r="E385" s="6" t="str">
        <f>+E$9</f>
        <v>Estimating</v>
      </c>
      <c r="F385" s="6" t="str">
        <f t="shared" ref="F385:R385" si="69">+F$9</f>
        <v>SOP</v>
      </c>
      <c r="G385" s="6" t="str">
        <f>+G$9</f>
        <v>Design and R&amp;D</v>
      </c>
      <c r="H385" s="6" t="str">
        <f t="shared" si="69"/>
        <v>Product Design</v>
      </c>
      <c r="I385" s="6" t="str">
        <f t="shared" si="69"/>
        <v>Product Engineering Bridgend</v>
      </c>
      <c r="J385" s="6" t="str">
        <f t="shared" si="69"/>
        <v>Product Engineering Maybole</v>
      </c>
      <c r="K385" s="6" t="str">
        <f t="shared" si="69"/>
        <v>Bridgend
Manuf</v>
      </c>
      <c r="L385" s="6" t="str">
        <f t="shared" si="69"/>
        <v>Maybole
Manuf</v>
      </c>
      <c r="M385" s="6" t="str">
        <f>+M$9</f>
        <v>Logistics</v>
      </c>
      <c r="N385" s="6" t="str">
        <f>+N$9</f>
        <v>Engineering</v>
      </c>
      <c r="O385" s="6" t="str">
        <f>+O$9</f>
        <v>Quality
Maybole</v>
      </c>
      <c r="P385" s="6" t="str">
        <f>+P$9</f>
        <v>Procurement</v>
      </c>
      <c r="Q385" s="6" t="str">
        <f>+Q$9</f>
        <v>IT</v>
      </c>
      <c r="R385" s="6" t="str">
        <f t="shared" si="69"/>
        <v>Marketing</v>
      </c>
      <c r="S385" s="6" t="str">
        <f>+S$9</f>
        <v>Finance</v>
      </c>
      <c r="T385" s="7" t="s">
        <v>409</v>
      </c>
      <c r="U385" s="6" t="str">
        <f>+U$9</f>
        <v>HR</v>
      </c>
      <c r="V385" s="6" t="str">
        <f>+V$9</f>
        <v>HR</v>
      </c>
    </row>
    <row r="386" spans="2:22" ht="42.45" customHeight="1" x14ac:dyDescent="0.3">
      <c r="B386" s="7">
        <f>B378+1</f>
        <v>48</v>
      </c>
      <c r="C386" s="8">
        <f>C378+7</f>
        <v>45989</v>
      </c>
      <c r="D386" s="10" t="s">
        <v>24</v>
      </c>
      <c r="E386" s="9" t="str">
        <f>+E$186</f>
        <v>Julian Sparrow</v>
      </c>
      <c r="F386" s="10" t="s">
        <v>19</v>
      </c>
      <c r="G386" s="10" t="s">
        <v>20</v>
      </c>
      <c r="H386" s="10" t="s">
        <v>24</v>
      </c>
      <c r="I386" s="10" t="s">
        <v>24</v>
      </c>
      <c r="J386" s="10" t="s">
        <v>21</v>
      </c>
      <c r="K386" s="10" t="s">
        <v>22</v>
      </c>
      <c r="L386" s="10" t="s">
        <v>23</v>
      </c>
      <c r="M386" s="10" t="str">
        <f>+M$10</f>
        <v>Scott McMillan</v>
      </c>
      <c r="N386" s="10" t="str">
        <f>+N$10</f>
        <v>Garin Bowen</v>
      </c>
      <c r="O386" s="10" t="str">
        <f>+O$10</f>
        <v>Scott McMIllan</v>
      </c>
      <c r="P386" s="10" t="str">
        <f>+P$10</f>
        <v>Matt 
Pope</v>
      </c>
      <c r="Q386" s="10" t="s">
        <v>29</v>
      </c>
      <c r="R386" s="10" t="s">
        <v>25</v>
      </c>
      <c r="S386" s="10" t="s">
        <v>26</v>
      </c>
      <c r="T386" s="7">
        <v>10</v>
      </c>
      <c r="U386" s="10" t="str">
        <f>+U$10</f>
        <v>Bethan Grant</v>
      </c>
      <c r="V386" s="10" t="str">
        <f>+V$10</f>
        <v>Bethan Grant</v>
      </c>
    </row>
    <row r="387" spans="2:22" ht="42.45" customHeight="1" x14ac:dyDescent="0.3">
      <c r="B387" s="971" t="s">
        <v>30</v>
      </c>
      <c r="C387" s="971"/>
      <c r="D387" s="127" t="str">
        <f>_xlfn.XLOOKUP($B386,EHS!$M$6:$BM$6,EHS!$M$10:$BM$10,0)</f>
        <v/>
      </c>
      <c r="E387" s="127" t="str">
        <f>_xlfn.XLOOKUP($B386,Estimating!$M$6:$BM$6,Estimating!$M$10:$BM$10,0)</f>
        <v/>
      </c>
      <c r="F387" s="127" t="str">
        <f>_xlfn.XLOOKUP($B386,SOP!$M$6:$BM$6,SOP!$M$10:$BM$10,0)</f>
        <v/>
      </c>
      <c r="G387" s="127" t="str">
        <f>_xlfn.XLOOKUP($B386,Design!$M$6:$BM$6,Design!$M$10:$BM$10,0)</f>
        <v/>
      </c>
      <c r="H387" s="127" t="str">
        <f>_xlfn.XLOOKUP($B386,'Product Design'!$M$6:$BM$6,'Product Design'!$M$10:$BM$10,0)</f>
        <v/>
      </c>
      <c r="I387" s="127" t="str">
        <f>_xlfn.XLOOKUP($B386,'Product Eng - BE'!$M$6:$BM$6,'Product Eng - BE'!$M$10:$BM$10,0)</f>
        <v/>
      </c>
      <c r="J387" s="127" t="str">
        <f>_xlfn.XLOOKUP($B386,'Product Eng - MB'!$M$6:$BM$6,'Product Eng - MB'!$M$10:$BM$10,0)</f>
        <v/>
      </c>
      <c r="K387" s="127" t="str">
        <f>_xlfn.XLOOKUP($B386,'Bridgend Manuf'!$M$6:$BM$6,'Bridgend Manuf'!$M$10:$BM$10,0)</f>
        <v/>
      </c>
      <c r="L387" s="127" t="str">
        <f>_xlfn.XLOOKUP($B386,'Maybole Manuf'!$M$6:$BM$6,'Maybole Manuf'!$M$10:$BM$10,0)</f>
        <v/>
      </c>
      <c r="M387" s="127" t="str">
        <f>_xlfn.XLOOKUP($B386,Logistics!$M$6:$BM$6,Logistics!$M$10:$BM$10,0)</f>
        <v/>
      </c>
      <c r="N387" s="127" t="str">
        <f>_xlfn.XLOOKUP($B386,Engineering!$M$22:$BM$22,Engineering!$M$26:$BM$26,0)</f>
        <v/>
      </c>
      <c r="O387" s="127" t="str">
        <f>_xlfn.XLOOKUP($B386,'Quality MB'!$M$6:$BM$6,'Quality MB'!$M$10:$BM$10,0)</f>
        <v/>
      </c>
      <c r="P387" s="127" t="str">
        <f>_xlfn.XLOOKUP($B386,Procurement!$M$6:$BM$6,Procurement!$M$10:$BM$10,0)</f>
        <v/>
      </c>
      <c r="Q387" s="127" t="str">
        <f>_xlfn.XLOOKUP($B386,IT!$M$6:$BM$6,IT!$M$10:$BM$10,0)</f>
        <v/>
      </c>
      <c r="R387" s="127" t="str">
        <f>_xlfn.XLOOKUP($B386,Marketing!$M$6:$BM$6,Marketing!$M$10:$BM$10,0)</f>
        <v/>
      </c>
      <c r="S387" s="127" t="str">
        <f>_xlfn.XLOOKUP($B386,Finance!$M$6:$BM$6,Finance!$M$10:$BM$10,0)</f>
        <v/>
      </c>
      <c r="U387" s="127" t="str">
        <f>IF(B386&gt;='KPI Linked Table for Report'!$C$1,"",_xlfn.XLOOKUP($T386,'HR mthly'!$I$6:$BM$6,'HR mthly'!$I$11:$BM$11,0))</f>
        <v/>
      </c>
      <c r="V387" s="127" t="str">
        <f>IF(B386&gt;='KPI Linked Table for Report'!$C$1,"",_xlfn.XLOOKUP($T386,'HR mthly'!$I$6:$BM$6,'HR mthly'!$I$14:$BM$14,0))</f>
        <v/>
      </c>
    </row>
    <row r="388" spans="2:22" ht="42.45" customHeight="1" x14ac:dyDescent="0.3">
      <c r="B388" s="971" t="s">
        <v>172</v>
      </c>
      <c r="C388" s="971"/>
      <c r="D388" s="127" t="str">
        <f>_xlfn.XLOOKUP($B386,EHS!$M$6:$BM$6,EHS!$M$13:$BM$13,0)</f>
        <v/>
      </c>
      <c r="E388" s="127" t="str">
        <f>_xlfn.XLOOKUP($B386,Estimating!$M$6:$BM$6,Estimating!$M$13:$BM$13,0)</f>
        <v/>
      </c>
      <c r="F388" s="127" t="str">
        <f>_xlfn.XLOOKUP($B386,SOP!$M$6:$BM$6,SOP!$M$13:$BM$13,0)</f>
        <v/>
      </c>
      <c r="G388" s="127" t="str">
        <f>_xlfn.XLOOKUP($B386,Design!$M$6:$BM$6,Design!$M$13:$BM$13,0)</f>
        <v/>
      </c>
      <c r="H388" s="127" t="str">
        <f>_xlfn.XLOOKUP($B386,'Product Design'!$M$6:$BM$6,'Product Design'!$M$13:$BM$13,0)</f>
        <v/>
      </c>
      <c r="I388" s="127" t="str">
        <f>_xlfn.XLOOKUP($B386,'Product Eng - BE'!$M$6:$BM$6,'Product Eng - BE'!$M$13:$BM$13,0)</f>
        <v/>
      </c>
      <c r="J388" s="127" t="str">
        <f>_xlfn.XLOOKUP($B386,'Product Eng - MB'!$M$6:$BM$6,'Product Eng - MB'!$M$13:$BM$13,0)</f>
        <v/>
      </c>
      <c r="K388" s="127" t="str">
        <f>_xlfn.XLOOKUP($B386,'Bridgend Manuf'!$M$6:$BM$6,'Bridgend Manuf'!$M$13:$BM$13,0)</f>
        <v/>
      </c>
      <c r="L388" s="127" t="str">
        <f>_xlfn.XLOOKUP($B386,'Maybole Manuf'!$M$6:$BM$6,'Maybole Manuf'!$M$13:$BM$13,0)</f>
        <v/>
      </c>
      <c r="M388" s="127" t="str">
        <f>_xlfn.XLOOKUP($B386,Logistics!$M$6:$BM$6,Logistics!$M$13:$BM$13,0)</f>
        <v/>
      </c>
      <c r="N388" s="127" t="e">
        <f>_xlfn.XLOOKUP($B386,Engineering!$M$22:$BM$22,Engineering!#REF!,0)</f>
        <v>#REF!</v>
      </c>
      <c r="O388" s="127" t="str">
        <f>_xlfn.XLOOKUP($B386,'Quality MB'!$M$6:$BM$6,'Quality MB'!$M$13:$BM$13,0)</f>
        <v/>
      </c>
      <c r="P388" s="127" t="str">
        <f>_xlfn.XLOOKUP($B386,Procurement!$M$6:$BM$6,Procurement!$M$13:$BM$13,0)</f>
        <v/>
      </c>
      <c r="Q388" s="127" t="str">
        <f>_xlfn.XLOOKUP($B386,IT!$M$6:$BM$6,IT!$M$13:$BM$13,0)</f>
        <v/>
      </c>
      <c r="R388" s="127" t="str">
        <f>_xlfn.XLOOKUP($B386,Marketing!$M$6:$BM$6,Marketing!$M$13:$BM$13,0)</f>
        <v/>
      </c>
      <c r="S388" s="127" t="str">
        <f>IF(B386&gt;'KPI Linked Table for Report'!$C$2,"",_xlfn.XLOOKUP($T386,Finance!$M$16:$X$16,Finance!$M$21:$X$21,0))</f>
        <v/>
      </c>
      <c r="U388" s="127" t="str">
        <f>IF(B386&gt;='KPI Linked Table for Report'!$C$1,"",_xlfn.XLOOKUP($T386,'HR mthly'!$I$6:$BM$6,'HR mthly'!$I$18:$BM$18,0))</f>
        <v/>
      </c>
      <c r="V388" s="127" t="str">
        <f>IF(B386&gt;='KPI Linked Table for Report'!$C$1,"",_xlfn.XLOOKUP($T386,'HR mthly'!$I$6:$BM$6,'HR mthly'!$I$21:$BM$21,0))</f>
        <v/>
      </c>
    </row>
    <row r="389" spans="2:22" ht="42.45" customHeight="1" x14ac:dyDescent="0.3">
      <c r="B389" s="971" t="s">
        <v>173</v>
      </c>
      <c r="C389" s="971"/>
      <c r="D389" s="11" t="s">
        <v>174</v>
      </c>
      <c r="E389" s="11" t="s">
        <v>174</v>
      </c>
      <c r="F389" s="11" t="str">
        <f>_xlfn.XLOOKUP($B386,SOP!$M$6:$BM$6,SOP!$M$16:$BM$16,0)</f>
        <v/>
      </c>
      <c r="G389" s="11" t="s">
        <v>174</v>
      </c>
      <c r="H389" s="11" t="str">
        <f>_xlfn.XLOOKUP($B386,'Product Design'!$M$6:$BM$6,'Product Design'!$M$16:$BM$16,0)</f>
        <v/>
      </c>
      <c r="I389" s="11" t="str">
        <f>_xlfn.XLOOKUP($B386,'Product Eng - BE'!$M$6:$BM$6,'Product Eng - BE'!$M$16:$BM$16,0)</f>
        <v/>
      </c>
      <c r="J389" s="11" t="str">
        <f>_xlfn.XLOOKUP($B386,'Product Eng - MB'!$M$6:$BM$6,'Product Eng - MB'!$M$16:$BM$16,0)</f>
        <v/>
      </c>
      <c r="K389" s="11" t="s">
        <v>174</v>
      </c>
      <c r="L389" s="11" t="s">
        <v>174</v>
      </c>
      <c r="M389" s="11" t="s">
        <v>174</v>
      </c>
      <c r="N389" s="11" t="s">
        <v>174</v>
      </c>
      <c r="O389" s="11" t="s">
        <v>174</v>
      </c>
      <c r="P389" s="11" t="s">
        <v>174</v>
      </c>
      <c r="Q389" s="11" t="s">
        <v>174</v>
      </c>
      <c r="R389" s="11" t="s">
        <v>174</v>
      </c>
      <c r="S389" s="11" t="s">
        <v>174</v>
      </c>
      <c r="U389" s="11" t="s">
        <v>174</v>
      </c>
      <c r="V389" s="11" t="s">
        <v>174</v>
      </c>
    </row>
    <row r="390" spans="2:22" ht="42.45" customHeight="1" x14ac:dyDescent="0.3">
      <c r="B390" s="971" t="s">
        <v>32</v>
      </c>
      <c r="C390" s="971"/>
      <c r="D390" s="127" t="str">
        <f>_xlfn.XLOOKUP($B386,EHS!$M$6:$BM$6,EHS!$M$16:$BM$16,0)</f>
        <v/>
      </c>
      <c r="E390" s="127" t="str">
        <f>_xlfn.XLOOKUP($B386,Estimating!$M$6:$BM$6,Estimating!$M$16:$BM$16,0)</f>
        <v/>
      </c>
      <c r="F390" s="127" t="str">
        <f>_xlfn.XLOOKUP($B386,SOP!$M$6:$BM$6,SOP!$M$19:$BM$19,0)</f>
        <v/>
      </c>
      <c r="G390" s="127" t="str">
        <f>_xlfn.XLOOKUP($B386,Design!$M$6:$BM$6,Design!$M$16:$BM$16,0)</f>
        <v/>
      </c>
      <c r="H390" s="127" t="str">
        <f>_xlfn.XLOOKUP($B386,'Product Design'!$M$6:$BM$6,'Product Design'!$M$19:$BM$19,0)</f>
        <v/>
      </c>
      <c r="I390" s="127" t="str">
        <f>_xlfn.XLOOKUP($B386,'Product Eng - BE'!$M$6:$BM$6,'Product Eng - BE'!$M$19:$BM$19,0)</f>
        <v/>
      </c>
      <c r="J390" s="127" t="str">
        <f>_xlfn.XLOOKUP($B386,'Product Eng - MB'!$M$6:$BM$6,'Product Eng - MB'!$M$19:$BM$19,0)</f>
        <v/>
      </c>
      <c r="K390" s="127" t="str">
        <f>_xlfn.XLOOKUP($B386,'Bridgend Manuf'!$M$6:$BM$6,'Bridgend Manuf'!$M$16:$BM$16,0)</f>
        <v/>
      </c>
      <c r="L390" s="127" t="str">
        <f>_xlfn.XLOOKUP($B386,'Maybole Manuf'!$M$6:$BM$6,'Maybole Manuf'!$M$16:$BM$16,0)</f>
        <v/>
      </c>
      <c r="M390" s="127" t="str">
        <f>_xlfn.XLOOKUP($B386,Logistics!$M$6:$BM$6,Logistics!$M$16:$BM$16,0)</f>
        <v/>
      </c>
      <c r="N390" s="127" t="e">
        <f>_xlfn.XLOOKUP($B386,Engineering!$M$22:$BM$22,Engineering!#REF!,0)</f>
        <v>#REF!</v>
      </c>
      <c r="O390" s="127" t="str">
        <f>_xlfn.XLOOKUP($B386,'Quality MB'!$M$6:$BM$6,'Quality MB'!$M$16:$BM$16,0)</f>
        <v/>
      </c>
      <c r="P390" s="127" t="str">
        <f>_xlfn.XLOOKUP($B386,Procurement!$M$6:$BM$6,Procurement!$M$16:$BM$16,0)</f>
        <v/>
      </c>
      <c r="Q390" s="127" t="str">
        <f>_xlfn.XLOOKUP($B386,IT!$M$6:$BM$6,IT!$M$16:$BM$16,0)</f>
        <v/>
      </c>
      <c r="R390" s="127" t="str">
        <f>_xlfn.XLOOKUP($B386,Marketing!$M$6:$BM$6,Marketing!$M$16:$BM$16,0)</f>
        <v/>
      </c>
      <c r="S390" s="127" t="str">
        <f>IF(B386&gt;'KPI Linked Table for Report'!$C$2,"",_xlfn.XLOOKUP($T386,Finance!$M$16:$X$16,Finance!$M$24:$X$24,0))</f>
        <v/>
      </c>
      <c r="U390" s="127" t="str">
        <f>IF(B386&gt;='KPI Linked Table for Report'!$C$1,"",_xlfn.XLOOKUP($T386,'HR mthly'!$I$6:$BM$6,'HR mthly'!$I$26:$BM$26,0))</f>
        <v/>
      </c>
      <c r="V390" s="127" t="str">
        <f>IF(B386&gt;='KPI Linked Table for Report'!$C$1,"",_xlfn.XLOOKUP($T386,'HR mthly'!$I$6:$BM$6,'HR mthly'!$I$29:$BM$29,0))</f>
        <v/>
      </c>
    </row>
    <row r="391" spans="2:22" ht="42.45" customHeight="1" x14ac:dyDescent="0.3">
      <c r="B391" s="971" t="s">
        <v>31</v>
      </c>
      <c r="C391" s="971"/>
      <c r="D391" s="127" t="str">
        <f>_xlfn.XLOOKUP($B386,EHS!$M$6:$BM$6,EHS!$M$19:$BM$19,0)</f>
        <v/>
      </c>
      <c r="E391" s="127" t="str">
        <f>_xlfn.XLOOKUP($B386,Estimating!$M$6:$BM$6,Estimating!$M$19:$BM$19,0)</f>
        <v/>
      </c>
      <c r="F391" s="127" t="str">
        <f>_xlfn.XLOOKUP($B386,SOP!$M$6:$BM$6,SOP!$M$22:$BM$22,0)</f>
        <v/>
      </c>
      <c r="G391" s="127" t="str">
        <f>_xlfn.XLOOKUP($B386,Design!$M$6:$BM$6,Design!$M$19:$BM$19,0)</f>
        <v/>
      </c>
      <c r="H391" s="127" t="str">
        <f>_xlfn.XLOOKUP($B386,'Product Design'!$M$6:$BM$6,'Product Design'!$M$22:$BM$22,0)</f>
        <v/>
      </c>
      <c r="I391" s="127" t="str">
        <f>_xlfn.XLOOKUP($B386,'Product Eng - BE'!$M$6:$BM$6,'Product Eng - BE'!$M$22:$BM$22,0)</f>
        <v/>
      </c>
      <c r="J391" s="127" t="str">
        <f>_xlfn.XLOOKUP($B386,'Product Eng - MB'!$M$6:$BM$6,'Product Eng - MB'!$M$22:$BM$22,0)</f>
        <v/>
      </c>
      <c r="K391" s="127" t="str">
        <f>_xlfn.XLOOKUP($B386,'Bridgend Manuf'!$M$6:$BM$6,'Bridgend Manuf'!$M$19:$BM$19,0)</f>
        <v/>
      </c>
      <c r="L391" s="127" t="str">
        <f>_xlfn.XLOOKUP($B386,'Maybole Manuf'!$M$6:$BM$6,'Maybole Manuf'!$M$19:$BM$19,0)</f>
        <v/>
      </c>
      <c r="M391" s="127" t="str">
        <f>_xlfn.XLOOKUP($B386,Logistics!$M$6:$BM$6,Logistics!$M$19:$BM$19,0)</f>
        <v/>
      </c>
      <c r="N391" s="127" t="e">
        <f>_xlfn.XLOOKUP($B386,Engineering!$M$22:$BM$22,Engineering!#REF!,0)</f>
        <v>#REF!</v>
      </c>
      <c r="O391" s="127" t="str">
        <f>_xlfn.XLOOKUP($B386,'Quality MB'!$M$6:$BM$6,'Quality MB'!$M$19:$BM$19,0)</f>
        <v/>
      </c>
      <c r="P391" s="127" t="str">
        <f>_xlfn.XLOOKUP($B386,Procurement!$M$6:$BM$6,Procurement!$M$19:$BM$19,0)</f>
        <v/>
      </c>
      <c r="Q391" s="127" t="str">
        <f>_xlfn.XLOOKUP($B386,IT!$M$6:$BM$6,IT!$M$19:$BM$19,0)</f>
        <v/>
      </c>
      <c r="R391" s="127" t="str">
        <f>_xlfn.XLOOKUP($B386,Marketing!$M$6:$BM$6,Marketing!$M$19:$BM$19,0)</f>
        <v/>
      </c>
      <c r="S391" s="127" t="str">
        <f>IF(B386&gt;'KPI Linked Table for Report'!$C$2,"",_xlfn.XLOOKUP($T386,Finance!$M$16:$X$16,Finance!$M$27:$X$27,0))</f>
        <v/>
      </c>
      <c r="U391" s="127" t="str">
        <f>IF(B386&gt;='KPI Linked Table for Report'!$C$1,"",_xlfn.XLOOKUP($T386,'HR mthly'!$I$6:$BM$6,'HR mthly'!$I$33:$BM$33,0))</f>
        <v/>
      </c>
      <c r="V391" s="127" t="str">
        <f>IF(B386&gt;='KPI Linked Table for Report'!$C$1,"",_xlfn.XLOOKUP($T386,'HR mthly'!$I$6:$BM$6,'HR mthly'!$I$36:$BM$36,0))</f>
        <v/>
      </c>
    </row>
    <row r="393" spans="2:22" ht="42.45" customHeight="1" x14ac:dyDescent="0.3">
      <c r="B393" s="973" t="s">
        <v>7</v>
      </c>
      <c r="C393" s="974"/>
      <c r="D393" s="6" t="str">
        <f>+D$9</f>
        <v>EHS</v>
      </c>
      <c r="E393" s="6" t="str">
        <f>+E$9</f>
        <v>Estimating</v>
      </c>
      <c r="F393" s="6" t="str">
        <f t="shared" ref="F393:R393" si="70">+F$9</f>
        <v>SOP</v>
      </c>
      <c r="G393" s="6" t="str">
        <f>+G$9</f>
        <v>Design and R&amp;D</v>
      </c>
      <c r="H393" s="6" t="str">
        <f t="shared" si="70"/>
        <v>Product Design</v>
      </c>
      <c r="I393" s="6" t="str">
        <f t="shared" si="70"/>
        <v>Product Engineering Bridgend</v>
      </c>
      <c r="J393" s="6" t="str">
        <f t="shared" si="70"/>
        <v>Product Engineering Maybole</v>
      </c>
      <c r="K393" s="6" t="str">
        <f t="shared" si="70"/>
        <v>Bridgend
Manuf</v>
      </c>
      <c r="L393" s="6" t="str">
        <f t="shared" si="70"/>
        <v>Maybole
Manuf</v>
      </c>
      <c r="M393" s="6" t="str">
        <f>+M$9</f>
        <v>Logistics</v>
      </c>
      <c r="N393" s="6" t="str">
        <f>+N$9</f>
        <v>Engineering</v>
      </c>
      <c r="O393" s="6" t="str">
        <f>+O$9</f>
        <v>Quality
Maybole</v>
      </c>
      <c r="P393" s="6" t="str">
        <f>+P$9</f>
        <v>Procurement</v>
      </c>
      <c r="Q393" s="6" t="str">
        <f>+Q$9</f>
        <v>IT</v>
      </c>
      <c r="R393" s="6" t="str">
        <f t="shared" si="70"/>
        <v>Marketing</v>
      </c>
      <c r="S393" s="6" t="str">
        <f>+S$9</f>
        <v>Finance</v>
      </c>
      <c r="T393" s="7" t="s">
        <v>409</v>
      </c>
      <c r="U393" s="6" t="str">
        <f>+U$9</f>
        <v>HR</v>
      </c>
      <c r="V393" s="6" t="str">
        <f>+V$9</f>
        <v>HR</v>
      </c>
    </row>
    <row r="394" spans="2:22" ht="42.45" customHeight="1" x14ac:dyDescent="0.3">
      <c r="B394" s="7">
        <f>B386+1</f>
        <v>49</v>
      </c>
      <c r="C394" s="8">
        <f>C386+7</f>
        <v>45996</v>
      </c>
      <c r="D394" s="10" t="s">
        <v>24</v>
      </c>
      <c r="E394" s="9" t="str">
        <f>+E$186</f>
        <v>Julian Sparrow</v>
      </c>
      <c r="F394" s="10" t="s">
        <v>19</v>
      </c>
      <c r="G394" s="10" t="s">
        <v>20</v>
      </c>
      <c r="H394" s="10" t="s">
        <v>24</v>
      </c>
      <c r="I394" s="10" t="s">
        <v>24</v>
      </c>
      <c r="J394" s="10" t="s">
        <v>21</v>
      </c>
      <c r="K394" s="10" t="s">
        <v>22</v>
      </c>
      <c r="L394" s="10" t="s">
        <v>23</v>
      </c>
      <c r="M394" s="10" t="str">
        <f>+M$10</f>
        <v>Scott McMillan</v>
      </c>
      <c r="N394" s="10" t="str">
        <f>+N$10</f>
        <v>Garin Bowen</v>
      </c>
      <c r="O394" s="10" t="str">
        <f>+O$10</f>
        <v>Scott McMIllan</v>
      </c>
      <c r="P394" s="10" t="str">
        <f>+P$10</f>
        <v>Matt 
Pope</v>
      </c>
      <c r="Q394" s="10" t="s">
        <v>29</v>
      </c>
      <c r="R394" s="10" t="s">
        <v>25</v>
      </c>
      <c r="S394" s="10" t="s">
        <v>26</v>
      </c>
      <c r="T394" s="7">
        <v>11</v>
      </c>
      <c r="U394" s="10" t="str">
        <f>+U$10</f>
        <v>Bethan Grant</v>
      </c>
      <c r="V394" s="10" t="str">
        <f>+V$10</f>
        <v>Bethan Grant</v>
      </c>
    </row>
    <row r="395" spans="2:22" ht="42.45" customHeight="1" x14ac:dyDescent="0.3">
      <c r="B395" s="971" t="s">
        <v>30</v>
      </c>
      <c r="C395" s="971"/>
      <c r="D395" s="127" t="str">
        <f>_xlfn.XLOOKUP($B394,EHS!$M$6:$BM$6,EHS!$M$10:$BM$10,0)</f>
        <v/>
      </c>
      <c r="E395" s="127" t="str">
        <f>_xlfn.XLOOKUP($B394,Estimating!$M$6:$BM$6,Estimating!$M$10:$BM$10,0)</f>
        <v/>
      </c>
      <c r="F395" s="127" t="str">
        <f>_xlfn.XLOOKUP($B394,SOP!$M$6:$BM$6,SOP!$M$10:$BM$10,0)</f>
        <v/>
      </c>
      <c r="G395" s="127" t="str">
        <f>_xlfn.XLOOKUP($B394,Design!$M$6:$BM$6,Design!$M$10:$BM$10,0)</f>
        <v/>
      </c>
      <c r="H395" s="127" t="str">
        <f>_xlfn.XLOOKUP($B394,'Product Design'!$M$6:$BM$6,'Product Design'!$M$10:$BM$10,0)</f>
        <v/>
      </c>
      <c r="I395" s="127" t="str">
        <f>_xlfn.XLOOKUP($B394,'Product Eng - BE'!$M$6:$BM$6,'Product Eng - BE'!$M$10:$BM$10,0)</f>
        <v/>
      </c>
      <c r="J395" s="127" t="str">
        <f>_xlfn.XLOOKUP($B394,'Product Eng - MB'!$M$6:$BM$6,'Product Eng - MB'!$M$10:$BM$10,0)</f>
        <v/>
      </c>
      <c r="K395" s="127" t="str">
        <f>_xlfn.XLOOKUP($B394,'Bridgend Manuf'!$M$6:$BM$6,'Bridgend Manuf'!$M$10:$BM$10,0)</f>
        <v/>
      </c>
      <c r="L395" s="127" t="str">
        <f>_xlfn.XLOOKUP($B394,'Maybole Manuf'!$M$6:$BM$6,'Maybole Manuf'!$M$10:$BM$10,0)</f>
        <v/>
      </c>
      <c r="M395" s="127" t="str">
        <f>_xlfn.XLOOKUP($B394,Logistics!$M$6:$BM$6,Logistics!$M$10:$BM$10,0)</f>
        <v/>
      </c>
      <c r="N395" s="127" t="str">
        <f>_xlfn.XLOOKUP($B394,Engineering!$M$22:$BM$22,Engineering!$M$26:$BM$26,0)</f>
        <v/>
      </c>
      <c r="O395" s="127" t="str">
        <f>_xlfn.XLOOKUP($B394,'Quality MB'!$M$6:$BM$6,'Quality MB'!$M$10:$BM$10,0)</f>
        <v/>
      </c>
      <c r="P395" s="127" t="str">
        <f>_xlfn.XLOOKUP($B394,Procurement!$M$6:$BM$6,Procurement!$M$10:$BM$10,0)</f>
        <v/>
      </c>
      <c r="Q395" s="127" t="str">
        <f>_xlfn.XLOOKUP($B394,IT!$M$6:$BM$6,IT!$M$10:$BM$10,0)</f>
        <v/>
      </c>
      <c r="R395" s="127" t="str">
        <f>_xlfn.XLOOKUP($B394,Marketing!$M$6:$BM$6,Marketing!$M$10:$BM$10,0)</f>
        <v/>
      </c>
      <c r="S395" s="127" t="str">
        <f>_xlfn.XLOOKUP($B394,Finance!$M$6:$BM$6,Finance!$M$10:$BM$10,0)</f>
        <v/>
      </c>
      <c r="U395" s="127" t="str">
        <f>IF(B394&gt;='KPI Linked Table for Report'!$C$1,"",_xlfn.XLOOKUP($T394,'HR mthly'!$I$6:$BM$6,'HR mthly'!$I$11:$BM$11,0))</f>
        <v/>
      </c>
      <c r="V395" s="127" t="str">
        <f>IF(B394&gt;='KPI Linked Table for Report'!$C$1,"",_xlfn.XLOOKUP($T394,'HR mthly'!$I$6:$BM$6,'HR mthly'!$I$14:$BM$14,0))</f>
        <v/>
      </c>
    </row>
    <row r="396" spans="2:22" ht="42.45" customHeight="1" x14ac:dyDescent="0.3">
      <c r="B396" s="971" t="s">
        <v>172</v>
      </c>
      <c r="C396" s="971"/>
      <c r="D396" s="127" t="str">
        <f>_xlfn.XLOOKUP($B394,EHS!$M$6:$BM$6,EHS!$M$13:$BM$13,0)</f>
        <v/>
      </c>
      <c r="E396" s="127" t="str">
        <f>_xlfn.XLOOKUP($B394,Estimating!$M$6:$BM$6,Estimating!$M$13:$BM$13,0)</f>
        <v/>
      </c>
      <c r="F396" s="127" t="str">
        <f>_xlfn.XLOOKUP($B394,SOP!$M$6:$BM$6,SOP!$M$13:$BM$13,0)</f>
        <v/>
      </c>
      <c r="G396" s="127" t="str">
        <f>_xlfn.XLOOKUP($B394,Design!$M$6:$BM$6,Design!$M$13:$BM$13,0)</f>
        <v/>
      </c>
      <c r="H396" s="127" t="str">
        <f>_xlfn.XLOOKUP($B394,'Product Design'!$M$6:$BM$6,'Product Design'!$M$13:$BM$13,0)</f>
        <v/>
      </c>
      <c r="I396" s="127" t="str">
        <f>_xlfn.XLOOKUP($B394,'Product Eng - BE'!$M$6:$BM$6,'Product Eng - BE'!$M$13:$BM$13,0)</f>
        <v/>
      </c>
      <c r="J396" s="127" t="str">
        <f>_xlfn.XLOOKUP($B394,'Product Eng - MB'!$M$6:$BM$6,'Product Eng - MB'!$M$13:$BM$13,0)</f>
        <v/>
      </c>
      <c r="K396" s="127" t="str">
        <f>_xlfn.XLOOKUP($B394,'Bridgend Manuf'!$M$6:$BM$6,'Bridgend Manuf'!$M$13:$BM$13,0)</f>
        <v/>
      </c>
      <c r="L396" s="127" t="str">
        <f>_xlfn.XLOOKUP($B394,'Maybole Manuf'!$M$6:$BM$6,'Maybole Manuf'!$M$13:$BM$13,0)</f>
        <v/>
      </c>
      <c r="M396" s="127" t="str">
        <f>_xlfn.XLOOKUP($B394,Logistics!$M$6:$BM$6,Logistics!$M$13:$BM$13,0)</f>
        <v/>
      </c>
      <c r="N396" s="127" t="e">
        <f>_xlfn.XLOOKUP($B394,Engineering!$M$22:$BM$22,Engineering!#REF!,0)</f>
        <v>#REF!</v>
      </c>
      <c r="O396" s="127" t="str">
        <f>_xlfn.XLOOKUP($B394,'Quality MB'!$M$6:$BM$6,'Quality MB'!$M$13:$BM$13,0)</f>
        <v/>
      </c>
      <c r="P396" s="127" t="str">
        <f>_xlfn.XLOOKUP($B394,Procurement!$M$6:$BM$6,Procurement!$M$13:$BM$13,0)</f>
        <v/>
      </c>
      <c r="Q396" s="127" t="str">
        <f>_xlfn.XLOOKUP($B394,IT!$M$6:$BM$6,IT!$M$13:$BM$13,0)</f>
        <v/>
      </c>
      <c r="R396" s="127" t="str">
        <f>_xlfn.XLOOKUP($B394,Marketing!$M$6:$BM$6,Marketing!$M$13:$BM$13,0)</f>
        <v/>
      </c>
      <c r="S396" s="127" t="str">
        <f>IF(B394&gt;'KPI Linked Table for Report'!$C$2,"",_xlfn.XLOOKUP($T394,Finance!$M$16:$X$16,Finance!$M$21:$X$21,0))</f>
        <v/>
      </c>
      <c r="U396" s="127" t="str">
        <f>IF(B394&gt;='KPI Linked Table for Report'!$C$1,"",_xlfn.XLOOKUP($T394,'HR mthly'!$I$6:$BM$6,'HR mthly'!$I$18:$BM$18,0))</f>
        <v/>
      </c>
      <c r="V396" s="127" t="str">
        <f>IF(B394&gt;='KPI Linked Table for Report'!$C$1,"",_xlfn.XLOOKUP($T394,'HR mthly'!$I$6:$BM$6,'HR mthly'!$I$21:$BM$21,0))</f>
        <v/>
      </c>
    </row>
    <row r="397" spans="2:22" ht="42.45" customHeight="1" x14ac:dyDescent="0.3">
      <c r="B397" s="971" t="s">
        <v>173</v>
      </c>
      <c r="C397" s="971"/>
      <c r="D397" s="11" t="s">
        <v>174</v>
      </c>
      <c r="E397" s="11" t="s">
        <v>174</v>
      </c>
      <c r="F397" s="11" t="str">
        <f>_xlfn.XLOOKUP($B394,SOP!$M$6:$BM$6,SOP!$M$16:$BM$16,0)</f>
        <v/>
      </c>
      <c r="G397" s="11" t="s">
        <v>174</v>
      </c>
      <c r="H397" s="11" t="str">
        <f>_xlfn.XLOOKUP($B394,'Product Design'!$M$6:$BM$6,'Product Design'!$M$16:$BM$16,0)</f>
        <v/>
      </c>
      <c r="I397" s="11" t="str">
        <f>_xlfn.XLOOKUP($B394,'Product Eng - BE'!$M$6:$BM$6,'Product Eng - BE'!$M$16:$BM$16,0)</f>
        <v/>
      </c>
      <c r="J397" s="11" t="str">
        <f>_xlfn.XLOOKUP($B394,'Product Eng - MB'!$M$6:$BM$6,'Product Eng - MB'!$M$16:$BM$16,0)</f>
        <v/>
      </c>
      <c r="K397" s="11" t="s">
        <v>174</v>
      </c>
      <c r="L397" s="11" t="s">
        <v>174</v>
      </c>
      <c r="M397" s="11" t="s">
        <v>174</v>
      </c>
      <c r="N397" s="11" t="s">
        <v>174</v>
      </c>
      <c r="O397" s="11" t="s">
        <v>174</v>
      </c>
      <c r="P397" s="11" t="s">
        <v>174</v>
      </c>
      <c r="Q397" s="11" t="s">
        <v>174</v>
      </c>
      <c r="R397" s="11" t="s">
        <v>174</v>
      </c>
      <c r="S397" s="11" t="s">
        <v>174</v>
      </c>
      <c r="U397" s="11" t="s">
        <v>174</v>
      </c>
      <c r="V397" s="11" t="s">
        <v>174</v>
      </c>
    </row>
    <row r="398" spans="2:22" ht="42.45" customHeight="1" x14ac:dyDescent="0.3">
      <c r="B398" s="971" t="s">
        <v>32</v>
      </c>
      <c r="C398" s="971"/>
      <c r="D398" s="127" t="str">
        <f>_xlfn.XLOOKUP($B394,EHS!$M$6:$BM$6,EHS!$M$16:$BM$16,0)</f>
        <v/>
      </c>
      <c r="E398" s="127" t="str">
        <f>_xlfn.XLOOKUP($B394,Estimating!$M$6:$BM$6,Estimating!$M$16:$BM$16,0)</f>
        <v/>
      </c>
      <c r="F398" s="127" t="str">
        <f>_xlfn.XLOOKUP($B394,SOP!$M$6:$BM$6,SOP!$M$19:$BM$19,0)</f>
        <v/>
      </c>
      <c r="G398" s="127" t="str">
        <f>_xlfn.XLOOKUP($B394,Design!$M$6:$BM$6,Design!$M$16:$BM$16,0)</f>
        <v/>
      </c>
      <c r="H398" s="127" t="str">
        <f>_xlfn.XLOOKUP($B394,'Product Design'!$M$6:$BM$6,'Product Design'!$M$19:$BM$19,0)</f>
        <v/>
      </c>
      <c r="I398" s="127" t="str">
        <f>_xlfn.XLOOKUP($B394,'Product Eng - BE'!$M$6:$BM$6,'Product Eng - BE'!$M$19:$BM$19,0)</f>
        <v/>
      </c>
      <c r="J398" s="127" t="str">
        <f>_xlfn.XLOOKUP($B394,'Product Eng - MB'!$M$6:$BM$6,'Product Eng - MB'!$M$19:$BM$19,0)</f>
        <v/>
      </c>
      <c r="K398" s="127" t="str">
        <f>_xlfn.XLOOKUP($B394,'Bridgend Manuf'!$M$6:$BM$6,'Bridgend Manuf'!$M$16:$BM$16,0)</f>
        <v/>
      </c>
      <c r="L398" s="127" t="str">
        <f>_xlfn.XLOOKUP($B394,'Maybole Manuf'!$M$6:$BM$6,'Maybole Manuf'!$M$16:$BM$16,0)</f>
        <v/>
      </c>
      <c r="M398" s="127" t="str">
        <f>_xlfn.XLOOKUP($B394,Logistics!$M$6:$BM$6,Logistics!$M$16:$BM$16,0)</f>
        <v/>
      </c>
      <c r="N398" s="127" t="e">
        <f>_xlfn.XLOOKUP($B394,Engineering!$M$22:$BM$22,Engineering!#REF!,0)</f>
        <v>#REF!</v>
      </c>
      <c r="O398" s="127" t="str">
        <f>_xlfn.XLOOKUP($B394,'Quality MB'!$M$6:$BM$6,'Quality MB'!$M$16:$BM$16,0)</f>
        <v/>
      </c>
      <c r="P398" s="127" t="str">
        <f>_xlfn.XLOOKUP($B394,Procurement!$M$6:$BM$6,Procurement!$M$16:$BM$16,0)</f>
        <v/>
      </c>
      <c r="Q398" s="127" t="str">
        <f>_xlfn.XLOOKUP($B394,IT!$M$6:$BM$6,IT!$M$16:$BM$16,0)</f>
        <v/>
      </c>
      <c r="R398" s="127" t="str">
        <f>_xlfn.XLOOKUP($B394,Marketing!$M$6:$BM$6,Marketing!$M$16:$BM$16,0)</f>
        <v/>
      </c>
      <c r="S398" s="127" t="str">
        <f>IF(B394&gt;'KPI Linked Table for Report'!$C$2,"",_xlfn.XLOOKUP($T394,Finance!$M$16:$X$16,Finance!$M$24:$X$24,0))</f>
        <v/>
      </c>
      <c r="U398" s="127" t="str">
        <f>IF(B394&gt;='KPI Linked Table for Report'!$C$1,"",_xlfn.XLOOKUP($T394,'HR mthly'!$I$6:$BM$6,'HR mthly'!$I$26:$BM$26,0))</f>
        <v/>
      </c>
      <c r="V398" s="127" t="str">
        <f>IF(B394&gt;='KPI Linked Table for Report'!$C$1,"",_xlfn.XLOOKUP($T394,'HR mthly'!$I$6:$BM$6,'HR mthly'!$I$29:$BM$29,0))</f>
        <v/>
      </c>
    </row>
    <row r="399" spans="2:22" ht="42.45" customHeight="1" x14ac:dyDescent="0.3">
      <c r="B399" s="971" t="s">
        <v>31</v>
      </c>
      <c r="C399" s="971"/>
      <c r="D399" s="127" t="str">
        <f>_xlfn.XLOOKUP($B394,EHS!$M$6:$BM$6,EHS!$M$19:$BM$19,0)</f>
        <v/>
      </c>
      <c r="E399" s="127" t="str">
        <f>_xlfn.XLOOKUP($B394,Estimating!$M$6:$BM$6,Estimating!$M$19:$BM$19,0)</f>
        <v/>
      </c>
      <c r="F399" s="127" t="str">
        <f>_xlfn.XLOOKUP($B394,SOP!$M$6:$BM$6,SOP!$M$22:$BM$22,0)</f>
        <v/>
      </c>
      <c r="G399" s="127" t="str">
        <f>_xlfn.XLOOKUP($B394,Design!$M$6:$BM$6,Design!$M$19:$BM$19,0)</f>
        <v/>
      </c>
      <c r="H399" s="127" t="str">
        <f>_xlfn.XLOOKUP($B394,'Product Design'!$M$6:$BM$6,'Product Design'!$M$22:$BM$22,0)</f>
        <v/>
      </c>
      <c r="I399" s="127" t="str">
        <f>_xlfn.XLOOKUP($B394,'Product Eng - BE'!$M$6:$BM$6,'Product Eng - BE'!$M$22:$BM$22,0)</f>
        <v/>
      </c>
      <c r="J399" s="127" t="str">
        <f>_xlfn.XLOOKUP($B394,'Product Eng - MB'!$M$6:$BM$6,'Product Eng - MB'!$M$22:$BM$22,0)</f>
        <v/>
      </c>
      <c r="K399" s="127" t="str">
        <f>_xlfn.XLOOKUP($B394,'Bridgend Manuf'!$M$6:$BM$6,'Bridgend Manuf'!$M$19:$BM$19,0)</f>
        <v/>
      </c>
      <c r="L399" s="127" t="str">
        <f>_xlfn.XLOOKUP($B394,'Maybole Manuf'!$M$6:$BM$6,'Maybole Manuf'!$M$19:$BM$19,0)</f>
        <v/>
      </c>
      <c r="M399" s="127" t="str">
        <f>_xlfn.XLOOKUP($B394,Logistics!$M$6:$BM$6,Logistics!$M$19:$BM$19,0)</f>
        <v/>
      </c>
      <c r="N399" s="127" t="e">
        <f>_xlfn.XLOOKUP($B394,Engineering!$M$22:$BM$22,Engineering!#REF!,0)</f>
        <v>#REF!</v>
      </c>
      <c r="O399" s="127" t="str">
        <f>_xlfn.XLOOKUP($B394,'Quality MB'!$M$6:$BM$6,'Quality MB'!$M$19:$BM$19,0)</f>
        <v/>
      </c>
      <c r="P399" s="127" t="str">
        <f>_xlfn.XLOOKUP($B394,Procurement!$M$6:$BM$6,Procurement!$M$19:$BM$19,0)</f>
        <v/>
      </c>
      <c r="Q399" s="127" t="str">
        <f>_xlfn.XLOOKUP($B394,IT!$M$6:$BM$6,IT!$M$19:$BM$19,0)</f>
        <v/>
      </c>
      <c r="R399" s="127" t="str">
        <f>_xlfn.XLOOKUP($B394,Marketing!$M$6:$BM$6,Marketing!$M$19:$BM$19,0)</f>
        <v/>
      </c>
      <c r="S399" s="127" t="str">
        <f>IF(B394&gt;'KPI Linked Table for Report'!$C$2,"",_xlfn.XLOOKUP($T394,Finance!$M$16:$X$16,Finance!$M$27:$X$27,0))</f>
        <v/>
      </c>
      <c r="U399" s="127" t="str">
        <f>IF(B394&gt;='KPI Linked Table for Report'!$C$1,"",_xlfn.XLOOKUP($T394,'HR mthly'!$I$6:$BM$6,'HR mthly'!$I$33:$BM$33,0))</f>
        <v/>
      </c>
      <c r="V399" s="127" t="str">
        <f>IF(B394&gt;='KPI Linked Table for Report'!$C$1,"",_xlfn.XLOOKUP($T394,'HR mthly'!$I$6:$BM$6,'HR mthly'!$I$36:$BM$36,0))</f>
        <v/>
      </c>
    </row>
    <row r="401" spans="2:22" ht="42.45" customHeight="1" x14ac:dyDescent="0.3">
      <c r="B401" s="973" t="s">
        <v>7</v>
      </c>
      <c r="C401" s="974"/>
      <c r="D401" s="6" t="str">
        <f>+D$9</f>
        <v>EHS</v>
      </c>
      <c r="E401" s="6" t="str">
        <f>+E$9</f>
        <v>Estimating</v>
      </c>
      <c r="F401" s="6" t="str">
        <f t="shared" ref="F401:R401" si="71">+F$9</f>
        <v>SOP</v>
      </c>
      <c r="G401" s="6" t="str">
        <f>+G$9</f>
        <v>Design and R&amp;D</v>
      </c>
      <c r="H401" s="6" t="str">
        <f t="shared" si="71"/>
        <v>Product Design</v>
      </c>
      <c r="I401" s="6" t="str">
        <f t="shared" si="71"/>
        <v>Product Engineering Bridgend</v>
      </c>
      <c r="J401" s="6" t="str">
        <f t="shared" si="71"/>
        <v>Product Engineering Maybole</v>
      </c>
      <c r="K401" s="6" t="str">
        <f t="shared" si="71"/>
        <v>Bridgend
Manuf</v>
      </c>
      <c r="L401" s="6" t="str">
        <f t="shared" si="71"/>
        <v>Maybole
Manuf</v>
      </c>
      <c r="M401" s="6" t="str">
        <f>+M$9</f>
        <v>Logistics</v>
      </c>
      <c r="N401" s="6" t="str">
        <f>+N$9</f>
        <v>Engineering</v>
      </c>
      <c r="O401" s="6" t="str">
        <f>+O$9</f>
        <v>Quality
Maybole</v>
      </c>
      <c r="P401" s="6" t="str">
        <f>+P$9</f>
        <v>Procurement</v>
      </c>
      <c r="Q401" s="6" t="str">
        <f>+Q$9</f>
        <v>IT</v>
      </c>
      <c r="R401" s="6" t="str">
        <f t="shared" si="71"/>
        <v>Marketing</v>
      </c>
      <c r="S401" s="6" t="str">
        <f>+S$9</f>
        <v>Finance</v>
      </c>
      <c r="T401" s="7" t="s">
        <v>409</v>
      </c>
      <c r="U401" s="6" t="str">
        <f>+U$9</f>
        <v>HR</v>
      </c>
      <c r="V401" s="6" t="str">
        <f>+V$9</f>
        <v>HR</v>
      </c>
    </row>
    <row r="402" spans="2:22" ht="42.45" customHeight="1" x14ac:dyDescent="0.3">
      <c r="B402" s="7">
        <f>B394+1</f>
        <v>50</v>
      </c>
      <c r="C402" s="8">
        <f>C394+7</f>
        <v>46003</v>
      </c>
      <c r="D402" s="10" t="s">
        <v>24</v>
      </c>
      <c r="E402" s="9" t="str">
        <f>+E$186</f>
        <v>Julian Sparrow</v>
      </c>
      <c r="F402" s="10" t="s">
        <v>19</v>
      </c>
      <c r="G402" s="10" t="s">
        <v>20</v>
      </c>
      <c r="H402" s="10" t="s">
        <v>24</v>
      </c>
      <c r="I402" s="10" t="s">
        <v>24</v>
      </c>
      <c r="J402" s="10" t="s">
        <v>21</v>
      </c>
      <c r="K402" s="10" t="s">
        <v>22</v>
      </c>
      <c r="L402" s="10" t="s">
        <v>23</v>
      </c>
      <c r="M402" s="10" t="str">
        <f>+M$10</f>
        <v>Scott McMillan</v>
      </c>
      <c r="N402" s="10" t="str">
        <f>+N$10</f>
        <v>Garin Bowen</v>
      </c>
      <c r="O402" s="10" t="str">
        <f>+O$10</f>
        <v>Scott McMIllan</v>
      </c>
      <c r="P402" s="10" t="str">
        <f>+P$10</f>
        <v>Matt 
Pope</v>
      </c>
      <c r="Q402" s="10" t="s">
        <v>29</v>
      </c>
      <c r="R402" s="10" t="s">
        <v>25</v>
      </c>
      <c r="S402" s="10" t="s">
        <v>26</v>
      </c>
      <c r="T402" s="7">
        <v>11</v>
      </c>
      <c r="U402" s="10" t="str">
        <f>+U$10</f>
        <v>Bethan Grant</v>
      </c>
      <c r="V402" s="10" t="str">
        <f>+V$10</f>
        <v>Bethan Grant</v>
      </c>
    </row>
    <row r="403" spans="2:22" ht="42.45" customHeight="1" x14ac:dyDescent="0.3">
      <c r="B403" s="971" t="s">
        <v>30</v>
      </c>
      <c r="C403" s="971"/>
      <c r="D403" s="127" t="str">
        <f>_xlfn.XLOOKUP($B402,EHS!$M$6:$BM$6,EHS!$M$10:$BM$10,0)</f>
        <v/>
      </c>
      <c r="E403" s="127" t="str">
        <f>_xlfn.XLOOKUP($B402,Estimating!$M$6:$BM$6,Estimating!$M$10:$BM$10,0)</f>
        <v/>
      </c>
      <c r="F403" s="127" t="str">
        <f>_xlfn.XLOOKUP($B402,SOP!$M$6:$BM$6,SOP!$M$10:$BM$10,0)</f>
        <v/>
      </c>
      <c r="G403" s="127" t="str">
        <f>_xlfn.XLOOKUP($B402,Design!$M$6:$BM$6,Design!$M$10:$BM$10,0)</f>
        <v/>
      </c>
      <c r="H403" s="127" t="str">
        <f>_xlfn.XLOOKUP($B402,'Product Design'!$M$6:$BM$6,'Product Design'!$M$10:$BM$10,0)</f>
        <v/>
      </c>
      <c r="I403" s="127" t="str">
        <f>_xlfn.XLOOKUP($B402,'Product Eng - BE'!$M$6:$BM$6,'Product Eng - BE'!$M$10:$BM$10,0)</f>
        <v/>
      </c>
      <c r="J403" s="127" t="str">
        <f>_xlfn.XLOOKUP($B402,'Product Eng - MB'!$M$6:$BM$6,'Product Eng - MB'!$M$10:$BM$10,0)</f>
        <v/>
      </c>
      <c r="K403" s="127" t="str">
        <f>_xlfn.XLOOKUP($B402,'Bridgend Manuf'!$M$6:$BM$6,'Bridgend Manuf'!$M$10:$BM$10,0)</f>
        <v/>
      </c>
      <c r="L403" s="127" t="str">
        <f>_xlfn.XLOOKUP($B402,'Maybole Manuf'!$M$6:$BM$6,'Maybole Manuf'!$M$10:$BM$10,0)</f>
        <v/>
      </c>
      <c r="M403" s="127" t="str">
        <f>_xlfn.XLOOKUP($B402,Logistics!$M$6:$BM$6,Logistics!$M$10:$BM$10,0)</f>
        <v/>
      </c>
      <c r="N403" s="127" t="str">
        <f>_xlfn.XLOOKUP($B402,Engineering!$M$22:$BM$22,Engineering!$M$26:$BM$26,0)</f>
        <v/>
      </c>
      <c r="O403" s="127" t="str">
        <f>_xlfn.XLOOKUP($B402,'Quality MB'!$M$6:$BM$6,'Quality MB'!$M$10:$BM$10,0)</f>
        <v/>
      </c>
      <c r="P403" s="127" t="str">
        <f>_xlfn.XLOOKUP($B402,Procurement!$M$6:$BM$6,Procurement!$M$10:$BM$10,0)</f>
        <v/>
      </c>
      <c r="Q403" s="127" t="str">
        <f>_xlfn.XLOOKUP($B402,IT!$M$6:$BM$6,IT!$M$10:$BM$10,0)</f>
        <v/>
      </c>
      <c r="R403" s="127" t="str">
        <f>_xlfn.XLOOKUP($B402,Marketing!$M$6:$BM$6,Marketing!$M$10:$BM$10,0)</f>
        <v/>
      </c>
      <c r="S403" s="127" t="str">
        <f>_xlfn.XLOOKUP($B402,Finance!$M$6:$BM$6,Finance!$M$10:$BM$10,0)</f>
        <v/>
      </c>
      <c r="U403" s="127" t="str">
        <f>IF(B402&gt;='KPI Linked Table for Report'!$C$1,"",_xlfn.XLOOKUP($T402,'HR mthly'!$I$6:$BM$6,'HR mthly'!$I$11:$BM$11,0))</f>
        <v/>
      </c>
      <c r="V403" s="127" t="str">
        <f>IF(B402&gt;='KPI Linked Table for Report'!$C$1,"",_xlfn.XLOOKUP($T402,'HR mthly'!$I$6:$BM$6,'HR mthly'!$I$14:$BM$14,0))</f>
        <v/>
      </c>
    </row>
    <row r="404" spans="2:22" ht="42.45" customHeight="1" x14ac:dyDescent="0.3">
      <c r="B404" s="971" t="s">
        <v>172</v>
      </c>
      <c r="C404" s="971"/>
      <c r="D404" s="127" t="str">
        <f>_xlfn.XLOOKUP($B402,EHS!$M$6:$BM$6,EHS!$M$13:$BM$13,0)</f>
        <v/>
      </c>
      <c r="E404" s="127" t="str">
        <f>_xlfn.XLOOKUP($B402,Estimating!$M$6:$BM$6,Estimating!$M$13:$BM$13,0)</f>
        <v/>
      </c>
      <c r="F404" s="127" t="str">
        <f>_xlfn.XLOOKUP($B402,SOP!$M$6:$BM$6,SOP!$M$13:$BM$13,0)</f>
        <v/>
      </c>
      <c r="G404" s="127" t="str">
        <f>_xlfn.XLOOKUP($B402,Design!$M$6:$BM$6,Design!$M$13:$BM$13,0)</f>
        <v/>
      </c>
      <c r="H404" s="127" t="str">
        <f>_xlfn.XLOOKUP($B402,'Product Design'!$M$6:$BM$6,'Product Design'!$M$13:$BM$13,0)</f>
        <v/>
      </c>
      <c r="I404" s="127" t="str">
        <f>_xlfn.XLOOKUP($B402,'Product Eng - BE'!$M$6:$BM$6,'Product Eng - BE'!$M$13:$BM$13,0)</f>
        <v/>
      </c>
      <c r="J404" s="127" t="str">
        <f>_xlfn.XLOOKUP($B402,'Product Eng - MB'!$M$6:$BM$6,'Product Eng - MB'!$M$13:$BM$13,0)</f>
        <v/>
      </c>
      <c r="K404" s="127" t="str">
        <f>_xlfn.XLOOKUP($B402,'Bridgend Manuf'!$M$6:$BM$6,'Bridgend Manuf'!$M$13:$BM$13,0)</f>
        <v/>
      </c>
      <c r="L404" s="127" t="str">
        <f>_xlfn.XLOOKUP($B402,'Maybole Manuf'!$M$6:$BM$6,'Maybole Manuf'!$M$13:$BM$13,0)</f>
        <v/>
      </c>
      <c r="M404" s="127" t="str">
        <f>_xlfn.XLOOKUP($B402,Logistics!$M$6:$BM$6,Logistics!$M$13:$BM$13,0)</f>
        <v/>
      </c>
      <c r="N404" s="127" t="e">
        <f>_xlfn.XLOOKUP($B402,Engineering!$M$22:$BM$22,Engineering!#REF!,0)</f>
        <v>#REF!</v>
      </c>
      <c r="O404" s="127" t="str">
        <f>_xlfn.XLOOKUP($B402,'Quality MB'!$M$6:$BM$6,'Quality MB'!$M$13:$BM$13,0)</f>
        <v/>
      </c>
      <c r="P404" s="127" t="str">
        <f>_xlfn.XLOOKUP($B402,Procurement!$M$6:$BM$6,Procurement!$M$13:$BM$13,0)</f>
        <v/>
      </c>
      <c r="Q404" s="127" t="str">
        <f>_xlfn.XLOOKUP($B402,IT!$M$6:$BM$6,IT!$M$13:$BM$13,0)</f>
        <v/>
      </c>
      <c r="R404" s="127" t="str">
        <f>_xlfn.XLOOKUP($B402,Marketing!$M$6:$BM$6,Marketing!$M$13:$BM$13,0)</f>
        <v/>
      </c>
      <c r="S404" s="127" t="str">
        <f>IF(B402&gt;'KPI Linked Table for Report'!$C$2,"",_xlfn.XLOOKUP($T402,Finance!$M$16:$X$16,Finance!$M$21:$X$21,0))</f>
        <v/>
      </c>
      <c r="U404" s="127" t="str">
        <f>IF(B402&gt;='KPI Linked Table for Report'!$C$1,"",_xlfn.XLOOKUP($T402,'HR mthly'!$I$6:$BM$6,'HR mthly'!$I$18:$BM$18,0))</f>
        <v/>
      </c>
      <c r="V404" s="127" t="str">
        <f>IF(B402&gt;='KPI Linked Table for Report'!$C$1,"",_xlfn.XLOOKUP($T402,'HR mthly'!$I$6:$BM$6,'HR mthly'!$I$21:$BM$21,0))</f>
        <v/>
      </c>
    </row>
    <row r="405" spans="2:22" ht="42.45" customHeight="1" x14ac:dyDescent="0.3">
      <c r="B405" s="971" t="s">
        <v>173</v>
      </c>
      <c r="C405" s="971"/>
      <c r="D405" s="11" t="s">
        <v>174</v>
      </c>
      <c r="E405" s="11" t="s">
        <v>174</v>
      </c>
      <c r="F405" s="11" t="str">
        <f>_xlfn.XLOOKUP($B402,SOP!$M$6:$BM$6,SOP!$M$16:$BM$16,0)</f>
        <v/>
      </c>
      <c r="G405" s="11" t="s">
        <v>174</v>
      </c>
      <c r="H405" s="11" t="str">
        <f>_xlfn.XLOOKUP($B402,'Product Design'!$M$6:$BM$6,'Product Design'!$M$16:$BM$16,0)</f>
        <v/>
      </c>
      <c r="I405" s="11" t="str">
        <f>_xlfn.XLOOKUP($B402,'Product Eng - BE'!$M$6:$BM$6,'Product Eng - BE'!$M$16:$BM$16,0)</f>
        <v/>
      </c>
      <c r="J405" s="11" t="str">
        <f>_xlfn.XLOOKUP($B402,'Product Eng - MB'!$M$6:$BM$6,'Product Eng - MB'!$M$16:$BM$16,0)</f>
        <v/>
      </c>
      <c r="K405" s="11" t="s">
        <v>174</v>
      </c>
      <c r="L405" s="11" t="s">
        <v>174</v>
      </c>
      <c r="M405" s="11" t="s">
        <v>174</v>
      </c>
      <c r="N405" s="11" t="s">
        <v>174</v>
      </c>
      <c r="O405" s="11" t="s">
        <v>174</v>
      </c>
      <c r="P405" s="11" t="s">
        <v>174</v>
      </c>
      <c r="Q405" s="11" t="s">
        <v>174</v>
      </c>
      <c r="R405" s="11" t="s">
        <v>174</v>
      </c>
      <c r="S405" s="11" t="s">
        <v>174</v>
      </c>
      <c r="U405" s="11" t="s">
        <v>174</v>
      </c>
      <c r="V405" s="11" t="s">
        <v>174</v>
      </c>
    </row>
    <row r="406" spans="2:22" ht="42.45" customHeight="1" x14ac:dyDescent="0.3">
      <c r="B406" s="971" t="s">
        <v>32</v>
      </c>
      <c r="C406" s="971"/>
      <c r="D406" s="127" t="str">
        <f>_xlfn.XLOOKUP($B402,EHS!$M$6:$BM$6,EHS!$M$16:$BM$16,0)</f>
        <v/>
      </c>
      <c r="E406" s="127" t="str">
        <f>_xlfn.XLOOKUP($B402,Estimating!$M$6:$BM$6,Estimating!$M$16:$BM$16,0)</f>
        <v/>
      </c>
      <c r="F406" s="127" t="str">
        <f>_xlfn.XLOOKUP($B402,SOP!$M$6:$BM$6,SOP!$M$19:$BM$19,0)</f>
        <v/>
      </c>
      <c r="G406" s="127" t="str">
        <f>_xlfn.XLOOKUP($B402,Design!$M$6:$BM$6,Design!$M$16:$BM$16,0)</f>
        <v/>
      </c>
      <c r="H406" s="127" t="str">
        <f>_xlfn.XLOOKUP($B402,'Product Design'!$M$6:$BM$6,'Product Design'!$M$19:$BM$19,0)</f>
        <v/>
      </c>
      <c r="I406" s="127" t="str">
        <f>_xlfn.XLOOKUP($B402,'Product Eng - BE'!$M$6:$BM$6,'Product Eng - BE'!$M$19:$BM$19,0)</f>
        <v/>
      </c>
      <c r="J406" s="127" t="str">
        <f>_xlfn.XLOOKUP($B402,'Product Eng - MB'!$M$6:$BM$6,'Product Eng - MB'!$M$19:$BM$19,0)</f>
        <v/>
      </c>
      <c r="K406" s="127" t="str">
        <f>_xlfn.XLOOKUP($B402,'Bridgend Manuf'!$M$6:$BM$6,'Bridgend Manuf'!$M$16:$BM$16,0)</f>
        <v/>
      </c>
      <c r="L406" s="127" t="str">
        <f>_xlfn.XLOOKUP($B402,'Maybole Manuf'!$M$6:$BM$6,'Maybole Manuf'!$M$16:$BM$16,0)</f>
        <v/>
      </c>
      <c r="M406" s="127" t="str">
        <f>_xlfn.XLOOKUP($B402,Logistics!$M$6:$BM$6,Logistics!$M$16:$BM$16,0)</f>
        <v/>
      </c>
      <c r="N406" s="127" t="e">
        <f>_xlfn.XLOOKUP($B402,Engineering!$M$22:$BM$22,Engineering!#REF!,0)</f>
        <v>#REF!</v>
      </c>
      <c r="O406" s="127" t="str">
        <f>_xlfn.XLOOKUP($B402,'Quality MB'!$M$6:$BM$6,'Quality MB'!$M$16:$BM$16,0)</f>
        <v/>
      </c>
      <c r="P406" s="127" t="str">
        <f>_xlfn.XLOOKUP($B402,Procurement!$M$6:$BM$6,Procurement!$M$16:$BM$16,0)</f>
        <v/>
      </c>
      <c r="Q406" s="127" t="str">
        <f>_xlfn.XLOOKUP($B402,IT!$M$6:$BM$6,IT!$M$16:$BM$16,0)</f>
        <v/>
      </c>
      <c r="R406" s="127" t="str">
        <f>_xlfn.XLOOKUP($B402,Marketing!$M$6:$BM$6,Marketing!$M$16:$BM$16,0)</f>
        <v/>
      </c>
      <c r="S406" s="127" t="str">
        <f>IF(B402&gt;'KPI Linked Table for Report'!$C$2,"",_xlfn.XLOOKUP($T402,Finance!$M$16:$X$16,Finance!$M$24:$X$24,0))</f>
        <v/>
      </c>
      <c r="U406" s="127" t="str">
        <f>IF(B402&gt;='KPI Linked Table for Report'!$C$1,"",_xlfn.XLOOKUP($T402,'HR mthly'!$I$6:$BM$6,'HR mthly'!$I$26:$BM$26,0))</f>
        <v/>
      </c>
      <c r="V406" s="127" t="str">
        <f>IF(B402&gt;='KPI Linked Table for Report'!$C$1,"",_xlfn.XLOOKUP($T402,'HR mthly'!$I$6:$BM$6,'HR mthly'!$I$29:$BM$29,0))</f>
        <v/>
      </c>
    </row>
    <row r="407" spans="2:22" ht="42.45" customHeight="1" x14ac:dyDescent="0.3">
      <c r="B407" s="971" t="s">
        <v>31</v>
      </c>
      <c r="C407" s="971"/>
      <c r="D407" s="127" t="str">
        <f>_xlfn.XLOOKUP($B402,EHS!$M$6:$BM$6,EHS!$M$19:$BM$19,0)</f>
        <v/>
      </c>
      <c r="E407" s="127" t="str">
        <f>_xlfn.XLOOKUP($B402,Estimating!$M$6:$BM$6,Estimating!$M$19:$BM$19,0)</f>
        <v/>
      </c>
      <c r="F407" s="127" t="str">
        <f>_xlfn.XLOOKUP($B402,SOP!$M$6:$BM$6,SOP!$M$22:$BM$22,0)</f>
        <v/>
      </c>
      <c r="G407" s="127" t="str">
        <f>_xlfn.XLOOKUP($B402,Design!$M$6:$BM$6,Design!$M$19:$BM$19,0)</f>
        <v/>
      </c>
      <c r="H407" s="127" t="str">
        <f>_xlfn.XLOOKUP($B402,'Product Design'!$M$6:$BM$6,'Product Design'!$M$22:$BM$22,0)</f>
        <v/>
      </c>
      <c r="I407" s="127" t="str">
        <f>_xlfn.XLOOKUP($B402,'Product Eng - BE'!$M$6:$BM$6,'Product Eng - BE'!$M$22:$BM$22,0)</f>
        <v/>
      </c>
      <c r="J407" s="127" t="str">
        <f>_xlfn.XLOOKUP($B402,'Product Eng - MB'!$M$6:$BM$6,'Product Eng - MB'!$M$22:$BM$22,0)</f>
        <v/>
      </c>
      <c r="K407" s="127" t="str">
        <f>_xlfn.XLOOKUP($B402,'Bridgend Manuf'!$M$6:$BM$6,'Bridgend Manuf'!$M$19:$BM$19,0)</f>
        <v/>
      </c>
      <c r="L407" s="127" t="str">
        <f>_xlfn.XLOOKUP($B402,'Maybole Manuf'!$M$6:$BM$6,'Maybole Manuf'!$M$19:$BM$19,0)</f>
        <v/>
      </c>
      <c r="M407" s="127" t="str">
        <f>_xlfn.XLOOKUP($B402,Logistics!$M$6:$BM$6,Logistics!$M$19:$BM$19,0)</f>
        <v/>
      </c>
      <c r="N407" s="127" t="e">
        <f>_xlfn.XLOOKUP($B402,Engineering!$M$22:$BM$22,Engineering!#REF!,0)</f>
        <v>#REF!</v>
      </c>
      <c r="O407" s="127" t="str">
        <f>_xlfn.XLOOKUP($B402,'Quality MB'!$M$6:$BM$6,'Quality MB'!$M$19:$BM$19,0)</f>
        <v/>
      </c>
      <c r="P407" s="127" t="str">
        <f>_xlfn.XLOOKUP($B402,Procurement!$M$6:$BM$6,Procurement!$M$19:$BM$19,0)</f>
        <v/>
      </c>
      <c r="Q407" s="127" t="str">
        <f>_xlfn.XLOOKUP($B402,IT!$M$6:$BM$6,IT!$M$19:$BM$19,0)</f>
        <v/>
      </c>
      <c r="R407" s="127" t="str">
        <f>_xlfn.XLOOKUP($B402,Marketing!$M$6:$BM$6,Marketing!$M$19:$BM$19,0)</f>
        <v/>
      </c>
      <c r="S407" s="127" t="str">
        <f>IF(B402&gt;'KPI Linked Table for Report'!$C$2,"",_xlfn.XLOOKUP($T402,Finance!$M$16:$X$16,Finance!$M$27:$X$27,0))</f>
        <v/>
      </c>
      <c r="U407" s="127" t="str">
        <f>IF(B402&gt;='KPI Linked Table for Report'!$C$1,"",_xlfn.XLOOKUP($T402,'HR mthly'!$I$6:$BM$6,'HR mthly'!$I$33:$BM$33,0))</f>
        <v/>
      </c>
      <c r="V407" s="127" t="str">
        <f>IF(B402&gt;='KPI Linked Table for Report'!$C$1,"",_xlfn.XLOOKUP($T402,'HR mthly'!$I$6:$BM$6,'HR mthly'!$I$36:$BM$36,0))</f>
        <v/>
      </c>
    </row>
    <row r="409" spans="2:22" ht="42.45" customHeight="1" x14ac:dyDescent="0.3">
      <c r="B409" s="973" t="s">
        <v>7</v>
      </c>
      <c r="C409" s="974"/>
      <c r="D409" s="6" t="str">
        <f>+D$9</f>
        <v>EHS</v>
      </c>
      <c r="E409" s="6" t="str">
        <f>+E$9</f>
        <v>Estimating</v>
      </c>
      <c r="F409" s="6" t="str">
        <f t="shared" ref="F409:R409" si="72">+F$9</f>
        <v>SOP</v>
      </c>
      <c r="G409" s="6" t="str">
        <f>+G$9</f>
        <v>Design and R&amp;D</v>
      </c>
      <c r="H409" s="6" t="str">
        <f t="shared" si="72"/>
        <v>Product Design</v>
      </c>
      <c r="I409" s="6" t="str">
        <f t="shared" si="72"/>
        <v>Product Engineering Bridgend</v>
      </c>
      <c r="J409" s="6" t="str">
        <f t="shared" si="72"/>
        <v>Product Engineering Maybole</v>
      </c>
      <c r="K409" s="6" t="str">
        <f t="shared" si="72"/>
        <v>Bridgend
Manuf</v>
      </c>
      <c r="L409" s="6" t="str">
        <f t="shared" si="72"/>
        <v>Maybole
Manuf</v>
      </c>
      <c r="M409" s="6" t="str">
        <f>+M$9</f>
        <v>Logistics</v>
      </c>
      <c r="N409" s="6" t="str">
        <f>+N$9</f>
        <v>Engineering</v>
      </c>
      <c r="O409" s="6" t="str">
        <f>+O$9</f>
        <v>Quality
Maybole</v>
      </c>
      <c r="P409" s="6" t="str">
        <f>+P$9</f>
        <v>Procurement</v>
      </c>
      <c r="Q409" s="6" t="str">
        <f>+Q$9</f>
        <v>IT</v>
      </c>
      <c r="R409" s="6" t="str">
        <f t="shared" si="72"/>
        <v>Marketing</v>
      </c>
      <c r="S409" s="6" t="str">
        <f>+S$9</f>
        <v>Finance</v>
      </c>
      <c r="T409" s="7" t="s">
        <v>409</v>
      </c>
      <c r="U409" s="6" t="str">
        <f>+U$9</f>
        <v>HR</v>
      </c>
      <c r="V409" s="6" t="str">
        <f>+V$9</f>
        <v>HR</v>
      </c>
    </row>
    <row r="410" spans="2:22" ht="42.45" customHeight="1" x14ac:dyDescent="0.3">
      <c r="B410" s="7">
        <f>B402+1</f>
        <v>51</v>
      </c>
      <c r="C410" s="8">
        <f>C402+7</f>
        <v>46010</v>
      </c>
      <c r="D410" s="10" t="s">
        <v>24</v>
      </c>
      <c r="E410" s="9" t="str">
        <f>+E$186</f>
        <v>Julian Sparrow</v>
      </c>
      <c r="F410" s="10" t="s">
        <v>19</v>
      </c>
      <c r="G410" s="10" t="s">
        <v>20</v>
      </c>
      <c r="H410" s="10" t="s">
        <v>24</v>
      </c>
      <c r="I410" s="10" t="s">
        <v>24</v>
      </c>
      <c r="J410" s="10" t="s">
        <v>21</v>
      </c>
      <c r="K410" s="10" t="s">
        <v>22</v>
      </c>
      <c r="L410" s="10" t="s">
        <v>23</v>
      </c>
      <c r="M410" s="10" t="str">
        <f>+M$10</f>
        <v>Scott McMillan</v>
      </c>
      <c r="N410" s="10" t="str">
        <f>+N$10</f>
        <v>Garin Bowen</v>
      </c>
      <c r="O410" s="10" t="str">
        <f>+O$10</f>
        <v>Scott McMIllan</v>
      </c>
      <c r="P410" s="10" t="str">
        <f>+P$10</f>
        <v>Matt 
Pope</v>
      </c>
      <c r="Q410" s="10" t="s">
        <v>29</v>
      </c>
      <c r="R410" s="10" t="s">
        <v>25</v>
      </c>
      <c r="S410" s="10" t="s">
        <v>26</v>
      </c>
      <c r="T410" s="7">
        <v>11</v>
      </c>
      <c r="U410" s="10" t="str">
        <f>+U$10</f>
        <v>Bethan Grant</v>
      </c>
      <c r="V410" s="10" t="str">
        <f>+V$10</f>
        <v>Bethan Grant</v>
      </c>
    </row>
    <row r="411" spans="2:22" ht="42.45" customHeight="1" x14ac:dyDescent="0.3">
      <c r="B411" s="971" t="s">
        <v>30</v>
      </c>
      <c r="C411" s="971"/>
      <c r="D411" s="127" t="str">
        <f>_xlfn.XLOOKUP($B410,EHS!$M$6:$BM$6,EHS!$M$10:$BM$10,0)</f>
        <v/>
      </c>
      <c r="E411" s="127" t="str">
        <f>_xlfn.XLOOKUP($B410,Estimating!$M$6:$BM$6,Estimating!$M$10:$BM$10,0)</f>
        <v/>
      </c>
      <c r="F411" s="127" t="str">
        <f>_xlfn.XLOOKUP($B410,SOP!$M$6:$BM$6,SOP!$M$10:$BM$10,0)</f>
        <v/>
      </c>
      <c r="G411" s="127" t="str">
        <f>_xlfn.XLOOKUP($B410,Design!$M$6:$BM$6,Design!$M$10:$BM$10,0)</f>
        <v/>
      </c>
      <c r="H411" s="127" t="str">
        <f>_xlfn.XLOOKUP($B410,'Product Design'!$M$6:$BM$6,'Product Design'!$M$10:$BM$10,0)</f>
        <v/>
      </c>
      <c r="I411" s="127" t="str">
        <f>_xlfn.XLOOKUP($B410,'Product Eng - BE'!$M$6:$BM$6,'Product Eng - BE'!$M$10:$BM$10,0)</f>
        <v/>
      </c>
      <c r="J411" s="127" t="str">
        <f>_xlfn.XLOOKUP($B410,'Product Eng - MB'!$M$6:$BM$6,'Product Eng - MB'!$M$10:$BM$10,0)</f>
        <v/>
      </c>
      <c r="K411" s="127" t="str">
        <f>_xlfn.XLOOKUP($B410,'Bridgend Manuf'!$M$6:$BM$6,'Bridgend Manuf'!$M$10:$BM$10,0)</f>
        <v/>
      </c>
      <c r="L411" s="127" t="str">
        <f>_xlfn.XLOOKUP($B410,'Maybole Manuf'!$M$6:$BM$6,'Maybole Manuf'!$M$10:$BM$10,0)</f>
        <v/>
      </c>
      <c r="M411" s="127" t="str">
        <f>_xlfn.XLOOKUP($B410,Logistics!$M$6:$BM$6,Logistics!$M$10:$BM$10,0)</f>
        <v/>
      </c>
      <c r="N411" s="127" t="str">
        <f>_xlfn.XLOOKUP($B410,Engineering!$M$22:$BM$22,Engineering!$M$26:$BM$26,0)</f>
        <v/>
      </c>
      <c r="O411" s="127" t="str">
        <f>_xlfn.XLOOKUP($B410,'Quality MB'!$M$6:$BM$6,'Quality MB'!$M$10:$BM$10,0)</f>
        <v/>
      </c>
      <c r="P411" s="127" t="str">
        <f>_xlfn.XLOOKUP($B410,Procurement!$M$6:$BM$6,Procurement!$M$10:$BM$10,0)</f>
        <v/>
      </c>
      <c r="Q411" s="127" t="str">
        <f>_xlfn.XLOOKUP($B410,IT!$M$6:$BM$6,IT!$M$10:$BM$10,0)</f>
        <v/>
      </c>
      <c r="R411" s="127" t="str">
        <f>_xlfn.XLOOKUP($B410,Marketing!$M$6:$BM$6,Marketing!$M$10:$BM$10,0)</f>
        <v/>
      </c>
      <c r="S411" s="127" t="str">
        <f>_xlfn.XLOOKUP($B410,Finance!$M$6:$BM$6,Finance!$M$10:$BM$10,0)</f>
        <v/>
      </c>
      <c r="U411" s="127" t="str">
        <f>IF(B410&gt;='KPI Linked Table for Report'!$C$1,"",_xlfn.XLOOKUP($T410,'HR mthly'!$I$6:$BM$6,'HR mthly'!$I$11:$BM$11,0))</f>
        <v/>
      </c>
      <c r="V411" s="127" t="str">
        <f>IF(B410&gt;='KPI Linked Table for Report'!$C$1,"",_xlfn.XLOOKUP($T410,'HR mthly'!$I$6:$BM$6,'HR mthly'!$I$14:$BM$14,0))</f>
        <v/>
      </c>
    </row>
    <row r="412" spans="2:22" ht="42.45" customHeight="1" x14ac:dyDescent="0.3">
      <c r="B412" s="971" t="s">
        <v>172</v>
      </c>
      <c r="C412" s="971"/>
      <c r="D412" s="127" t="str">
        <f>_xlfn.XLOOKUP($B410,EHS!$M$6:$BM$6,EHS!$M$13:$BM$13,0)</f>
        <v/>
      </c>
      <c r="E412" s="127" t="str">
        <f>_xlfn.XLOOKUP($B410,Estimating!$M$6:$BM$6,Estimating!$M$13:$BM$13,0)</f>
        <v/>
      </c>
      <c r="F412" s="127" t="str">
        <f>_xlfn.XLOOKUP($B410,SOP!$M$6:$BM$6,SOP!$M$13:$BM$13,0)</f>
        <v/>
      </c>
      <c r="G412" s="127" t="str">
        <f>_xlfn.XLOOKUP($B410,Design!$M$6:$BM$6,Design!$M$13:$BM$13,0)</f>
        <v/>
      </c>
      <c r="H412" s="127" t="str">
        <f>_xlfn.XLOOKUP($B410,'Product Design'!$M$6:$BM$6,'Product Design'!$M$13:$BM$13,0)</f>
        <v/>
      </c>
      <c r="I412" s="127" t="str">
        <f>_xlfn.XLOOKUP($B410,'Product Eng - BE'!$M$6:$BM$6,'Product Eng - BE'!$M$13:$BM$13,0)</f>
        <v/>
      </c>
      <c r="J412" s="127" t="str">
        <f>_xlfn.XLOOKUP($B410,'Product Eng - MB'!$M$6:$BM$6,'Product Eng - MB'!$M$13:$BM$13,0)</f>
        <v/>
      </c>
      <c r="K412" s="127" t="str">
        <f>_xlfn.XLOOKUP($B410,'Bridgend Manuf'!$M$6:$BM$6,'Bridgend Manuf'!$M$13:$BM$13,0)</f>
        <v/>
      </c>
      <c r="L412" s="127" t="str">
        <f>_xlfn.XLOOKUP($B410,'Maybole Manuf'!$M$6:$BM$6,'Maybole Manuf'!$M$13:$BM$13,0)</f>
        <v/>
      </c>
      <c r="M412" s="127" t="str">
        <f>_xlfn.XLOOKUP($B410,Logistics!$M$6:$BM$6,Logistics!$M$13:$BM$13,0)</f>
        <v/>
      </c>
      <c r="N412" s="127" t="e">
        <f>_xlfn.XLOOKUP($B410,Engineering!$M$22:$BM$22,Engineering!#REF!,0)</f>
        <v>#REF!</v>
      </c>
      <c r="O412" s="127" t="str">
        <f>_xlfn.XLOOKUP($B410,'Quality MB'!$M$6:$BM$6,'Quality MB'!$M$13:$BM$13,0)</f>
        <v/>
      </c>
      <c r="P412" s="127" t="str">
        <f>_xlfn.XLOOKUP($B410,Procurement!$M$6:$BM$6,Procurement!$M$13:$BM$13,0)</f>
        <v/>
      </c>
      <c r="Q412" s="127" t="str">
        <f>_xlfn.XLOOKUP($B410,IT!$M$6:$BM$6,IT!$M$13:$BM$13,0)</f>
        <v/>
      </c>
      <c r="R412" s="127" t="str">
        <f>_xlfn.XLOOKUP($B410,Marketing!$M$6:$BM$6,Marketing!$M$13:$BM$13,0)</f>
        <v/>
      </c>
      <c r="S412" s="127" t="str">
        <f>IF(B410&gt;'KPI Linked Table for Report'!$C$2,"",_xlfn.XLOOKUP($T410,Finance!$M$16:$X$16,Finance!$M$21:$X$21,0))</f>
        <v/>
      </c>
      <c r="U412" s="127" t="str">
        <f>IF(B410&gt;='KPI Linked Table for Report'!$C$1,"",_xlfn.XLOOKUP($T410,'HR mthly'!$I$6:$BM$6,'HR mthly'!$I$18:$BM$18,0))</f>
        <v/>
      </c>
      <c r="V412" s="127" t="str">
        <f>IF(B410&gt;='KPI Linked Table for Report'!$C$1,"",_xlfn.XLOOKUP($T410,'HR mthly'!$I$6:$BM$6,'HR mthly'!$I$21:$BM$21,0))</f>
        <v/>
      </c>
    </row>
    <row r="413" spans="2:22" ht="42.45" customHeight="1" x14ac:dyDescent="0.3">
      <c r="B413" s="971" t="s">
        <v>173</v>
      </c>
      <c r="C413" s="971"/>
      <c r="D413" s="11" t="s">
        <v>174</v>
      </c>
      <c r="E413" s="11" t="s">
        <v>174</v>
      </c>
      <c r="F413" s="11" t="str">
        <f>_xlfn.XLOOKUP($B410,SOP!$M$6:$BM$6,SOP!$M$16:$BM$16,0)</f>
        <v/>
      </c>
      <c r="G413" s="11" t="s">
        <v>174</v>
      </c>
      <c r="H413" s="11" t="str">
        <f>_xlfn.XLOOKUP($B410,'Product Design'!$M$6:$BM$6,'Product Design'!$M$16:$BM$16,0)</f>
        <v/>
      </c>
      <c r="I413" s="11" t="str">
        <f>_xlfn.XLOOKUP($B410,'Product Eng - BE'!$M$6:$BM$6,'Product Eng - BE'!$M$16:$BM$16,0)</f>
        <v/>
      </c>
      <c r="J413" s="11" t="str">
        <f>_xlfn.XLOOKUP($B410,'Product Eng - MB'!$M$6:$BM$6,'Product Eng - MB'!$M$16:$BM$16,0)</f>
        <v/>
      </c>
      <c r="K413" s="11" t="s">
        <v>174</v>
      </c>
      <c r="L413" s="11" t="s">
        <v>174</v>
      </c>
      <c r="M413" s="11" t="s">
        <v>174</v>
      </c>
      <c r="N413" s="11" t="s">
        <v>174</v>
      </c>
      <c r="O413" s="11" t="s">
        <v>174</v>
      </c>
      <c r="P413" s="11" t="s">
        <v>174</v>
      </c>
      <c r="Q413" s="11" t="s">
        <v>174</v>
      </c>
      <c r="R413" s="11" t="s">
        <v>174</v>
      </c>
      <c r="S413" s="11" t="s">
        <v>174</v>
      </c>
      <c r="U413" s="11" t="s">
        <v>174</v>
      </c>
      <c r="V413" s="11" t="s">
        <v>174</v>
      </c>
    </row>
    <row r="414" spans="2:22" ht="42.45" customHeight="1" x14ac:dyDescent="0.3">
      <c r="B414" s="971" t="s">
        <v>32</v>
      </c>
      <c r="C414" s="971"/>
      <c r="D414" s="127" t="str">
        <f>_xlfn.XLOOKUP($B410,EHS!$M$6:$BM$6,EHS!$M$16:$BM$16,0)</f>
        <v/>
      </c>
      <c r="E414" s="127" t="str">
        <f>_xlfn.XLOOKUP($B410,Estimating!$M$6:$BM$6,Estimating!$M$16:$BM$16,0)</f>
        <v/>
      </c>
      <c r="F414" s="127" t="str">
        <f>_xlfn.XLOOKUP($B410,SOP!$M$6:$BM$6,SOP!$M$19:$BM$19,0)</f>
        <v/>
      </c>
      <c r="G414" s="127" t="str">
        <f>_xlfn.XLOOKUP($B410,Design!$M$6:$BM$6,Design!$M$16:$BM$16,0)</f>
        <v/>
      </c>
      <c r="H414" s="127" t="str">
        <f>_xlfn.XLOOKUP($B410,'Product Design'!$M$6:$BM$6,'Product Design'!$M$19:$BM$19,0)</f>
        <v/>
      </c>
      <c r="I414" s="127" t="str">
        <f>_xlfn.XLOOKUP($B410,'Product Eng - BE'!$M$6:$BM$6,'Product Eng - BE'!$M$19:$BM$19,0)</f>
        <v/>
      </c>
      <c r="J414" s="127" t="str">
        <f>_xlfn.XLOOKUP($B410,'Product Eng - MB'!$M$6:$BM$6,'Product Eng - MB'!$M$19:$BM$19,0)</f>
        <v/>
      </c>
      <c r="K414" s="127" t="str">
        <f>_xlfn.XLOOKUP($B410,'Bridgend Manuf'!$M$6:$BM$6,'Bridgend Manuf'!$M$16:$BM$16,0)</f>
        <v/>
      </c>
      <c r="L414" s="127" t="str">
        <f>_xlfn.XLOOKUP($B410,'Maybole Manuf'!$M$6:$BM$6,'Maybole Manuf'!$M$16:$BM$16,0)</f>
        <v/>
      </c>
      <c r="M414" s="127" t="str">
        <f>_xlfn.XLOOKUP($B410,Logistics!$M$6:$BM$6,Logistics!$M$16:$BM$16,0)</f>
        <v/>
      </c>
      <c r="N414" s="127" t="e">
        <f>_xlfn.XLOOKUP($B410,Engineering!$M$22:$BM$22,Engineering!#REF!,0)</f>
        <v>#REF!</v>
      </c>
      <c r="O414" s="127" t="str">
        <f>_xlfn.XLOOKUP($B410,'Quality MB'!$M$6:$BM$6,'Quality MB'!$M$16:$BM$16,0)</f>
        <v/>
      </c>
      <c r="P414" s="127" t="str">
        <f>_xlfn.XLOOKUP($B410,Procurement!$M$6:$BM$6,Procurement!$M$16:$BM$16,0)</f>
        <v/>
      </c>
      <c r="Q414" s="127" t="str">
        <f>_xlfn.XLOOKUP($B410,IT!$M$6:$BM$6,IT!$M$16:$BM$16,0)</f>
        <v/>
      </c>
      <c r="R414" s="127" t="str">
        <f>_xlfn.XLOOKUP($B410,Marketing!$M$6:$BM$6,Marketing!$M$16:$BM$16,0)</f>
        <v/>
      </c>
      <c r="S414" s="127" t="str">
        <f>IF(B410&gt;'KPI Linked Table for Report'!$C$2,"",_xlfn.XLOOKUP($T410,Finance!$M$16:$X$16,Finance!$M$24:$X$24,0))</f>
        <v/>
      </c>
      <c r="U414" s="127" t="str">
        <f>IF(B410&gt;='KPI Linked Table for Report'!$C$1,"",_xlfn.XLOOKUP($T410,'HR mthly'!$I$6:$BM$6,'HR mthly'!$I$26:$BM$26,0))</f>
        <v/>
      </c>
      <c r="V414" s="127" t="str">
        <f>IF(B410&gt;='KPI Linked Table for Report'!$C$1,"",_xlfn.XLOOKUP($T410,'HR mthly'!$I$6:$BM$6,'HR mthly'!$I$29:$BM$29,0))</f>
        <v/>
      </c>
    </row>
    <row r="415" spans="2:22" ht="42.45" customHeight="1" x14ac:dyDescent="0.3">
      <c r="B415" s="971" t="s">
        <v>31</v>
      </c>
      <c r="C415" s="971"/>
      <c r="D415" s="127" t="str">
        <f>_xlfn.XLOOKUP($B410,EHS!$M$6:$BM$6,EHS!$M$19:$BM$19,0)</f>
        <v/>
      </c>
      <c r="E415" s="127" t="str">
        <f>_xlfn.XLOOKUP($B410,Estimating!$M$6:$BM$6,Estimating!$M$19:$BM$19,0)</f>
        <v/>
      </c>
      <c r="F415" s="127" t="str">
        <f>_xlfn.XLOOKUP($B410,SOP!$M$6:$BM$6,SOP!$M$22:$BM$22,0)</f>
        <v/>
      </c>
      <c r="G415" s="127" t="str">
        <f>_xlfn.XLOOKUP($B410,Design!$M$6:$BM$6,Design!$M$19:$BM$19,0)</f>
        <v/>
      </c>
      <c r="H415" s="127" t="str">
        <f>_xlfn.XLOOKUP($B410,'Product Design'!$M$6:$BM$6,'Product Design'!$M$22:$BM$22,0)</f>
        <v/>
      </c>
      <c r="I415" s="127" t="str">
        <f>_xlfn.XLOOKUP($B410,'Product Eng - BE'!$M$6:$BM$6,'Product Eng - BE'!$M$22:$BM$22,0)</f>
        <v/>
      </c>
      <c r="J415" s="127" t="str">
        <f>_xlfn.XLOOKUP($B410,'Product Eng - MB'!$M$6:$BM$6,'Product Eng - MB'!$M$22:$BM$22,0)</f>
        <v/>
      </c>
      <c r="K415" s="127" t="str">
        <f>_xlfn.XLOOKUP($B410,'Bridgend Manuf'!$M$6:$BM$6,'Bridgend Manuf'!$M$19:$BM$19,0)</f>
        <v/>
      </c>
      <c r="L415" s="127" t="str">
        <f>_xlfn.XLOOKUP($B410,'Maybole Manuf'!$M$6:$BM$6,'Maybole Manuf'!$M$19:$BM$19,0)</f>
        <v/>
      </c>
      <c r="M415" s="127" t="str">
        <f>_xlfn.XLOOKUP($B410,Logistics!$M$6:$BM$6,Logistics!$M$19:$BM$19,0)</f>
        <v/>
      </c>
      <c r="N415" s="127" t="e">
        <f>_xlfn.XLOOKUP($B410,Engineering!$M$22:$BM$22,Engineering!#REF!,0)</f>
        <v>#REF!</v>
      </c>
      <c r="O415" s="127" t="str">
        <f>_xlfn.XLOOKUP($B410,'Quality MB'!$M$6:$BM$6,'Quality MB'!$M$19:$BM$19,0)</f>
        <v/>
      </c>
      <c r="P415" s="127" t="str">
        <f>_xlfn.XLOOKUP($B410,Procurement!$M$6:$BM$6,Procurement!$M$19:$BM$19,0)</f>
        <v/>
      </c>
      <c r="Q415" s="127" t="str">
        <f>_xlfn.XLOOKUP($B410,IT!$M$6:$BM$6,IT!$M$19:$BM$19,0)</f>
        <v/>
      </c>
      <c r="R415" s="127" t="str">
        <f>_xlfn.XLOOKUP($B410,Marketing!$M$6:$BM$6,Marketing!$M$19:$BM$19,0)</f>
        <v/>
      </c>
      <c r="S415" s="127" t="str">
        <f>IF(B410&gt;'KPI Linked Table for Report'!$C$2,"",_xlfn.XLOOKUP($T410,Finance!$M$16:$X$16,Finance!$M$27:$X$27,0))</f>
        <v/>
      </c>
      <c r="U415" s="127" t="str">
        <f>IF(B410&gt;='KPI Linked Table for Report'!$C$1,"",_xlfn.XLOOKUP($T410,'HR mthly'!$I$6:$BM$6,'HR mthly'!$I$33:$BM$33,0))</f>
        <v/>
      </c>
      <c r="V415" s="127" t="str">
        <f>IF(B410&gt;='KPI Linked Table for Report'!$C$1,"",_xlfn.XLOOKUP($T410,'HR mthly'!$I$6:$BM$6,'HR mthly'!$I$36:$BM$36,0))</f>
        <v/>
      </c>
    </row>
    <row r="417" spans="2:22" ht="42.45" customHeight="1" x14ac:dyDescent="0.3">
      <c r="B417" s="973" t="s">
        <v>7</v>
      </c>
      <c r="C417" s="974"/>
      <c r="D417" s="6" t="str">
        <f>+D$9</f>
        <v>EHS</v>
      </c>
      <c r="E417" s="6" t="str">
        <f>+E$9</f>
        <v>Estimating</v>
      </c>
      <c r="F417" s="6" t="str">
        <f t="shared" ref="F417:R417" si="73">+F$9</f>
        <v>SOP</v>
      </c>
      <c r="G417" s="6" t="str">
        <f>+G$9</f>
        <v>Design and R&amp;D</v>
      </c>
      <c r="H417" s="6" t="str">
        <f t="shared" si="73"/>
        <v>Product Design</v>
      </c>
      <c r="I417" s="6" t="str">
        <f t="shared" si="73"/>
        <v>Product Engineering Bridgend</v>
      </c>
      <c r="J417" s="6" t="str">
        <f t="shared" si="73"/>
        <v>Product Engineering Maybole</v>
      </c>
      <c r="K417" s="6" t="str">
        <f t="shared" si="73"/>
        <v>Bridgend
Manuf</v>
      </c>
      <c r="L417" s="6" t="str">
        <f t="shared" si="73"/>
        <v>Maybole
Manuf</v>
      </c>
      <c r="M417" s="6" t="str">
        <f>+M$9</f>
        <v>Logistics</v>
      </c>
      <c r="N417" s="6" t="str">
        <f>+N$9</f>
        <v>Engineering</v>
      </c>
      <c r="O417" s="6" t="str">
        <f>+O$9</f>
        <v>Quality
Maybole</v>
      </c>
      <c r="P417" s="6" t="str">
        <f>+P$9</f>
        <v>Procurement</v>
      </c>
      <c r="Q417" s="6" t="str">
        <f>+Q$9</f>
        <v>IT</v>
      </c>
      <c r="R417" s="6" t="str">
        <f t="shared" si="73"/>
        <v>Marketing</v>
      </c>
      <c r="S417" s="6" t="str">
        <f>+S$9</f>
        <v>Finance</v>
      </c>
      <c r="T417" s="7" t="s">
        <v>409</v>
      </c>
      <c r="U417" s="6" t="str">
        <f>+U$9</f>
        <v>HR</v>
      </c>
      <c r="V417" s="6" t="str">
        <f>+V$9</f>
        <v>HR</v>
      </c>
    </row>
    <row r="418" spans="2:22" ht="42.45" customHeight="1" x14ac:dyDescent="0.3">
      <c r="B418" s="7">
        <f>B410+1</f>
        <v>52</v>
      </c>
      <c r="C418" s="8">
        <f>C410+7</f>
        <v>46017</v>
      </c>
      <c r="D418" s="10" t="s">
        <v>24</v>
      </c>
      <c r="E418" s="9" t="str">
        <f>+E$186</f>
        <v>Julian Sparrow</v>
      </c>
      <c r="F418" s="10" t="s">
        <v>19</v>
      </c>
      <c r="G418" s="10" t="s">
        <v>20</v>
      </c>
      <c r="H418" s="10" t="s">
        <v>24</v>
      </c>
      <c r="I418" s="10" t="s">
        <v>24</v>
      </c>
      <c r="J418" s="10" t="s">
        <v>21</v>
      </c>
      <c r="K418" s="10" t="s">
        <v>22</v>
      </c>
      <c r="L418" s="10" t="s">
        <v>23</v>
      </c>
      <c r="M418" s="10" t="str">
        <f>+M$10</f>
        <v>Scott McMillan</v>
      </c>
      <c r="N418" s="10" t="str">
        <f>+N$10</f>
        <v>Garin Bowen</v>
      </c>
      <c r="O418" s="10" t="str">
        <f>+O$10</f>
        <v>Scott McMIllan</v>
      </c>
      <c r="P418" s="10" t="str">
        <f>+P$10</f>
        <v>Matt 
Pope</v>
      </c>
      <c r="Q418" s="10" t="s">
        <v>29</v>
      </c>
      <c r="R418" s="10" t="s">
        <v>25</v>
      </c>
      <c r="S418" s="10" t="s">
        <v>26</v>
      </c>
      <c r="T418" s="7">
        <v>11</v>
      </c>
      <c r="U418" s="10" t="str">
        <f>+U$10</f>
        <v>Bethan Grant</v>
      </c>
      <c r="V418" s="10" t="str">
        <f>+V$10</f>
        <v>Bethan Grant</v>
      </c>
    </row>
    <row r="419" spans="2:22" ht="42.45" customHeight="1" x14ac:dyDescent="0.3">
      <c r="B419" s="971" t="s">
        <v>30</v>
      </c>
      <c r="C419" s="971"/>
      <c r="D419" s="127" t="str">
        <f>_xlfn.XLOOKUP($B418,EHS!$M$6:$BM$6,EHS!$M$10:$BM$10,0)</f>
        <v/>
      </c>
      <c r="E419" s="127" t="str">
        <f>_xlfn.XLOOKUP($B418,Estimating!$M$6:$BM$6,Estimating!$M$10:$BM$10,0)</f>
        <v/>
      </c>
      <c r="F419" s="127" t="str">
        <f>_xlfn.XLOOKUP($B418,SOP!$M$6:$BM$6,SOP!$M$10:$BM$10,0)</f>
        <v/>
      </c>
      <c r="G419" s="127" t="str">
        <f>_xlfn.XLOOKUP($B418,Design!$M$6:$BM$6,Design!$M$10:$BM$10,0)</f>
        <v/>
      </c>
      <c r="H419" s="127" t="str">
        <f>_xlfn.XLOOKUP($B418,'Product Design'!$M$6:$BM$6,'Product Design'!$M$10:$BM$10,0)</f>
        <v/>
      </c>
      <c r="I419" s="127" t="str">
        <f>_xlfn.XLOOKUP($B418,'Product Eng - BE'!$M$6:$BM$6,'Product Eng - BE'!$M$10:$BM$10,0)</f>
        <v/>
      </c>
      <c r="J419" s="127" t="str">
        <f>_xlfn.XLOOKUP($B418,'Product Eng - MB'!$M$6:$BM$6,'Product Eng - MB'!$M$10:$BM$10,0)</f>
        <v/>
      </c>
      <c r="K419" s="127" t="str">
        <f>_xlfn.XLOOKUP($B418,'Bridgend Manuf'!$M$6:$BM$6,'Bridgend Manuf'!$M$10:$BM$10,0)</f>
        <v/>
      </c>
      <c r="L419" s="127" t="str">
        <f>_xlfn.XLOOKUP($B418,'Maybole Manuf'!$M$6:$BM$6,'Maybole Manuf'!$M$10:$BM$10,0)</f>
        <v/>
      </c>
      <c r="M419" s="127" t="str">
        <f>_xlfn.XLOOKUP($B418,Logistics!$M$6:$BM$6,Logistics!$M$10:$BM$10,0)</f>
        <v/>
      </c>
      <c r="N419" s="127" t="str">
        <f>_xlfn.XLOOKUP($B418,Engineering!$M$22:$BM$22,Engineering!$M$26:$BM$26,0)</f>
        <v/>
      </c>
      <c r="O419" s="127" t="str">
        <f>_xlfn.XLOOKUP($B418,'Quality MB'!$M$6:$BM$6,'Quality MB'!$M$10:$BM$10,0)</f>
        <v/>
      </c>
      <c r="P419" s="127" t="str">
        <f>_xlfn.XLOOKUP($B418,Procurement!$M$6:$BM$6,Procurement!$M$10:$BM$10,0)</f>
        <v/>
      </c>
      <c r="Q419" s="127" t="str">
        <f>_xlfn.XLOOKUP($B418,IT!$M$6:$BM$6,IT!$M$10:$BM$10,0)</f>
        <v/>
      </c>
      <c r="R419" s="127" t="str">
        <f>_xlfn.XLOOKUP($B418,Marketing!$M$6:$BM$6,Marketing!$M$10:$BM$10,0)</f>
        <v/>
      </c>
      <c r="S419" s="127" t="str">
        <f>_xlfn.XLOOKUP($B418,Finance!$M$6:$BM$6,Finance!$M$10:$BM$10,0)</f>
        <v/>
      </c>
      <c r="U419" s="127" t="str">
        <f>IF(B418&gt;='KPI Linked Table for Report'!$C$1,"",_xlfn.XLOOKUP($T418,'HR mthly'!$I$6:$BM$6,'HR mthly'!$I$11:$BM$11,0))</f>
        <v/>
      </c>
      <c r="V419" s="127" t="str">
        <f>IF(B418&gt;='KPI Linked Table for Report'!$C$1,"",_xlfn.XLOOKUP($T418,'HR mthly'!$I$6:$BM$6,'HR mthly'!$I$14:$BM$14,0))</f>
        <v/>
      </c>
    </row>
    <row r="420" spans="2:22" ht="42.45" customHeight="1" x14ac:dyDescent="0.3">
      <c r="B420" s="971" t="s">
        <v>172</v>
      </c>
      <c r="C420" s="971"/>
      <c r="D420" s="127" t="str">
        <f>_xlfn.XLOOKUP($B418,EHS!$M$6:$BM$6,EHS!$M$13:$BM$13,0)</f>
        <v/>
      </c>
      <c r="E420" s="127" t="str">
        <f>_xlfn.XLOOKUP($B418,Estimating!$M$6:$BM$6,Estimating!$M$13:$BM$13,0)</f>
        <v/>
      </c>
      <c r="F420" s="127" t="str">
        <f>_xlfn.XLOOKUP($B418,SOP!$M$6:$BM$6,SOP!$M$13:$BM$13,0)</f>
        <v/>
      </c>
      <c r="G420" s="127" t="str">
        <f>_xlfn.XLOOKUP($B418,Design!$M$6:$BM$6,Design!$M$13:$BM$13,0)</f>
        <v/>
      </c>
      <c r="H420" s="127" t="str">
        <f>_xlfn.XLOOKUP($B418,'Product Design'!$M$6:$BM$6,'Product Design'!$M$13:$BM$13,0)</f>
        <v/>
      </c>
      <c r="I420" s="127" t="str">
        <f>_xlfn.XLOOKUP($B418,'Product Eng - BE'!$M$6:$BM$6,'Product Eng - BE'!$M$13:$BM$13,0)</f>
        <v/>
      </c>
      <c r="J420" s="127" t="str">
        <f>_xlfn.XLOOKUP($B418,'Product Eng - MB'!$M$6:$BM$6,'Product Eng - MB'!$M$13:$BM$13,0)</f>
        <v/>
      </c>
      <c r="K420" s="127" t="str">
        <f>_xlfn.XLOOKUP($B418,'Bridgend Manuf'!$M$6:$BM$6,'Bridgend Manuf'!$M$13:$BM$13,0)</f>
        <v/>
      </c>
      <c r="L420" s="127" t="str">
        <f>_xlfn.XLOOKUP($B418,'Maybole Manuf'!$M$6:$BM$6,'Maybole Manuf'!$M$13:$BM$13,0)</f>
        <v/>
      </c>
      <c r="M420" s="127" t="str">
        <f>_xlfn.XLOOKUP($B418,Logistics!$M$6:$BM$6,Logistics!$M$13:$BM$13,0)</f>
        <v/>
      </c>
      <c r="N420" s="127" t="e">
        <f>_xlfn.XLOOKUP($B418,Engineering!$M$22:$BM$22,Engineering!#REF!,0)</f>
        <v>#REF!</v>
      </c>
      <c r="O420" s="127" t="str">
        <f>_xlfn.XLOOKUP($B418,'Quality MB'!$M$6:$BM$6,'Quality MB'!$M$13:$BM$13,0)</f>
        <v/>
      </c>
      <c r="P420" s="127" t="str">
        <f>_xlfn.XLOOKUP($B418,Procurement!$M$6:$BM$6,Procurement!$M$13:$BM$13,0)</f>
        <v/>
      </c>
      <c r="Q420" s="127" t="str">
        <f>_xlfn.XLOOKUP($B418,IT!$M$6:$BM$6,IT!$M$13:$BM$13,0)</f>
        <v/>
      </c>
      <c r="R420" s="127" t="str">
        <f>_xlfn.XLOOKUP($B418,Marketing!$M$6:$BM$6,Marketing!$M$13:$BM$13,0)</f>
        <v/>
      </c>
      <c r="S420" s="127" t="str">
        <f>IF(B418&gt;'KPI Linked Table for Report'!$C$2,"",_xlfn.XLOOKUP($T418,Finance!$M$16:$X$16,Finance!$M$21:$X$21,0))</f>
        <v/>
      </c>
      <c r="U420" s="127" t="str">
        <f>IF(B418&gt;='KPI Linked Table for Report'!$C$1,"",_xlfn.XLOOKUP($T418,'HR mthly'!$I$6:$BM$6,'HR mthly'!$I$18:$BM$18,0))</f>
        <v/>
      </c>
      <c r="V420" s="127" t="str">
        <f>IF(B418&gt;='KPI Linked Table for Report'!$C$1,"",_xlfn.XLOOKUP($T418,'HR mthly'!$I$6:$BM$6,'HR mthly'!$I$21:$BM$21,0))</f>
        <v/>
      </c>
    </row>
    <row r="421" spans="2:22" ht="42.45" customHeight="1" x14ac:dyDescent="0.3">
      <c r="B421" s="971" t="s">
        <v>173</v>
      </c>
      <c r="C421" s="971"/>
      <c r="D421" s="11" t="s">
        <v>174</v>
      </c>
      <c r="E421" s="11" t="s">
        <v>174</v>
      </c>
      <c r="F421" s="11" t="str">
        <f>_xlfn.XLOOKUP($B418,SOP!$M$6:$BM$6,SOP!$M$16:$BM$16,0)</f>
        <v/>
      </c>
      <c r="G421" s="11" t="s">
        <v>174</v>
      </c>
      <c r="H421" s="11" t="str">
        <f>_xlfn.XLOOKUP($B418,'Product Design'!$M$6:$BM$6,'Product Design'!$M$16:$BM$16,0)</f>
        <v/>
      </c>
      <c r="I421" s="11" t="str">
        <f>_xlfn.XLOOKUP($B418,'Product Eng - BE'!$M$6:$BM$6,'Product Eng - BE'!$M$16:$BM$16,0)</f>
        <v/>
      </c>
      <c r="J421" s="11" t="str">
        <f>_xlfn.XLOOKUP($B418,'Product Eng - MB'!$M$6:$BM$6,'Product Eng - MB'!$M$16:$BM$16,0)</f>
        <v/>
      </c>
      <c r="K421" s="11" t="s">
        <v>174</v>
      </c>
      <c r="L421" s="11" t="s">
        <v>174</v>
      </c>
      <c r="M421" s="11" t="s">
        <v>174</v>
      </c>
      <c r="N421" s="11" t="s">
        <v>174</v>
      </c>
      <c r="O421" s="11" t="s">
        <v>174</v>
      </c>
      <c r="P421" s="11" t="s">
        <v>174</v>
      </c>
      <c r="Q421" s="11" t="s">
        <v>174</v>
      </c>
      <c r="R421" s="11" t="s">
        <v>174</v>
      </c>
      <c r="S421" s="11" t="s">
        <v>174</v>
      </c>
      <c r="U421" s="11" t="s">
        <v>174</v>
      </c>
      <c r="V421" s="11" t="s">
        <v>174</v>
      </c>
    </row>
    <row r="422" spans="2:22" ht="42.45" customHeight="1" x14ac:dyDescent="0.3">
      <c r="B422" s="971" t="s">
        <v>32</v>
      </c>
      <c r="C422" s="971"/>
      <c r="D422" s="127" t="str">
        <f>_xlfn.XLOOKUP($B418,EHS!$M$6:$BM$6,EHS!$M$16:$BM$16,0)</f>
        <v/>
      </c>
      <c r="E422" s="127" t="str">
        <f>_xlfn.XLOOKUP($B418,Estimating!$M$6:$BM$6,Estimating!$M$16:$BM$16,0)</f>
        <v/>
      </c>
      <c r="F422" s="127" t="str">
        <f>_xlfn.XLOOKUP($B418,SOP!$M$6:$BM$6,SOP!$M$19:$BM$19,0)</f>
        <v/>
      </c>
      <c r="G422" s="127" t="str">
        <f>_xlfn.XLOOKUP($B418,Design!$M$6:$BM$6,Design!$M$16:$BM$16,0)</f>
        <v/>
      </c>
      <c r="H422" s="127" t="str">
        <f>_xlfn.XLOOKUP($B418,'Product Design'!$M$6:$BM$6,'Product Design'!$M$19:$BM$19,0)</f>
        <v/>
      </c>
      <c r="I422" s="127" t="str">
        <f>_xlfn.XLOOKUP($B418,'Product Eng - BE'!$M$6:$BM$6,'Product Eng - BE'!$M$19:$BM$19,0)</f>
        <v/>
      </c>
      <c r="J422" s="127" t="str">
        <f>_xlfn.XLOOKUP($B418,'Product Eng - MB'!$M$6:$BM$6,'Product Eng - MB'!$M$19:$BM$19,0)</f>
        <v/>
      </c>
      <c r="K422" s="127" t="str">
        <f>_xlfn.XLOOKUP($B418,'Bridgend Manuf'!$M$6:$BM$6,'Bridgend Manuf'!$M$16:$BM$16,0)</f>
        <v/>
      </c>
      <c r="L422" s="127" t="str">
        <f>_xlfn.XLOOKUP($B418,'Maybole Manuf'!$M$6:$BM$6,'Maybole Manuf'!$M$16:$BM$16,0)</f>
        <v/>
      </c>
      <c r="M422" s="127" t="str">
        <f>_xlfn.XLOOKUP($B418,Logistics!$M$6:$BM$6,Logistics!$M$16:$BM$16,0)</f>
        <v/>
      </c>
      <c r="N422" s="127" t="e">
        <f>_xlfn.XLOOKUP($B418,Engineering!$M$22:$BM$22,Engineering!#REF!,0)</f>
        <v>#REF!</v>
      </c>
      <c r="O422" s="127" t="str">
        <f>_xlfn.XLOOKUP($B418,'Quality MB'!$M$6:$BM$6,'Quality MB'!$M$16:$BM$16,0)</f>
        <v/>
      </c>
      <c r="P422" s="127" t="str">
        <f>_xlfn.XLOOKUP($B418,Procurement!$M$6:$BM$6,Procurement!$M$16:$BM$16,0)</f>
        <v/>
      </c>
      <c r="Q422" s="127" t="str">
        <f>_xlfn.XLOOKUP($B418,IT!$M$6:$BM$6,IT!$M$16:$BM$16,0)</f>
        <v/>
      </c>
      <c r="R422" s="127" t="str">
        <f>_xlfn.XLOOKUP($B418,Marketing!$M$6:$BM$6,Marketing!$M$16:$BM$16,0)</f>
        <v/>
      </c>
      <c r="S422" s="127" t="str">
        <f>IF(B418&gt;'KPI Linked Table for Report'!$C$2,"",_xlfn.XLOOKUP($T418,Finance!$M$16:$X$16,Finance!$M$24:$X$24,0))</f>
        <v/>
      </c>
      <c r="U422" s="127" t="str">
        <f>IF(B418&gt;='KPI Linked Table for Report'!$C$1,"",_xlfn.XLOOKUP($T418,'HR mthly'!$I$6:$BM$6,'HR mthly'!$I$26:$BM$26,0))</f>
        <v/>
      </c>
      <c r="V422" s="127" t="str">
        <f>IF(B418&gt;='KPI Linked Table for Report'!$C$1,"",_xlfn.XLOOKUP($T418,'HR mthly'!$I$6:$BM$6,'HR mthly'!$I$29:$BM$29,0))</f>
        <v/>
      </c>
    </row>
    <row r="423" spans="2:22" ht="42.45" customHeight="1" x14ac:dyDescent="0.3">
      <c r="B423" s="971" t="s">
        <v>31</v>
      </c>
      <c r="C423" s="971"/>
      <c r="D423" s="127" t="str">
        <f>_xlfn.XLOOKUP($B418,EHS!$M$6:$BM$6,EHS!$M$19:$BM$19,0)</f>
        <v/>
      </c>
      <c r="E423" s="127" t="str">
        <f>_xlfn.XLOOKUP($B418,Estimating!$M$6:$BM$6,Estimating!$M$19:$BM$19,0)</f>
        <v/>
      </c>
      <c r="F423" s="127" t="str">
        <f>_xlfn.XLOOKUP($B418,SOP!$M$6:$BM$6,SOP!$M$22:$BM$22,0)</f>
        <v/>
      </c>
      <c r="G423" s="127" t="str">
        <f>_xlfn.XLOOKUP($B418,Design!$M$6:$BM$6,Design!$M$19:$BM$19,0)</f>
        <v/>
      </c>
      <c r="H423" s="127" t="str">
        <f>_xlfn.XLOOKUP($B418,'Product Design'!$M$6:$BM$6,'Product Design'!$M$22:$BM$22,0)</f>
        <v/>
      </c>
      <c r="I423" s="127" t="str">
        <f>_xlfn.XLOOKUP($B418,'Product Eng - BE'!$M$6:$BM$6,'Product Eng - BE'!$M$22:$BM$22,0)</f>
        <v/>
      </c>
      <c r="J423" s="127" t="str">
        <f>_xlfn.XLOOKUP($B418,'Product Eng - MB'!$M$6:$BM$6,'Product Eng - MB'!$M$22:$BM$22,0)</f>
        <v/>
      </c>
      <c r="K423" s="127" t="str">
        <f>_xlfn.XLOOKUP($B418,'Bridgend Manuf'!$M$6:$BM$6,'Bridgend Manuf'!$M$19:$BM$19,0)</f>
        <v/>
      </c>
      <c r="L423" s="127" t="str">
        <f>_xlfn.XLOOKUP($B418,'Maybole Manuf'!$M$6:$BM$6,'Maybole Manuf'!$M$19:$BM$19,0)</f>
        <v/>
      </c>
      <c r="M423" s="127" t="str">
        <f>_xlfn.XLOOKUP($B418,Logistics!$M$6:$BM$6,Logistics!$M$19:$BM$19,0)</f>
        <v/>
      </c>
      <c r="N423" s="127" t="e">
        <f>_xlfn.XLOOKUP($B418,Engineering!$M$22:$BM$22,Engineering!#REF!,0)</f>
        <v>#REF!</v>
      </c>
      <c r="O423" s="127" t="str">
        <f>_xlfn.XLOOKUP($B418,'Quality MB'!$M$6:$BM$6,'Quality MB'!$M$19:$BM$19,0)</f>
        <v/>
      </c>
      <c r="P423" s="127" t="str">
        <f>_xlfn.XLOOKUP($B418,Procurement!$M$6:$BM$6,Procurement!$M$19:$BM$19,0)</f>
        <v/>
      </c>
      <c r="Q423" s="127" t="str">
        <f>_xlfn.XLOOKUP($B418,IT!$M$6:$BM$6,IT!$M$19:$BM$19,0)</f>
        <v/>
      </c>
      <c r="R423" s="127" t="str">
        <f>_xlfn.XLOOKUP($B418,Marketing!$M$6:$BM$6,Marketing!$M$19:$BM$19,0)</f>
        <v/>
      </c>
      <c r="S423" s="127" t="str">
        <f>IF(B418&gt;'KPI Linked Table for Report'!$C$2,"",_xlfn.XLOOKUP($T418,Finance!$M$16:$X$16,Finance!$M$27:$X$27,0))</f>
        <v/>
      </c>
      <c r="U423" s="127" t="str">
        <f>IF(B418&gt;='KPI Linked Table for Report'!$C$1,"",_xlfn.XLOOKUP($T418,'HR mthly'!$I$6:$BM$6,'HR mthly'!$I$33:$BM$33,0))</f>
        <v/>
      </c>
      <c r="V423" s="127" t="str">
        <f>IF(B418&gt;='KPI Linked Table for Report'!$C$1,"",_xlfn.XLOOKUP($T418,'HR mthly'!$I$6:$BM$6,'HR mthly'!$I$36:$BM$36,0))</f>
        <v/>
      </c>
    </row>
    <row r="425" spans="2:22" ht="42.45" customHeight="1" x14ac:dyDescent="0.3">
      <c r="B425" s="973" t="s">
        <v>7</v>
      </c>
      <c r="C425" s="974"/>
      <c r="D425" s="6" t="str">
        <f>+D$9</f>
        <v>EHS</v>
      </c>
      <c r="E425" s="6" t="str">
        <f>+E$9</f>
        <v>Estimating</v>
      </c>
      <c r="F425" s="6" t="str">
        <f t="shared" ref="F425:R425" si="74">+F$9</f>
        <v>SOP</v>
      </c>
      <c r="G425" s="6" t="str">
        <f>+G$9</f>
        <v>Design and R&amp;D</v>
      </c>
      <c r="H425" s="6" t="str">
        <f t="shared" si="74"/>
        <v>Product Design</v>
      </c>
      <c r="I425" s="6" t="str">
        <f t="shared" si="74"/>
        <v>Product Engineering Bridgend</v>
      </c>
      <c r="J425" s="6" t="str">
        <f t="shared" si="74"/>
        <v>Product Engineering Maybole</v>
      </c>
      <c r="K425" s="6" t="str">
        <f t="shared" si="74"/>
        <v>Bridgend
Manuf</v>
      </c>
      <c r="L425" s="6" t="str">
        <f t="shared" si="74"/>
        <v>Maybole
Manuf</v>
      </c>
      <c r="M425" s="6" t="str">
        <f>+M$9</f>
        <v>Logistics</v>
      </c>
      <c r="N425" s="6" t="str">
        <f>+N$9</f>
        <v>Engineering</v>
      </c>
      <c r="O425" s="6" t="str">
        <f>+O$9</f>
        <v>Quality
Maybole</v>
      </c>
      <c r="P425" s="6" t="str">
        <f>+P$9</f>
        <v>Procurement</v>
      </c>
      <c r="Q425" s="6" t="str">
        <f>+Q$9</f>
        <v>IT</v>
      </c>
      <c r="R425" s="6" t="str">
        <f t="shared" si="74"/>
        <v>Marketing</v>
      </c>
      <c r="S425" s="6" t="str">
        <f>+S$9</f>
        <v>Finance</v>
      </c>
      <c r="T425" s="7" t="s">
        <v>409</v>
      </c>
      <c r="U425" s="6" t="str">
        <f>+U$9</f>
        <v>HR</v>
      </c>
      <c r="V425" s="6" t="str">
        <f>+V$9</f>
        <v>HR</v>
      </c>
    </row>
    <row r="426" spans="2:22" ht="42.45" customHeight="1" x14ac:dyDescent="0.3">
      <c r="B426" s="7">
        <f>B418+1</f>
        <v>53</v>
      </c>
      <c r="C426" s="8">
        <f>C418+7</f>
        <v>46024</v>
      </c>
      <c r="D426" s="10" t="s">
        <v>24</v>
      </c>
      <c r="E426" s="9" t="str">
        <f>+E$186</f>
        <v>Julian Sparrow</v>
      </c>
      <c r="F426" s="10" t="s">
        <v>19</v>
      </c>
      <c r="G426" s="10" t="s">
        <v>20</v>
      </c>
      <c r="H426" s="10" t="s">
        <v>24</v>
      </c>
      <c r="I426" s="10" t="s">
        <v>24</v>
      </c>
      <c r="J426" s="10" t="s">
        <v>21</v>
      </c>
      <c r="K426" s="10" t="s">
        <v>22</v>
      </c>
      <c r="L426" s="10" t="s">
        <v>23</v>
      </c>
      <c r="M426" s="10" t="str">
        <f>+M$10</f>
        <v>Scott McMillan</v>
      </c>
      <c r="N426" s="10" t="str">
        <f>+N$10</f>
        <v>Garin Bowen</v>
      </c>
      <c r="O426" s="10" t="str">
        <f>+O$10</f>
        <v>Scott McMIllan</v>
      </c>
      <c r="P426" s="10" t="str">
        <f>+P$10</f>
        <v>Matt 
Pope</v>
      </c>
      <c r="Q426" s="10" t="s">
        <v>29</v>
      </c>
      <c r="R426" s="10" t="s">
        <v>25</v>
      </c>
      <c r="S426" s="10" t="s">
        <v>26</v>
      </c>
      <c r="T426" s="7">
        <v>12</v>
      </c>
      <c r="U426" s="10" t="str">
        <f>+U$10</f>
        <v>Bethan Grant</v>
      </c>
      <c r="V426" s="10" t="str">
        <f>+V$10</f>
        <v>Bethan Grant</v>
      </c>
    </row>
    <row r="427" spans="2:22" ht="42.45" customHeight="1" x14ac:dyDescent="0.3">
      <c r="B427" s="971" t="s">
        <v>30</v>
      </c>
      <c r="C427" s="971"/>
      <c r="D427" s="127" t="str">
        <f>_xlfn.XLOOKUP($B426,EHS!$M$6:$BM$6,EHS!$M$10:$BM$10,0)</f>
        <v/>
      </c>
      <c r="E427" s="127" t="str">
        <f>_xlfn.XLOOKUP($B426,Estimating!$M$6:$BM$6,Estimating!$M$10:$BM$10,0)</f>
        <v/>
      </c>
      <c r="F427" s="127" t="str">
        <f>_xlfn.XLOOKUP($B426,SOP!$M$6:$BM$6,SOP!$M$10:$BM$10,0)</f>
        <v/>
      </c>
      <c r="G427" s="127" t="str">
        <f>_xlfn.XLOOKUP($B426,Design!$M$6:$BM$6,Design!$M$10:$BM$10,0)</f>
        <v/>
      </c>
      <c r="H427" s="127" t="str">
        <f>_xlfn.XLOOKUP($B426,'Product Design'!$M$6:$BM$6,'Product Design'!$M$10:$BM$10,0)</f>
        <v/>
      </c>
      <c r="I427" s="127" t="str">
        <f>_xlfn.XLOOKUP($B426,'Product Eng - BE'!$M$6:$BM$6,'Product Eng - BE'!$M$10:$BM$10,0)</f>
        <v/>
      </c>
      <c r="J427" s="127" t="str">
        <f>_xlfn.XLOOKUP($B426,'Product Eng - MB'!$M$6:$BM$6,'Product Eng - MB'!$M$10:$BM$10,0)</f>
        <v/>
      </c>
      <c r="K427" s="127" t="str">
        <f>_xlfn.XLOOKUP($B426,'Bridgend Manuf'!$M$6:$BM$6,'Bridgend Manuf'!$M$10:$BM$10,0)</f>
        <v/>
      </c>
      <c r="L427" s="127" t="str">
        <f>_xlfn.XLOOKUP($B426,'Maybole Manuf'!$M$6:$BM$6,'Maybole Manuf'!$M$10:$BM$10,0)</f>
        <v/>
      </c>
      <c r="M427" s="127" t="str">
        <f>_xlfn.XLOOKUP($B426,Logistics!$M$6:$BM$6,Logistics!$M$10:$BM$10,0)</f>
        <v/>
      </c>
      <c r="N427" s="127" t="str">
        <f>_xlfn.XLOOKUP($B426,Engineering!$M$22:$BM$22,Engineering!$M$26:$BM$26,0)</f>
        <v/>
      </c>
      <c r="O427" s="127" t="str">
        <f>_xlfn.XLOOKUP($B426,'Quality MB'!$M$6:$BM$6,'Quality MB'!$M$10:$BM$10,0)</f>
        <v/>
      </c>
      <c r="P427" s="127" t="str">
        <f>_xlfn.XLOOKUP($B426,Procurement!$M$6:$BM$6,Procurement!$M$10:$BM$10,0)</f>
        <v/>
      </c>
      <c r="Q427" s="127" t="str">
        <f>_xlfn.XLOOKUP($B426,IT!$M$6:$BM$6,IT!$M$10:$BM$10,0)</f>
        <v/>
      </c>
      <c r="R427" s="127" t="str">
        <f>_xlfn.XLOOKUP($B426,Marketing!$M$6:$BM$6,Marketing!$M$10:$BM$10,0)</f>
        <v/>
      </c>
      <c r="S427" s="127" t="str">
        <f>_xlfn.XLOOKUP($B426,Finance!$M$6:$BM$6,Finance!$M$10:$BM$10,0)</f>
        <v/>
      </c>
      <c r="U427" s="127" t="str">
        <f>_xlfn.XLOOKUP($T426,'HR mthly'!$I$6:$BM$6,'HR mthly'!$I$11:$BM$11,0)</f>
        <v/>
      </c>
      <c r="V427" s="127" t="str">
        <f>_xlfn.XLOOKUP($T426,'HR mthly'!$I$6:$BM$6,'HR mthly'!$I$14:$BM$14,0)</f>
        <v/>
      </c>
    </row>
    <row r="428" spans="2:22" ht="42.45" customHeight="1" x14ac:dyDescent="0.3">
      <c r="B428" s="971" t="s">
        <v>172</v>
      </c>
      <c r="C428" s="971"/>
      <c r="D428" s="127" t="str">
        <f>_xlfn.XLOOKUP($B426,EHS!$M$6:$BM$6,EHS!$M$13:$BM$13,0)</f>
        <v/>
      </c>
      <c r="E428" s="127" t="str">
        <f>_xlfn.XLOOKUP($B426,Estimating!$M$6:$BM$6,Estimating!$M$13:$BM$13,0)</f>
        <v/>
      </c>
      <c r="F428" s="127" t="str">
        <f>_xlfn.XLOOKUP($B426,SOP!$M$6:$BM$6,SOP!$M$13:$BM$13,0)</f>
        <v/>
      </c>
      <c r="G428" s="127" t="str">
        <f>_xlfn.XLOOKUP($B426,Design!$M$6:$BM$6,Design!$M$13:$BM$13,0)</f>
        <v/>
      </c>
      <c r="H428" s="127" t="str">
        <f>_xlfn.XLOOKUP($B426,'Product Design'!$M$6:$BM$6,'Product Design'!$M$13:$BM$13,0)</f>
        <v/>
      </c>
      <c r="I428" s="127" t="str">
        <f>_xlfn.XLOOKUP($B426,'Product Eng - BE'!$M$6:$BM$6,'Product Eng - BE'!$M$13:$BM$13,0)</f>
        <v/>
      </c>
      <c r="J428" s="127" t="str">
        <f>_xlfn.XLOOKUP($B426,'Product Eng - MB'!$M$6:$BM$6,'Product Eng - MB'!$M$13:$BM$13,0)</f>
        <v/>
      </c>
      <c r="K428" s="127" t="str">
        <f>_xlfn.XLOOKUP($B426,'Bridgend Manuf'!$M$6:$BM$6,'Bridgend Manuf'!$M$13:$BM$13,0)</f>
        <v/>
      </c>
      <c r="L428" s="127" t="str">
        <f>_xlfn.XLOOKUP($B426,'Maybole Manuf'!$M$6:$BM$6,'Maybole Manuf'!$M$13:$BM$13,0)</f>
        <v/>
      </c>
      <c r="M428" s="127" t="str">
        <f>_xlfn.XLOOKUP($B426,Logistics!$M$6:$BM$6,Logistics!$M$13:$BM$13,0)</f>
        <v/>
      </c>
      <c r="N428" s="127" t="e">
        <f>_xlfn.XLOOKUP($B426,Engineering!$M$22:$BM$22,Engineering!#REF!,0)</f>
        <v>#REF!</v>
      </c>
      <c r="O428" s="127" t="str">
        <f>_xlfn.XLOOKUP($B426,'Quality MB'!$M$6:$BM$6,'Quality MB'!$M$13:$BM$13,0)</f>
        <v/>
      </c>
      <c r="P428" s="127" t="str">
        <f>_xlfn.XLOOKUP($B426,Procurement!$M$6:$BM$6,Procurement!$M$13:$BM$13,0)</f>
        <v/>
      </c>
      <c r="Q428" s="127" t="str">
        <f>_xlfn.XLOOKUP($B426,IT!$M$6:$BM$6,IT!$M$13:$BM$13,0)</f>
        <v/>
      </c>
      <c r="R428" s="127" t="str">
        <f>_xlfn.XLOOKUP($B426,Marketing!$M$6:$BM$6,Marketing!$M$13:$BM$13,0)</f>
        <v/>
      </c>
      <c r="S428" s="127" t="str">
        <f>IF(B426&gt;'KPI Linked Table for Report'!$C$2,"",_xlfn.XLOOKUP($T426,Finance!$M$16:$X$16,Finance!$M$21:$X$21,0))</f>
        <v/>
      </c>
      <c r="U428" s="127" t="str">
        <f>_xlfn.XLOOKUP($T426,'HR mthly'!$I$6:$BM$6,'HR mthly'!$I$18:$BM$18,0)</f>
        <v/>
      </c>
      <c r="V428" s="127" t="str">
        <f>_xlfn.XLOOKUP($T426,'HR mthly'!$I$6:$BM$6,'HR mthly'!$I$21:$BM$21,0)</f>
        <v/>
      </c>
    </row>
    <row r="429" spans="2:22" ht="42.45" customHeight="1" x14ac:dyDescent="0.3">
      <c r="B429" s="971" t="s">
        <v>173</v>
      </c>
      <c r="C429" s="971"/>
      <c r="D429" s="11" t="s">
        <v>174</v>
      </c>
      <c r="E429" s="11" t="s">
        <v>174</v>
      </c>
      <c r="F429" s="11" t="str">
        <f>_xlfn.XLOOKUP($B426,SOP!$M$6:$BM$6,SOP!$M$16:$BM$16,0)</f>
        <v/>
      </c>
      <c r="G429" s="11" t="s">
        <v>174</v>
      </c>
      <c r="H429" s="11" t="str">
        <f>_xlfn.XLOOKUP($B426,'Product Design'!$M$6:$BM$6,'Product Design'!$M$16:$BM$16,0)</f>
        <v/>
      </c>
      <c r="I429" s="11" t="str">
        <f>_xlfn.XLOOKUP($B426,'Product Eng - BE'!$M$6:$BM$6,'Product Eng - BE'!$M$16:$BM$16,0)</f>
        <v/>
      </c>
      <c r="J429" s="11" t="str">
        <f>_xlfn.XLOOKUP($B426,'Product Eng - MB'!$M$6:$BM$6,'Product Eng - MB'!$M$16:$BM$16,0)</f>
        <v/>
      </c>
      <c r="K429" s="11" t="s">
        <v>174</v>
      </c>
      <c r="L429" s="11" t="s">
        <v>174</v>
      </c>
      <c r="M429" s="11" t="s">
        <v>174</v>
      </c>
      <c r="N429" s="11" t="s">
        <v>174</v>
      </c>
      <c r="O429" s="11" t="s">
        <v>174</v>
      </c>
      <c r="P429" s="11" t="s">
        <v>174</v>
      </c>
      <c r="Q429" s="11" t="s">
        <v>174</v>
      </c>
      <c r="R429" s="11" t="s">
        <v>174</v>
      </c>
      <c r="S429" s="11" t="s">
        <v>174</v>
      </c>
      <c r="U429" s="11" t="s">
        <v>174</v>
      </c>
      <c r="V429" s="11" t="s">
        <v>174</v>
      </c>
    </row>
    <row r="430" spans="2:22" ht="42.45" customHeight="1" x14ac:dyDescent="0.3">
      <c r="B430" s="971" t="s">
        <v>32</v>
      </c>
      <c r="C430" s="971"/>
      <c r="D430" s="127" t="str">
        <f>_xlfn.XLOOKUP($B426,EHS!$M$6:$BM$6,EHS!$M$16:$BM$16,0)</f>
        <v/>
      </c>
      <c r="E430" s="127" t="str">
        <f>_xlfn.XLOOKUP($B426,Estimating!$M$6:$BM$6,Estimating!$M$16:$BM$16,0)</f>
        <v/>
      </c>
      <c r="F430" s="127" t="str">
        <f>_xlfn.XLOOKUP($B426,SOP!$M$6:$BM$6,SOP!$M$19:$BM$19,0)</f>
        <v/>
      </c>
      <c r="G430" s="127" t="str">
        <f>_xlfn.XLOOKUP($B426,Design!$M$6:$BM$6,Design!$M$16:$BM$16,0)</f>
        <v/>
      </c>
      <c r="H430" s="127" t="str">
        <f>_xlfn.XLOOKUP($B426,'Product Design'!$M$6:$BM$6,'Product Design'!$M$19:$BM$19,0)</f>
        <v/>
      </c>
      <c r="I430" s="127" t="str">
        <f>_xlfn.XLOOKUP($B426,'Product Eng - BE'!$M$6:$BM$6,'Product Eng - BE'!$M$19:$BM$19,0)</f>
        <v/>
      </c>
      <c r="J430" s="127" t="str">
        <f>_xlfn.XLOOKUP($B426,'Product Eng - MB'!$M$6:$BM$6,'Product Eng - MB'!$M$19:$BM$19,0)</f>
        <v/>
      </c>
      <c r="K430" s="127" t="str">
        <f>_xlfn.XLOOKUP($B426,'Bridgend Manuf'!$M$6:$BM$6,'Bridgend Manuf'!$M$16:$BM$16,0)</f>
        <v/>
      </c>
      <c r="L430" s="127" t="str">
        <f>_xlfn.XLOOKUP($B426,'Maybole Manuf'!$M$6:$BM$6,'Maybole Manuf'!$M$16:$BM$16,0)</f>
        <v/>
      </c>
      <c r="M430" s="127" t="str">
        <f>_xlfn.XLOOKUP($B426,Logistics!$M$6:$BM$6,Logistics!$M$16:$BM$16,0)</f>
        <v/>
      </c>
      <c r="N430" s="127" t="e">
        <f>_xlfn.XLOOKUP($B426,Engineering!$M$22:$BM$22,Engineering!#REF!,0)</f>
        <v>#REF!</v>
      </c>
      <c r="O430" s="127" t="str">
        <f>_xlfn.XLOOKUP($B426,'Quality MB'!$M$6:$BM$6,'Quality MB'!$M$16:$BM$16,0)</f>
        <v/>
      </c>
      <c r="P430" s="127" t="str">
        <f>_xlfn.XLOOKUP($B426,Procurement!$M$6:$BM$6,Procurement!$M$16:$BM$16,0)</f>
        <v/>
      </c>
      <c r="Q430" s="127" t="str">
        <f>_xlfn.XLOOKUP($B426,IT!$M$6:$BM$6,IT!$M$16:$BM$16,0)</f>
        <v/>
      </c>
      <c r="R430" s="127" t="str">
        <f>_xlfn.XLOOKUP($B426,Marketing!$M$6:$BM$6,Marketing!$M$16:$BM$16,0)</f>
        <v/>
      </c>
      <c r="S430" s="127" t="str">
        <f>IF(B426&gt;'KPI Linked Table for Report'!$C$2,"",_xlfn.XLOOKUP($T426,Finance!$M$16:$X$16,Finance!$M$24:$X$24,0))</f>
        <v/>
      </c>
      <c r="U430" s="127" t="str">
        <f>_xlfn.XLOOKUP($T426,'HR mthly'!$I$6:$BM$6,'HR mthly'!$I$26:$BM$26,0)</f>
        <v/>
      </c>
      <c r="V430" s="127" t="str">
        <f>_xlfn.XLOOKUP($T426,'HR mthly'!$I$6:$BM$6,'HR mthly'!$I$29:$BM$29,0)</f>
        <v/>
      </c>
    </row>
    <row r="431" spans="2:22" ht="42.45" customHeight="1" x14ac:dyDescent="0.3">
      <c r="B431" s="971" t="s">
        <v>31</v>
      </c>
      <c r="C431" s="971"/>
      <c r="D431" s="127" t="str">
        <f>_xlfn.XLOOKUP($B426,EHS!$M$6:$BM$6,EHS!$M$19:$BM$19,0)</f>
        <v/>
      </c>
      <c r="E431" s="127" t="str">
        <f>_xlfn.XLOOKUP($B426,Estimating!$M$6:$BM$6,Estimating!$M$19:$BM$19,0)</f>
        <v/>
      </c>
      <c r="F431" s="127" t="str">
        <f>_xlfn.XLOOKUP($B426,SOP!$M$6:$BM$6,SOP!$M$22:$BM$22,0)</f>
        <v/>
      </c>
      <c r="G431" s="127" t="str">
        <f>_xlfn.XLOOKUP($B426,Design!$M$6:$BM$6,Design!$M$19:$BM$19,0)</f>
        <v/>
      </c>
      <c r="H431" s="127" t="str">
        <f>_xlfn.XLOOKUP($B426,'Product Design'!$M$6:$BM$6,'Product Design'!$M$22:$BM$22,0)</f>
        <v/>
      </c>
      <c r="I431" s="127" t="str">
        <f>_xlfn.XLOOKUP($B426,'Product Eng - BE'!$M$6:$BM$6,'Product Eng - BE'!$M$22:$BM$22,0)</f>
        <v/>
      </c>
      <c r="J431" s="127" t="str">
        <f>_xlfn.XLOOKUP($B426,'Product Eng - MB'!$M$6:$BM$6,'Product Eng - MB'!$M$22:$BM$22,0)</f>
        <v/>
      </c>
      <c r="K431" s="127" t="str">
        <f>_xlfn.XLOOKUP($B426,'Bridgend Manuf'!$M$6:$BM$6,'Bridgend Manuf'!$M$19:$BM$19,0)</f>
        <v/>
      </c>
      <c r="L431" s="127" t="str">
        <f>_xlfn.XLOOKUP($B426,'Maybole Manuf'!$M$6:$BM$6,'Maybole Manuf'!$M$19:$BM$19,0)</f>
        <v/>
      </c>
      <c r="M431" s="127" t="str">
        <f>_xlfn.XLOOKUP($B426,Logistics!$M$6:$BM$6,Logistics!$M$19:$BM$19,0)</f>
        <v/>
      </c>
      <c r="N431" s="127" t="e">
        <f>_xlfn.XLOOKUP($B426,Engineering!$M$22:$BM$22,Engineering!#REF!,0)</f>
        <v>#REF!</v>
      </c>
      <c r="O431" s="127" t="str">
        <f>_xlfn.XLOOKUP($B426,'Quality MB'!$M$6:$BM$6,'Quality MB'!$M$19:$BM$19,0)</f>
        <v/>
      </c>
      <c r="P431" s="127" t="str">
        <f>_xlfn.XLOOKUP($B426,Procurement!$M$6:$BM$6,Procurement!$M$19:$BM$19,0)</f>
        <v/>
      </c>
      <c r="Q431" s="127" t="str">
        <f>_xlfn.XLOOKUP($B426,IT!$M$6:$BM$6,IT!$M$19:$BM$19,0)</f>
        <v/>
      </c>
      <c r="R431" s="127" t="str">
        <f>_xlfn.XLOOKUP($B426,Marketing!$M$6:$BM$6,Marketing!$M$19:$BM$19,0)</f>
        <v/>
      </c>
      <c r="S431" s="127" t="str">
        <f>IF(B426&gt;'KPI Linked Table for Report'!$C$2,"",_xlfn.XLOOKUP($T426,Finance!$M$16:$X$16,Finance!$M$27:$X$27,0))</f>
        <v/>
      </c>
      <c r="U431" s="127" t="str">
        <f>_xlfn.XLOOKUP($T426,'HR mthly'!$I$6:$BM$6,'HR mthly'!$I$33:$BM$33,0)</f>
        <v/>
      </c>
      <c r="V431" s="127" t="str">
        <f>_xlfn.XLOOKUP($T426,'HR mthly'!$I$6:$BM$6,'HR mthly'!$I$36:$BM$36,0)</f>
        <v/>
      </c>
    </row>
  </sheetData>
  <autoFilter ref="B11:R431" xr:uid="{7832F380-7ED4-48FD-8FF6-8E0005E93AEC}">
    <filterColumn colId="0" showButton="0"/>
  </autoFilter>
  <mergeCells count="319">
    <mergeCell ref="B7:C7"/>
    <mergeCell ref="B17:C17"/>
    <mergeCell ref="B19:C19"/>
    <mergeCell ref="B20:C20"/>
    <mergeCell ref="B22:C22"/>
    <mergeCell ref="B23:C23"/>
    <mergeCell ref="B11:C11"/>
    <mergeCell ref="B14:C14"/>
    <mergeCell ref="B15:C15"/>
    <mergeCell ref="B12:C12"/>
    <mergeCell ref="B9:C10"/>
    <mergeCell ref="B36:C36"/>
    <mergeCell ref="B38:C38"/>
    <mergeCell ref="B39:C39"/>
    <mergeCell ref="B60:C60"/>
    <mergeCell ref="B62:C62"/>
    <mergeCell ref="B35:C35"/>
    <mergeCell ref="B25:C25"/>
    <mergeCell ref="B27:C27"/>
    <mergeCell ref="B28:C28"/>
    <mergeCell ref="B30:C30"/>
    <mergeCell ref="B31:C31"/>
    <mergeCell ref="B33:C33"/>
    <mergeCell ref="B41:C41"/>
    <mergeCell ref="B43:C43"/>
    <mergeCell ref="B51:C51"/>
    <mergeCell ref="B52:C52"/>
    <mergeCell ref="B54:C54"/>
    <mergeCell ref="B55:C55"/>
    <mergeCell ref="B57:C57"/>
    <mergeCell ref="B59:C59"/>
    <mergeCell ref="B44:C44"/>
    <mergeCell ref="B46:C46"/>
    <mergeCell ref="B47:C47"/>
    <mergeCell ref="B49:C49"/>
    <mergeCell ref="B70:C70"/>
    <mergeCell ref="B71:C71"/>
    <mergeCell ref="B73:C73"/>
    <mergeCell ref="B75:C75"/>
    <mergeCell ref="B76:C76"/>
    <mergeCell ref="B78:C78"/>
    <mergeCell ref="B85:C85"/>
    <mergeCell ref="B77:C77"/>
    <mergeCell ref="B63:C63"/>
    <mergeCell ref="B65:C65"/>
    <mergeCell ref="B67:C67"/>
    <mergeCell ref="B68:C68"/>
    <mergeCell ref="B69:C69"/>
    <mergeCell ref="B89:C89"/>
    <mergeCell ref="B91:C91"/>
    <mergeCell ref="B92:C92"/>
    <mergeCell ref="B94:C94"/>
    <mergeCell ref="B95:C95"/>
    <mergeCell ref="B97:C97"/>
    <mergeCell ref="B93:C93"/>
    <mergeCell ref="B79:C79"/>
    <mergeCell ref="B81:C81"/>
    <mergeCell ref="B83:C83"/>
    <mergeCell ref="B84:C84"/>
    <mergeCell ref="B86:C86"/>
    <mergeCell ref="B87:C87"/>
    <mergeCell ref="B108:C108"/>
    <mergeCell ref="B110:C110"/>
    <mergeCell ref="B111:C111"/>
    <mergeCell ref="B113:C113"/>
    <mergeCell ref="B115:C115"/>
    <mergeCell ref="B116:C116"/>
    <mergeCell ref="B99:C99"/>
    <mergeCell ref="B100:C100"/>
    <mergeCell ref="B102:C102"/>
    <mergeCell ref="B103:C103"/>
    <mergeCell ref="B105:C105"/>
    <mergeCell ref="B107:C107"/>
    <mergeCell ref="B127:C127"/>
    <mergeCell ref="B129:C129"/>
    <mergeCell ref="B131:C131"/>
    <mergeCell ref="B132:C132"/>
    <mergeCell ref="B134:C134"/>
    <mergeCell ref="B135:C135"/>
    <mergeCell ref="B118:C118"/>
    <mergeCell ref="B119:C119"/>
    <mergeCell ref="B121:C121"/>
    <mergeCell ref="B123:C123"/>
    <mergeCell ref="B124:C124"/>
    <mergeCell ref="B126:C126"/>
    <mergeCell ref="B148:C148"/>
    <mergeCell ref="B150:C150"/>
    <mergeCell ref="B151:C151"/>
    <mergeCell ref="B153:C153"/>
    <mergeCell ref="B155:C155"/>
    <mergeCell ref="B137:C137"/>
    <mergeCell ref="B139:C139"/>
    <mergeCell ref="B140:C140"/>
    <mergeCell ref="B142:C142"/>
    <mergeCell ref="B143:C143"/>
    <mergeCell ref="B145:C145"/>
    <mergeCell ref="B175:C175"/>
    <mergeCell ref="B177:C177"/>
    <mergeCell ref="B179:C179"/>
    <mergeCell ref="B180:C180"/>
    <mergeCell ref="B182:C182"/>
    <mergeCell ref="B183:C183"/>
    <mergeCell ref="B166:C166"/>
    <mergeCell ref="B167:C167"/>
    <mergeCell ref="B169:C169"/>
    <mergeCell ref="B171:C171"/>
    <mergeCell ref="B172:C172"/>
    <mergeCell ref="B174:C174"/>
    <mergeCell ref="B181:C181"/>
    <mergeCell ref="B195:C195"/>
    <mergeCell ref="B196:C196"/>
    <mergeCell ref="B198:C198"/>
    <mergeCell ref="B199:C199"/>
    <mergeCell ref="B201:C201"/>
    <mergeCell ref="B203:C203"/>
    <mergeCell ref="B185:C185"/>
    <mergeCell ref="B187:C187"/>
    <mergeCell ref="B188:C188"/>
    <mergeCell ref="B190:C190"/>
    <mergeCell ref="B191:C191"/>
    <mergeCell ref="B193:C193"/>
    <mergeCell ref="B214:C214"/>
    <mergeCell ref="B215:C215"/>
    <mergeCell ref="B217:C217"/>
    <mergeCell ref="B219:C219"/>
    <mergeCell ref="B220:C220"/>
    <mergeCell ref="B222:C222"/>
    <mergeCell ref="B204:C204"/>
    <mergeCell ref="B206:C206"/>
    <mergeCell ref="B207:C207"/>
    <mergeCell ref="B209:C209"/>
    <mergeCell ref="B211:C211"/>
    <mergeCell ref="B212:C212"/>
    <mergeCell ref="B236:C236"/>
    <mergeCell ref="B238:C238"/>
    <mergeCell ref="B239:C239"/>
    <mergeCell ref="B241:C241"/>
    <mergeCell ref="B223:C223"/>
    <mergeCell ref="B225:C225"/>
    <mergeCell ref="B227:C227"/>
    <mergeCell ref="B228:C228"/>
    <mergeCell ref="B230:C230"/>
    <mergeCell ref="B231:C231"/>
    <mergeCell ref="B271:C271"/>
    <mergeCell ref="B273:C273"/>
    <mergeCell ref="B275:C275"/>
    <mergeCell ref="B276:C276"/>
    <mergeCell ref="B278:C278"/>
    <mergeCell ref="B279:C279"/>
    <mergeCell ref="B262:C262"/>
    <mergeCell ref="B263:C263"/>
    <mergeCell ref="B265:C265"/>
    <mergeCell ref="B267:C267"/>
    <mergeCell ref="B268:C268"/>
    <mergeCell ref="B270:C270"/>
    <mergeCell ref="B277:C277"/>
    <mergeCell ref="B269:C269"/>
    <mergeCell ref="B291:C291"/>
    <mergeCell ref="B292:C292"/>
    <mergeCell ref="B294:C294"/>
    <mergeCell ref="B295:C295"/>
    <mergeCell ref="B297:C297"/>
    <mergeCell ref="B299:C299"/>
    <mergeCell ref="B281:C281"/>
    <mergeCell ref="B283:C283"/>
    <mergeCell ref="B284:C284"/>
    <mergeCell ref="B286:C286"/>
    <mergeCell ref="B287:C287"/>
    <mergeCell ref="B289:C289"/>
    <mergeCell ref="B285:C285"/>
    <mergeCell ref="B310:C310"/>
    <mergeCell ref="B311:C311"/>
    <mergeCell ref="B313:C313"/>
    <mergeCell ref="B315:C315"/>
    <mergeCell ref="B316:C316"/>
    <mergeCell ref="B318:C318"/>
    <mergeCell ref="B300:C300"/>
    <mergeCell ref="B302:C302"/>
    <mergeCell ref="B303:C303"/>
    <mergeCell ref="B305:C305"/>
    <mergeCell ref="B307:C307"/>
    <mergeCell ref="B308:C308"/>
    <mergeCell ref="B334:C334"/>
    <mergeCell ref="B335:C335"/>
    <mergeCell ref="B337:C337"/>
    <mergeCell ref="B319:C319"/>
    <mergeCell ref="B321:C321"/>
    <mergeCell ref="B323:C323"/>
    <mergeCell ref="B324:C324"/>
    <mergeCell ref="B326:C326"/>
    <mergeCell ref="B327:C327"/>
    <mergeCell ref="B367:C367"/>
    <mergeCell ref="B369:C369"/>
    <mergeCell ref="B371:C371"/>
    <mergeCell ref="B372:C372"/>
    <mergeCell ref="B374:C374"/>
    <mergeCell ref="B375:C375"/>
    <mergeCell ref="B358:C358"/>
    <mergeCell ref="B359:C359"/>
    <mergeCell ref="B361:C361"/>
    <mergeCell ref="B363:C363"/>
    <mergeCell ref="B364:C364"/>
    <mergeCell ref="B366:C366"/>
    <mergeCell ref="B373:C373"/>
    <mergeCell ref="B365:C365"/>
    <mergeCell ref="B387:C387"/>
    <mergeCell ref="B388:C388"/>
    <mergeCell ref="B390:C390"/>
    <mergeCell ref="B391:C391"/>
    <mergeCell ref="B393:C393"/>
    <mergeCell ref="B395:C395"/>
    <mergeCell ref="B377:C377"/>
    <mergeCell ref="B379:C379"/>
    <mergeCell ref="B380:C380"/>
    <mergeCell ref="B382:C382"/>
    <mergeCell ref="B383:C383"/>
    <mergeCell ref="B385:C385"/>
    <mergeCell ref="B389:C389"/>
    <mergeCell ref="B381:C381"/>
    <mergeCell ref="B406:C406"/>
    <mergeCell ref="B407:C407"/>
    <mergeCell ref="B409:C409"/>
    <mergeCell ref="B411:C411"/>
    <mergeCell ref="B412:C412"/>
    <mergeCell ref="B414:C414"/>
    <mergeCell ref="B396:C396"/>
    <mergeCell ref="B398:C398"/>
    <mergeCell ref="B399:C399"/>
    <mergeCell ref="B401:C401"/>
    <mergeCell ref="B403:C403"/>
    <mergeCell ref="B404:C404"/>
    <mergeCell ref="B413:C413"/>
    <mergeCell ref="B405:C405"/>
    <mergeCell ref="B397:C397"/>
    <mergeCell ref="B425:C425"/>
    <mergeCell ref="B427:C427"/>
    <mergeCell ref="B428:C428"/>
    <mergeCell ref="B430:C430"/>
    <mergeCell ref="B431:C431"/>
    <mergeCell ref="B415:C415"/>
    <mergeCell ref="B417:C417"/>
    <mergeCell ref="B419:C419"/>
    <mergeCell ref="B420:C420"/>
    <mergeCell ref="B422:C422"/>
    <mergeCell ref="B423:C423"/>
    <mergeCell ref="B429:C429"/>
    <mergeCell ref="B421:C421"/>
    <mergeCell ref="B357:C357"/>
    <mergeCell ref="B349:C349"/>
    <mergeCell ref="B341:C341"/>
    <mergeCell ref="B333:C333"/>
    <mergeCell ref="B325:C325"/>
    <mergeCell ref="B317:C317"/>
    <mergeCell ref="B309:C309"/>
    <mergeCell ref="B301:C301"/>
    <mergeCell ref="B293:C293"/>
    <mergeCell ref="B348:C348"/>
    <mergeCell ref="B350:C350"/>
    <mergeCell ref="B351:C351"/>
    <mergeCell ref="B353:C353"/>
    <mergeCell ref="B355:C355"/>
    <mergeCell ref="B356:C356"/>
    <mergeCell ref="B339:C339"/>
    <mergeCell ref="B340:C340"/>
    <mergeCell ref="B342:C342"/>
    <mergeCell ref="B343:C343"/>
    <mergeCell ref="B345:C345"/>
    <mergeCell ref="B347:C347"/>
    <mergeCell ref="B329:C329"/>
    <mergeCell ref="B331:C331"/>
    <mergeCell ref="B332:C332"/>
    <mergeCell ref="B261:C261"/>
    <mergeCell ref="B245:C245"/>
    <mergeCell ref="B253:C253"/>
    <mergeCell ref="B237:C237"/>
    <mergeCell ref="B229:C229"/>
    <mergeCell ref="B221:C221"/>
    <mergeCell ref="B213:C213"/>
    <mergeCell ref="B205:C205"/>
    <mergeCell ref="B189:C189"/>
    <mergeCell ref="B197:C197"/>
    <mergeCell ref="B252:C252"/>
    <mergeCell ref="B254:C254"/>
    <mergeCell ref="B255:C255"/>
    <mergeCell ref="B257:C257"/>
    <mergeCell ref="B259:C259"/>
    <mergeCell ref="B260:C260"/>
    <mergeCell ref="B243:C243"/>
    <mergeCell ref="B244:C244"/>
    <mergeCell ref="B246:C246"/>
    <mergeCell ref="B247:C247"/>
    <mergeCell ref="B249:C249"/>
    <mergeCell ref="B251:C251"/>
    <mergeCell ref="B233:C233"/>
    <mergeCell ref="B235:C235"/>
    <mergeCell ref="B61:C61"/>
    <mergeCell ref="B53:C53"/>
    <mergeCell ref="B45:C45"/>
    <mergeCell ref="B37:C37"/>
    <mergeCell ref="B29:C29"/>
    <mergeCell ref="B21:C21"/>
    <mergeCell ref="B13:C13"/>
    <mergeCell ref="B173:C173"/>
    <mergeCell ref="B165:C165"/>
    <mergeCell ref="B157:C157"/>
    <mergeCell ref="B149:C149"/>
    <mergeCell ref="B141:C141"/>
    <mergeCell ref="B133:C133"/>
    <mergeCell ref="B125:C125"/>
    <mergeCell ref="B117:C117"/>
    <mergeCell ref="B109:C109"/>
    <mergeCell ref="B101:C101"/>
    <mergeCell ref="B156:C156"/>
    <mergeCell ref="B158:C158"/>
    <mergeCell ref="B159:C159"/>
    <mergeCell ref="B161:C161"/>
    <mergeCell ref="B163:C163"/>
    <mergeCell ref="B164:C164"/>
    <mergeCell ref="B147:C147"/>
  </mergeCells>
  <conditionalFormatting sqref="D11:S15 I19:Q19 H19:H20 D19:G23 M19:S23 I20 J20:Q21 H21:I21 H22:Q23 D27:S31 D35:S39 D43:S47 D51:S55 D59:S63 D67:S71 D75:S79 D83:S87 D91:S95 D99:S103 D107:S111 D115:S119 D123:S127 D131:S135 D139:S143 D147:S151 D155:S159 D163:S167 D171:S175 D179:S183 D187:S191 D195:S199 D203:S207 D211:S215 D219:S223 D227:S231 D235:S239 D243:S247 D251:S255 D259:S263 D267:S271 D275:S279 D283:S287 D291:S295 D299:S303 D307:S311 D315:S319 D323:S327 D331:S335 D339:S343 D347:S351 D355:S359 D363:S367 D371:S375 D379:S383 D387:S391 D395:S399 D403:S407 D411:S415 D419:S423 D427:S431">
    <cfRule type="cellIs" dxfId="5" priority="2656" operator="equal">
      <formula>"G"</formula>
    </cfRule>
    <cfRule type="cellIs" dxfId="4" priority="2657" operator="equal">
      <formula>"A"</formula>
    </cfRule>
    <cfRule type="cellIs" dxfId="3" priority="2658" operator="equal">
      <formula>"R"</formula>
    </cfRule>
  </conditionalFormatting>
  <conditionalFormatting sqref="U11:V15 U19:V23 U27:V31 U35:V39 U43:V47 U51:V55 U59:V63 U67:V71 U75:V79 U83:V87 U91:V95 U99:V103 U107:V111 U115:V119 U123:V127 U131:V135 U139:V143 U147:V151 U155:V159 U163:V167 U171:V175 U179:V183 U187:V191 U195:V199 U203:V207 U211:V215 U219:V223 U227:V231 U235:V239 U243:V247 U251:V255 U259:V263 U267:V271 U275:V279 U283:V287 U291:V295 U299:V303 U307:V311 U315:V319 U323:V327 U331:V335 U339:V343 U347:V351 U355:V359 U363:V367 U371:V375 U379:V383 U387:V391 U395:V399 U403:V407 U411:V415 U419:V423 U427:V431">
    <cfRule type="cellIs" dxfId="2" priority="316" operator="equal">
      <formula>"G"</formula>
    </cfRule>
    <cfRule type="cellIs" dxfId="1" priority="317" operator="equal">
      <formula>"A"</formula>
    </cfRule>
    <cfRule type="cellIs" dxfId="0" priority="318" operator="equal">
      <formula>"R"</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25</vt:i4>
      </vt:variant>
      <vt:variant>
        <vt:lpstr>Named Ranges</vt:lpstr>
      </vt:variant>
      <vt:variant>
        <vt:i4>3</vt:i4>
      </vt:variant>
    </vt:vector>
  </HeadingPairs>
  <TitlesOfParts>
    <vt:vector size="28" baseType="lpstr">
      <vt:lpstr>KPI Linked Table for Report</vt:lpstr>
      <vt:lpstr>KPI Analysis</vt:lpstr>
      <vt:lpstr>Individual Dept Tabs &gt;&gt;</vt:lpstr>
      <vt:lpstr>Accident Summary</vt:lpstr>
      <vt:lpstr>EHS</vt:lpstr>
      <vt:lpstr>Estimating</vt:lpstr>
      <vt:lpstr>SOP</vt:lpstr>
      <vt:lpstr>Design</vt:lpstr>
      <vt:lpstr>Product Design</vt:lpstr>
      <vt:lpstr>Product Eng - MB</vt:lpstr>
      <vt:lpstr>Product Eng - BE</vt:lpstr>
      <vt:lpstr>Bridgend Manuf</vt:lpstr>
      <vt:lpstr>Maybole Manuf</vt:lpstr>
      <vt:lpstr>Logistics</vt:lpstr>
      <vt:lpstr>Engineering</vt:lpstr>
      <vt:lpstr>Quality MB</vt:lpstr>
      <vt:lpstr>Procurement</vt:lpstr>
      <vt:lpstr>IT</vt:lpstr>
      <vt:lpstr>Marketing</vt:lpstr>
      <vt:lpstr>Finance</vt:lpstr>
      <vt:lpstr>HR mthly</vt:lpstr>
      <vt:lpstr>&gt;&gt; control tabs</vt:lpstr>
      <vt:lpstr>Week No's</vt:lpstr>
      <vt:lpstr>KPI Stats</vt:lpstr>
      <vt:lpstr>Summary By week</vt:lpstr>
      <vt:lpstr>'Summary By week'!_FilterDatabase</vt:lpstr>
      <vt:lpstr>'KPI Linked Table for Report'!Print_Area</vt:lpstr>
      <vt:lpstr>'KPI Linked Table for Report'!Print_Titles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Gethin Davies</dc:creator>
  <cp:lastModifiedBy>Lisa Perrett</cp:lastModifiedBy>
  <cp:lastPrinted>2025-05-20T11:33:11Z</cp:lastPrinted>
  <dcterms:created xsi:type="dcterms:W3CDTF">2025-01-29T14:59:52Z</dcterms:created>
  <dcterms:modified xsi:type="dcterms:W3CDTF">2025-10-20T15:07:51Z</dcterms:modified>
</cp:coreProperties>
</file>